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18.xml" ContentType="application/vnd.openxmlformats-officedocument.spreadsheetml.table+xml"/>
  <Override PartName="/xl/comments2.xml" ContentType="application/vnd.openxmlformats-officedocument.spreadsheetml.comments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0" yWindow="440" windowWidth="25600" windowHeight="15620" tabRatio="681" activeTab="1"/>
  </bookViews>
  <sheets>
    <sheet name="AAV" sheetId="1" r:id="rId1"/>
    <sheet name="plasmids" sheetId="2" r:id="rId2"/>
    <sheet name="Clonages" sheetId="3" r:id="rId3"/>
    <sheet name="Suivi clonages" sheetId="4" r:id="rId4"/>
    <sheet name="Prod plasmids" sheetId="5" r:id="rId5"/>
    <sheet name="Plasmides par promoteur" sheetId="6" r:id="rId6"/>
    <sheet name="Titrages AAV" sheetId="7" r:id="rId7"/>
    <sheet name="Prod Berkeley" sheetId="8" r:id="rId8"/>
  </sheets>
  <calcPr calcId="140001" concurrentCalc="0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510" i="7" l="1"/>
  <c r="K1509" i="7"/>
  <c r="K1508" i="7"/>
  <c r="K1507" i="7"/>
  <c r="K1505" i="7"/>
  <c r="K1504" i="7"/>
  <c r="K1503" i="7"/>
  <c r="K1502" i="7"/>
  <c r="K1501" i="7"/>
  <c r="K1500" i="7"/>
  <c r="K1499" i="7"/>
  <c r="K1498" i="7"/>
  <c r="K1496" i="7"/>
  <c r="K1495" i="7"/>
  <c r="K1494" i="7"/>
  <c r="K1493" i="7"/>
  <c r="K1492" i="7"/>
  <c r="K1490" i="7"/>
  <c r="K1489" i="7"/>
  <c r="K1488" i="7"/>
  <c r="K1487" i="7"/>
  <c r="K1486" i="7"/>
  <c r="K1485" i="7"/>
  <c r="K1484" i="7"/>
  <c r="K1483" i="7"/>
  <c r="K1481" i="7"/>
  <c r="K1480" i="7"/>
  <c r="K1479" i="7"/>
  <c r="K1478" i="7"/>
  <c r="K1477" i="7"/>
  <c r="K1476" i="7"/>
  <c r="K1475" i="7"/>
  <c r="K1474" i="7"/>
  <c r="K1472" i="7"/>
  <c r="K1471" i="7"/>
  <c r="K1470" i="7"/>
  <c r="K1469" i="7"/>
  <c r="K1468" i="7"/>
  <c r="K1467" i="7"/>
  <c r="K1466" i="7"/>
  <c r="K1465" i="7"/>
  <c r="K1464" i="7"/>
  <c r="K1463" i="7"/>
  <c r="K1462" i="7"/>
  <c r="K1460" i="7"/>
  <c r="K1459" i="7"/>
  <c r="K1458" i="7"/>
  <c r="K1457" i="7"/>
  <c r="K1456" i="7"/>
  <c r="K1455" i="7"/>
  <c r="K1454" i="7"/>
  <c r="K1453" i="7"/>
  <c r="K1452" i="7"/>
  <c r="K1451" i="7"/>
  <c r="K1450" i="7"/>
  <c r="K1448" i="7"/>
  <c r="K1447" i="7"/>
  <c r="K1446" i="7"/>
  <c r="K1445" i="7"/>
  <c r="K1444" i="7"/>
  <c r="K1443" i="7"/>
  <c r="K1442" i="7"/>
  <c r="K1441" i="7"/>
  <c r="K1440" i="7"/>
  <c r="K1439" i="7"/>
  <c r="K1437" i="7"/>
  <c r="K1436" i="7"/>
  <c r="K1435" i="7"/>
  <c r="K1434" i="7"/>
  <c r="K1432" i="7"/>
  <c r="K1431" i="7"/>
  <c r="K1430" i="7"/>
  <c r="K1429" i="7"/>
  <c r="K1428" i="7"/>
  <c r="K1427" i="7"/>
  <c r="K1426" i="7"/>
  <c r="K1425" i="7"/>
  <c r="K1424" i="7"/>
  <c r="K1422" i="7"/>
  <c r="K1421" i="7"/>
  <c r="K1420" i="7"/>
  <c r="K1419" i="7"/>
  <c r="K1418" i="7"/>
  <c r="K1417" i="7"/>
  <c r="K1416" i="7"/>
  <c r="K1415" i="7"/>
  <c r="K1413" i="7"/>
  <c r="K1412" i="7"/>
  <c r="K1411" i="7"/>
  <c r="K1410" i="7"/>
  <c r="K1408" i="7"/>
  <c r="K1407" i="7"/>
  <c r="K1406" i="7"/>
  <c r="K1405" i="7"/>
  <c r="K1403" i="7"/>
  <c r="K1402" i="7"/>
  <c r="K1401" i="7"/>
  <c r="K1400" i="7"/>
  <c r="K1398" i="7"/>
  <c r="K1397" i="7"/>
  <c r="K1396" i="7"/>
  <c r="K1395" i="7"/>
  <c r="K1394" i="7"/>
  <c r="K1393" i="7"/>
  <c r="K1392" i="7"/>
  <c r="K1391" i="7"/>
  <c r="K1390" i="7"/>
  <c r="K1388" i="7"/>
  <c r="K1387" i="7"/>
  <c r="K1386" i="7"/>
  <c r="K1385" i="7"/>
  <c r="K1384" i="7"/>
  <c r="K1383" i="7"/>
  <c r="K1382" i="7"/>
  <c r="K1381" i="7"/>
  <c r="K1380" i="7"/>
  <c r="K1378" i="7"/>
  <c r="K1377" i="7"/>
  <c r="K1376" i="7"/>
  <c r="K1375" i="7"/>
  <c r="K1374" i="7"/>
  <c r="K1373" i="7"/>
  <c r="K1372" i="7"/>
  <c r="K1371" i="7"/>
  <c r="K1369" i="7"/>
  <c r="K1368" i="7"/>
  <c r="K1367" i="7"/>
  <c r="K1366" i="7"/>
  <c r="K1365" i="7"/>
  <c r="K1363" i="7"/>
  <c r="K1362" i="7"/>
  <c r="K1361" i="7"/>
  <c r="K1360" i="7"/>
  <c r="K1359" i="7"/>
  <c r="K1358" i="7"/>
  <c r="K1357" i="7"/>
  <c r="K1356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2" i="7"/>
  <c r="K1331" i="7"/>
  <c r="K1330" i="7"/>
  <c r="K1329" i="7"/>
  <c r="K1328" i="7"/>
  <c r="K1326" i="7"/>
  <c r="K1325" i="7"/>
  <c r="K1324" i="7"/>
  <c r="K1323" i="7"/>
  <c r="K1322" i="7"/>
  <c r="K1321" i="7"/>
  <c r="K1320" i="7"/>
  <c r="K1319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1" i="7"/>
  <c r="K1300" i="7"/>
  <c r="K1299" i="7"/>
  <c r="K1298" i="7"/>
  <c r="K1297" i="7"/>
  <c r="K1296" i="7"/>
  <c r="K1295" i="7"/>
  <c r="K1294" i="7"/>
  <c r="K1293" i="7"/>
  <c r="K1292" i="7"/>
  <c r="K1290" i="7"/>
  <c r="K1289" i="7"/>
  <c r="K1288" i="7"/>
  <c r="K1287" i="7"/>
  <c r="K1286" i="7"/>
  <c r="K1285" i="7"/>
  <c r="K1284" i="7"/>
  <c r="K1282" i="7"/>
  <c r="K1281" i="7"/>
  <c r="K1280" i="7"/>
  <c r="K1279" i="7"/>
  <c r="K1278" i="7"/>
  <c r="K1277" i="7"/>
  <c r="K1276" i="7"/>
  <c r="K1275" i="7"/>
  <c r="K1273" i="7"/>
  <c r="K1272" i="7"/>
  <c r="K1271" i="7"/>
  <c r="K1270" i="7"/>
  <c r="K1269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4" i="7"/>
  <c r="K1223" i="7"/>
  <c r="K1222" i="7"/>
  <c r="K1221" i="7"/>
  <c r="K1220" i="7"/>
  <c r="K1219" i="7"/>
  <c r="K1218" i="7"/>
  <c r="K1217" i="7"/>
  <c r="K1216" i="7"/>
  <c r="K1215" i="7"/>
  <c r="K1214" i="7"/>
  <c r="K1212" i="7"/>
  <c r="K1211" i="7"/>
  <c r="K1210" i="7"/>
  <c r="K1209" i="7"/>
  <c r="K1208" i="7"/>
  <c r="K1207" i="7"/>
  <c r="K1206" i="7"/>
  <c r="K1205" i="7"/>
  <c r="K1204" i="7"/>
  <c r="K1203" i="7"/>
  <c r="K1202" i="7"/>
  <c r="K1200" i="7"/>
  <c r="K1199" i="7"/>
  <c r="K1198" i="7"/>
  <c r="K1197" i="7"/>
  <c r="K1196" i="7"/>
  <c r="K1195" i="7"/>
  <c r="K1194" i="7"/>
  <c r="K1193" i="7"/>
  <c r="K1191" i="7"/>
  <c r="K1190" i="7"/>
  <c r="K1189" i="7"/>
  <c r="K1188" i="7"/>
  <c r="K1187" i="7"/>
  <c r="K1186" i="7"/>
  <c r="K1185" i="7"/>
  <c r="K1184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4" i="7"/>
  <c r="K1153" i="7"/>
  <c r="K1152" i="7"/>
  <c r="K1151" i="7"/>
  <c r="K1150" i="7"/>
  <c r="K1149" i="7"/>
  <c r="K1148" i="7"/>
  <c r="K1147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0" i="7"/>
  <c r="K1129" i="7"/>
  <c r="K1128" i="7"/>
  <c r="K1127" i="7"/>
  <c r="K1126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5" i="7"/>
  <c r="K1064" i="7"/>
  <c r="K1063" i="7"/>
  <c r="K1062" i="7"/>
  <c r="K1061" i="7"/>
  <c r="K1060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3" i="7"/>
  <c r="K1022" i="7"/>
  <c r="K1021" i="7"/>
  <c r="K1020" i="7"/>
  <c r="K1019" i="7"/>
  <c r="K1018" i="7"/>
  <c r="K1017" i="7"/>
  <c r="K1015" i="7"/>
  <c r="K1014" i="7"/>
  <c r="K1013" i="7"/>
  <c r="K1012" i="7"/>
  <c r="K1011" i="7"/>
  <c r="K1009" i="7"/>
  <c r="K1008" i="7"/>
  <c r="K1007" i="7"/>
  <c r="K1006" i="7"/>
  <c r="K1005" i="7"/>
  <c r="K1004" i="7"/>
  <c r="K1002" i="7"/>
  <c r="K1001" i="7"/>
  <c r="K1000" i="7"/>
  <c r="K999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0" i="7"/>
  <c r="K979" i="7"/>
  <c r="K978" i="7"/>
  <c r="K977" i="7"/>
  <c r="K976" i="7"/>
  <c r="K974" i="7"/>
  <c r="K973" i="7"/>
  <c r="K972" i="7"/>
  <c r="K971" i="7"/>
  <c r="K970" i="7"/>
  <c r="K968" i="7"/>
  <c r="K967" i="7"/>
  <c r="K966" i="7"/>
  <c r="K965" i="7"/>
  <c r="K964" i="7"/>
  <c r="K962" i="7"/>
  <c r="K961" i="7"/>
  <c r="K960" i="7"/>
  <c r="K959" i="7"/>
  <c r="K957" i="7"/>
  <c r="K956" i="7"/>
  <c r="K955" i="7"/>
  <c r="K954" i="7"/>
  <c r="K953" i="7"/>
  <c r="K952" i="7"/>
  <c r="K951" i="7"/>
  <c r="K950" i="7"/>
  <c r="K949" i="7"/>
  <c r="K948" i="7"/>
  <c r="K947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8" i="7"/>
  <c r="K927" i="7"/>
  <c r="K926" i="7"/>
  <c r="K925" i="7"/>
  <c r="K924" i="7"/>
  <c r="K923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1" i="7"/>
  <c r="K880" i="7"/>
  <c r="K879" i="7"/>
  <c r="K878" i="7"/>
  <c r="K877" i="7"/>
  <c r="K876" i="7"/>
  <c r="K875" i="7"/>
  <c r="K874" i="7"/>
  <c r="K873" i="7"/>
  <c r="K871" i="7"/>
  <c r="K870" i="7"/>
  <c r="K869" i="7"/>
  <c r="K868" i="7"/>
  <c r="K867" i="7"/>
  <c r="K866" i="7"/>
  <c r="K865" i="7"/>
  <c r="K864" i="7"/>
  <c r="K863" i="7"/>
  <c r="K861" i="7"/>
  <c r="K860" i="7"/>
  <c r="M858" i="7"/>
  <c r="K858" i="7"/>
  <c r="M857" i="7"/>
  <c r="N857" i="7"/>
  <c r="K857" i="7"/>
  <c r="M856" i="7"/>
  <c r="K856" i="7"/>
  <c r="M855" i="7"/>
  <c r="N855" i="7"/>
  <c r="K855" i="7"/>
  <c r="L854" i="7"/>
  <c r="K854" i="7"/>
  <c r="L853" i="7"/>
  <c r="K853" i="7"/>
  <c r="K852" i="7"/>
  <c r="K850" i="7"/>
  <c r="K849" i="7"/>
  <c r="K848" i="7"/>
  <c r="K847" i="7"/>
  <c r="K844" i="7"/>
  <c r="K843" i="7"/>
  <c r="K841" i="7"/>
  <c r="K840" i="7"/>
  <c r="K839" i="7"/>
  <c r="K838" i="7"/>
  <c r="K837" i="7"/>
  <c r="K836" i="7"/>
  <c r="K835" i="7"/>
  <c r="K833" i="7"/>
  <c r="K832" i="7"/>
  <c r="K831" i="7"/>
  <c r="K830" i="7"/>
  <c r="K815" i="7"/>
  <c r="K814" i="7"/>
  <c r="K813" i="7"/>
  <c r="K812" i="7"/>
  <c r="K811" i="7"/>
  <c r="K809" i="7"/>
  <c r="K808" i="7"/>
  <c r="K807" i="7"/>
  <c r="K806" i="7"/>
  <c r="K805" i="7"/>
  <c r="K804" i="7"/>
  <c r="K803" i="7"/>
  <c r="K801" i="7"/>
  <c r="K800" i="7"/>
  <c r="K799" i="7"/>
  <c r="K798" i="7"/>
  <c r="K797" i="7"/>
  <c r="K796" i="7"/>
  <c r="K795" i="7"/>
  <c r="K793" i="7"/>
  <c r="K792" i="7"/>
  <c r="K791" i="7"/>
  <c r="K790" i="7"/>
  <c r="K789" i="7"/>
  <c r="K787" i="7"/>
  <c r="K786" i="7"/>
  <c r="K785" i="7"/>
  <c r="K784" i="7"/>
  <c r="K782" i="7"/>
  <c r="K781" i="7"/>
  <c r="K780" i="7"/>
  <c r="K779" i="7"/>
  <c r="K778" i="7"/>
  <c r="K777" i="7"/>
  <c r="K776" i="7"/>
  <c r="K775" i="7"/>
  <c r="K773" i="7"/>
  <c r="K772" i="7"/>
  <c r="K771" i="7"/>
  <c r="K770" i="7"/>
  <c r="K769" i="7"/>
  <c r="K768" i="7"/>
  <c r="K767" i="7"/>
  <c r="K766" i="7"/>
  <c r="K765" i="7"/>
  <c r="K762" i="7"/>
  <c r="K761" i="7"/>
  <c r="K760" i="7"/>
  <c r="K758" i="7"/>
  <c r="K757" i="7"/>
  <c r="K756" i="7"/>
  <c r="K755" i="7"/>
  <c r="K754" i="7"/>
  <c r="K753" i="7"/>
  <c r="K752" i="7"/>
  <c r="K751" i="7"/>
  <c r="K749" i="7"/>
  <c r="K748" i="7"/>
  <c r="K747" i="7"/>
  <c r="K746" i="7"/>
  <c r="K745" i="7"/>
  <c r="K744" i="7"/>
  <c r="K742" i="7"/>
  <c r="K741" i="7"/>
  <c r="K740" i="7"/>
  <c r="K739" i="7"/>
  <c r="K738" i="7"/>
  <c r="K737" i="7"/>
  <c r="K735" i="7"/>
  <c r="K734" i="7"/>
  <c r="K733" i="7"/>
  <c r="K732" i="7"/>
  <c r="K731" i="7"/>
  <c r="K730" i="7"/>
  <c r="K729" i="7"/>
  <c r="L728" i="7"/>
  <c r="K728" i="7"/>
  <c r="K726" i="7"/>
  <c r="K725" i="7"/>
  <c r="K724" i="7"/>
  <c r="K723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7" i="7"/>
  <c r="K706" i="7"/>
  <c r="K705" i="7"/>
  <c r="K704" i="7"/>
  <c r="K702" i="7"/>
  <c r="K701" i="7"/>
  <c r="K700" i="7"/>
  <c r="K699" i="7"/>
  <c r="K698" i="7"/>
  <c r="K697" i="7"/>
  <c r="K695" i="7"/>
  <c r="K694" i="7"/>
  <c r="K693" i="7"/>
  <c r="K692" i="7"/>
  <c r="K691" i="7"/>
  <c r="K690" i="7"/>
  <c r="K688" i="7"/>
  <c r="K687" i="7"/>
  <c r="K686" i="7"/>
  <c r="K685" i="7"/>
  <c r="K684" i="7"/>
  <c r="K683" i="7"/>
  <c r="K681" i="7"/>
  <c r="K680" i="7"/>
  <c r="K679" i="7"/>
  <c r="K678" i="7"/>
  <c r="K677" i="7"/>
  <c r="K676" i="7"/>
  <c r="K675" i="7"/>
  <c r="K673" i="7"/>
  <c r="K672" i="7"/>
  <c r="K671" i="7"/>
  <c r="K670" i="7"/>
  <c r="K669" i="7"/>
  <c r="K668" i="7"/>
  <c r="K667" i="7"/>
  <c r="K666" i="7"/>
  <c r="K665" i="7"/>
  <c r="K663" i="7"/>
  <c r="K662" i="7"/>
  <c r="K661" i="7"/>
  <c r="K660" i="7"/>
  <c r="K659" i="7"/>
  <c r="K658" i="7"/>
  <c r="K657" i="7"/>
  <c r="K656" i="7"/>
  <c r="K654" i="7"/>
  <c r="K653" i="7"/>
  <c r="K652" i="7"/>
  <c r="K651" i="7"/>
  <c r="K650" i="7"/>
  <c r="K649" i="7"/>
  <c r="K648" i="7"/>
  <c r="K647" i="7"/>
  <c r="K645" i="7"/>
  <c r="K644" i="7"/>
  <c r="K643" i="7"/>
  <c r="K642" i="7"/>
  <c r="K641" i="7"/>
  <c r="K640" i="7"/>
  <c r="K639" i="7"/>
  <c r="K638" i="7"/>
  <c r="K637" i="7"/>
  <c r="K635" i="7"/>
  <c r="K634" i="7"/>
  <c r="K632" i="7"/>
  <c r="K631" i="7"/>
  <c r="K630" i="7"/>
  <c r="K629" i="7"/>
  <c r="K628" i="7"/>
  <c r="K627" i="7"/>
  <c r="K625" i="7"/>
  <c r="K624" i="7"/>
  <c r="K623" i="7"/>
  <c r="K622" i="7"/>
  <c r="K621" i="7"/>
  <c r="K620" i="7"/>
  <c r="K619" i="7"/>
  <c r="K617" i="7"/>
  <c r="K616" i="7"/>
  <c r="K615" i="7"/>
  <c r="K614" i="7"/>
  <c r="K612" i="7"/>
  <c r="K611" i="7"/>
  <c r="K610" i="7"/>
  <c r="K609" i="7"/>
  <c r="K607" i="7"/>
  <c r="K606" i="7"/>
  <c r="K605" i="7"/>
  <c r="K604" i="7"/>
  <c r="K602" i="7"/>
  <c r="K601" i="7"/>
  <c r="K600" i="7"/>
  <c r="K599" i="7"/>
  <c r="K598" i="7"/>
  <c r="K597" i="7"/>
  <c r="K596" i="7"/>
  <c r="K594" i="7"/>
  <c r="K593" i="7"/>
  <c r="K592" i="7"/>
  <c r="K591" i="7"/>
  <c r="K590" i="7"/>
  <c r="K589" i="7"/>
  <c r="K587" i="7"/>
  <c r="K586" i="7"/>
  <c r="K585" i="7"/>
  <c r="K584" i="7"/>
  <c r="K582" i="7"/>
  <c r="K581" i="7"/>
  <c r="K580" i="7"/>
  <c r="K579" i="7"/>
  <c r="K578" i="7"/>
  <c r="K577" i="7"/>
  <c r="K576" i="7"/>
  <c r="K575" i="7"/>
  <c r="K574" i="7"/>
  <c r="K572" i="7"/>
  <c r="K571" i="7"/>
  <c r="K570" i="7"/>
  <c r="K569" i="7"/>
  <c r="K568" i="7"/>
  <c r="K567" i="7"/>
  <c r="K566" i="7"/>
  <c r="K565" i="7"/>
  <c r="K564" i="7"/>
  <c r="K562" i="7"/>
  <c r="K561" i="7"/>
  <c r="K560" i="7"/>
  <c r="K559" i="7"/>
  <c r="K558" i="7"/>
  <c r="K557" i="7"/>
  <c r="K556" i="7"/>
  <c r="K555" i="7"/>
  <c r="K554" i="7"/>
  <c r="K552" i="7"/>
  <c r="K551" i="7"/>
  <c r="K550" i="7"/>
  <c r="K549" i="7"/>
  <c r="K548" i="7"/>
  <c r="K547" i="7"/>
  <c r="K545" i="7"/>
  <c r="K544" i="7"/>
  <c r="K543" i="7"/>
  <c r="K542" i="7"/>
  <c r="K540" i="7"/>
  <c r="K539" i="7"/>
  <c r="K538" i="7"/>
  <c r="K537" i="7"/>
  <c r="K536" i="7"/>
  <c r="K535" i="7"/>
  <c r="K534" i="7"/>
  <c r="K532" i="7"/>
  <c r="K531" i="7"/>
  <c r="K530" i="7"/>
  <c r="K529" i="7"/>
  <c r="K528" i="7"/>
  <c r="K527" i="7"/>
  <c r="K526" i="7"/>
  <c r="K525" i="7"/>
  <c r="K523" i="7"/>
  <c r="K522" i="7"/>
  <c r="K521" i="7"/>
  <c r="K520" i="7"/>
  <c r="K519" i="7"/>
  <c r="K518" i="7"/>
  <c r="K517" i="7"/>
  <c r="K515" i="7"/>
  <c r="K514" i="7"/>
  <c r="K513" i="7"/>
  <c r="K512" i="7"/>
  <c r="K511" i="7"/>
  <c r="K510" i="7"/>
  <c r="K509" i="7"/>
  <c r="K501" i="7"/>
  <c r="K500" i="7"/>
  <c r="K499" i="7"/>
  <c r="K498" i="7"/>
  <c r="K497" i="7"/>
  <c r="K496" i="7"/>
  <c r="K495" i="7"/>
  <c r="K494" i="7"/>
  <c r="K492" i="7"/>
  <c r="K491" i="7"/>
  <c r="K490" i="7"/>
  <c r="K489" i="7"/>
  <c r="K488" i="7"/>
  <c r="K487" i="7"/>
  <c r="K485" i="7"/>
  <c r="K483" i="7"/>
  <c r="K482" i="7"/>
  <c r="K481" i="7"/>
  <c r="K480" i="7"/>
  <c r="K479" i="7"/>
  <c r="K477" i="7"/>
  <c r="K475" i="7"/>
  <c r="K474" i="7"/>
  <c r="K473" i="7"/>
  <c r="K472" i="7"/>
  <c r="K470" i="7"/>
  <c r="K469" i="7"/>
  <c r="K468" i="7"/>
  <c r="K467" i="7"/>
  <c r="K466" i="7"/>
  <c r="K465" i="7"/>
  <c r="K464" i="7"/>
  <c r="K463" i="7"/>
  <c r="K462" i="7"/>
  <c r="K461" i="7"/>
  <c r="K459" i="7"/>
  <c r="K458" i="7"/>
  <c r="K457" i="7"/>
  <c r="K456" i="7"/>
  <c r="K455" i="7"/>
  <c r="K454" i="7"/>
  <c r="K453" i="7"/>
  <c r="K452" i="7"/>
  <c r="K450" i="7"/>
  <c r="K449" i="7"/>
  <c r="K448" i="7"/>
  <c r="K447" i="7"/>
  <c r="K446" i="7"/>
  <c r="K445" i="7"/>
  <c r="K443" i="7"/>
  <c r="K442" i="7"/>
  <c r="K441" i="7"/>
  <c r="K440" i="7"/>
  <c r="K439" i="7"/>
  <c r="K438" i="7"/>
  <c r="K436" i="7"/>
  <c r="K435" i="7"/>
  <c r="K434" i="7"/>
  <c r="K433" i="7"/>
  <c r="K432" i="7"/>
  <c r="K431" i="7"/>
  <c r="K429" i="7"/>
  <c r="K428" i="7"/>
  <c r="K427" i="7"/>
  <c r="K426" i="7"/>
  <c r="K425" i="7"/>
  <c r="K424" i="7"/>
  <c r="K423" i="7"/>
  <c r="K421" i="7"/>
  <c r="K420" i="7"/>
  <c r="K419" i="7"/>
  <c r="K418" i="7"/>
  <c r="K416" i="7"/>
  <c r="K415" i="7"/>
  <c r="K414" i="7"/>
  <c r="K413" i="7"/>
  <c r="K412" i="7"/>
  <c r="K410" i="7"/>
  <c r="K409" i="7"/>
  <c r="K408" i="7"/>
  <c r="K407" i="7"/>
  <c r="K406" i="7"/>
  <c r="K404" i="7"/>
  <c r="K403" i="7"/>
  <c r="K402" i="7"/>
  <c r="K401" i="7"/>
  <c r="K400" i="7"/>
  <c r="K399" i="7"/>
  <c r="K398" i="7"/>
  <c r="K392" i="7"/>
  <c r="K391" i="7"/>
  <c r="K390" i="7"/>
  <c r="K389" i="7"/>
  <c r="K387" i="7"/>
  <c r="K386" i="7"/>
  <c r="K385" i="7"/>
  <c r="K384" i="7"/>
  <c r="K383" i="7"/>
  <c r="K382" i="7"/>
  <c r="K381" i="7"/>
  <c r="K380" i="7"/>
  <c r="K379" i="7"/>
  <c r="K378" i="7"/>
  <c r="K376" i="7"/>
  <c r="K375" i="7"/>
  <c r="K374" i="7"/>
  <c r="K373" i="7"/>
  <c r="K372" i="7"/>
  <c r="K371" i="7"/>
  <c r="K370" i="7"/>
  <c r="K369" i="7"/>
  <c r="K368" i="7"/>
  <c r="K366" i="7"/>
  <c r="K365" i="7"/>
  <c r="K364" i="7"/>
  <c r="K363" i="7"/>
  <c r="K362" i="7"/>
  <c r="K361" i="7"/>
  <c r="K359" i="7"/>
  <c r="K358" i="7"/>
  <c r="K357" i="7"/>
  <c r="K356" i="7"/>
  <c r="K355" i="7"/>
  <c r="K354" i="7"/>
  <c r="K352" i="7"/>
  <c r="K351" i="7"/>
  <c r="K350" i="7"/>
  <c r="K349" i="7"/>
  <c r="K347" i="7"/>
  <c r="K346" i="7"/>
  <c r="K345" i="7"/>
  <c r="K343" i="7"/>
  <c r="K342" i="7"/>
  <c r="K341" i="7"/>
  <c r="K340" i="7"/>
  <c r="K339" i="7"/>
  <c r="K338" i="7"/>
  <c r="K337" i="7"/>
  <c r="K336" i="7"/>
  <c r="K334" i="7"/>
  <c r="K333" i="7"/>
  <c r="K332" i="7"/>
  <c r="K331" i="7"/>
  <c r="K330" i="7"/>
  <c r="K329" i="7"/>
  <c r="K328" i="7"/>
  <c r="K327" i="7"/>
  <c r="K326" i="7"/>
  <c r="K324" i="7"/>
  <c r="K323" i="7"/>
  <c r="K322" i="7"/>
  <c r="K321" i="7"/>
  <c r="K320" i="7"/>
  <c r="K319" i="7"/>
  <c r="K318" i="7"/>
  <c r="K317" i="7"/>
  <c r="K315" i="7"/>
  <c r="K314" i="7"/>
  <c r="K313" i="7"/>
  <c r="K312" i="7"/>
  <c r="K310" i="7"/>
  <c r="K309" i="7"/>
  <c r="K308" i="7"/>
  <c r="K307" i="7"/>
  <c r="K305" i="7"/>
  <c r="K304" i="7"/>
  <c r="K303" i="7"/>
  <c r="K302" i="7"/>
  <c r="K301" i="7"/>
  <c r="K300" i="7"/>
  <c r="K298" i="7"/>
  <c r="K297" i="7"/>
  <c r="K296" i="7"/>
  <c r="K295" i="7"/>
  <c r="K294" i="7"/>
  <c r="K293" i="7"/>
  <c r="K292" i="7"/>
  <c r="K291" i="7"/>
  <c r="K289" i="7"/>
  <c r="K288" i="7"/>
  <c r="K287" i="7"/>
  <c r="K286" i="7"/>
  <c r="K285" i="7"/>
  <c r="K284" i="7"/>
  <c r="K282" i="7"/>
  <c r="K281" i="7"/>
  <c r="K280" i="7"/>
  <c r="K279" i="7"/>
  <c r="K277" i="7"/>
  <c r="K276" i="7"/>
  <c r="K275" i="7"/>
  <c r="K274" i="7"/>
  <c r="K272" i="7"/>
  <c r="K271" i="7"/>
  <c r="K270" i="7"/>
  <c r="K269" i="7"/>
  <c r="K268" i="7"/>
  <c r="K267" i="7"/>
  <c r="K266" i="7"/>
  <c r="K265" i="7"/>
  <c r="K264" i="7"/>
  <c r="K263" i="7"/>
  <c r="K261" i="7"/>
  <c r="K260" i="7"/>
  <c r="K259" i="7"/>
  <c r="K258" i="7"/>
  <c r="K257" i="7"/>
  <c r="K256" i="7"/>
  <c r="K255" i="7"/>
  <c r="K254" i="7"/>
  <c r="K253" i="7"/>
  <c r="K252" i="7"/>
  <c r="K250" i="7"/>
  <c r="K249" i="7"/>
  <c r="K248" i="7"/>
  <c r="K247" i="7"/>
  <c r="K246" i="7"/>
  <c r="K245" i="7"/>
  <c r="K243" i="7"/>
  <c r="K242" i="7"/>
  <c r="K241" i="7"/>
  <c r="K240" i="7"/>
  <c r="K239" i="7"/>
  <c r="K238" i="7"/>
  <c r="K237" i="7"/>
  <c r="K236" i="7"/>
  <c r="K235" i="7"/>
  <c r="K234" i="7"/>
  <c r="K232" i="7"/>
  <c r="K231" i="7"/>
  <c r="K230" i="7"/>
  <c r="K229" i="7"/>
  <c r="K228" i="7"/>
  <c r="K227" i="7"/>
  <c r="K226" i="7"/>
  <c r="K225" i="7"/>
  <c r="K224" i="7"/>
  <c r="K223" i="7"/>
  <c r="K221" i="7"/>
  <c r="K220" i="7"/>
  <c r="K219" i="7"/>
  <c r="K218" i="7"/>
  <c r="K217" i="7"/>
  <c r="K216" i="7"/>
  <c r="K215" i="7"/>
  <c r="K214" i="7"/>
  <c r="K213" i="7"/>
  <c r="K212" i="7"/>
  <c r="K210" i="7"/>
  <c r="K209" i="7"/>
  <c r="K208" i="7"/>
  <c r="K207" i="7"/>
  <c r="K206" i="7"/>
  <c r="K205" i="7"/>
  <c r="K204" i="7"/>
  <c r="K203" i="7"/>
  <c r="K202" i="7"/>
  <c r="K201" i="7"/>
  <c r="K199" i="7"/>
  <c r="K198" i="7"/>
  <c r="K197" i="7"/>
  <c r="K196" i="7"/>
  <c r="K195" i="7"/>
  <c r="K194" i="7"/>
  <c r="K193" i="7"/>
  <c r="K192" i="7"/>
  <c r="K191" i="7"/>
  <c r="K190" i="7"/>
  <c r="K188" i="7"/>
  <c r="K187" i="7"/>
  <c r="K186" i="7"/>
  <c r="K185" i="7"/>
  <c r="K184" i="7"/>
  <c r="K183" i="7"/>
  <c r="K181" i="7"/>
  <c r="K180" i="7"/>
  <c r="K179" i="7"/>
  <c r="K178" i="7"/>
  <c r="K176" i="7"/>
  <c r="K175" i="7"/>
  <c r="K174" i="7"/>
  <c r="K173" i="7"/>
  <c r="K171" i="7"/>
  <c r="K170" i="7"/>
  <c r="K169" i="7"/>
  <c r="K168" i="7"/>
  <c r="K166" i="7"/>
  <c r="K165" i="7"/>
  <c r="K164" i="7"/>
  <c r="K163" i="7"/>
  <c r="K161" i="7"/>
  <c r="K160" i="7"/>
  <c r="K159" i="7"/>
  <c r="K158" i="7"/>
  <c r="K156" i="7"/>
  <c r="K155" i="7"/>
  <c r="K154" i="7"/>
  <c r="K153" i="7"/>
  <c r="K152" i="7"/>
  <c r="K151" i="7"/>
  <c r="K150" i="7"/>
  <c r="K148" i="7"/>
  <c r="K147" i="7"/>
  <c r="K146" i="7"/>
  <c r="K145" i="7"/>
  <c r="K143" i="7"/>
  <c r="K142" i="7"/>
  <c r="K141" i="7"/>
  <c r="K140" i="7"/>
  <c r="K139" i="7"/>
  <c r="K138" i="7"/>
  <c r="K137" i="7"/>
  <c r="K136" i="7"/>
  <c r="K135" i="7"/>
  <c r="K133" i="7"/>
  <c r="K132" i="7"/>
  <c r="K130" i="7"/>
  <c r="K129" i="7"/>
  <c r="K128" i="7"/>
  <c r="K127" i="7"/>
  <c r="K126" i="7"/>
  <c r="K125" i="7"/>
  <c r="K124" i="7"/>
  <c r="K123" i="7"/>
  <c r="K122" i="7"/>
  <c r="K121" i="7"/>
  <c r="K119" i="7"/>
  <c r="K118" i="7"/>
  <c r="K117" i="7"/>
  <c r="K116" i="7"/>
  <c r="K114" i="7"/>
  <c r="K113" i="7"/>
  <c r="K112" i="7"/>
  <c r="K111" i="7"/>
  <c r="K109" i="7"/>
  <c r="K108" i="7"/>
  <c r="K107" i="7"/>
  <c r="K106" i="7"/>
  <c r="K104" i="7"/>
  <c r="K103" i="7"/>
  <c r="K102" i="7"/>
  <c r="K101" i="7"/>
  <c r="K100" i="7"/>
  <c r="K98" i="7"/>
  <c r="K97" i="7"/>
  <c r="K96" i="7"/>
  <c r="K95" i="7"/>
  <c r="K94" i="7"/>
  <c r="K92" i="7"/>
  <c r="K91" i="7"/>
  <c r="K90" i="7"/>
  <c r="K89" i="7"/>
  <c r="K87" i="7"/>
  <c r="K86" i="7"/>
  <c r="K85" i="7"/>
  <c r="K84" i="7"/>
  <c r="K83" i="7"/>
  <c r="K82" i="7"/>
  <c r="K81" i="7"/>
  <c r="K80" i="7"/>
  <c r="K78" i="7"/>
  <c r="K77" i="7"/>
  <c r="K76" i="7"/>
  <c r="K75" i="7"/>
  <c r="K74" i="7"/>
  <c r="K73" i="7"/>
  <c r="K72" i="7"/>
  <c r="K71" i="7"/>
  <c r="K70" i="7"/>
  <c r="K69" i="7"/>
  <c r="K67" i="7"/>
  <c r="K66" i="7"/>
  <c r="K65" i="7"/>
  <c r="K64" i="7"/>
  <c r="K63" i="7"/>
  <c r="K62" i="7"/>
  <c r="K61" i="7"/>
  <c r="K60" i="7"/>
  <c r="K58" i="7"/>
  <c r="K57" i="7"/>
  <c r="K56" i="7"/>
  <c r="K55" i="7"/>
  <c r="K53" i="7"/>
  <c r="K52" i="7"/>
  <c r="K51" i="7"/>
  <c r="K50" i="7"/>
  <c r="K49" i="7"/>
  <c r="K48" i="7"/>
  <c r="K47" i="7"/>
  <c r="K46" i="7"/>
  <c r="K45" i="7"/>
  <c r="K44" i="7"/>
  <c r="K42" i="7"/>
  <c r="K41" i="7"/>
  <c r="K40" i="7"/>
  <c r="K39" i="7"/>
  <c r="K38" i="7"/>
  <c r="K37" i="7"/>
  <c r="K36" i="7"/>
  <c r="K34" i="7"/>
  <c r="K33" i="7"/>
  <c r="K32" i="7"/>
  <c r="K31" i="7"/>
  <c r="K29" i="7"/>
  <c r="K28" i="7"/>
  <c r="K27" i="7"/>
  <c r="K26" i="7"/>
  <c r="K25" i="7"/>
  <c r="K24" i="7"/>
  <c r="K23" i="7"/>
  <c r="K21" i="7"/>
  <c r="K20" i="7"/>
  <c r="K19" i="7"/>
  <c r="K18" i="7"/>
  <c r="K16" i="7"/>
  <c r="K15" i="7"/>
  <c r="K14" i="7"/>
  <c r="K13" i="7"/>
  <c r="K12" i="7"/>
  <c r="K11" i="7"/>
  <c r="K9" i="7"/>
  <c r="K8" i="7"/>
  <c r="K7" i="7"/>
  <c r="K6" i="7"/>
  <c r="K5" i="7"/>
  <c r="K4" i="7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J1186" i="5"/>
  <c r="B1186" i="5"/>
  <c r="J1185" i="5"/>
  <c r="B1185" i="5"/>
  <c r="J1184" i="5"/>
  <c r="B1184" i="5"/>
  <c r="J1183" i="5"/>
  <c r="B1183" i="5"/>
  <c r="J1182" i="5"/>
  <c r="B1182" i="5"/>
  <c r="B1181" i="5"/>
  <c r="J1180" i="5"/>
  <c r="B1180" i="5"/>
  <c r="J1179" i="5"/>
  <c r="B1179" i="5"/>
  <c r="J1178" i="5"/>
  <c r="B1178" i="5"/>
  <c r="B1177" i="5"/>
  <c r="B1176" i="5"/>
  <c r="J1175" i="5"/>
  <c r="B1175" i="5"/>
  <c r="J1174" i="5"/>
  <c r="B1174" i="5"/>
  <c r="J1173" i="5"/>
  <c r="B1173" i="5"/>
  <c r="B1172" i="5"/>
  <c r="B1171" i="5"/>
  <c r="J1170" i="5"/>
  <c r="B1170" i="5"/>
  <c r="B1169" i="5"/>
  <c r="B1168" i="5"/>
  <c r="B1167" i="5"/>
  <c r="B1166" i="5"/>
  <c r="B1165" i="5"/>
  <c r="B1164" i="5"/>
  <c r="B1163" i="5"/>
  <c r="B1162" i="5"/>
  <c r="B1160" i="5"/>
  <c r="B1159" i="5"/>
  <c r="B1158" i="5"/>
  <c r="B1157" i="5"/>
  <c r="B1156" i="5"/>
  <c r="B1155" i="5"/>
  <c r="B1154" i="5"/>
  <c r="B1153" i="5"/>
  <c r="B1152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7" i="5"/>
  <c r="B1035" i="5"/>
  <c r="B1033" i="5"/>
  <c r="B1031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8" i="5"/>
  <c r="B777" i="5"/>
  <c r="B775" i="5"/>
  <c r="B773" i="5"/>
  <c r="B772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6" i="5"/>
  <c r="B519" i="5"/>
  <c r="B516" i="5"/>
  <c r="B515" i="5"/>
  <c r="B514" i="5"/>
  <c r="B513" i="5"/>
  <c r="B512" i="5"/>
  <c r="B511" i="5"/>
  <c r="B509" i="5"/>
  <c r="B508" i="5"/>
  <c r="B482" i="5"/>
  <c r="B481" i="5"/>
  <c r="B480" i="5"/>
  <c r="B479" i="5"/>
  <c r="B357" i="5"/>
  <c r="B316" i="5"/>
  <c r="B286" i="5"/>
  <c r="B285" i="5"/>
  <c r="B284" i="5"/>
  <c r="B283" i="5"/>
  <c r="B282" i="5"/>
  <c r="B281" i="5"/>
  <c r="B280" i="5"/>
  <c r="B279" i="5"/>
  <c r="B268" i="5"/>
  <c r="B267" i="5"/>
  <c r="B266" i="5"/>
  <c r="B265" i="5"/>
  <c r="B264" i="5"/>
  <c r="B263" i="5"/>
  <c r="B262" i="5"/>
  <c r="B243" i="5"/>
  <c r="B242" i="5"/>
  <c r="B171" i="5"/>
  <c r="B170" i="5"/>
  <c r="B169" i="5"/>
  <c r="H1009" i="1"/>
  <c r="E1009" i="1"/>
  <c r="S1008" i="1"/>
  <c r="H1008" i="1"/>
  <c r="E1008" i="1"/>
  <c r="S1007" i="1"/>
  <c r="H1007" i="1"/>
  <c r="E1007" i="1"/>
  <c r="H1006" i="1"/>
  <c r="E1006" i="1"/>
  <c r="S1005" i="1"/>
  <c r="E1005" i="1"/>
  <c r="S1004" i="1"/>
  <c r="E1004" i="1"/>
  <c r="S1003" i="1"/>
  <c r="H1003" i="1"/>
  <c r="E1003" i="1"/>
  <c r="H1002" i="1"/>
  <c r="E1002" i="1"/>
  <c r="S1001" i="1"/>
  <c r="H1001" i="1"/>
  <c r="E1001" i="1"/>
  <c r="S1000" i="1"/>
  <c r="H1000" i="1"/>
  <c r="E1000" i="1"/>
  <c r="S999" i="1"/>
  <c r="H999" i="1"/>
  <c r="E999" i="1"/>
  <c r="S998" i="1"/>
  <c r="H998" i="1"/>
  <c r="E998" i="1"/>
  <c r="S997" i="1"/>
  <c r="H997" i="1"/>
  <c r="E997" i="1"/>
  <c r="S996" i="1"/>
  <c r="H996" i="1"/>
  <c r="E996" i="1"/>
  <c r="S995" i="1"/>
  <c r="H995" i="1"/>
  <c r="E995" i="1"/>
  <c r="S994" i="1"/>
  <c r="H994" i="1"/>
  <c r="E994" i="1"/>
  <c r="S993" i="1"/>
  <c r="E993" i="1"/>
  <c r="S992" i="1"/>
  <c r="H992" i="1"/>
  <c r="E992" i="1"/>
  <c r="S991" i="1"/>
  <c r="H991" i="1"/>
  <c r="E991" i="1"/>
  <c r="S990" i="1"/>
  <c r="E990" i="1"/>
  <c r="H989" i="1"/>
  <c r="E989" i="1"/>
  <c r="S988" i="1"/>
  <c r="E988" i="1"/>
  <c r="S987" i="1"/>
  <c r="S986" i="1"/>
  <c r="H986" i="1"/>
  <c r="E986" i="1"/>
  <c r="S985" i="1"/>
  <c r="H985" i="1"/>
  <c r="E985" i="1"/>
  <c r="S984" i="1"/>
  <c r="H984" i="1"/>
  <c r="E984" i="1"/>
  <c r="H983" i="1"/>
  <c r="E983" i="1"/>
  <c r="H982" i="1"/>
  <c r="E982" i="1"/>
  <c r="S981" i="1"/>
  <c r="H981" i="1"/>
  <c r="E981" i="1"/>
  <c r="S980" i="1"/>
  <c r="H980" i="1"/>
  <c r="E980" i="1"/>
  <c r="S979" i="1"/>
  <c r="H979" i="1"/>
  <c r="E979" i="1"/>
  <c r="V978" i="1"/>
  <c r="S978" i="1"/>
  <c r="H978" i="1"/>
  <c r="E978" i="1"/>
  <c r="V977" i="1"/>
  <c r="S977" i="1"/>
  <c r="H977" i="1"/>
  <c r="E977" i="1"/>
  <c r="V976" i="1"/>
  <c r="S976" i="1"/>
  <c r="H976" i="1"/>
  <c r="E976" i="1"/>
  <c r="V975" i="1"/>
  <c r="S975" i="1"/>
  <c r="H975" i="1"/>
  <c r="E975" i="1"/>
  <c r="V974" i="1"/>
  <c r="S974" i="1"/>
  <c r="H974" i="1"/>
  <c r="V973" i="1"/>
  <c r="S973" i="1"/>
  <c r="H973" i="1"/>
  <c r="V972" i="1"/>
  <c r="S972" i="1"/>
  <c r="H972" i="1"/>
  <c r="E972" i="1"/>
  <c r="V971" i="1"/>
  <c r="S971" i="1"/>
  <c r="H971" i="1"/>
  <c r="E971" i="1"/>
  <c r="V970" i="1"/>
  <c r="S970" i="1"/>
  <c r="H970" i="1"/>
  <c r="E970" i="1"/>
  <c r="S969" i="1"/>
  <c r="H969" i="1"/>
  <c r="E969" i="1"/>
  <c r="V968" i="1"/>
  <c r="S968" i="1"/>
  <c r="H968" i="1"/>
  <c r="E968" i="1"/>
  <c r="V967" i="1"/>
  <c r="S967" i="1"/>
  <c r="H967" i="1"/>
  <c r="E967" i="1"/>
  <c r="V966" i="1"/>
  <c r="S966" i="1"/>
  <c r="H966" i="1"/>
  <c r="E966" i="1"/>
  <c r="V965" i="1"/>
  <c r="S965" i="1"/>
  <c r="H965" i="1"/>
  <c r="E965" i="1"/>
  <c r="S964" i="1"/>
  <c r="H964" i="1"/>
  <c r="E964" i="1"/>
  <c r="V963" i="1"/>
  <c r="S963" i="1"/>
  <c r="H963" i="1"/>
  <c r="E963" i="1"/>
  <c r="V962" i="1"/>
  <c r="S962" i="1"/>
  <c r="H962" i="1"/>
  <c r="E962" i="1"/>
  <c r="V961" i="1"/>
  <c r="S961" i="1"/>
  <c r="H961" i="1"/>
  <c r="E961" i="1"/>
  <c r="V960" i="1"/>
  <c r="S960" i="1"/>
  <c r="H960" i="1"/>
  <c r="E960" i="1"/>
  <c r="V959" i="1"/>
  <c r="S959" i="1"/>
  <c r="H959" i="1"/>
  <c r="E959" i="1"/>
  <c r="V958" i="1"/>
  <c r="S958" i="1"/>
  <c r="H958" i="1"/>
  <c r="E958" i="1"/>
  <c r="V957" i="1"/>
  <c r="S957" i="1"/>
  <c r="H957" i="1"/>
  <c r="E957" i="1"/>
  <c r="V956" i="1"/>
  <c r="S956" i="1"/>
  <c r="H956" i="1"/>
  <c r="E956" i="1"/>
  <c r="V955" i="1"/>
  <c r="S955" i="1"/>
  <c r="H955" i="1"/>
  <c r="E955" i="1"/>
  <c r="V954" i="1"/>
  <c r="S954" i="1"/>
  <c r="H954" i="1"/>
  <c r="E954" i="1"/>
  <c r="V953" i="1"/>
  <c r="S953" i="1"/>
  <c r="H953" i="1"/>
  <c r="E953" i="1"/>
  <c r="V952" i="1"/>
  <c r="S952" i="1"/>
  <c r="V951" i="1"/>
  <c r="S951" i="1"/>
  <c r="V950" i="1"/>
  <c r="S950" i="1"/>
  <c r="V949" i="1"/>
  <c r="S949" i="1"/>
  <c r="H949" i="1"/>
  <c r="E949" i="1"/>
  <c r="V948" i="1"/>
  <c r="S948" i="1"/>
  <c r="H948" i="1"/>
  <c r="E948" i="1"/>
  <c r="V947" i="1"/>
  <c r="S947" i="1"/>
  <c r="H947" i="1"/>
  <c r="E947" i="1"/>
  <c r="V946" i="1"/>
  <c r="S946" i="1"/>
  <c r="H946" i="1"/>
  <c r="E946" i="1"/>
  <c r="V945" i="1"/>
  <c r="S945" i="1"/>
  <c r="H945" i="1"/>
  <c r="E945" i="1"/>
  <c r="V944" i="1"/>
  <c r="S944" i="1"/>
  <c r="H944" i="1"/>
  <c r="E944" i="1"/>
  <c r="V943" i="1"/>
  <c r="S943" i="1"/>
  <c r="V942" i="1"/>
  <c r="S942" i="1"/>
  <c r="H942" i="1"/>
  <c r="E942" i="1"/>
  <c r="V941" i="1"/>
  <c r="S941" i="1"/>
  <c r="H941" i="1"/>
  <c r="E941" i="1"/>
  <c r="V940" i="1"/>
  <c r="S940" i="1"/>
  <c r="H940" i="1"/>
  <c r="E940" i="1"/>
  <c r="V939" i="1"/>
  <c r="S939" i="1"/>
  <c r="E939" i="1"/>
  <c r="V938" i="1"/>
  <c r="S938" i="1"/>
  <c r="H938" i="1"/>
  <c r="E938" i="1"/>
  <c r="V937" i="1"/>
  <c r="S937" i="1"/>
  <c r="H937" i="1"/>
  <c r="E937" i="1"/>
  <c r="V936" i="1"/>
  <c r="S936" i="1"/>
  <c r="H936" i="1"/>
  <c r="E936" i="1"/>
  <c r="V935" i="1"/>
  <c r="S935" i="1"/>
  <c r="H935" i="1"/>
  <c r="E935" i="1"/>
  <c r="V934" i="1"/>
  <c r="S934" i="1"/>
  <c r="H934" i="1"/>
  <c r="E934" i="1"/>
  <c r="V933" i="1"/>
  <c r="S933" i="1"/>
  <c r="H933" i="1"/>
  <c r="E933" i="1"/>
  <c r="S932" i="1"/>
  <c r="H932" i="1"/>
  <c r="E932" i="1"/>
  <c r="S931" i="1"/>
  <c r="E931" i="1"/>
  <c r="S930" i="1"/>
  <c r="E930" i="1"/>
  <c r="S929" i="1"/>
  <c r="H929" i="1"/>
  <c r="E929" i="1"/>
  <c r="V928" i="1"/>
  <c r="S928" i="1"/>
  <c r="H928" i="1"/>
  <c r="E928" i="1"/>
  <c r="V927" i="1"/>
  <c r="S927" i="1"/>
  <c r="H927" i="1"/>
  <c r="E927" i="1"/>
  <c r="V926" i="1"/>
  <c r="S926" i="1"/>
  <c r="H926" i="1"/>
  <c r="E926" i="1"/>
  <c r="V925" i="1"/>
  <c r="S925" i="1"/>
  <c r="H925" i="1"/>
  <c r="E925" i="1"/>
  <c r="V924" i="1"/>
  <c r="S924" i="1"/>
  <c r="H924" i="1"/>
  <c r="E924" i="1"/>
  <c r="V923" i="1"/>
  <c r="S923" i="1"/>
  <c r="H923" i="1"/>
  <c r="E923" i="1"/>
  <c r="V922" i="1"/>
  <c r="S922" i="1"/>
  <c r="H922" i="1"/>
  <c r="E922" i="1"/>
  <c r="V921" i="1"/>
  <c r="S921" i="1"/>
  <c r="H921" i="1"/>
  <c r="E921" i="1"/>
  <c r="S920" i="1"/>
  <c r="H920" i="1"/>
  <c r="E920" i="1"/>
  <c r="S919" i="1"/>
  <c r="H919" i="1"/>
  <c r="E919" i="1"/>
  <c r="S918" i="1"/>
  <c r="H918" i="1"/>
  <c r="E918" i="1"/>
  <c r="S917" i="1"/>
  <c r="H917" i="1"/>
  <c r="E917" i="1"/>
  <c r="V916" i="1"/>
  <c r="S916" i="1"/>
  <c r="H916" i="1"/>
  <c r="E916" i="1"/>
  <c r="V915" i="1"/>
  <c r="S915" i="1"/>
  <c r="H915" i="1"/>
  <c r="E915" i="1"/>
  <c r="S914" i="1"/>
  <c r="H914" i="1"/>
  <c r="E914" i="1"/>
  <c r="S913" i="1"/>
  <c r="H913" i="1"/>
  <c r="E913" i="1"/>
  <c r="S912" i="1"/>
  <c r="H912" i="1"/>
  <c r="E912" i="1"/>
  <c r="V911" i="1"/>
  <c r="S911" i="1"/>
  <c r="H911" i="1"/>
  <c r="E911" i="1"/>
  <c r="V910" i="1"/>
  <c r="S910" i="1"/>
  <c r="H910" i="1"/>
  <c r="E910" i="1"/>
  <c r="V909" i="1"/>
  <c r="S909" i="1"/>
  <c r="H909" i="1"/>
  <c r="E909" i="1"/>
  <c r="V908" i="1"/>
  <c r="S908" i="1"/>
  <c r="H908" i="1"/>
  <c r="E908" i="1"/>
  <c r="V907" i="1"/>
  <c r="S907" i="1"/>
  <c r="E907" i="1"/>
  <c r="V906" i="1"/>
  <c r="S906" i="1"/>
  <c r="H906" i="1"/>
  <c r="E906" i="1"/>
  <c r="V905" i="1"/>
  <c r="S905" i="1"/>
  <c r="H905" i="1"/>
  <c r="E905" i="1"/>
  <c r="V904" i="1"/>
  <c r="S904" i="1"/>
  <c r="H904" i="1"/>
  <c r="E904" i="1"/>
  <c r="V903" i="1"/>
  <c r="S903" i="1"/>
  <c r="H903" i="1"/>
  <c r="E903" i="1"/>
  <c r="V902" i="1"/>
  <c r="S902" i="1"/>
  <c r="H902" i="1"/>
  <c r="E902" i="1"/>
  <c r="V901" i="1"/>
  <c r="S901" i="1"/>
  <c r="H901" i="1"/>
  <c r="E901" i="1"/>
  <c r="V900" i="1"/>
  <c r="S900" i="1"/>
  <c r="E900" i="1"/>
  <c r="V899" i="1"/>
  <c r="S899" i="1"/>
  <c r="H899" i="1"/>
  <c r="E899" i="1"/>
  <c r="S898" i="1"/>
  <c r="H898" i="1"/>
  <c r="E898" i="1"/>
  <c r="V897" i="1"/>
  <c r="S897" i="1"/>
  <c r="H897" i="1"/>
  <c r="V896" i="1"/>
  <c r="S896" i="1"/>
  <c r="H896" i="1"/>
  <c r="E896" i="1"/>
  <c r="V895" i="1"/>
  <c r="S895" i="1"/>
  <c r="H895" i="1"/>
  <c r="E895" i="1"/>
  <c r="S894" i="1"/>
  <c r="H894" i="1"/>
  <c r="S893" i="1"/>
  <c r="H893" i="1"/>
  <c r="S892" i="1"/>
  <c r="H892" i="1"/>
  <c r="S891" i="1"/>
  <c r="E891" i="1"/>
  <c r="V890" i="1"/>
  <c r="S890" i="1"/>
  <c r="H890" i="1"/>
  <c r="E890" i="1"/>
  <c r="S889" i="1"/>
  <c r="H889" i="1"/>
  <c r="E889" i="1"/>
  <c r="V888" i="1"/>
  <c r="S888" i="1"/>
  <c r="H888" i="1"/>
  <c r="E888" i="1"/>
  <c r="V887" i="1"/>
  <c r="S887" i="1"/>
  <c r="H887" i="1"/>
  <c r="E887" i="1"/>
  <c r="V886" i="1"/>
  <c r="S886" i="1"/>
  <c r="H886" i="1"/>
  <c r="E886" i="1"/>
  <c r="V885" i="1"/>
  <c r="S885" i="1"/>
  <c r="H885" i="1"/>
  <c r="E885" i="1"/>
  <c r="V884" i="1"/>
  <c r="S884" i="1"/>
  <c r="H884" i="1"/>
  <c r="E884" i="1"/>
  <c r="V883" i="1"/>
  <c r="S883" i="1"/>
  <c r="H883" i="1"/>
  <c r="E883" i="1"/>
  <c r="V882" i="1"/>
  <c r="S882" i="1"/>
  <c r="H882" i="1"/>
  <c r="E882" i="1"/>
  <c r="V881" i="1"/>
  <c r="S881" i="1"/>
  <c r="H881" i="1"/>
  <c r="E881" i="1"/>
  <c r="V880" i="1"/>
  <c r="S880" i="1"/>
  <c r="H880" i="1"/>
  <c r="E880" i="1"/>
  <c r="V879" i="1"/>
  <c r="S879" i="1"/>
  <c r="H879" i="1"/>
  <c r="E879" i="1"/>
  <c r="V878" i="1"/>
  <c r="S878" i="1"/>
  <c r="H878" i="1"/>
  <c r="E878" i="1"/>
  <c r="V877" i="1"/>
  <c r="S877" i="1"/>
  <c r="H877" i="1"/>
  <c r="E877" i="1"/>
  <c r="V876" i="1"/>
  <c r="S876" i="1"/>
  <c r="H876" i="1"/>
  <c r="E876" i="1"/>
  <c r="V875" i="1"/>
  <c r="S875" i="1"/>
  <c r="H875" i="1"/>
  <c r="E875" i="1"/>
  <c r="V874" i="1"/>
  <c r="S874" i="1"/>
  <c r="H874" i="1"/>
  <c r="E874" i="1"/>
  <c r="V873" i="1"/>
  <c r="S873" i="1"/>
  <c r="H873" i="1"/>
  <c r="E873" i="1"/>
  <c r="V872" i="1"/>
  <c r="S872" i="1"/>
  <c r="H872" i="1"/>
  <c r="E872" i="1"/>
  <c r="V871" i="1"/>
  <c r="S871" i="1"/>
  <c r="H871" i="1"/>
  <c r="E871" i="1"/>
  <c r="V870" i="1"/>
  <c r="S870" i="1"/>
  <c r="H870" i="1"/>
  <c r="E870" i="1"/>
  <c r="V869" i="1"/>
  <c r="S869" i="1"/>
  <c r="H869" i="1"/>
  <c r="E869" i="1"/>
  <c r="V868" i="1"/>
  <c r="S868" i="1"/>
  <c r="H868" i="1"/>
  <c r="E868" i="1"/>
  <c r="V867" i="1"/>
  <c r="S867" i="1"/>
  <c r="H867" i="1"/>
  <c r="E867" i="1"/>
  <c r="V866" i="1"/>
  <c r="S866" i="1"/>
  <c r="H866" i="1"/>
  <c r="E866" i="1"/>
  <c r="V865" i="1"/>
  <c r="S865" i="1"/>
  <c r="H865" i="1"/>
  <c r="E865" i="1"/>
  <c r="V864" i="1"/>
  <c r="S864" i="1"/>
  <c r="H864" i="1"/>
  <c r="E864" i="1"/>
  <c r="V863" i="1"/>
  <c r="S863" i="1"/>
  <c r="H863" i="1"/>
  <c r="E863" i="1"/>
  <c r="V862" i="1"/>
  <c r="S862" i="1"/>
  <c r="H862" i="1"/>
  <c r="E862" i="1"/>
  <c r="V861" i="1"/>
  <c r="S861" i="1"/>
  <c r="H861" i="1"/>
  <c r="E861" i="1"/>
  <c r="V860" i="1"/>
  <c r="S860" i="1"/>
  <c r="H860" i="1"/>
  <c r="E860" i="1"/>
  <c r="V859" i="1"/>
  <c r="S859" i="1"/>
  <c r="H859" i="1"/>
  <c r="E859" i="1"/>
  <c r="V858" i="1"/>
  <c r="S858" i="1"/>
  <c r="H858" i="1"/>
  <c r="E858" i="1"/>
  <c r="V857" i="1"/>
  <c r="S857" i="1"/>
  <c r="H857" i="1"/>
  <c r="E857" i="1"/>
  <c r="V856" i="1"/>
  <c r="S856" i="1"/>
  <c r="H856" i="1"/>
  <c r="E856" i="1"/>
  <c r="V855" i="1"/>
  <c r="S855" i="1"/>
  <c r="H855" i="1"/>
  <c r="V854" i="1"/>
  <c r="S854" i="1"/>
  <c r="H854" i="1"/>
  <c r="V853" i="1"/>
  <c r="S853" i="1"/>
  <c r="H853" i="1"/>
  <c r="E853" i="1"/>
  <c r="V852" i="1"/>
  <c r="S852" i="1"/>
  <c r="H852" i="1"/>
  <c r="E852" i="1"/>
  <c r="V851" i="1"/>
  <c r="S851" i="1"/>
  <c r="H851" i="1"/>
  <c r="E851" i="1"/>
  <c r="V850" i="1"/>
  <c r="S850" i="1"/>
  <c r="H850" i="1"/>
  <c r="E850" i="1"/>
  <c r="H849" i="1"/>
  <c r="E849" i="1"/>
  <c r="V848" i="1"/>
  <c r="E848" i="1"/>
  <c r="H847" i="1"/>
  <c r="E847" i="1"/>
  <c r="V846" i="1"/>
  <c r="H846" i="1"/>
  <c r="E846" i="1"/>
  <c r="H845" i="1"/>
  <c r="E845" i="1"/>
  <c r="S844" i="1"/>
  <c r="H844" i="1"/>
  <c r="V843" i="1"/>
  <c r="S843" i="1"/>
  <c r="H843" i="1"/>
  <c r="E843" i="1"/>
  <c r="V842" i="1"/>
  <c r="S842" i="1"/>
  <c r="H842" i="1"/>
  <c r="E842" i="1"/>
  <c r="V841" i="1"/>
  <c r="S841" i="1"/>
  <c r="H841" i="1"/>
  <c r="E841" i="1"/>
  <c r="V840" i="1"/>
  <c r="S840" i="1"/>
  <c r="H840" i="1"/>
  <c r="E840" i="1"/>
  <c r="V839" i="1"/>
  <c r="S839" i="1"/>
  <c r="H839" i="1"/>
  <c r="E839" i="1"/>
  <c r="V838" i="1"/>
  <c r="S838" i="1"/>
  <c r="H838" i="1"/>
  <c r="E838" i="1"/>
  <c r="V837" i="1"/>
  <c r="S837" i="1"/>
  <c r="H837" i="1"/>
  <c r="E837" i="1"/>
  <c r="S836" i="1"/>
  <c r="H836" i="1"/>
  <c r="E836" i="1"/>
  <c r="S835" i="1"/>
  <c r="H835" i="1"/>
  <c r="E835" i="1"/>
  <c r="S834" i="1"/>
  <c r="H834" i="1"/>
  <c r="E834" i="1"/>
  <c r="S833" i="1"/>
  <c r="S832" i="1"/>
  <c r="V831" i="1"/>
  <c r="S831" i="1"/>
  <c r="S830" i="1"/>
  <c r="H830" i="1"/>
  <c r="E830" i="1"/>
  <c r="S829" i="1"/>
  <c r="H829" i="1"/>
  <c r="E829" i="1"/>
  <c r="S828" i="1"/>
  <c r="H828" i="1"/>
  <c r="E828" i="1"/>
  <c r="S827" i="1"/>
  <c r="H827" i="1"/>
  <c r="E827" i="1"/>
  <c r="S826" i="1"/>
  <c r="H826" i="1"/>
  <c r="E826" i="1"/>
  <c r="S825" i="1"/>
  <c r="H825" i="1"/>
  <c r="E825" i="1"/>
  <c r="V824" i="1"/>
  <c r="S824" i="1"/>
  <c r="H824" i="1"/>
  <c r="E824" i="1"/>
  <c r="S823" i="1"/>
  <c r="E823" i="1"/>
  <c r="S822" i="1"/>
  <c r="H822" i="1"/>
  <c r="E822" i="1"/>
  <c r="V821" i="1"/>
  <c r="S821" i="1"/>
  <c r="H821" i="1"/>
  <c r="E821" i="1"/>
  <c r="S820" i="1"/>
  <c r="H820" i="1"/>
  <c r="E820" i="1"/>
  <c r="S819" i="1"/>
  <c r="H819" i="1"/>
  <c r="E819" i="1"/>
  <c r="S818" i="1"/>
  <c r="H818" i="1"/>
  <c r="E818" i="1"/>
  <c r="V817" i="1"/>
  <c r="S817" i="1"/>
  <c r="H817" i="1"/>
  <c r="E817" i="1"/>
  <c r="V816" i="1"/>
  <c r="S816" i="1"/>
  <c r="H816" i="1"/>
  <c r="E816" i="1"/>
  <c r="V815" i="1"/>
  <c r="S815" i="1"/>
  <c r="E815" i="1"/>
  <c r="S814" i="1"/>
  <c r="S813" i="1"/>
  <c r="S812" i="1"/>
  <c r="H812" i="1"/>
  <c r="E812" i="1"/>
  <c r="S811" i="1"/>
  <c r="H811" i="1"/>
  <c r="E811" i="1"/>
  <c r="S810" i="1"/>
  <c r="V809" i="1"/>
  <c r="S809" i="1"/>
  <c r="E809" i="1"/>
  <c r="S808" i="1"/>
  <c r="E808" i="1"/>
  <c r="S807" i="1"/>
  <c r="E807" i="1"/>
  <c r="V806" i="1"/>
  <c r="S806" i="1"/>
  <c r="H806" i="1"/>
  <c r="E806" i="1"/>
  <c r="S805" i="1"/>
  <c r="H805" i="1"/>
  <c r="E805" i="1"/>
  <c r="V804" i="1"/>
  <c r="S804" i="1"/>
  <c r="H804" i="1"/>
  <c r="E804" i="1"/>
  <c r="V803" i="1"/>
  <c r="S803" i="1"/>
  <c r="H803" i="1"/>
  <c r="E803" i="1"/>
  <c r="V802" i="1"/>
  <c r="S802" i="1"/>
  <c r="H802" i="1"/>
  <c r="E802" i="1"/>
  <c r="V801" i="1"/>
  <c r="S801" i="1"/>
  <c r="H801" i="1"/>
  <c r="E801" i="1"/>
  <c r="V800" i="1"/>
  <c r="S800" i="1"/>
  <c r="H800" i="1"/>
  <c r="E800" i="1"/>
  <c r="V799" i="1"/>
  <c r="S799" i="1"/>
  <c r="H799" i="1"/>
  <c r="E799" i="1"/>
  <c r="V798" i="1"/>
  <c r="S798" i="1"/>
  <c r="H798" i="1"/>
  <c r="E798" i="1"/>
  <c r="V797" i="1"/>
  <c r="S797" i="1"/>
  <c r="H797" i="1"/>
  <c r="E797" i="1"/>
  <c r="V796" i="1"/>
  <c r="H796" i="1"/>
  <c r="E796" i="1"/>
  <c r="V795" i="1"/>
  <c r="H795" i="1"/>
  <c r="E795" i="1"/>
  <c r="V794" i="1"/>
  <c r="S794" i="1"/>
  <c r="H794" i="1"/>
  <c r="E794" i="1"/>
  <c r="V793" i="1"/>
  <c r="S793" i="1"/>
  <c r="H793" i="1"/>
  <c r="E793" i="1"/>
  <c r="V792" i="1"/>
  <c r="S792" i="1"/>
  <c r="H792" i="1"/>
  <c r="E792" i="1"/>
  <c r="V791" i="1"/>
  <c r="S791" i="1"/>
  <c r="H791" i="1"/>
  <c r="E791" i="1"/>
  <c r="V790" i="1"/>
  <c r="S790" i="1"/>
  <c r="H790" i="1"/>
  <c r="E790" i="1"/>
  <c r="V789" i="1"/>
  <c r="S789" i="1"/>
  <c r="H789" i="1"/>
  <c r="E789" i="1"/>
  <c r="V788" i="1"/>
  <c r="S788" i="1"/>
  <c r="V787" i="1"/>
  <c r="S787" i="1"/>
  <c r="H787" i="1"/>
  <c r="E787" i="1"/>
  <c r="V786" i="1"/>
  <c r="S786" i="1"/>
  <c r="H786" i="1"/>
  <c r="E786" i="1"/>
  <c r="V785" i="1"/>
  <c r="S785" i="1"/>
  <c r="H785" i="1"/>
  <c r="E785" i="1"/>
  <c r="V784" i="1"/>
  <c r="S784" i="1"/>
  <c r="H784" i="1"/>
  <c r="E784" i="1"/>
  <c r="S783" i="1"/>
  <c r="H783" i="1"/>
  <c r="E783" i="1"/>
  <c r="V782" i="1"/>
  <c r="S782" i="1"/>
  <c r="H782" i="1"/>
  <c r="E782" i="1"/>
  <c r="S781" i="1"/>
  <c r="H781" i="1"/>
  <c r="E781" i="1"/>
  <c r="S780" i="1"/>
  <c r="H780" i="1"/>
  <c r="E780" i="1"/>
  <c r="V779" i="1"/>
  <c r="S779" i="1"/>
  <c r="H779" i="1"/>
  <c r="E779" i="1"/>
  <c r="S778" i="1"/>
  <c r="H778" i="1"/>
  <c r="E778" i="1"/>
  <c r="V777" i="1"/>
  <c r="S777" i="1"/>
  <c r="H777" i="1"/>
  <c r="E777" i="1"/>
  <c r="S776" i="1"/>
  <c r="H776" i="1"/>
  <c r="E776" i="1"/>
  <c r="V775" i="1"/>
  <c r="S775" i="1"/>
  <c r="H775" i="1"/>
  <c r="E775" i="1"/>
  <c r="V774" i="1"/>
  <c r="S774" i="1"/>
  <c r="H774" i="1"/>
  <c r="E774" i="1"/>
  <c r="V773" i="1"/>
  <c r="S773" i="1"/>
  <c r="H773" i="1"/>
  <c r="V772" i="1"/>
  <c r="S772" i="1"/>
  <c r="H772" i="1"/>
  <c r="E772" i="1"/>
  <c r="V771" i="1"/>
  <c r="S771" i="1"/>
  <c r="E771" i="1"/>
  <c r="V770" i="1"/>
  <c r="S770" i="1"/>
  <c r="E770" i="1"/>
  <c r="V769" i="1"/>
  <c r="S769" i="1"/>
  <c r="E769" i="1"/>
  <c r="V768" i="1"/>
  <c r="S768" i="1"/>
  <c r="H768" i="1"/>
  <c r="E768" i="1"/>
  <c r="V767" i="1"/>
  <c r="S767" i="1"/>
  <c r="H767" i="1"/>
  <c r="E767" i="1"/>
  <c r="S766" i="1"/>
  <c r="H766" i="1"/>
  <c r="E766" i="1"/>
  <c r="V765" i="1"/>
  <c r="S765" i="1"/>
  <c r="H765" i="1"/>
  <c r="E765" i="1"/>
  <c r="V764" i="1"/>
  <c r="S764" i="1"/>
  <c r="H764" i="1"/>
  <c r="E764" i="1"/>
  <c r="V763" i="1"/>
  <c r="S763" i="1"/>
  <c r="H763" i="1"/>
  <c r="E763" i="1"/>
  <c r="V762" i="1"/>
  <c r="S762" i="1"/>
  <c r="V761" i="1"/>
  <c r="S761" i="1"/>
  <c r="H761" i="1"/>
  <c r="E761" i="1"/>
  <c r="V760" i="1"/>
  <c r="S760" i="1"/>
  <c r="H760" i="1"/>
  <c r="E760" i="1"/>
  <c r="V759" i="1"/>
  <c r="S759" i="1"/>
  <c r="H759" i="1"/>
  <c r="E759" i="1"/>
  <c r="V758" i="1"/>
  <c r="S758" i="1"/>
  <c r="H758" i="1"/>
  <c r="E758" i="1"/>
  <c r="V757" i="1"/>
  <c r="S757" i="1"/>
  <c r="H757" i="1"/>
  <c r="E757" i="1"/>
  <c r="V756" i="1"/>
  <c r="S756" i="1"/>
  <c r="H756" i="1"/>
  <c r="E756" i="1"/>
  <c r="V755" i="1"/>
  <c r="S755" i="1"/>
  <c r="H755" i="1"/>
  <c r="E755" i="1"/>
  <c r="V754" i="1"/>
  <c r="S754" i="1"/>
  <c r="H754" i="1"/>
  <c r="E754" i="1"/>
  <c r="V753" i="1"/>
  <c r="S753" i="1"/>
  <c r="H753" i="1"/>
  <c r="E753" i="1"/>
  <c r="V752" i="1"/>
  <c r="S752" i="1"/>
  <c r="H752" i="1"/>
  <c r="E752" i="1"/>
  <c r="V751" i="1"/>
  <c r="S751" i="1"/>
  <c r="H751" i="1"/>
  <c r="E751" i="1"/>
  <c r="V750" i="1"/>
  <c r="S750" i="1"/>
  <c r="H750" i="1"/>
  <c r="E750" i="1"/>
  <c r="V749" i="1"/>
  <c r="S749" i="1"/>
  <c r="E749" i="1"/>
  <c r="V748" i="1"/>
  <c r="S748" i="1"/>
  <c r="H748" i="1"/>
  <c r="E748" i="1"/>
  <c r="V747" i="1"/>
  <c r="S747" i="1"/>
  <c r="E747" i="1"/>
  <c r="S746" i="1"/>
  <c r="S745" i="1"/>
  <c r="V744" i="1"/>
  <c r="V743" i="1"/>
  <c r="S743" i="1"/>
  <c r="V742" i="1"/>
  <c r="S742" i="1"/>
  <c r="V741" i="1"/>
  <c r="S741" i="1"/>
  <c r="V740" i="1"/>
  <c r="S740" i="1"/>
  <c r="S739" i="1"/>
  <c r="H739" i="1"/>
  <c r="E739" i="1"/>
  <c r="S738" i="1"/>
  <c r="H738" i="1"/>
  <c r="E738" i="1"/>
  <c r="S737" i="1"/>
  <c r="H737" i="1"/>
  <c r="E737" i="1"/>
  <c r="S736" i="1"/>
  <c r="H736" i="1"/>
  <c r="E736" i="1"/>
  <c r="S735" i="1"/>
  <c r="H735" i="1"/>
  <c r="E735" i="1"/>
  <c r="S734" i="1"/>
  <c r="H734" i="1"/>
  <c r="E734" i="1"/>
  <c r="S733" i="1"/>
  <c r="H733" i="1"/>
  <c r="E733" i="1"/>
  <c r="S732" i="1"/>
  <c r="H732" i="1"/>
  <c r="E732" i="1"/>
  <c r="S731" i="1"/>
  <c r="S730" i="1"/>
  <c r="H730" i="1"/>
  <c r="E730" i="1"/>
  <c r="V729" i="1"/>
  <c r="S729" i="1"/>
  <c r="H729" i="1"/>
  <c r="E729" i="1"/>
  <c r="V728" i="1"/>
  <c r="S728" i="1"/>
  <c r="H728" i="1"/>
  <c r="E728" i="1"/>
  <c r="V727" i="1"/>
  <c r="S727" i="1"/>
  <c r="H727" i="1"/>
  <c r="E727" i="1"/>
  <c r="V726" i="1"/>
  <c r="S726" i="1"/>
  <c r="H726" i="1"/>
  <c r="E726" i="1"/>
  <c r="V725" i="1"/>
  <c r="S725" i="1"/>
  <c r="H725" i="1"/>
  <c r="E725" i="1"/>
  <c r="V724" i="1"/>
  <c r="S724" i="1"/>
  <c r="H724" i="1"/>
  <c r="E724" i="1"/>
  <c r="V723" i="1"/>
  <c r="S723" i="1"/>
  <c r="H723" i="1"/>
  <c r="E723" i="1"/>
  <c r="V722" i="1"/>
  <c r="S722" i="1"/>
  <c r="H722" i="1"/>
  <c r="E722" i="1"/>
  <c r="V721" i="1"/>
  <c r="S721" i="1"/>
  <c r="H721" i="1"/>
  <c r="E721" i="1"/>
  <c r="V720" i="1"/>
  <c r="S720" i="1"/>
  <c r="H720" i="1"/>
  <c r="E720" i="1"/>
  <c r="V719" i="1"/>
  <c r="S719" i="1"/>
  <c r="H719" i="1"/>
  <c r="E719" i="1"/>
  <c r="V718" i="1"/>
  <c r="S718" i="1"/>
  <c r="H718" i="1"/>
  <c r="E718" i="1"/>
  <c r="V717" i="1"/>
  <c r="S717" i="1"/>
  <c r="H717" i="1"/>
  <c r="E717" i="1"/>
  <c r="V716" i="1"/>
  <c r="S716" i="1"/>
  <c r="H716" i="1"/>
  <c r="E716" i="1"/>
  <c r="V715" i="1"/>
  <c r="S715" i="1"/>
  <c r="H715" i="1"/>
  <c r="E715" i="1"/>
  <c r="V714" i="1"/>
  <c r="S714" i="1"/>
  <c r="H714" i="1"/>
  <c r="E714" i="1"/>
  <c r="V713" i="1"/>
  <c r="S713" i="1"/>
  <c r="H713" i="1"/>
  <c r="E713" i="1"/>
  <c r="V712" i="1"/>
  <c r="S712" i="1"/>
  <c r="H712" i="1"/>
  <c r="E712" i="1"/>
  <c r="V711" i="1"/>
  <c r="S711" i="1"/>
  <c r="H711" i="1"/>
  <c r="E711" i="1"/>
  <c r="V710" i="1"/>
  <c r="S710" i="1"/>
  <c r="H710" i="1"/>
  <c r="E710" i="1"/>
  <c r="V709" i="1"/>
  <c r="S709" i="1"/>
  <c r="H709" i="1"/>
  <c r="E709" i="1"/>
  <c r="V708" i="1"/>
  <c r="S708" i="1"/>
  <c r="H708" i="1"/>
  <c r="E708" i="1"/>
  <c r="V707" i="1"/>
  <c r="S707" i="1"/>
  <c r="H707" i="1"/>
  <c r="E707" i="1"/>
  <c r="V706" i="1"/>
  <c r="S706" i="1"/>
  <c r="H706" i="1"/>
  <c r="E706" i="1"/>
  <c r="V705" i="1"/>
  <c r="S705" i="1"/>
  <c r="H705" i="1"/>
  <c r="E705" i="1"/>
  <c r="V704" i="1"/>
  <c r="S704" i="1"/>
  <c r="H704" i="1"/>
  <c r="E704" i="1"/>
  <c r="V703" i="1"/>
  <c r="S703" i="1"/>
  <c r="H703" i="1"/>
  <c r="E703" i="1"/>
  <c r="V702" i="1"/>
  <c r="S702" i="1"/>
  <c r="H702" i="1"/>
  <c r="E702" i="1"/>
  <c r="V701" i="1"/>
  <c r="S701" i="1"/>
  <c r="H701" i="1"/>
  <c r="E701" i="1"/>
  <c r="V700" i="1"/>
  <c r="S700" i="1"/>
  <c r="E700" i="1"/>
  <c r="V699" i="1"/>
  <c r="S699" i="1"/>
  <c r="H699" i="1"/>
  <c r="E699" i="1"/>
  <c r="V698" i="1"/>
  <c r="S698" i="1"/>
  <c r="H698" i="1"/>
  <c r="E698" i="1"/>
  <c r="V697" i="1"/>
  <c r="S697" i="1"/>
  <c r="H697" i="1"/>
  <c r="E697" i="1"/>
  <c r="V696" i="1"/>
  <c r="S696" i="1"/>
  <c r="H696" i="1"/>
  <c r="E696" i="1"/>
  <c r="V695" i="1"/>
  <c r="S695" i="1"/>
  <c r="H695" i="1"/>
  <c r="E695" i="1"/>
  <c r="V694" i="1"/>
  <c r="S694" i="1"/>
  <c r="H694" i="1"/>
  <c r="E694" i="1"/>
  <c r="V693" i="1"/>
  <c r="S693" i="1"/>
  <c r="H693" i="1"/>
  <c r="E693" i="1"/>
  <c r="V692" i="1"/>
  <c r="S692" i="1"/>
  <c r="H692" i="1"/>
  <c r="E692" i="1"/>
  <c r="V691" i="1"/>
  <c r="S691" i="1"/>
  <c r="H691" i="1"/>
  <c r="E691" i="1"/>
  <c r="V690" i="1"/>
  <c r="S690" i="1"/>
  <c r="H690" i="1"/>
  <c r="E690" i="1"/>
  <c r="V689" i="1"/>
  <c r="S689" i="1"/>
  <c r="H689" i="1"/>
  <c r="E689" i="1"/>
  <c r="V688" i="1"/>
  <c r="S688" i="1"/>
  <c r="H688" i="1"/>
  <c r="E688" i="1"/>
  <c r="V687" i="1"/>
  <c r="S687" i="1"/>
  <c r="H687" i="1"/>
  <c r="E687" i="1"/>
  <c r="V686" i="1"/>
  <c r="S686" i="1"/>
  <c r="H686" i="1"/>
  <c r="E686" i="1"/>
  <c r="V685" i="1"/>
  <c r="S685" i="1"/>
  <c r="H685" i="1"/>
  <c r="E685" i="1"/>
  <c r="V684" i="1"/>
  <c r="S684" i="1"/>
  <c r="H684" i="1"/>
  <c r="E684" i="1"/>
  <c r="V683" i="1"/>
  <c r="S683" i="1"/>
  <c r="H683" i="1"/>
  <c r="E683" i="1"/>
  <c r="V682" i="1"/>
  <c r="S682" i="1"/>
  <c r="V681" i="1"/>
  <c r="S681" i="1"/>
  <c r="H681" i="1"/>
  <c r="E681" i="1"/>
  <c r="V680" i="1"/>
  <c r="S680" i="1"/>
  <c r="E680" i="1"/>
  <c r="V679" i="1"/>
  <c r="S679" i="1"/>
  <c r="H679" i="1"/>
  <c r="E679" i="1"/>
  <c r="V678" i="1"/>
  <c r="S678" i="1"/>
  <c r="E678" i="1"/>
  <c r="V677" i="1"/>
  <c r="S677" i="1"/>
  <c r="H677" i="1"/>
  <c r="E677" i="1"/>
  <c r="V676" i="1"/>
  <c r="S676" i="1"/>
  <c r="E676" i="1"/>
  <c r="V675" i="1"/>
  <c r="S675" i="1"/>
  <c r="H675" i="1"/>
  <c r="E675" i="1"/>
  <c r="V674" i="1"/>
  <c r="S674" i="1"/>
  <c r="H674" i="1"/>
  <c r="E674" i="1"/>
  <c r="V673" i="1"/>
  <c r="S673" i="1"/>
  <c r="H673" i="1"/>
  <c r="E673" i="1"/>
  <c r="V672" i="1"/>
  <c r="S672" i="1"/>
  <c r="H672" i="1"/>
  <c r="E672" i="1"/>
  <c r="V671" i="1"/>
  <c r="S671" i="1"/>
  <c r="E671" i="1"/>
  <c r="V670" i="1"/>
  <c r="S670" i="1"/>
  <c r="E670" i="1"/>
  <c r="S669" i="1"/>
  <c r="H669" i="1"/>
  <c r="E669" i="1"/>
  <c r="V668" i="1"/>
  <c r="S668" i="1"/>
  <c r="H668" i="1"/>
  <c r="E668" i="1"/>
  <c r="V667" i="1"/>
  <c r="S667" i="1"/>
  <c r="H667" i="1"/>
  <c r="E667" i="1"/>
  <c r="V666" i="1"/>
  <c r="S666" i="1"/>
  <c r="H666" i="1"/>
  <c r="E666" i="1"/>
  <c r="V665" i="1"/>
  <c r="S665" i="1"/>
  <c r="H665" i="1"/>
  <c r="E665" i="1"/>
  <c r="S664" i="1"/>
  <c r="V663" i="1"/>
  <c r="S663" i="1"/>
  <c r="H663" i="1"/>
  <c r="E663" i="1"/>
  <c r="V662" i="1"/>
  <c r="S662" i="1"/>
  <c r="H662" i="1"/>
  <c r="E662" i="1"/>
  <c r="V661" i="1"/>
  <c r="S661" i="1"/>
  <c r="H661" i="1"/>
  <c r="E661" i="1"/>
  <c r="V660" i="1"/>
  <c r="S660" i="1"/>
  <c r="H660" i="1"/>
  <c r="E660" i="1"/>
  <c r="V659" i="1"/>
  <c r="S659" i="1"/>
  <c r="H659" i="1"/>
  <c r="E659" i="1"/>
  <c r="V658" i="1"/>
  <c r="S658" i="1"/>
  <c r="H658" i="1"/>
  <c r="E658" i="1"/>
  <c r="S657" i="1"/>
  <c r="H657" i="1"/>
  <c r="E657" i="1"/>
  <c r="V656" i="1"/>
  <c r="S656" i="1"/>
  <c r="H656" i="1"/>
  <c r="E656" i="1"/>
  <c r="V655" i="1"/>
  <c r="S655" i="1"/>
  <c r="H655" i="1"/>
  <c r="E655" i="1"/>
  <c r="V654" i="1"/>
  <c r="S654" i="1"/>
  <c r="H654" i="1"/>
  <c r="E654" i="1"/>
  <c r="V653" i="1"/>
  <c r="S653" i="1"/>
  <c r="E653" i="1"/>
  <c r="V652" i="1"/>
  <c r="S652" i="1"/>
  <c r="E652" i="1"/>
  <c r="V651" i="1"/>
  <c r="S651" i="1"/>
  <c r="E651" i="1"/>
  <c r="V650" i="1"/>
  <c r="S650" i="1"/>
  <c r="H650" i="1"/>
  <c r="E650" i="1"/>
  <c r="V649" i="1"/>
  <c r="S649" i="1"/>
  <c r="H649" i="1"/>
  <c r="E649" i="1"/>
  <c r="V648" i="1"/>
  <c r="S648" i="1"/>
  <c r="H648" i="1"/>
  <c r="E648" i="1"/>
  <c r="V647" i="1"/>
  <c r="S647" i="1"/>
  <c r="H647" i="1"/>
  <c r="E647" i="1"/>
  <c r="V646" i="1"/>
  <c r="S646" i="1"/>
  <c r="H646" i="1"/>
  <c r="E646" i="1"/>
  <c r="V645" i="1"/>
  <c r="S645" i="1"/>
  <c r="H645" i="1"/>
  <c r="E645" i="1"/>
  <c r="V644" i="1"/>
  <c r="S644" i="1"/>
  <c r="H644" i="1"/>
  <c r="E644" i="1"/>
  <c r="V643" i="1"/>
  <c r="S643" i="1"/>
  <c r="H643" i="1"/>
  <c r="E643" i="1"/>
  <c r="V642" i="1"/>
  <c r="S642" i="1"/>
  <c r="H642" i="1"/>
  <c r="E642" i="1"/>
  <c r="V641" i="1"/>
  <c r="S641" i="1"/>
  <c r="H641" i="1"/>
  <c r="E641" i="1"/>
  <c r="V640" i="1"/>
  <c r="S640" i="1"/>
  <c r="H640" i="1"/>
  <c r="E640" i="1"/>
  <c r="V639" i="1"/>
  <c r="S639" i="1"/>
  <c r="H639" i="1"/>
  <c r="V638" i="1"/>
  <c r="S638" i="1"/>
  <c r="H638" i="1"/>
  <c r="E638" i="1"/>
  <c r="V637" i="1"/>
  <c r="S637" i="1"/>
  <c r="H637" i="1"/>
  <c r="E637" i="1"/>
  <c r="S636" i="1"/>
  <c r="H636" i="1"/>
  <c r="E636" i="1"/>
  <c r="V635" i="1"/>
  <c r="S635" i="1"/>
  <c r="H635" i="1"/>
  <c r="E635" i="1"/>
  <c r="S634" i="1"/>
  <c r="E634" i="1"/>
  <c r="S633" i="1"/>
  <c r="H633" i="1"/>
  <c r="E633" i="1"/>
  <c r="V632" i="1"/>
  <c r="S632" i="1"/>
  <c r="H632" i="1"/>
  <c r="E632" i="1"/>
  <c r="V631" i="1"/>
  <c r="S631" i="1"/>
  <c r="H631" i="1"/>
  <c r="E631" i="1"/>
  <c r="V630" i="1"/>
  <c r="S630" i="1"/>
  <c r="H630" i="1"/>
  <c r="E630" i="1"/>
  <c r="V629" i="1"/>
  <c r="S629" i="1"/>
  <c r="H629" i="1"/>
  <c r="E629" i="1"/>
  <c r="V628" i="1"/>
  <c r="S628" i="1"/>
  <c r="H628" i="1"/>
  <c r="E628" i="1"/>
  <c r="V627" i="1"/>
  <c r="S627" i="1"/>
  <c r="H627" i="1"/>
  <c r="E627" i="1"/>
  <c r="V626" i="1"/>
  <c r="S626" i="1"/>
  <c r="H626" i="1"/>
  <c r="E626" i="1"/>
  <c r="V625" i="1"/>
  <c r="S625" i="1"/>
  <c r="H625" i="1"/>
  <c r="E625" i="1"/>
  <c r="V624" i="1"/>
  <c r="S624" i="1"/>
  <c r="H624" i="1"/>
  <c r="E624" i="1"/>
  <c r="V623" i="1"/>
  <c r="S623" i="1"/>
  <c r="H623" i="1"/>
  <c r="E623" i="1"/>
  <c r="V622" i="1"/>
  <c r="S622" i="1"/>
  <c r="H622" i="1"/>
  <c r="E622" i="1"/>
  <c r="V621" i="1"/>
  <c r="S621" i="1"/>
  <c r="H621" i="1"/>
  <c r="E621" i="1"/>
  <c r="V620" i="1"/>
  <c r="S620" i="1"/>
  <c r="H620" i="1"/>
  <c r="E620" i="1"/>
  <c r="V619" i="1"/>
  <c r="S619" i="1"/>
  <c r="H619" i="1"/>
  <c r="V618" i="1"/>
  <c r="S618" i="1"/>
  <c r="H618" i="1"/>
  <c r="E618" i="1"/>
  <c r="V617" i="1"/>
  <c r="S617" i="1"/>
  <c r="H617" i="1"/>
  <c r="E617" i="1"/>
  <c r="S616" i="1"/>
  <c r="H616" i="1"/>
  <c r="E616" i="1"/>
  <c r="S615" i="1"/>
  <c r="H615" i="1"/>
  <c r="E615" i="1"/>
  <c r="V614" i="1"/>
  <c r="S614" i="1"/>
  <c r="H614" i="1"/>
  <c r="V613" i="1"/>
  <c r="S613" i="1"/>
  <c r="H613" i="1"/>
  <c r="V612" i="1"/>
  <c r="S612" i="1"/>
  <c r="H612" i="1"/>
  <c r="E612" i="1"/>
  <c r="V611" i="1"/>
  <c r="S611" i="1"/>
  <c r="H611" i="1"/>
  <c r="E611" i="1"/>
  <c r="V610" i="1"/>
  <c r="S610" i="1"/>
  <c r="H610" i="1"/>
  <c r="E610" i="1"/>
  <c r="V609" i="1"/>
  <c r="S609" i="1"/>
  <c r="V608" i="1"/>
  <c r="S608" i="1"/>
  <c r="V607" i="1"/>
  <c r="S607" i="1"/>
  <c r="V606" i="1"/>
  <c r="S606" i="1"/>
  <c r="H606" i="1"/>
  <c r="E606" i="1"/>
  <c r="V605" i="1"/>
  <c r="S605" i="1"/>
  <c r="H605" i="1"/>
  <c r="E605" i="1"/>
  <c r="V604" i="1"/>
  <c r="S604" i="1"/>
  <c r="E604" i="1"/>
  <c r="V603" i="1"/>
  <c r="S603" i="1"/>
  <c r="H603" i="1"/>
  <c r="E603" i="1"/>
  <c r="V602" i="1"/>
  <c r="S602" i="1"/>
  <c r="V601" i="1"/>
  <c r="R601" i="1"/>
  <c r="Q601" i="1"/>
  <c r="S601" i="1"/>
  <c r="S600" i="1"/>
  <c r="H600" i="1"/>
  <c r="V599" i="1"/>
  <c r="S599" i="1"/>
  <c r="H599" i="1"/>
  <c r="E599" i="1"/>
  <c r="V598" i="1"/>
  <c r="S598" i="1"/>
  <c r="H598" i="1"/>
  <c r="E598" i="1"/>
  <c r="V597" i="1"/>
  <c r="S597" i="1"/>
  <c r="H597" i="1"/>
  <c r="E597" i="1"/>
  <c r="V596" i="1"/>
  <c r="S596" i="1"/>
  <c r="H596" i="1"/>
  <c r="E596" i="1"/>
  <c r="V595" i="1"/>
  <c r="S595" i="1"/>
  <c r="H595" i="1"/>
  <c r="E595" i="1"/>
  <c r="V594" i="1"/>
  <c r="S594" i="1"/>
  <c r="H594" i="1"/>
  <c r="E594" i="1"/>
  <c r="V593" i="1"/>
  <c r="S593" i="1"/>
  <c r="H593" i="1"/>
  <c r="E593" i="1"/>
  <c r="V592" i="1"/>
  <c r="S592" i="1"/>
  <c r="H592" i="1"/>
  <c r="E592" i="1"/>
  <c r="V591" i="1"/>
  <c r="S591" i="1"/>
  <c r="H591" i="1"/>
  <c r="E591" i="1"/>
  <c r="V590" i="1"/>
  <c r="S590" i="1"/>
  <c r="H590" i="1"/>
  <c r="E590" i="1"/>
  <c r="V589" i="1"/>
  <c r="S589" i="1"/>
  <c r="E589" i="1"/>
  <c r="V588" i="1"/>
  <c r="S588" i="1"/>
  <c r="H588" i="1"/>
  <c r="E588" i="1"/>
  <c r="V587" i="1"/>
  <c r="S587" i="1"/>
  <c r="H587" i="1"/>
  <c r="E587" i="1"/>
  <c r="V586" i="1"/>
  <c r="S586" i="1"/>
  <c r="H586" i="1"/>
  <c r="E586" i="1"/>
  <c r="V585" i="1"/>
  <c r="S585" i="1"/>
  <c r="H585" i="1"/>
  <c r="E585" i="1"/>
  <c r="V584" i="1"/>
  <c r="S584" i="1"/>
  <c r="H584" i="1"/>
  <c r="E584" i="1"/>
  <c r="V583" i="1"/>
  <c r="S583" i="1"/>
  <c r="H583" i="1"/>
  <c r="E583" i="1"/>
  <c r="V582" i="1"/>
  <c r="S582" i="1"/>
  <c r="H582" i="1"/>
  <c r="E582" i="1"/>
  <c r="V581" i="1"/>
  <c r="S581" i="1"/>
  <c r="H581" i="1"/>
  <c r="E581" i="1"/>
  <c r="V580" i="1"/>
  <c r="S580" i="1"/>
  <c r="H580" i="1"/>
  <c r="E580" i="1"/>
  <c r="S579" i="1"/>
  <c r="H579" i="1"/>
  <c r="E579" i="1"/>
  <c r="S578" i="1"/>
  <c r="H578" i="1"/>
  <c r="E578" i="1"/>
  <c r="V577" i="1"/>
  <c r="S577" i="1"/>
  <c r="H577" i="1"/>
  <c r="E577" i="1"/>
  <c r="S576" i="1"/>
  <c r="H576" i="1"/>
  <c r="E576" i="1"/>
  <c r="V575" i="1"/>
  <c r="S575" i="1"/>
  <c r="H575" i="1"/>
  <c r="E575" i="1"/>
  <c r="V574" i="1"/>
  <c r="S574" i="1"/>
  <c r="H574" i="1"/>
  <c r="E574" i="1"/>
  <c r="V573" i="1"/>
  <c r="S573" i="1"/>
  <c r="H573" i="1"/>
  <c r="E573" i="1"/>
  <c r="V572" i="1"/>
  <c r="S572" i="1"/>
  <c r="E572" i="1"/>
  <c r="V571" i="1"/>
  <c r="S571" i="1"/>
  <c r="E571" i="1"/>
  <c r="S570" i="1"/>
  <c r="H570" i="1"/>
  <c r="E570" i="1"/>
  <c r="S569" i="1"/>
  <c r="H569" i="1"/>
  <c r="E569" i="1"/>
  <c r="S568" i="1"/>
  <c r="H568" i="1"/>
  <c r="E568" i="1"/>
  <c r="S567" i="1"/>
  <c r="H567" i="1"/>
  <c r="E567" i="1"/>
  <c r="S566" i="1"/>
  <c r="H566" i="1"/>
  <c r="E566" i="1"/>
  <c r="V565" i="1"/>
  <c r="S565" i="1"/>
  <c r="H565" i="1"/>
  <c r="E565" i="1"/>
  <c r="V564" i="1"/>
  <c r="S564" i="1"/>
  <c r="V563" i="1"/>
  <c r="S563" i="1"/>
  <c r="E563" i="1"/>
  <c r="V562" i="1"/>
  <c r="S562" i="1"/>
  <c r="H562" i="1"/>
  <c r="E562" i="1"/>
  <c r="V561" i="1"/>
  <c r="S561" i="1"/>
  <c r="H561" i="1"/>
  <c r="E561" i="1"/>
  <c r="V560" i="1"/>
  <c r="S560" i="1"/>
  <c r="H560" i="1"/>
  <c r="E560" i="1"/>
  <c r="V559" i="1"/>
  <c r="S559" i="1"/>
  <c r="H559" i="1"/>
  <c r="E559" i="1"/>
  <c r="S558" i="1"/>
  <c r="H558" i="1"/>
  <c r="E558" i="1"/>
  <c r="S557" i="1"/>
  <c r="H557" i="1"/>
  <c r="E557" i="1"/>
  <c r="S556" i="1"/>
  <c r="E556" i="1"/>
  <c r="S555" i="1"/>
  <c r="H555" i="1"/>
  <c r="E555" i="1"/>
  <c r="S554" i="1"/>
  <c r="H554" i="1"/>
  <c r="E554" i="1"/>
  <c r="S553" i="1"/>
  <c r="H553" i="1"/>
  <c r="E553" i="1"/>
  <c r="V552" i="1"/>
  <c r="S552" i="1"/>
  <c r="H552" i="1"/>
  <c r="S551" i="1"/>
  <c r="H551" i="1"/>
  <c r="E551" i="1"/>
  <c r="S550" i="1"/>
  <c r="H550" i="1"/>
  <c r="E550" i="1"/>
  <c r="V549" i="1"/>
  <c r="S549" i="1"/>
  <c r="H549" i="1"/>
  <c r="E549" i="1"/>
  <c r="V548" i="1"/>
  <c r="S548" i="1"/>
  <c r="H548" i="1"/>
  <c r="E548" i="1"/>
  <c r="V547" i="1"/>
  <c r="S547" i="1"/>
  <c r="H547" i="1"/>
  <c r="E547" i="1"/>
  <c r="V546" i="1"/>
  <c r="S546" i="1"/>
  <c r="H546" i="1"/>
  <c r="E546" i="1"/>
  <c r="V545" i="1"/>
  <c r="S545" i="1"/>
  <c r="H545" i="1"/>
  <c r="E545" i="1"/>
  <c r="V544" i="1"/>
  <c r="S544" i="1"/>
  <c r="H544" i="1"/>
  <c r="E544" i="1"/>
  <c r="S543" i="1"/>
  <c r="H543" i="1"/>
  <c r="E543" i="1"/>
  <c r="S542" i="1"/>
  <c r="H542" i="1"/>
  <c r="E542" i="1"/>
  <c r="S541" i="1"/>
  <c r="H541" i="1"/>
  <c r="E541" i="1"/>
  <c r="S540" i="1"/>
  <c r="H540" i="1"/>
  <c r="E540" i="1"/>
  <c r="V539" i="1"/>
  <c r="S539" i="1"/>
  <c r="H539" i="1"/>
  <c r="E539" i="1"/>
  <c r="S538" i="1"/>
  <c r="H538" i="1"/>
  <c r="E538" i="1"/>
  <c r="S537" i="1"/>
  <c r="H537" i="1"/>
  <c r="E537" i="1"/>
  <c r="V536" i="1"/>
  <c r="S536" i="1"/>
  <c r="H536" i="1"/>
  <c r="S535" i="1"/>
  <c r="H535" i="1"/>
  <c r="E535" i="1"/>
  <c r="V534" i="1"/>
  <c r="S534" i="1"/>
  <c r="H534" i="1"/>
  <c r="S533" i="1"/>
  <c r="H533" i="1"/>
  <c r="E533" i="1"/>
  <c r="S532" i="1"/>
  <c r="H532" i="1"/>
  <c r="E532" i="1"/>
  <c r="S531" i="1"/>
  <c r="H531" i="1"/>
  <c r="E531" i="1"/>
  <c r="S530" i="1"/>
  <c r="H530" i="1"/>
  <c r="E530" i="1"/>
  <c r="S529" i="1"/>
  <c r="H529" i="1"/>
  <c r="E529" i="1"/>
  <c r="S528" i="1"/>
  <c r="H528" i="1"/>
  <c r="S527" i="1"/>
  <c r="H527" i="1"/>
  <c r="E527" i="1"/>
  <c r="S526" i="1"/>
  <c r="H526" i="1"/>
  <c r="E526" i="1"/>
  <c r="S525" i="1"/>
  <c r="E525" i="1"/>
  <c r="V524" i="1"/>
  <c r="S524" i="1"/>
  <c r="H524" i="1"/>
  <c r="E524" i="1"/>
  <c r="S523" i="1"/>
  <c r="H523" i="1"/>
  <c r="E523" i="1"/>
  <c r="S522" i="1"/>
  <c r="H522" i="1"/>
  <c r="E522" i="1"/>
  <c r="S521" i="1"/>
  <c r="H521" i="1"/>
  <c r="E521" i="1"/>
  <c r="S520" i="1"/>
  <c r="H520" i="1"/>
  <c r="E520" i="1"/>
  <c r="V519" i="1"/>
  <c r="S519" i="1"/>
  <c r="H519" i="1"/>
  <c r="E519" i="1"/>
  <c r="S518" i="1"/>
  <c r="H518" i="1"/>
  <c r="E518" i="1"/>
  <c r="S517" i="1"/>
  <c r="H517" i="1"/>
  <c r="E517" i="1"/>
  <c r="S516" i="1"/>
  <c r="E516" i="1"/>
  <c r="V515" i="1"/>
  <c r="S515" i="1"/>
  <c r="E515" i="1"/>
  <c r="V514" i="1"/>
  <c r="S514" i="1"/>
  <c r="E514" i="1"/>
  <c r="V513" i="1"/>
  <c r="S513" i="1"/>
  <c r="H513" i="1"/>
  <c r="E513" i="1"/>
  <c r="V512" i="1"/>
  <c r="S512" i="1"/>
  <c r="H512" i="1"/>
  <c r="E512" i="1"/>
  <c r="S511" i="1"/>
  <c r="H511" i="1"/>
  <c r="E511" i="1"/>
  <c r="S510" i="1"/>
  <c r="H510" i="1"/>
  <c r="E510" i="1"/>
  <c r="S509" i="1"/>
  <c r="H509" i="1"/>
  <c r="E509" i="1"/>
  <c r="V508" i="1"/>
  <c r="S508" i="1"/>
  <c r="H508" i="1"/>
  <c r="E508" i="1"/>
  <c r="V507" i="1"/>
  <c r="S507" i="1"/>
  <c r="H507" i="1"/>
  <c r="E507" i="1"/>
  <c r="S506" i="1"/>
  <c r="H506" i="1"/>
  <c r="E506" i="1"/>
  <c r="V505" i="1"/>
  <c r="S505" i="1"/>
  <c r="H505" i="1"/>
  <c r="E505" i="1"/>
  <c r="S504" i="1"/>
  <c r="H504" i="1"/>
  <c r="E504" i="1"/>
  <c r="S503" i="1"/>
  <c r="H503" i="1"/>
  <c r="E503" i="1"/>
  <c r="S502" i="1"/>
  <c r="H502" i="1"/>
  <c r="E502" i="1"/>
  <c r="V501" i="1"/>
  <c r="S501" i="1"/>
  <c r="H501" i="1"/>
  <c r="E501" i="1"/>
  <c r="S500" i="1"/>
  <c r="E500" i="1"/>
  <c r="S499" i="1"/>
  <c r="H499" i="1"/>
  <c r="E499" i="1"/>
  <c r="S498" i="1"/>
  <c r="H498" i="1"/>
  <c r="E498" i="1"/>
  <c r="V497" i="1"/>
  <c r="S497" i="1"/>
  <c r="H497" i="1"/>
  <c r="E497" i="1"/>
  <c r="S496" i="1"/>
  <c r="H496" i="1"/>
  <c r="E496" i="1"/>
  <c r="S495" i="1"/>
  <c r="H495" i="1"/>
  <c r="E495" i="1"/>
  <c r="S494" i="1"/>
  <c r="E494" i="1"/>
  <c r="S493" i="1"/>
  <c r="E493" i="1"/>
  <c r="S492" i="1"/>
  <c r="H492" i="1"/>
  <c r="E492" i="1"/>
  <c r="S491" i="1"/>
  <c r="H491" i="1"/>
  <c r="E491" i="1"/>
  <c r="S490" i="1"/>
  <c r="H490" i="1"/>
  <c r="E490" i="1"/>
  <c r="V489" i="1"/>
  <c r="S489" i="1"/>
  <c r="H489" i="1"/>
  <c r="E489" i="1"/>
  <c r="V488" i="1"/>
  <c r="S488" i="1"/>
  <c r="H488" i="1"/>
  <c r="E488" i="1"/>
  <c r="S487" i="1"/>
  <c r="H487" i="1"/>
  <c r="E487" i="1"/>
  <c r="S486" i="1"/>
  <c r="H486" i="1"/>
  <c r="E486" i="1"/>
  <c r="S485" i="1"/>
  <c r="H485" i="1"/>
  <c r="E485" i="1"/>
  <c r="S484" i="1"/>
  <c r="S483" i="1"/>
  <c r="H483" i="1"/>
  <c r="E483" i="1"/>
  <c r="V482" i="1"/>
  <c r="S482" i="1"/>
  <c r="H482" i="1"/>
  <c r="E482" i="1"/>
  <c r="S481" i="1"/>
  <c r="H481" i="1"/>
  <c r="E481" i="1"/>
  <c r="S480" i="1"/>
  <c r="H480" i="1"/>
  <c r="E480" i="1"/>
  <c r="V479" i="1"/>
  <c r="S479" i="1"/>
  <c r="H479" i="1"/>
  <c r="E479" i="1"/>
  <c r="S478" i="1"/>
  <c r="H478" i="1"/>
  <c r="E478" i="1"/>
  <c r="S477" i="1"/>
  <c r="H477" i="1"/>
  <c r="E477" i="1"/>
  <c r="S476" i="1"/>
  <c r="H476" i="1"/>
  <c r="E476" i="1"/>
  <c r="V475" i="1"/>
  <c r="S475" i="1"/>
  <c r="H475" i="1"/>
  <c r="E475" i="1"/>
  <c r="V474" i="1"/>
  <c r="S474" i="1"/>
  <c r="H474" i="1"/>
  <c r="E474" i="1"/>
  <c r="V473" i="1"/>
  <c r="S473" i="1"/>
  <c r="H473" i="1"/>
  <c r="V472" i="1"/>
  <c r="S472" i="1"/>
  <c r="V471" i="1"/>
  <c r="S471" i="1"/>
  <c r="H471" i="1"/>
  <c r="E471" i="1"/>
  <c r="V470" i="1"/>
  <c r="S470" i="1"/>
  <c r="H470" i="1"/>
  <c r="E470" i="1"/>
  <c r="V469" i="1"/>
  <c r="S469" i="1"/>
  <c r="H469" i="1"/>
  <c r="E469" i="1"/>
  <c r="V468" i="1"/>
  <c r="S468" i="1"/>
  <c r="H468" i="1"/>
  <c r="E468" i="1"/>
  <c r="S467" i="1"/>
  <c r="H467" i="1"/>
  <c r="E467" i="1"/>
  <c r="V466" i="1"/>
  <c r="S466" i="1"/>
  <c r="H466" i="1"/>
  <c r="E466" i="1"/>
  <c r="V465" i="1"/>
  <c r="S465" i="1"/>
  <c r="H465" i="1"/>
  <c r="E465" i="1"/>
  <c r="V464" i="1"/>
  <c r="S464" i="1"/>
  <c r="H464" i="1"/>
  <c r="E464" i="1"/>
  <c r="V463" i="1"/>
  <c r="S463" i="1"/>
  <c r="H463" i="1"/>
  <c r="E463" i="1"/>
  <c r="V462" i="1"/>
  <c r="S462" i="1"/>
  <c r="H462" i="1"/>
  <c r="E462" i="1"/>
  <c r="S461" i="1"/>
  <c r="H461" i="1"/>
  <c r="E461" i="1"/>
  <c r="S460" i="1"/>
  <c r="H460" i="1"/>
  <c r="E460" i="1"/>
  <c r="S459" i="1"/>
  <c r="H459" i="1"/>
  <c r="E459" i="1"/>
  <c r="S458" i="1"/>
  <c r="H458" i="1"/>
  <c r="E458" i="1"/>
  <c r="S457" i="1"/>
  <c r="H457" i="1"/>
  <c r="E457" i="1"/>
  <c r="V456" i="1"/>
  <c r="S456" i="1"/>
  <c r="H456" i="1"/>
  <c r="E456" i="1"/>
  <c r="V455" i="1"/>
  <c r="S455" i="1"/>
  <c r="H455" i="1"/>
  <c r="E455" i="1"/>
  <c r="S454" i="1"/>
  <c r="H454" i="1"/>
  <c r="E454" i="1"/>
  <c r="V453" i="1"/>
  <c r="S453" i="1"/>
  <c r="E453" i="1"/>
  <c r="V452" i="1"/>
  <c r="S452" i="1"/>
  <c r="H452" i="1"/>
  <c r="E452" i="1"/>
  <c r="V451" i="1"/>
  <c r="S451" i="1"/>
  <c r="H451" i="1"/>
  <c r="E451" i="1"/>
  <c r="S450" i="1"/>
  <c r="H450" i="1"/>
  <c r="E450" i="1"/>
  <c r="V449" i="1"/>
  <c r="S449" i="1"/>
  <c r="H449" i="1"/>
  <c r="E449" i="1"/>
  <c r="S448" i="1"/>
  <c r="H448" i="1"/>
  <c r="E448" i="1"/>
  <c r="S447" i="1"/>
  <c r="H447" i="1"/>
  <c r="E447" i="1"/>
  <c r="S446" i="1"/>
  <c r="H446" i="1"/>
  <c r="E446" i="1"/>
  <c r="S445" i="1"/>
  <c r="H445" i="1"/>
  <c r="E445" i="1"/>
  <c r="S444" i="1"/>
  <c r="H444" i="1"/>
  <c r="E444" i="1"/>
  <c r="V443" i="1"/>
  <c r="S443" i="1"/>
  <c r="H443" i="1"/>
  <c r="E443" i="1"/>
  <c r="V442" i="1"/>
  <c r="S442" i="1"/>
  <c r="H442" i="1"/>
  <c r="E442" i="1"/>
  <c r="S441" i="1"/>
  <c r="H441" i="1"/>
  <c r="E441" i="1"/>
  <c r="V440" i="1"/>
  <c r="S440" i="1"/>
  <c r="H440" i="1"/>
  <c r="E440" i="1"/>
  <c r="V439" i="1"/>
  <c r="S439" i="1"/>
  <c r="H439" i="1"/>
  <c r="E439" i="1"/>
  <c r="V438" i="1"/>
  <c r="S438" i="1"/>
  <c r="H438" i="1"/>
  <c r="E438" i="1"/>
  <c r="V437" i="1"/>
  <c r="S437" i="1"/>
  <c r="H437" i="1"/>
  <c r="E437" i="1"/>
  <c r="S436" i="1"/>
  <c r="H436" i="1"/>
  <c r="E436" i="1"/>
  <c r="S435" i="1"/>
  <c r="S434" i="1"/>
  <c r="S433" i="1"/>
  <c r="S432" i="1"/>
  <c r="H432" i="1"/>
  <c r="E432" i="1"/>
  <c r="S431" i="1"/>
  <c r="H431" i="1"/>
  <c r="E431" i="1"/>
  <c r="S430" i="1"/>
  <c r="H430" i="1"/>
  <c r="E430" i="1"/>
  <c r="S429" i="1"/>
  <c r="E429" i="1"/>
  <c r="V428" i="1"/>
  <c r="S428" i="1"/>
  <c r="H428" i="1"/>
  <c r="E428" i="1"/>
  <c r="S427" i="1"/>
  <c r="H427" i="1"/>
  <c r="E427" i="1"/>
  <c r="V426" i="1"/>
  <c r="S426" i="1"/>
  <c r="H426" i="1"/>
  <c r="E426" i="1"/>
  <c r="V425" i="1"/>
  <c r="S425" i="1"/>
  <c r="H425" i="1"/>
  <c r="E425" i="1"/>
  <c r="S424" i="1"/>
  <c r="H424" i="1"/>
  <c r="E424" i="1"/>
  <c r="S423" i="1"/>
  <c r="H423" i="1"/>
  <c r="E423" i="1"/>
  <c r="S422" i="1"/>
  <c r="H422" i="1"/>
  <c r="E422" i="1"/>
  <c r="S421" i="1"/>
  <c r="H421" i="1"/>
  <c r="E421" i="1"/>
  <c r="S420" i="1"/>
  <c r="H420" i="1"/>
  <c r="E420" i="1"/>
  <c r="V419" i="1"/>
  <c r="S419" i="1"/>
  <c r="H419" i="1"/>
  <c r="E419" i="1"/>
  <c r="S418" i="1"/>
  <c r="H418" i="1"/>
  <c r="E418" i="1"/>
  <c r="S417" i="1"/>
  <c r="H417" i="1"/>
  <c r="E417" i="1"/>
  <c r="S416" i="1"/>
  <c r="H416" i="1"/>
  <c r="E416" i="1"/>
  <c r="V415" i="1"/>
  <c r="S415" i="1"/>
  <c r="H415" i="1"/>
  <c r="S414" i="1"/>
  <c r="H414" i="1"/>
  <c r="E414" i="1"/>
  <c r="V413" i="1"/>
  <c r="S413" i="1"/>
  <c r="H413" i="1"/>
  <c r="E413" i="1"/>
  <c r="V412" i="1"/>
  <c r="S412" i="1"/>
  <c r="H412" i="1"/>
  <c r="E412" i="1"/>
  <c r="V411" i="1"/>
  <c r="S411" i="1"/>
  <c r="H411" i="1"/>
  <c r="E411" i="1"/>
  <c r="V410" i="1"/>
  <c r="S410" i="1"/>
  <c r="H410" i="1"/>
  <c r="E410" i="1"/>
  <c r="V409" i="1"/>
  <c r="S409" i="1"/>
  <c r="H409" i="1"/>
  <c r="E409" i="1"/>
  <c r="V408" i="1"/>
  <c r="S408" i="1"/>
  <c r="H408" i="1"/>
  <c r="E408" i="1"/>
  <c r="V407" i="1"/>
  <c r="S407" i="1"/>
  <c r="H407" i="1"/>
  <c r="E407" i="1"/>
  <c r="V406" i="1"/>
  <c r="S406" i="1"/>
  <c r="H406" i="1"/>
  <c r="V405" i="1"/>
  <c r="S405" i="1"/>
  <c r="H405" i="1"/>
  <c r="E405" i="1"/>
  <c r="V404" i="1"/>
  <c r="S404" i="1"/>
  <c r="H404" i="1"/>
  <c r="E404" i="1"/>
  <c r="V403" i="1"/>
  <c r="S403" i="1"/>
  <c r="H403" i="1"/>
  <c r="E403" i="1"/>
  <c r="V402" i="1"/>
  <c r="S402" i="1"/>
  <c r="H402" i="1"/>
  <c r="E402" i="1"/>
  <c r="V401" i="1"/>
  <c r="S401" i="1"/>
  <c r="H401" i="1"/>
  <c r="E401" i="1"/>
  <c r="V400" i="1"/>
  <c r="S400" i="1"/>
  <c r="H400" i="1"/>
  <c r="E400" i="1"/>
  <c r="V399" i="1"/>
  <c r="S399" i="1"/>
  <c r="E399" i="1"/>
  <c r="V398" i="1"/>
  <c r="S398" i="1"/>
  <c r="E398" i="1"/>
  <c r="V397" i="1"/>
  <c r="S397" i="1"/>
  <c r="H397" i="1"/>
  <c r="E397" i="1"/>
  <c r="S396" i="1"/>
  <c r="H396" i="1"/>
  <c r="E396" i="1"/>
  <c r="S395" i="1"/>
  <c r="H395" i="1"/>
  <c r="E395" i="1"/>
  <c r="S394" i="1"/>
  <c r="H394" i="1"/>
  <c r="E394" i="1"/>
  <c r="V393" i="1"/>
  <c r="S393" i="1"/>
  <c r="H393" i="1"/>
  <c r="E393" i="1"/>
  <c r="V392" i="1"/>
  <c r="S392" i="1"/>
  <c r="H392" i="1"/>
  <c r="V391" i="1"/>
  <c r="S391" i="1"/>
  <c r="H391" i="1"/>
  <c r="E391" i="1"/>
  <c r="V390" i="1"/>
  <c r="S390" i="1"/>
  <c r="H390" i="1"/>
  <c r="E390" i="1"/>
  <c r="S389" i="1"/>
  <c r="H389" i="1"/>
  <c r="E389" i="1"/>
  <c r="V388" i="1"/>
  <c r="S388" i="1"/>
  <c r="H388" i="1"/>
  <c r="E388" i="1"/>
  <c r="S387" i="1"/>
  <c r="H387" i="1"/>
  <c r="E387" i="1"/>
  <c r="V386" i="1"/>
  <c r="S386" i="1"/>
  <c r="H386" i="1"/>
  <c r="E386" i="1"/>
  <c r="V385" i="1"/>
  <c r="S385" i="1"/>
  <c r="H385" i="1"/>
  <c r="E385" i="1"/>
  <c r="V384" i="1"/>
  <c r="S384" i="1"/>
  <c r="H384" i="1"/>
  <c r="E384" i="1"/>
  <c r="V383" i="1"/>
  <c r="S383" i="1"/>
  <c r="H383" i="1"/>
  <c r="E383" i="1"/>
  <c r="S382" i="1"/>
  <c r="H382" i="1"/>
  <c r="E382" i="1"/>
  <c r="S381" i="1"/>
  <c r="H381" i="1"/>
  <c r="E381" i="1"/>
  <c r="S380" i="1"/>
  <c r="H380" i="1"/>
  <c r="E380" i="1"/>
  <c r="S379" i="1"/>
  <c r="H379" i="1"/>
  <c r="E379" i="1"/>
  <c r="V378" i="1"/>
  <c r="S378" i="1"/>
  <c r="H378" i="1"/>
  <c r="E378" i="1"/>
  <c r="S377" i="1"/>
  <c r="H377" i="1"/>
  <c r="E377" i="1"/>
  <c r="V376" i="1"/>
  <c r="S376" i="1"/>
  <c r="H376" i="1"/>
  <c r="E376" i="1"/>
  <c r="V375" i="1"/>
  <c r="S375" i="1"/>
  <c r="H375" i="1"/>
  <c r="E375" i="1"/>
  <c r="S374" i="1"/>
  <c r="H374" i="1"/>
  <c r="E374" i="1"/>
  <c r="S373" i="1"/>
  <c r="H373" i="1"/>
  <c r="E373" i="1"/>
  <c r="V372" i="1"/>
  <c r="S372" i="1"/>
  <c r="H372" i="1"/>
  <c r="E372" i="1"/>
  <c r="V371" i="1"/>
  <c r="S371" i="1"/>
  <c r="H371" i="1"/>
  <c r="E371" i="1"/>
  <c r="V370" i="1"/>
  <c r="S370" i="1"/>
  <c r="H370" i="1"/>
  <c r="E370" i="1"/>
  <c r="V369" i="1"/>
  <c r="S369" i="1"/>
  <c r="H369" i="1"/>
  <c r="E369" i="1"/>
  <c r="V368" i="1"/>
  <c r="S368" i="1"/>
  <c r="E368" i="1"/>
  <c r="V367" i="1"/>
  <c r="S367" i="1"/>
  <c r="E367" i="1"/>
  <c r="S366" i="1"/>
  <c r="H366" i="1"/>
  <c r="E366" i="1"/>
  <c r="S365" i="1"/>
  <c r="H365" i="1"/>
  <c r="E365" i="1"/>
  <c r="S364" i="1"/>
  <c r="H364" i="1"/>
  <c r="E364" i="1"/>
  <c r="S363" i="1"/>
  <c r="H363" i="1"/>
  <c r="E363" i="1"/>
  <c r="S362" i="1"/>
  <c r="E362" i="1"/>
  <c r="V361" i="1"/>
  <c r="S361" i="1"/>
  <c r="E361" i="1"/>
  <c r="V360" i="1"/>
  <c r="S360" i="1"/>
  <c r="H360" i="1"/>
  <c r="E360" i="1"/>
  <c r="S359" i="1"/>
  <c r="H359" i="1"/>
  <c r="E359" i="1"/>
  <c r="S358" i="1"/>
  <c r="H358" i="1"/>
  <c r="E358" i="1"/>
  <c r="S357" i="1"/>
  <c r="H357" i="1"/>
  <c r="E357" i="1"/>
  <c r="S356" i="1"/>
  <c r="H356" i="1"/>
  <c r="E356" i="1"/>
  <c r="S355" i="1"/>
  <c r="H355" i="1"/>
  <c r="E355" i="1"/>
  <c r="S354" i="1"/>
  <c r="E354" i="1"/>
  <c r="V353" i="1"/>
  <c r="S353" i="1"/>
  <c r="E353" i="1"/>
  <c r="V352" i="1"/>
  <c r="S352" i="1"/>
  <c r="H352" i="1"/>
  <c r="E352" i="1"/>
  <c r="S351" i="1"/>
  <c r="H351" i="1"/>
  <c r="E351" i="1"/>
  <c r="S350" i="1"/>
  <c r="H350" i="1"/>
  <c r="S349" i="1"/>
  <c r="H349" i="1"/>
  <c r="E349" i="1"/>
  <c r="S348" i="1"/>
  <c r="H348" i="1"/>
  <c r="E348" i="1"/>
  <c r="V347" i="1"/>
  <c r="S347" i="1"/>
  <c r="H347" i="1"/>
  <c r="E347" i="1"/>
  <c r="S346" i="1"/>
  <c r="H346" i="1"/>
  <c r="E346" i="1"/>
  <c r="S345" i="1"/>
  <c r="H345" i="1"/>
  <c r="E345" i="1"/>
  <c r="S344" i="1"/>
  <c r="H344" i="1"/>
  <c r="E344" i="1"/>
  <c r="S343" i="1"/>
  <c r="H343" i="1"/>
  <c r="E343" i="1"/>
  <c r="S342" i="1"/>
  <c r="H342" i="1"/>
  <c r="E342" i="1"/>
  <c r="S341" i="1"/>
  <c r="H341" i="1"/>
  <c r="E341" i="1"/>
  <c r="V340" i="1"/>
  <c r="S340" i="1"/>
  <c r="H340" i="1"/>
  <c r="E340" i="1"/>
  <c r="V339" i="1"/>
  <c r="S339" i="1"/>
  <c r="H339" i="1"/>
  <c r="E339" i="1"/>
  <c r="S338" i="1"/>
  <c r="H338" i="1"/>
  <c r="E338" i="1"/>
  <c r="S337" i="1"/>
  <c r="H337" i="1"/>
  <c r="E337" i="1"/>
  <c r="S336" i="1"/>
  <c r="H336" i="1"/>
  <c r="E336" i="1"/>
  <c r="S335" i="1"/>
  <c r="H335" i="1"/>
  <c r="E335" i="1"/>
  <c r="S334" i="1"/>
  <c r="H334" i="1"/>
  <c r="E334" i="1"/>
  <c r="S333" i="1"/>
  <c r="H333" i="1"/>
  <c r="E333" i="1"/>
  <c r="V332" i="1"/>
  <c r="S332" i="1"/>
  <c r="S331" i="1"/>
  <c r="H331" i="1"/>
  <c r="E331" i="1"/>
  <c r="S330" i="1"/>
  <c r="S329" i="1"/>
  <c r="H329" i="1"/>
  <c r="E329" i="1"/>
  <c r="V328" i="1"/>
  <c r="S328" i="1"/>
  <c r="H328" i="1"/>
  <c r="E328" i="1"/>
  <c r="V327" i="1"/>
  <c r="S327" i="1"/>
  <c r="H327" i="1"/>
  <c r="E327" i="1"/>
  <c r="V326" i="1"/>
  <c r="S326" i="1"/>
  <c r="H326" i="1"/>
  <c r="E326" i="1"/>
  <c r="S325" i="1"/>
  <c r="H325" i="1"/>
  <c r="E325" i="1"/>
  <c r="S324" i="1"/>
  <c r="H324" i="1"/>
  <c r="E324" i="1"/>
  <c r="S323" i="1"/>
  <c r="H323" i="1"/>
  <c r="E323" i="1"/>
  <c r="V322" i="1"/>
  <c r="S322" i="1"/>
  <c r="H322" i="1"/>
  <c r="E322" i="1"/>
  <c r="V321" i="1"/>
  <c r="S321" i="1"/>
  <c r="H321" i="1"/>
  <c r="E321" i="1"/>
  <c r="V320" i="1"/>
  <c r="S320" i="1"/>
  <c r="H320" i="1"/>
  <c r="S319" i="1"/>
  <c r="H319" i="1"/>
  <c r="V318" i="1"/>
  <c r="S318" i="1"/>
  <c r="H318" i="1"/>
  <c r="S317" i="1"/>
  <c r="E317" i="1"/>
  <c r="S316" i="1"/>
  <c r="H316" i="1"/>
  <c r="E316" i="1"/>
  <c r="S315" i="1"/>
  <c r="H315" i="1"/>
  <c r="E315" i="1"/>
  <c r="S314" i="1"/>
  <c r="H314" i="1"/>
  <c r="E314" i="1"/>
  <c r="V313" i="1"/>
  <c r="S313" i="1"/>
  <c r="H313" i="1"/>
  <c r="E313" i="1"/>
  <c r="S312" i="1"/>
  <c r="H312" i="1"/>
  <c r="E312" i="1"/>
  <c r="S311" i="1"/>
  <c r="H311" i="1"/>
  <c r="E311" i="1"/>
  <c r="V310" i="1"/>
  <c r="S310" i="1"/>
  <c r="H310" i="1"/>
  <c r="E310" i="1"/>
  <c r="S309" i="1"/>
  <c r="H309" i="1"/>
  <c r="E309" i="1"/>
  <c r="S308" i="1"/>
  <c r="S307" i="1"/>
  <c r="S306" i="1"/>
  <c r="S305" i="1"/>
  <c r="S304" i="1"/>
  <c r="H304" i="1"/>
  <c r="E304" i="1"/>
  <c r="S303" i="1"/>
  <c r="S302" i="1"/>
  <c r="S301" i="1"/>
  <c r="S300" i="1"/>
  <c r="H300" i="1"/>
  <c r="S299" i="1"/>
  <c r="H299" i="1"/>
  <c r="V298" i="1"/>
  <c r="S298" i="1"/>
  <c r="H298" i="1"/>
  <c r="E298" i="1"/>
  <c r="V297" i="1"/>
  <c r="S297" i="1"/>
  <c r="S296" i="1"/>
  <c r="S295" i="1"/>
  <c r="S294" i="1"/>
  <c r="H294" i="1"/>
  <c r="S293" i="1"/>
  <c r="H293" i="1"/>
  <c r="E293" i="1"/>
  <c r="S292" i="1"/>
  <c r="H292" i="1"/>
  <c r="E292" i="1"/>
  <c r="S291" i="1"/>
  <c r="H291" i="1"/>
  <c r="E291" i="1"/>
  <c r="V290" i="1"/>
  <c r="S290" i="1"/>
  <c r="H290" i="1"/>
  <c r="E290" i="1"/>
  <c r="S289" i="1"/>
  <c r="H289" i="1"/>
  <c r="S288" i="1"/>
  <c r="H288" i="1"/>
  <c r="V287" i="1"/>
  <c r="S287" i="1"/>
  <c r="H287" i="1"/>
  <c r="S286" i="1"/>
  <c r="H286" i="1"/>
  <c r="S285" i="1"/>
  <c r="H285" i="1"/>
  <c r="S284" i="1"/>
  <c r="H284" i="1"/>
  <c r="V283" i="1"/>
  <c r="S283" i="1"/>
  <c r="H283" i="1"/>
  <c r="E283" i="1"/>
  <c r="S282" i="1"/>
  <c r="H282" i="1"/>
  <c r="E282" i="1"/>
  <c r="S281" i="1"/>
  <c r="H281" i="1"/>
  <c r="E281" i="1"/>
  <c r="S280" i="1"/>
  <c r="H280" i="1"/>
  <c r="E280" i="1"/>
  <c r="S279" i="1"/>
  <c r="H279" i="1"/>
  <c r="S278" i="1"/>
  <c r="H278" i="1"/>
  <c r="E278" i="1"/>
  <c r="S277" i="1"/>
  <c r="H277" i="1"/>
  <c r="E277" i="1"/>
  <c r="S276" i="1"/>
  <c r="H276" i="1"/>
  <c r="V275" i="1"/>
  <c r="S275" i="1"/>
  <c r="H275" i="1"/>
  <c r="E275" i="1"/>
  <c r="S274" i="1"/>
  <c r="H274" i="1"/>
  <c r="E274" i="1"/>
  <c r="S273" i="1"/>
  <c r="H273" i="1"/>
  <c r="E273" i="1"/>
  <c r="S272" i="1"/>
  <c r="S271" i="1"/>
  <c r="H271" i="1"/>
  <c r="E271" i="1"/>
  <c r="S270" i="1"/>
  <c r="H270" i="1"/>
  <c r="E270" i="1"/>
  <c r="S269" i="1"/>
  <c r="H269" i="1"/>
  <c r="E269" i="1"/>
  <c r="V268" i="1"/>
  <c r="S268" i="1"/>
  <c r="H268" i="1"/>
  <c r="E268" i="1"/>
  <c r="S267" i="1"/>
  <c r="H267" i="1"/>
  <c r="E267" i="1"/>
  <c r="V266" i="1"/>
  <c r="S266" i="1"/>
  <c r="H266" i="1"/>
  <c r="E266" i="1"/>
  <c r="V265" i="1"/>
  <c r="S265" i="1"/>
  <c r="H265" i="1"/>
  <c r="E265" i="1"/>
  <c r="S264" i="1"/>
  <c r="H264" i="1"/>
  <c r="E264" i="1"/>
  <c r="V263" i="1"/>
  <c r="S263" i="1"/>
  <c r="H263" i="1"/>
  <c r="E263" i="1"/>
  <c r="S262" i="1"/>
  <c r="V261" i="1"/>
  <c r="S261" i="1"/>
  <c r="H261" i="1"/>
  <c r="S260" i="1"/>
  <c r="H260" i="1"/>
  <c r="E260" i="1"/>
  <c r="V259" i="1"/>
  <c r="S259" i="1"/>
  <c r="H259" i="1"/>
  <c r="E259" i="1"/>
  <c r="V258" i="1"/>
  <c r="S258" i="1"/>
  <c r="H258" i="1"/>
  <c r="E258" i="1"/>
  <c r="V257" i="1"/>
  <c r="S257" i="1"/>
  <c r="H257" i="1"/>
  <c r="S256" i="1"/>
  <c r="V255" i="1"/>
  <c r="S255" i="1"/>
  <c r="H255" i="1"/>
  <c r="V254" i="1"/>
  <c r="S254" i="1"/>
  <c r="H254" i="1"/>
  <c r="V253" i="1"/>
  <c r="S253" i="1"/>
  <c r="H253" i="1"/>
  <c r="E253" i="1"/>
  <c r="V252" i="1"/>
  <c r="S252" i="1"/>
  <c r="H252" i="1"/>
  <c r="E252" i="1"/>
  <c r="S251" i="1"/>
  <c r="H251" i="1"/>
  <c r="V250" i="1"/>
  <c r="S250" i="1"/>
  <c r="H250" i="1"/>
  <c r="S249" i="1"/>
  <c r="H249" i="1"/>
  <c r="V248" i="1"/>
  <c r="S248" i="1"/>
  <c r="H248" i="1"/>
  <c r="E248" i="1"/>
  <c r="V247" i="1"/>
  <c r="S247" i="1"/>
  <c r="H247" i="1"/>
  <c r="E247" i="1"/>
  <c r="S246" i="1"/>
  <c r="H246" i="1"/>
  <c r="E246" i="1"/>
  <c r="V245" i="1"/>
  <c r="S245" i="1"/>
  <c r="H245" i="1"/>
  <c r="E245" i="1"/>
  <c r="S244" i="1"/>
  <c r="H244" i="1"/>
  <c r="E244" i="1"/>
  <c r="V243" i="1"/>
  <c r="S243" i="1"/>
  <c r="H243" i="1"/>
  <c r="E243" i="1"/>
  <c r="V242" i="1"/>
  <c r="S242" i="1"/>
  <c r="H242" i="1"/>
  <c r="E242" i="1"/>
  <c r="S241" i="1"/>
  <c r="H241" i="1"/>
  <c r="E241" i="1"/>
  <c r="S240" i="1"/>
  <c r="S239" i="1"/>
  <c r="H239" i="1"/>
  <c r="V238" i="1"/>
  <c r="S238" i="1"/>
  <c r="H238" i="1"/>
  <c r="E238" i="1"/>
  <c r="S237" i="1"/>
  <c r="H237" i="1"/>
  <c r="E237" i="1"/>
  <c r="V236" i="1"/>
  <c r="S236" i="1"/>
  <c r="H236" i="1"/>
  <c r="E236" i="1"/>
  <c r="S235" i="1"/>
  <c r="H235" i="1"/>
  <c r="E235" i="1"/>
  <c r="V234" i="1"/>
  <c r="S234" i="1"/>
  <c r="H234" i="1"/>
  <c r="V233" i="1"/>
  <c r="S233" i="1"/>
  <c r="H233" i="1"/>
  <c r="V232" i="1"/>
  <c r="S232" i="1"/>
  <c r="H232" i="1"/>
  <c r="S231" i="1"/>
  <c r="H231" i="1"/>
  <c r="S230" i="1"/>
  <c r="S229" i="1"/>
  <c r="H229" i="1"/>
  <c r="E229" i="1"/>
  <c r="S228" i="1"/>
  <c r="H228" i="1"/>
  <c r="E228" i="1"/>
  <c r="S227" i="1"/>
  <c r="H227" i="1"/>
  <c r="E227" i="1"/>
  <c r="V226" i="1"/>
  <c r="S226" i="1"/>
  <c r="H226" i="1"/>
  <c r="V225" i="1"/>
  <c r="S225" i="1"/>
  <c r="H225" i="1"/>
  <c r="V224" i="1"/>
  <c r="S224" i="1"/>
  <c r="H224" i="1"/>
  <c r="S223" i="1"/>
  <c r="H223" i="1"/>
  <c r="E223" i="1"/>
  <c r="V222" i="1"/>
  <c r="S222" i="1"/>
  <c r="H222" i="1"/>
  <c r="E222" i="1"/>
  <c r="V221" i="1"/>
  <c r="S221" i="1"/>
  <c r="H221" i="1"/>
  <c r="V220" i="1"/>
  <c r="S220" i="1"/>
  <c r="H220" i="1"/>
  <c r="V219" i="1"/>
  <c r="S219" i="1"/>
  <c r="H219" i="1"/>
  <c r="E219" i="1"/>
  <c r="S218" i="1"/>
  <c r="S217" i="1"/>
  <c r="V216" i="1"/>
  <c r="S216" i="1"/>
  <c r="V215" i="1"/>
  <c r="S215" i="1"/>
  <c r="H215" i="1"/>
  <c r="E215" i="1"/>
  <c r="V214" i="1"/>
  <c r="S214" i="1"/>
  <c r="H214" i="1"/>
  <c r="E214" i="1"/>
  <c r="V213" i="1"/>
  <c r="S213" i="1"/>
  <c r="H213" i="1"/>
  <c r="E213" i="1"/>
  <c r="V212" i="1"/>
  <c r="S212" i="1"/>
  <c r="H212" i="1"/>
  <c r="E212" i="1"/>
  <c r="V211" i="1"/>
  <c r="S211" i="1"/>
  <c r="H211" i="1"/>
  <c r="E211" i="1"/>
  <c r="S210" i="1"/>
  <c r="H210" i="1"/>
  <c r="E210" i="1"/>
  <c r="V209" i="1"/>
  <c r="S209" i="1"/>
  <c r="S208" i="1"/>
  <c r="H208" i="1"/>
  <c r="E208" i="1"/>
  <c r="S207" i="1"/>
  <c r="H207" i="1"/>
  <c r="E207" i="1"/>
  <c r="V206" i="1"/>
  <c r="S206" i="1"/>
  <c r="H206" i="1"/>
  <c r="E206" i="1"/>
  <c r="V205" i="1"/>
  <c r="S205" i="1"/>
  <c r="S204" i="1"/>
  <c r="H204" i="1"/>
  <c r="S203" i="1"/>
  <c r="S202" i="1"/>
  <c r="V201" i="1"/>
  <c r="S201" i="1"/>
  <c r="S200" i="1"/>
  <c r="S199" i="1"/>
  <c r="H199" i="1"/>
  <c r="V198" i="1"/>
  <c r="S198" i="1"/>
  <c r="H198" i="1"/>
  <c r="E198" i="1"/>
  <c r="S197" i="1"/>
  <c r="H197" i="1"/>
  <c r="E197" i="1"/>
  <c r="S196" i="1"/>
  <c r="H196" i="1"/>
  <c r="E196" i="1"/>
  <c r="S195" i="1"/>
  <c r="H195" i="1"/>
  <c r="E195" i="1"/>
  <c r="S194" i="1"/>
  <c r="H194" i="1"/>
  <c r="S193" i="1"/>
  <c r="H193" i="1"/>
  <c r="S192" i="1"/>
  <c r="S191" i="1"/>
  <c r="H191" i="1"/>
  <c r="V190" i="1"/>
  <c r="S190" i="1"/>
  <c r="H190" i="1"/>
  <c r="E190" i="1"/>
  <c r="V189" i="1"/>
  <c r="S189" i="1"/>
  <c r="H189" i="1"/>
  <c r="E189" i="1"/>
  <c r="V188" i="1"/>
  <c r="S188" i="1"/>
  <c r="H188" i="1"/>
  <c r="V187" i="1"/>
  <c r="S187" i="1"/>
  <c r="H187" i="1"/>
  <c r="V186" i="1"/>
  <c r="S186" i="1"/>
  <c r="H186" i="1"/>
  <c r="V185" i="1"/>
  <c r="S185" i="1"/>
  <c r="H185" i="1"/>
  <c r="V184" i="1"/>
  <c r="S184" i="1"/>
  <c r="H184" i="1"/>
  <c r="V183" i="1"/>
  <c r="S183" i="1"/>
  <c r="H183" i="1"/>
  <c r="E183" i="1"/>
  <c r="S182" i="1"/>
  <c r="H182" i="1"/>
  <c r="E182" i="1"/>
  <c r="V181" i="1"/>
  <c r="S181" i="1"/>
  <c r="H181" i="1"/>
  <c r="V180" i="1"/>
  <c r="S180" i="1"/>
  <c r="H180" i="1"/>
  <c r="V179" i="1"/>
  <c r="S179" i="1"/>
  <c r="H179" i="1"/>
  <c r="V178" i="1"/>
  <c r="S178" i="1"/>
  <c r="H178" i="1"/>
  <c r="V177" i="1"/>
  <c r="S177" i="1"/>
  <c r="H177" i="1"/>
  <c r="E177" i="1"/>
  <c r="V176" i="1"/>
  <c r="S176" i="1"/>
  <c r="H176" i="1"/>
  <c r="E176" i="1"/>
  <c r="V175" i="1"/>
  <c r="S175" i="1"/>
  <c r="H175" i="1"/>
  <c r="E175" i="1"/>
  <c r="V174" i="1"/>
  <c r="S174" i="1"/>
  <c r="H174" i="1"/>
  <c r="E174" i="1"/>
  <c r="V173" i="1"/>
  <c r="S173" i="1"/>
  <c r="H173" i="1"/>
  <c r="E173" i="1"/>
  <c r="V172" i="1"/>
  <c r="S172" i="1"/>
  <c r="H172" i="1"/>
  <c r="E172" i="1"/>
  <c r="V171" i="1"/>
  <c r="S171" i="1"/>
  <c r="H171" i="1"/>
  <c r="E171" i="1"/>
  <c r="S170" i="1"/>
  <c r="H170" i="1"/>
  <c r="E170" i="1"/>
  <c r="S169" i="1"/>
  <c r="H169" i="1"/>
  <c r="E169" i="1"/>
  <c r="V168" i="1"/>
  <c r="S168" i="1"/>
  <c r="V167" i="1"/>
  <c r="S167" i="1"/>
  <c r="V166" i="1"/>
  <c r="S166" i="1"/>
  <c r="S165" i="1"/>
  <c r="S164" i="1"/>
  <c r="V163" i="1"/>
  <c r="S163" i="1"/>
  <c r="V162" i="1"/>
  <c r="S162" i="1"/>
  <c r="V161" i="1"/>
  <c r="S161" i="1"/>
  <c r="V160" i="1"/>
  <c r="S160" i="1"/>
  <c r="S159" i="1"/>
  <c r="S158" i="1"/>
  <c r="S157" i="1"/>
  <c r="V156" i="1"/>
  <c r="S156" i="1"/>
  <c r="V155" i="1"/>
  <c r="S155" i="1"/>
  <c r="V154" i="1"/>
  <c r="S154" i="1"/>
  <c r="S153" i="1"/>
  <c r="V152" i="1"/>
  <c r="S152" i="1"/>
  <c r="V151" i="1"/>
  <c r="S151" i="1"/>
  <c r="V150" i="1"/>
  <c r="S150" i="1"/>
  <c r="S149" i="1"/>
  <c r="V148" i="1"/>
  <c r="S148" i="1"/>
  <c r="S147" i="1"/>
  <c r="V146" i="1"/>
  <c r="S146" i="1"/>
  <c r="V145" i="1"/>
  <c r="S145" i="1"/>
  <c r="V144" i="1"/>
  <c r="S144" i="1"/>
  <c r="S143" i="1"/>
  <c r="V142" i="1"/>
  <c r="S142" i="1"/>
  <c r="S141" i="1"/>
  <c r="S140" i="1"/>
  <c r="V139" i="1"/>
  <c r="S139" i="1"/>
  <c r="V138" i="1"/>
  <c r="S138" i="1"/>
  <c r="V137" i="1"/>
  <c r="S137" i="1"/>
  <c r="V136" i="1"/>
  <c r="S136" i="1"/>
  <c r="S135" i="1"/>
  <c r="V134" i="1"/>
  <c r="S134" i="1"/>
  <c r="V133" i="1"/>
  <c r="S133" i="1"/>
  <c r="S132" i="1"/>
  <c r="V131" i="1"/>
  <c r="S131" i="1"/>
  <c r="V130" i="1"/>
  <c r="S130" i="1"/>
  <c r="V129" i="1"/>
  <c r="S129" i="1"/>
  <c r="V128" i="1"/>
  <c r="S128" i="1"/>
  <c r="S127" i="1"/>
  <c r="V126" i="1"/>
  <c r="S126" i="1"/>
  <c r="S125" i="1"/>
  <c r="S124" i="1"/>
  <c r="V123" i="1"/>
  <c r="S123" i="1"/>
  <c r="V122" i="1"/>
  <c r="S122" i="1"/>
  <c r="S121" i="1"/>
  <c r="S120" i="1"/>
  <c r="V119" i="1"/>
  <c r="S119" i="1"/>
  <c r="S118" i="1"/>
  <c r="S117" i="1"/>
  <c r="S116" i="1"/>
  <c r="S115" i="1"/>
  <c r="S114" i="1"/>
  <c r="S113" i="1"/>
  <c r="S112" i="1"/>
  <c r="V111" i="1"/>
  <c r="S111" i="1"/>
  <c r="V110" i="1"/>
  <c r="S110" i="1"/>
  <c r="S109" i="1"/>
  <c r="V108" i="1"/>
  <c r="S108" i="1"/>
  <c r="V107" i="1"/>
  <c r="S107" i="1"/>
  <c r="V106" i="1"/>
  <c r="S106" i="1"/>
  <c r="V105" i="1"/>
  <c r="S105" i="1"/>
  <c r="S104" i="1"/>
  <c r="V103" i="1"/>
  <c r="S103" i="1"/>
  <c r="V102" i="1"/>
  <c r="S102" i="1"/>
  <c r="V101" i="1"/>
  <c r="S101" i="1"/>
  <c r="V100" i="1"/>
  <c r="S100" i="1"/>
  <c r="V99" i="1"/>
  <c r="S99" i="1"/>
  <c r="V98" i="1"/>
  <c r="S98" i="1"/>
  <c r="V97" i="1"/>
  <c r="S97" i="1"/>
  <c r="S96" i="1"/>
  <c r="V95" i="1"/>
  <c r="S95" i="1"/>
  <c r="V94" i="1"/>
  <c r="S94" i="1"/>
  <c r="V93" i="1"/>
  <c r="S93" i="1"/>
  <c r="V92" i="1"/>
  <c r="S92" i="1"/>
  <c r="S91" i="1"/>
  <c r="V90" i="1"/>
  <c r="S90" i="1"/>
  <c r="V89" i="1"/>
  <c r="S89" i="1"/>
  <c r="V88" i="1"/>
  <c r="S88" i="1"/>
  <c r="S87" i="1"/>
  <c r="S86" i="1"/>
  <c r="S85" i="1"/>
  <c r="V84" i="1"/>
  <c r="S84" i="1"/>
  <c r="S83" i="1"/>
  <c r="S82" i="1"/>
  <c r="S81" i="1"/>
  <c r="V80" i="1"/>
  <c r="S80" i="1"/>
  <c r="Y79" i="1"/>
  <c r="S79" i="1"/>
  <c r="Y78" i="1"/>
  <c r="S78" i="1"/>
  <c r="S77" i="1"/>
  <c r="Y76" i="1"/>
  <c r="Z76" i="1"/>
  <c r="S76" i="1"/>
  <c r="S75" i="1"/>
  <c r="V74" i="1"/>
  <c r="S74" i="1"/>
  <c r="S73" i="1"/>
  <c r="V72" i="1"/>
  <c r="S72" i="1"/>
  <c r="S71" i="1"/>
  <c r="V70" i="1"/>
  <c r="S70" i="1"/>
  <c r="V69" i="1"/>
  <c r="S69" i="1"/>
  <c r="S68" i="1"/>
  <c r="S67" i="1"/>
  <c r="V66" i="1"/>
  <c r="S66" i="1"/>
  <c r="S65" i="1"/>
  <c r="V64" i="1"/>
  <c r="S64" i="1"/>
  <c r="S63" i="1"/>
  <c r="V62" i="1"/>
  <c r="S62" i="1"/>
  <c r="V61" i="1"/>
  <c r="S61" i="1"/>
  <c r="S60" i="1"/>
  <c r="V59" i="1"/>
  <c r="S59" i="1"/>
  <c r="V58" i="1"/>
  <c r="S58" i="1"/>
  <c r="S57" i="1"/>
  <c r="S56" i="1"/>
  <c r="V55" i="1"/>
  <c r="S55" i="1"/>
  <c r="S54" i="1"/>
  <c r="V53" i="1"/>
  <c r="S53" i="1"/>
  <c r="S52" i="1"/>
  <c r="V51" i="1"/>
  <c r="S51" i="1"/>
  <c r="S50" i="1"/>
  <c r="S49" i="1"/>
  <c r="S48" i="1"/>
  <c r="S47" i="1"/>
  <c r="V46" i="1"/>
  <c r="S46" i="1"/>
  <c r="V45" i="1"/>
  <c r="S45" i="1"/>
  <c r="S44" i="1"/>
  <c r="V43" i="1"/>
  <c r="S43" i="1"/>
  <c r="S42" i="1"/>
  <c r="V41" i="1"/>
  <c r="S41" i="1"/>
  <c r="V40" i="1"/>
  <c r="S40" i="1"/>
  <c r="S39" i="1"/>
  <c r="V38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V11" i="1"/>
  <c r="S11" i="1"/>
  <c r="U10" i="1"/>
  <c r="S10" i="1"/>
  <c r="V9" i="1"/>
  <c r="U9" i="1"/>
  <c r="S9" i="1"/>
  <c r="S8" i="1"/>
  <c r="S7" i="1"/>
  <c r="S6" i="1"/>
  <c r="S5" i="1"/>
  <c r="S4" i="1"/>
  <c r="S3" i="1"/>
  <c r="S2" i="1"/>
</calcChain>
</file>

<file path=xl/comments1.xml><?xml version="1.0" encoding="utf-8"?>
<comments xmlns="http://schemas.openxmlformats.org/spreadsheetml/2006/main">
  <authors>
    <author/>
  </authors>
  <commentList>
    <comment ref="H13" authorId="0">
      <text>
        <r>
          <rPr>
            <sz val="10"/>
            <color rgb="FF000000"/>
            <rFont val="Arial"/>
          </rPr>
          <t>changement de nom</t>
        </r>
      </text>
    </comment>
    <comment ref="H63" authorId="0">
      <text>
        <r>
          <rPr>
            <sz val="10"/>
            <color rgb="FF000000"/>
            <rFont val="Arial"/>
          </rPr>
          <t>changement de nom</t>
        </r>
      </text>
    </comment>
    <comment ref="H91" authorId="0">
      <text>
        <r>
          <rPr>
            <sz val="10"/>
            <color rgb="FF000000"/>
            <rFont val="Arial"/>
          </rPr>
          <t>changement de nom</t>
        </r>
      </text>
    </comment>
    <comment ref="H135" authorId="0">
      <text>
        <r>
          <rPr>
            <sz val="10"/>
            <color rgb="FF000000"/>
            <rFont val="Arial"/>
          </rPr>
          <t xml:space="preserve">changement nom
</t>
        </r>
      </text>
    </comment>
    <comment ref="I142" authorId="0">
      <text>
        <r>
          <rPr>
            <sz val="10"/>
            <color rgb="FF000000"/>
            <rFont val="Arial"/>
          </rPr>
          <t>SmaI pas bon
	-Deniz dalkara mourot</t>
        </r>
      </text>
    </comment>
    <comment ref="I156" authorId="0">
      <text>
        <r>
          <rPr>
            <sz val="10"/>
            <color rgb="FF000000"/>
            <rFont val="Arial"/>
          </rPr>
          <t>Ce plasmide est pourri!
	-Equipe Biotherapie</t>
        </r>
      </text>
    </comment>
    <comment ref="H160" authorId="0">
      <text>
        <r>
          <rPr>
            <sz val="10"/>
            <color rgb="FF000000"/>
            <rFont val="Arial"/>
          </rPr>
          <t>Corrigé
	-Mélissa Desrosiers</t>
        </r>
      </text>
    </comment>
    <comment ref="H161" authorId="0">
      <text>
        <r>
          <rPr>
            <sz val="10"/>
            <color rgb="FF000000"/>
            <rFont val="Arial"/>
          </rPr>
          <t>Corrigé
	-Mélissa Desrosiers</t>
        </r>
      </text>
    </comment>
    <comment ref="H175" authorId="0">
      <text>
        <r>
          <rPr>
            <sz val="10"/>
            <color rgb="FF000000"/>
            <rFont val="Arial"/>
          </rPr>
          <t>SmaI pas bon
	-Deniz dalkara mourot</t>
        </r>
      </text>
    </comment>
    <comment ref="H212" authorId="0">
      <text>
        <r>
          <rPr>
            <sz val="10"/>
            <color rgb="FF000000"/>
            <rFont val="Arial"/>
          </rPr>
          <t>SmaI pas bon
	-Deniz dalkara mourot</t>
        </r>
      </text>
    </comment>
    <comment ref="H222" authorId="0">
      <text>
        <r>
          <rPr>
            <sz val="10"/>
            <color rgb="FF000000"/>
            <rFont val="Arial"/>
          </rPr>
          <t>smaI pas bon
	-Deniz dalkara mourot</t>
        </r>
      </text>
    </comment>
    <comment ref="H230" authorId="0">
      <text>
        <r>
          <rPr>
            <sz val="10"/>
            <color rgb="FF000000"/>
            <rFont val="Arial"/>
          </rPr>
          <t xml:space="preserve">changement nom
</t>
        </r>
      </text>
    </comment>
    <comment ref="H240" authorId="0">
      <text>
        <r>
          <rPr>
            <sz val="10"/>
            <color rgb="FF000000"/>
            <rFont val="Arial"/>
          </rPr>
          <t xml:space="preserve">changement nom
</t>
        </r>
      </text>
    </comment>
    <comment ref="H262" authorId="0">
      <text>
        <r>
          <rPr>
            <sz val="10"/>
            <color rgb="FF000000"/>
            <rFont val="Arial"/>
          </rPr>
          <t xml:space="preserve">changement nom
</t>
        </r>
      </text>
    </comment>
    <comment ref="I317" authorId="0">
      <text>
        <r>
          <rPr>
            <sz val="10"/>
            <color rgb="FF000000"/>
            <rFont val="Arial"/>
          </rPr>
          <t>ITR reparé
	-Deniz dalkara mourot</t>
        </r>
      </text>
    </comment>
    <comment ref="Q337" authorId="0">
      <text>
        <r>
          <rPr>
            <sz val="10"/>
            <color rgb="FF000000"/>
            <rFont val="Arial"/>
          </rPr>
          <t>Attention: il y a un soucis avec la dosage- merci de verifier DNase+ ProteinaseK
	-Deniz dalkara mourot</t>
        </r>
      </text>
    </comment>
    <comment ref="I415" authorId="0">
      <text>
        <r>
          <rPr>
            <sz val="10"/>
            <color rgb="FF000000"/>
            <rFont val="Arial"/>
          </rPr>
          <t>360 c'est SNCG.La version ITR corrigés pour CMV = 436.
	-Equipe Biotherapie</t>
        </r>
      </text>
    </comment>
    <comment ref="I526" authorId="0">
      <text>
        <r>
          <rPr>
            <sz val="10"/>
            <color rgb="FF000000"/>
            <rFont val="Arial"/>
          </rPr>
          <t>On a un probleme avec ce plasmide et je ne sais pas quoi faire. Discutons ensemble pour trouver une solution pour monter le titre de cette prod
	-Deniz dalkara mourot
Changer le backbone n'a pas amelioré le titre- il me semble que Céline devait recloner CMV a la place du SNCG dans 349. C'est bien ca?
	-Deniz dalkara mourot</t>
        </r>
      </text>
    </comment>
    <comment ref="E551" authorId="0">
      <text>
        <r>
          <rPr>
            <sz val="10"/>
            <color rgb="FF000000"/>
            <rFont val="Arial"/>
          </rPr>
          <t>Méli, je viens d'ajouter celui ci dans la liste- c est plus important que le Chrimson-FLAG donc a faire en premier
	-Deniz dalkara mourot</t>
        </r>
      </text>
    </comment>
    <comment ref="Q581" authorId="0">
      <text>
        <r>
          <rPr>
            <sz val="10"/>
            <color rgb="FF000000"/>
            <rFont val="Arial"/>
          </rPr>
          <t>Peut etre ca voudra le coup de retitrer ces prods?
	-Deniz dalkara mourot</t>
        </r>
      </text>
    </comment>
    <comment ref="I630" authorId="0">
      <text>
        <r>
          <rPr>
            <sz val="10"/>
            <color rgb="FF000000"/>
            <rFont val="Arial"/>
          </rPr>
          <t>Do not use this one, use 510
	-Equipe Biotherapie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257" authorId="0">
      <text>
        <r>
          <rPr>
            <sz val="10"/>
            <color rgb="FF000000"/>
            <rFont val="Arial"/>
          </rPr>
          <t>Pas H134R comme précédemment nommé!
	-Mélissa Desrosiers</t>
        </r>
      </text>
    </comment>
    <comment ref="D457" authorId="0">
      <text>
        <r>
          <rPr>
            <sz val="10"/>
            <color rgb="FF000000"/>
            <rFont val="Arial"/>
          </rPr>
          <t>Par rapport a quoi?
	-Equipe Biotherapie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357" authorId="0">
      <text>
        <r>
          <rPr>
            <sz val="10"/>
            <color rgb="FF000000"/>
            <rFont val="Arial"/>
          </rPr>
          <t>Je viens de te mettre une formule; si tu la copie dans les autre cellules, tu n'a plus qu'a mettre le # de plasmide et le nom va apparaitre tout seul</t>
        </r>
      </text>
    </comment>
  </commentList>
</comments>
</file>

<file path=xl/sharedStrings.xml><?xml version="1.0" encoding="utf-8"?>
<sst xmlns="http://schemas.openxmlformats.org/spreadsheetml/2006/main" count="23909" uniqueCount="6051">
  <si>
    <t xml:space="preserve"> ,</t>
  </si>
  <si>
    <t>Projet</t>
  </si>
  <si>
    <t>Plasmide</t>
  </si>
  <si>
    <t>Modele animale</t>
  </si>
  <si>
    <t>Modele animal</t>
  </si>
  <si>
    <t>Cellule cible</t>
  </si>
  <si>
    <t>AAV serotype</t>
  </si>
  <si>
    <t>Numero de plasmide (serotype)</t>
  </si>
  <si>
    <t>Numéro de plasmide (backbone)</t>
  </si>
  <si>
    <t>Enzyme(s) utilisée(s pour la digestion</t>
  </si>
  <si>
    <t>Numero de plasmide (insert)</t>
  </si>
  <si>
    <t>Numero de midi</t>
  </si>
  <si>
    <t>Transgene</t>
  </si>
  <si>
    <t>Numero de plasmide (transgene)</t>
  </si>
  <si>
    <t>Quantité demandé</t>
  </si>
  <si>
    <t>Date du demande</t>
  </si>
  <si>
    <t>Amorce F</t>
  </si>
  <si>
    <t>Amorce R</t>
  </si>
  <si>
    <t>Date de production</t>
  </si>
  <si>
    <t>Type de plasmide</t>
  </si>
  <si>
    <t>Numero de prod</t>
  </si>
  <si>
    <t>Construction voulu</t>
  </si>
  <si>
    <t>Date de la demande</t>
  </si>
  <si>
    <t>Titre final</t>
  </si>
  <si>
    <t>Titre nouvelle meth DNAse PK (titres=3-5x ATCC)</t>
  </si>
  <si>
    <t>DOSAGE ATCC 2</t>
  </si>
  <si>
    <t>rapporté à l'ATCC 2</t>
  </si>
  <si>
    <t>Resultat sur HEK</t>
  </si>
  <si>
    <t>GEL AAV</t>
  </si>
  <si>
    <t>Volume final</t>
  </si>
  <si>
    <t>Fin du lot</t>
  </si>
  <si>
    <t>Note</t>
  </si>
  <si>
    <t>Notes</t>
  </si>
  <si>
    <t>Facturé?</t>
  </si>
  <si>
    <t>Opto?</t>
  </si>
  <si>
    <t>Date de séquençage</t>
  </si>
  <si>
    <t>Taille (Kb)</t>
  </si>
  <si>
    <t>SmaI?</t>
  </si>
  <si>
    <t>Prep(s) testée(s)</t>
  </si>
  <si>
    <t>Dérive de (back bone)</t>
  </si>
  <si>
    <t>Profil validé par</t>
  </si>
  <si>
    <t>Donné par / Cloné par</t>
  </si>
  <si>
    <t>Catégorie</t>
  </si>
  <si>
    <t>Stock Gly  Bte #</t>
  </si>
  <si>
    <t>Commentaires</t>
  </si>
  <si>
    <t>Prep</t>
  </si>
  <si>
    <t>[conc] µg/µl</t>
  </si>
  <si>
    <t>Numero de plasmide (vérifié)</t>
  </si>
  <si>
    <t>Numéro du clonage</t>
  </si>
  <si>
    <t>pLVi-VMD2-GFP</t>
  </si>
  <si>
    <t xml:space="preserve">Jens </t>
  </si>
  <si>
    <t>Tandem</t>
  </si>
  <si>
    <t>Deniz</t>
  </si>
  <si>
    <t>AAV simple brin</t>
  </si>
  <si>
    <t>NNRI</t>
  </si>
  <si>
    <t>Primate</t>
  </si>
  <si>
    <t>ssmCAr-ChR2-mKATE-eNpHR-</t>
  </si>
  <si>
    <t>Cones</t>
  </si>
  <si>
    <t>AAV2-7m8</t>
  </si>
  <si>
    <t>mCAR-eGFP</t>
  </si>
  <si>
    <t>&gt;100 ul @ &gt;10E14</t>
  </si>
  <si>
    <t>239/240</t>
  </si>
  <si>
    <t>Maruša (InFu 14)</t>
  </si>
  <si>
    <t>XhoI/NotI</t>
  </si>
  <si>
    <t>222 et 224</t>
  </si>
  <si>
    <t>ssCMV-ChR2-mKATE-eNpHR-</t>
  </si>
  <si>
    <t>284/285</t>
  </si>
  <si>
    <t>InFu 7</t>
  </si>
  <si>
    <t>284 : D156A et 285 : H134R</t>
  </si>
  <si>
    <t>Optovision</t>
  </si>
  <si>
    <t>RGC</t>
  </si>
  <si>
    <t>AgeI</t>
  </si>
  <si>
    <t>CMV-hCaTCh-GFP</t>
  </si>
  <si>
    <t>22/07/2013</t>
  </si>
  <si>
    <t>22/08/13</t>
  </si>
  <si>
    <t>InFu 8</t>
  </si>
  <si>
    <t>KpnI / XbaI</t>
  </si>
  <si>
    <t>SNCG-GFP</t>
  </si>
  <si>
    <t>InFu 6</t>
  </si>
  <si>
    <t>BsaAI</t>
  </si>
  <si>
    <t>Tala</t>
  </si>
  <si>
    <t>Lenti rapporteur</t>
  </si>
  <si>
    <t>-</t>
  </si>
  <si>
    <t>maxi du 25/11/09</t>
  </si>
  <si>
    <t>1,8 environ</t>
  </si>
  <si>
    <t xml:space="preserve">  </t>
  </si>
  <si>
    <t>N/A</t>
  </si>
  <si>
    <t>pTrip-Rho-GFPdU3</t>
  </si>
  <si>
    <t>sterile</t>
  </si>
  <si>
    <t>XhoI/KpnI</t>
  </si>
  <si>
    <t>Alexis</t>
  </si>
  <si>
    <t>backbone Hlox ou pTrip à confirmer</t>
  </si>
  <si>
    <t>maxi du ??</t>
  </si>
  <si>
    <t>pAAV-CMV-NL-ires-GFP</t>
  </si>
  <si>
    <t>Age I et Hind III</t>
  </si>
  <si>
    <t>Mélissa</t>
  </si>
  <si>
    <t>AAV</t>
  </si>
  <si>
    <t>Midi du  12/08/09</t>
  </si>
  <si>
    <t>sequencage</t>
  </si>
  <si>
    <t>pENTR</t>
  </si>
  <si>
    <t>Maxi du 10/11/09</t>
  </si>
  <si>
    <t>pENTR/D-VMD2</t>
  </si>
  <si>
    <t>PvuII, EcoRI</t>
  </si>
  <si>
    <t>StuI/EcoRI</t>
  </si>
  <si>
    <t>06/2012</t>
  </si>
  <si>
    <t>SNCG-hCaTCh-GFP sans SV40</t>
  </si>
  <si>
    <t>midi du 18/11/09</t>
  </si>
  <si>
    <t>pAAV-CMV-V65ires GFP</t>
  </si>
  <si>
    <t>AgeI et HindIII</t>
  </si>
  <si>
    <t>Midi du 03/09/09</t>
  </si>
  <si>
    <t>pAAV-CMV-V65</t>
  </si>
  <si>
    <t>AAV transgene</t>
  </si>
  <si>
    <t>ss ou sc à vérifier</t>
  </si>
  <si>
    <t>maxi du 15/9/9</t>
  </si>
  <si>
    <t>pAAV-CMV-NL</t>
  </si>
  <si>
    <t>BamHI</t>
  </si>
  <si>
    <t>AAV transgene ctrl</t>
  </si>
  <si>
    <t>maxi du 15/09/09</t>
  </si>
  <si>
    <t>pLVi-EF1-dU3</t>
  </si>
  <si>
    <t>NotI, NotI/XhoI</t>
  </si>
  <si>
    <t>Charneau Lab</t>
  </si>
  <si>
    <t>Lenti</t>
  </si>
  <si>
    <t>mini du 14/01/10</t>
  </si>
  <si>
    <t>pLVi-EF1-wdU3</t>
  </si>
  <si>
    <t>maxi du 07/01/10</t>
  </si>
  <si>
    <t>pRepCap4</t>
  </si>
  <si>
    <t>Rep2 Cap2</t>
  </si>
  <si>
    <t>KpnI, EcoRI + sequençage</t>
  </si>
  <si>
    <t>Généthon</t>
  </si>
  <si>
    <t>AAV packaging</t>
  </si>
  <si>
    <t>mini du 6/8/2010</t>
  </si>
  <si>
    <t>pLVi-PGK-LacZ</t>
  </si>
  <si>
    <t>seq cppt-F et dU3-R</t>
  </si>
  <si>
    <t>l'insert est un nlsLacZ</t>
  </si>
  <si>
    <t>mini du 11/8/2010</t>
  </si>
  <si>
    <t>InFu 12</t>
  </si>
  <si>
    <t>pssAAV-CAG-ChR2d(L132C)-nlsGFP</t>
  </si>
  <si>
    <t>ss</t>
  </si>
  <si>
    <t>x</t>
  </si>
  <si>
    <t>Gensight</t>
  </si>
  <si>
    <t>hCAR-NpHR-GFP (253)</t>
  </si>
  <si>
    <t>?</t>
  </si>
  <si>
    <t>Roska Lab</t>
  </si>
  <si>
    <t>AAV9-7m8</t>
  </si>
  <si>
    <t>Profil non vérifié</t>
  </si>
  <si>
    <t>mini du 30/07/10</t>
  </si>
  <si>
    <t>&gt;100 ul @ &gt;10E10</t>
  </si>
  <si>
    <t>pXR2</t>
  </si>
  <si>
    <t>UNC Chapel Hill</t>
  </si>
  <si>
    <t>!! Séquence du fichier ne manager fausse</t>
  </si>
  <si>
    <t>mini dur 22/7/2010</t>
  </si>
  <si>
    <t>pGEM-T/easy</t>
  </si>
  <si>
    <t>promega</t>
  </si>
  <si>
    <t>hCAR-NpHR-noGFP</t>
  </si>
  <si>
    <t>mini du 24/08/10</t>
  </si>
  <si>
    <t>30/07/2013</t>
  </si>
  <si>
    <t>16/08/13</t>
  </si>
  <si>
    <t>bRho-mCherry</t>
  </si>
  <si>
    <t>Eleonore</t>
  </si>
  <si>
    <t>Rapporteur</t>
  </si>
  <si>
    <t>expression GFP chez le primate</t>
  </si>
  <si>
    <t>Deniz/Jens</t>
  </si>
  <si>
    <t>Primate/human explant</t>
  </si>
  <si>
    <t>pAAV8</t>
  </si>
  <si>
    <t>KpnI/AgeI HF</t>
  </si>
  <si>
    <t>non validé</t>
  </si>
  <si>
    <t>AAV double brin</t>
  </si>
  <si>
    <t>Garcia Lab (G, Précigout)</t>
  </si>
  <si>
    <t>sc-hCAR-GFP</t>
  </si>
  <si>
    <t>InFu3</t>
  </si>
  <si>
    <t>! Pas de carte</t>
  </si>
  <si>
    <t>mini du 11/05/11</t>
  </si>
  <si>
    <t>pXX6-80</t>
  </si>
  <si>
    <t>!! Séquence du fichier clone manager fausse</t>
  </si>
  <si>
    <t>giga du 29/08/2011</t>
  </si>
  <si>
    <t>pXR4</t>
  </si>
  <si>
    <t>KpnI</t>
  </si>
  <si>
    <t>Primate RP</t>
  </si>
  <si>
    <t>Souris</t>
  </si>
  <si>
    <t>mini du 15/12/2010</t>
  </si>
  <si>
    <t>pXR5</t>
  </si>
  <si>
    <t>PvuII</t>
  </si>
  <si>
    <t>pXR6</t>
  </si>
  <si>
    <t>HindIII/BamHI</t>
  </si>
  <si>
    <t>pscAAV-CMV-GFP</t>
  </si>
  <si>
    <t>pas de WPRE</t>
  </si>
  <si>
    <t>ok ? (pas carte)</t>
  </si>
  <si>
    <t>Batonnets</t>
  </si>
  <si>
    <t>mini du ?</t>
  </si>
  <si>
    <t>SmaI</t>
  </si>
  <si>
    <t>AAV rapporteur</t>
  </si>
  <si>
    <t>!! Séquence du fichier clone manager probablement fausse</t>
  </si>
  <si>
    <t>mCAR-eNpHR (199)</t>
  </si>
  <si>
    <t>maxi du 11/02/2011</t>
  </si>
  <si>
    <t>sc-mCAR-GFP</t>
  </si>
  <si>
    <t>pLVi-PGK-GFP-WdU3</t>
  </si>
  <si>
    <t>InFu4</t>
  </si>
  <si>
    <t>scCAG-GFP</t>
  </si>
  <si>
    <t>BamHI/KpnI</t>
  </si>
  <si>
    <t>Jens / Olivier</t>
  </si>
  <si>
    <t>GCamp</t>
  </si>
  <si>
    <t>KpNI/HindIII</t>
  </si>
  <si>
    <t>maxi du ???</t>
  </si>
  <si>
    <t>40753 - pGP-CMV-GCaMP6s</t>
  </si>
  <si>
    <t>pRepCap4-Y444F</t>
  </si>
  <si>
    <t>pscAAV-CMV-GCaMPs</t>
  </si>
  <si>
    <t>EcoRI</t>
  </si>
  <si>
    <t>giga du 10/09/10</t>
  </si>
  <si>
    <t>pLVi-EF1-Rfb-dU3</t>
  </si>
  <si>
    <t>Peggy</t>
  </si>
  <si>
    <t>Lenti pDest</t>
  </si>
  <si>
    <t>InFu13</t>
  </si>
  <si>
    <t>40754 - pGP-CMV-GCaMP6m</t>
  </si>
  <si>
    <t>pscAAV-CMV-GCaMPm</t>
  </si>
  <si>
    <t>40755 - pGP-CMV-GCaMP6f</t>
  </si>
  <si>
    <t>pscAAV-CMV-GCaMPf</t>
  </si>
  <si>
    <t>BglII/HindII</t>
  </si>
  <si>
    <t>42874 - pRSET-RCaMP1h</t>
  </si>
  <si>
    <t>pscAAVCMV-RCaMP1h</t>
  </si>
  <si>
    <t>InFu13D</t>
  </si>
  <si>
    <t>Gengisht</t>
  </si>
  <si>
    <t>pLVi-EF1-Rfb-wdU3</t>
  </si>
  <si>
    <t>HEK cells</t>
  </si>
  <si>
    <t>SalI</t>
  </si>
  <si>
    <t>AgeI/HindIII</t>
  </si>
  <si>
    <t>scCAG-eNpHR-YFP</t>
  </si>
  <si>
    <t>InFu15</t>
  </si>
  <si>
    <t>pLVi-EF1-GFP-wdU3</t>
  </si>
  <si>
    <t>cppT-MluI-F et GFP-R</t>
  </si>
  <si>
    <t>p8,7</t>
  </si>
  <si>
    <t>Lenti packaging</t>
  </si>
  <si>
    <t>pMD2G</t>
  </si>
  <si>
    <t>EcoRI, EcoRV</t>
  </si>
  <si>
    <t>Trono Lab</t>
  </si>
  <si>
    <t>maxi du 28/1/11</t>
  </si>
  <si>
    <t>p8,9</t>
  </si>
  <si>
    <t>lavage du 28/01/11</t>
  </si>
  <si>
    <t>pAAV-Helper</t>
  </si>
  <si>
    <t>Mircen</t>
  </si>
  <si>
    <t>maxi 25/11/11</t>
  </si>
  <si>
    <t>pLVi-BGHpolyA-dU3</t>
  </si>
  <si>
    <t>AvaI</t>
  </si>
  <si>
    <t>Hek cells</t>
  </si>
  <si>
    <t>mini du 28/01/10</t>
  </si>
  <si>
    <t>scCAG-NpHR-GFP</t>
  </si>
  <si>
    <t>pssAAV-CMV-GFP-WPRE</t>
  </si>
  <si>
    <t>mauvais</t>
  </si>
  <si>
    <t>minis (?)</t>
  </si>
  <si>
    <t>SalI/NotI</t>
  </si>
  <si>
    <t>stock glycerol à faire à jeter Problème ITR</t>
  </si>
  <si>
    <t>mini 30/11/11</t>
  </si>
  <si>
    <t>1/0/00</t>
  </si>
  <si>
    <t>pLVi-BGHolyA-Rfb-dU3</t>
  </si>
  <si>
    <t>NotI</t>
  </si>
  <si>
    <t>mini du 03/02/10</t>
  </si>
  <si>
    <t>pLVi-BGHpolyA-Rfb(invert)-dU3</t>
  </si>
  <si>
    <t>pENTR-dTOPO-hRho</t>
  </si>
  <si>
    <t>Mini du 16/04/11</t>
  </si>
  <si>
    <t>pLVi-BGH-Rfb-EF1-dU3</t>
  </si>
  <si>
    <t>scCAG-NpHR</t>
  </si>
  <si>
    <t>InFu15c</t>
  </si>
  <si>
    <t>mini du 23/02/2010</t>
  </si>
  <si>
    <t>pCIG-BF</t>
  </si>
  <si>
    <t>Vecteur commercial</t>
  </si>
  <si>
    <t>pDest</t>
  </si>
  <si>
    <t>Maxi du 14/05/10</t>
  </si>
  <si>
    <t>pCIG-hRho</t>
  </si>
  <si>
    <t>pHcRed1-Nuc</t>
  </si>
  <si>
    <t>BglI</t>
  </si>
  <si>
    <t>Midi 08/02/2012</t>
  </si>
  <si>
    <t>KpnI/NcoI</t>
  </si>
  <si>
    <t>pGEM-T/easy-bRHOprom</t>
  </si>
  <si>
    <t>simple brin</t>
  </si>
  <si>
    <t>sshCar-GFP</t>
  </si>
  <si>
    <t>Adeline</t>
  </si>
  <si>
    <t>C0</t>
  </si>
  <si>
    <t>mini du 09/09/2010</t>
  </si>
  <si>
    <t>digestion + fill in + ligation+ Mutagenese dirigée</t>
  </si>
  <si>
    <t>pENTR/D-topo-hRhoP347L</t>
  </si>
  <si>
    <t>105µl</t>
  </si>
  <si>
    <t>quasi</t>
  </si>
  <si>
    <t>pEntr</t>
  </si>
  <si>
    <t>AflII/BamHI</t>
  </si>
  <si>
    <t>mini du 20/09/2010</t>
  </si>
  <si>
    <t>pLVi-BGH-Rfb-bRHOprom-dU3</t>
  </si>
  <si>
    <t>ss-hCAr-eNpHR</t>
  </si>
  <si>
    <t>Mélissa/Adeline</t>
  </si>
  <si>
    <t>InFu19</t>
  </si>
  <si>
    <t>Bipolaires</t>
  </si>
  <si>
    <t>scCAG-GFP (120</t>
  </si>
  <si>
    <t>ageI/KpnI</t>
  </si>
  <si>
    <t>Pas de carte</t>
  </si>
  <si>
    <t xml:space="preserve">sc-4xGRm6-GFP
</t>
  </si>
  <si>
    <t>mini du 17/09/2010</t>
  </si>
  <si>
    <t>InFu17 (Céline) Long</t>
  </si>
  <si>
    <t>pLVi-BGH-hRhoWT-EF1-dU3</t>
  </si>
  <si>
    <t>maxi du 23/09/2010</t>
  </si>
  <si>
    <t>pLVi-BGH-hRhoP347L-EF1-dU3</t>
  </si>
  <si>
    <t>AgeI/KpnI</t>
  </si>
  <si>
    <t xml:space="preserve">sc-1xGRm6-GFP
</t>
  </si>
  <si>
    <t>pLVi-BGH-hRhoWT-bRHOprom-dU3</t>
  </si>
  <si>
    <t>HEK</t>
  </si>
  <si>
    <t>AAV1</t>
  </si>
  <si>
    <t>maxi du 04/10/2010</t>
  </si>
  <si>
    <t>CMV-GFP</t>
  </si>
  <si>
    <t>pLVi-BGH-hRhoP347L-bRHOprom-dU3</t>
  </si>
  <si>
    <t>&gt;30 ul @ &gt;10E12</t>
  </si>
  <si>
    <t>15/06/2012</t>
  </si>
  <si>
    <t>maxi du 04/10/2011</t>
  </si>
  <si>
    <t>pLVi-PGK-Rfbinvert</t>
  </si>
  <si>
    <t>PCR colonies attR2-F/dU3-R</t>
  </si>
  <si>
    <t>pTrip-Rfc-GFP</t>
  </si>
  <si>
    <t>Ravassard lab</t>
  </si>
  <si>
    <t>stock glycerol à faire</t>
  </si>
  <si>
    <t>pscAAV-CMV-Rfa</t>
  </si>
  <si>
    <t>sc</t>
  </si>
  <si>
    <t>InFu17 (Céline) (Court)</t>
  </si>
  <si>
    <t>GFP+</t>
  </si>
  <si>
    <t>AAV pDest</t>
  </si>
  <si>
    <t>pscAAV-CMV-Rfa invert</t>
  </si>
  <si>
    <t>213+244 + mutagenese</t>
  </si>
  <si>
    <t>pscAAV-Rfa-GFP</t>
  </si>
  <si>
    <t>SNCG-hCaTCh-GFP</t>
  </si>
  <si>
    <t>9/8/2013 pour le clonage 16/08/13 pour la mutagenese</t>
  </si>
  <si>
    <t>273/ 275</t>
  </si>
  <si>
    <t>InFu 5</t>
  </si>
  <si>
    <t>pscAAV-hSNCG-GFP</t>
  </si>
  <si>
    <t>AgeI, PvuII</t>
  </si>
  <si>
    <t>pEntr-221- ApoE3</t>
  </si>
  <si>
    <t>Guilloneau</t>
  </si>
  <si>
    <t>SNCG-hCATCH-GFP + SpeI (336)</t>
  </si>
  <si>
    <t>SpeI</t>
  </si>
  <si>
    <t>Mini du 20/12/10</t>
  </si>
  <si>
    <t>pDONR 221mm Ccl2</t>
  </si>
  <si>
    <t>SNCG-hCaTCh-MDB-GFP</t>
  </si>
  <si>
    <t>16/11/13</t>
  </si>
  <si>
    <t>InFu20</t>
  </si>
  <si>
    <t>pDONR 221mm FASL</t>
  </si>
  <si>
    <t>site SpeI sur le backbone crée par mutagénèse dirigée avec les primers 402/401 sur le plasmide 279</t>
  </si>
  <si>
    <t>pERK5cDNAhRho Elise</t>
  </si>
  <si>
    <t>non validé (Elise)</t>
  </si>
  <si>
    <t>Mini du 30/03/2011</t>
  </si>
  <si>
    <t>pLVi-EF1-GFP-dU3</t>
  </si>
  <si>
    <t>AgeI, NotI</t>
  </si>
  <si>
    <t>CMV-hCATCH-GFP + SpeI (335)</t>
  </si>
  <si>
    <t>Retine ttm</t>
  </si>
  <si>
    <t>pEntr/D-Topo</t>
  </si>
  <si>
    <t>CMV-hCaTCh-MDB-GFP</t>
  </si>
  <si>
    <t>pLVi-BGH-GFP-bRHOprom-dU3</t>
  </si>
  <si>
    <t>maxi du 11/05/2011</t>
  </si>
  <si>
    <t>pDONR 221</t>
  </si>
  <si>
    <t>site SpeI sur le backbone crée par mutagénèse dirigée avec les primers 402/401 sur le plasmide 257</t>
  </si>
  <si>
    <t>Sequencage</t>
  </si>
  <si>
    <t>Seq dans 120420 Seq pDONOR</t>
  </si>
  <si>
    <t>Mini du 13/04/12 par Elise</t>
  </si>
  <si>
    <t>pEntr/D-Topo-CTSD</t>
  </si>
  <si>
    <t>CTSD-F, CTSD-R, CTSD555-F, M13-F et R</t>
  </si>
  <si>
    <t>pcDNA3:1-CTSD</t>
  </si>
  <si>
    <t>pLVi-PGK-Rfb-WdU3</t>
  </si>
  <si>
    <t>EcoRI, XhoI/KpnI</t>
  </si>
  <si>
    <t>mini du 7/7/11</t>
  </si>
  <si>
    <t>pLVi-VMD2-CTSD-WPREdU3</t>
  </si>
  <si>
    <t>midi 01/02/2012</t>
  </si>
  <si>
    <t>AAV10</t>
  </si>
  <si>
    <t>Midi EF 30/01/12</t>
  </si>
  <si>
    <t>AAV5 Y719F</t>
  </si>
  <si>
    <t>pCIG-hRho-P347L</t>
  </si>
  <si>
    <t>Elise Orhan</t>
  </si>
  <si>
    <t>Maxi 09/06/10</t>
  </si>
  <si>
    <t>pssAAV2-mPGK-hCxcr4-RfpA-BhCh2kv-bGHpolyA</t>
  </si>
  <si>
    <t>SmaI AgeI</t>
  </si>
  <si>
    <t>PGK-F, WPRE2-R</t>
  </si>
  <si>
    <t>pLVi-mPGK-hCxcr4-RfpA-BhCh2kv-bGHpolyA</t>
  </si>
  <si>
    <t>336 SNCG-hCATCH-GFP + SpeI</t>
  </si>
  <si>
    <t>Not I + SpeI</t>
  </si>
  <si>
    <t>pLVi-arr3-eNphR-YFP-dU3</t>
  </si>
  <si>
    <t>x?</t>
  </si>
  <si>
    <t>mini du 22/09/2011</t>
  </si>
  <si>
    <t>pGEM/T-easy-WPRE</t>
  </si>
  <si>
    <t>mini du 15/11/2011</t>
  </si>
  <si>
    <t>pLVi-VMD2-Rfb-WdU3</t>
  </si>
  <si>
    <t>stock gly à faire !</t>
  </si>
  <si>
    <t>mini du 17/2/11</t>
  </si>
  <si>
    <t>pTrip-iresGFP</t>
  </si>
  <si>
    <t>stock gly à faire ! seq cppt-F et dU3-R</t>
  </si>
  <si>
    <t>pLVi-VMD2-ApoE3-w-dU3</t>
  </si>
  <si>
    <t>Maxi du 28/01/11</t>
  </si>
  <si>
    <t>pLVi-VMD2-FasL-w-dU3</t>
  </si>
  <si>
    <t>pLVi-VMD2-ccl2-w-dU3</t>
  </si>
  <si>
    <t>Maxi du 11/02/11</t>
  </si>
  <si>
    <t>pcDNA6,2-GFP</t>
  </si>
  <si>
    <t>BsrGI</t>
  </si>
  <si>
    <t>PG3-12297-eGFP_delITR3</t>
  </si>
  <si>
    <t>pLVi-EF1-Rfb invert-dU3</t>
  </si>
  <si>
    <t>pLVi-EF1-Rfb invert-wdU3</t>
  </si>
  <si>
    <t>pssAAV-PGK-GFP-WPRE</t>
  </si>
  <si>
    <t>Stock glycérol a faire; Plasmide original de Mircen</t>
  </si>
  <si>
    <t>Maxi MIRCen</t>
  </si>
  <si>
    <t>sc-CAG-eCFP</t>
  </si>
  <si>
    <t>sc-CAG-RFP</t>
  </si>
  <si>
    <t>ok</t>
  </si>
  <si>
    <t>midi 26/09/12</t>
  </si>
  <si>
    <t>pHR'-CMV-GFP</t>
  </si>
  <si>
    <t>pLVi-VMD2-wdU3</t>
  </si>
  <si>
    <t>SNCG-hCaTCh-no GFP</t>
  </si>
  <si>
    <t>pcDNA3,1-hCxcr4-RfpA-BhChR2kv</t>
  </si>
  <si>
    <t>bamberg lab, Phil Wood</t>
  </si>
  <si>
    <t>pcDNA3,1</t>
  </si>
  <si>
    <t>pTR-EGFP</t>
  </si>
  <si>
    <t>NotI, AgeI, BglI, PstI, SalI</t>
  </si>
  <si>
    <t>Carte ok, Séquence fausse,  à jeter</t>
  </si>
  <si>
    <t>pssAAV-mCAR-Jaws-GFP</t>
  </si>
  <si>
    <t>ex Halo57</t>
  </si>
  <si>
    <t>pssAAV-mCAR-MAC-GFP</t>
  </si>
  <si>
    <t>pssAAV-mCAR-ArchT-GFP</t>
  </si>
  <si>
    <t>maxi du 20/06/11</t>
  </si>
  <si>
    <t>pssAAV-mCAR-eNphR-eYFP</t>
  </si>
  <si>
    <t>YFP-ER TAG</t>
  </si>
  <si>
    <t>midi du ?, mini du ?</t>
  </si>
  <si>
    <t>pssAAV-mCAR-GFP</t>
  </si>
  <si>
    <t>TM-LacZ ou XX2-LacZ</t>
  </si>
  <si>
    <t>plasmide identifié XX2-LacZ sur le MTA, mais TM-LacZ sur le tube reçu, Pas de carte, stock gly à faire</t>
  </si>
  <si>
    <t>prep Chapel Hill</t>
  </si>
  <si>
    <t>pLVi-SNCG-GFP-dU3</t>
  </si>
  <si>
    <t>pENTR/D-topo-GFP</t>
  </si>
  <si>
    <t>pENtr</t>
  </si>
  <si>
    <t>pAAV9</t>
  </si>
  <si>
    <t>pas de carte !</t>
  </si>
  <si>
    <t>mini du 11/09/11</t>
  </si>
  <si>
    <t>pAAV7</t>
  </si>
  <si>
    <t>pssAAV-EF1a-ChR2d(L132C)-2A-nlsGFP</t>
  </si>
  <si>
    <t>mini 04/11/11</t>
  </si>
  <si>
    <t>pssAAV-CAG-ChR2c (C128T)-nlsGFP</t>
  </si>
  <si>
    <t xml:space="preserve"> ?</t>
  </si>
  <si>
    <t xml:space="preserve"> Roska lab</t>
  </si>
  <si>
    <t xml:space="preserve">  stock gly à faire !</t>
  </si>
  <si>
    <t xml:space="preserve"> 16/12/2009</t>
  </si>
  <si>
    <t>pssAAV-CAG-ChR2e-nlsGFP</t>
  </si>
  <si>
    <t>Roska lab</t>
  </si>
  <si>
    <t>pscPGK-MECP2</t>
  </si>
  <si>
    <t>Serguera</t>
  </si>
  <si>
    <t>plasmide construit par C Serguera, Stock gly à faire</t>
  </si>
  <si>
    <t>pSUB201</t>
  </si>
  <si>
    <t xml:space="preserve"> (NGVB 07/11/2011)</t>
  </si>
  <si>
    <t>Deniz - UNC</t>
  </si>
  <si>
    <t>Séquence fausse! Seulement AmpR au séquençage et ~1500pb à la digestion</t>
  </si>
  <si>
    <t>mini 11/05/2012</t>
  </si>
  <si>
    <t>pTRE GFP</t>
  </si>
  <si>
    <t xml:space="preserve"> (NGVB 09/29/2011)</t>
  </si>
  <si>
    <t>pTR-CBA-GFP</t>
  </si>
  <si>
    <t xml:space="preserve"> (NGVB 09/21/2010)</t>
  </si>
  <si>
    <t>pXX2</t>
  </si>
  <si>
    <t xml:space="preserve"> (NGVB 07/21/2010)</t>
  </si>
  <si>
    <t>AAV8-7mer</t>
  </si>
  <si>
    <t>in PUC 57</t>
  </si>
  <si>
    <t xml:space="preserve">Clonage 1 (C1) + MutDir </t>
  </si>
  <si>
    <t>AAV9-7mer</t>
  </si>
  <si>
    <t>pTR-scCAG-GFP</t>
  </si>
  <si>
    <t>pXR1</t>
  </si>
  <si>
    <t>(NVGB 07/07/2011)</t>
  </si>
  <si>
    <t>(NVGB 10/25/2011)</t>
  </si>
  <si>
    <t>(NVGB 02/14/2012)</t>
  </si>
  <si>
    <t>(NVGB 08/10/2011)</t>
  </si>
  <si>
    <t xml:space="preserve">pXR8 </t>
  </si>
  <si>
    <t>(NVGB10/25/2011 AJ)</t>
  </si>
  <si>
    <t>pXR9</t>
  </si>
  <si>
    <t>(NVGB 04/26/2012)
AAV9/hu,14 ???</t>
  </si>
  <si>
    <t xml:space="preserve">AAV8-Y733F-7mer </t>
  </si>
  <si>
    <t>(10/24/11)</t>
  </si>
  <si>
    <t>AAV8-7mer in PUC57</t>
  </si>
  <si>
    <t>(09/01/2011)</t>
  </si>
  <si>
    <t>(10/19/2011)</t>
  </si>
  <si>
    <t>AAV9-7mer in PUC57</t>
  </si>
  <si>
    <t>sc-CAG-GFP</t>
  </si>
  <si>
    <t>midi</t>
  </si>
  <si>
    <t>13/09/2013</t>
  </si>
  <si>
    <t>Rho-eGFP</t>
  </si>
  <si>
    <t>ss?</t>
  </si>
  <si>
    <t>pAAV2/8</t>
  </si>
  <si>
    <t>Deniz - Upenn Vector Core</t>
  </si>
  <si>
    <t>pAAV2/9</t>
  </si>
  <si>
    <t xml:space="preserve">335 CMV-hCATCH-GFP +SpeI </t>
  </si>
  <si>
    <t>AAV9/hu,14 ??? Attention le début et la fin du rep sont différents de rep 2 (Arthur)</t>
  </si>
  <si>
    <t>fini</t>
  </si>
  <si>
    <t>pAAV2/5</t>
  </si>
  <si>
    <t>CMV-hCaTCh-no GFP</t>
  </si>
  <si>
    <t>CAG-hChR</t>
  </si>
  <si>
    <t>hSyn-CFP</t>
  </si>
  <si>
    <t>pAAV-YFP</t>
  </si>
  <si>
    <t>Rho-Rho</t>
  </si>
  <si>
    <t>AAV9-2YF</t>
  </si>
  <si>
    <t>7m8</t>
  </si>
  <si>
    <t>sc-CAG-XIAP</t>
  </si>
  <si>
    <t>pTR-scCMV-luciférase</t>
  </si>
  <si>
    <t xml:space="preserve">Clonage 2 (C2+ MutDir </t>
  </si>
  <si>
    <t>Deniz - DVS Lab</t>
  </si>
  <si>
    <t>pTR-Flag</t>
  </si>
  <si>
    <t>NotI/BamhI</t>
  </si>
  <si>
    <t>Deniz - Vincent Pernet</t>
  </si>
  <si>
    <t>N'en reste plus</t>
  </si>
  <si>
    <t>SNCG-hCaTCh-MDB no GFP</t>
  </si>
  <si>
    <t>vide</t>
  </si>
  <si>
    <t>pTR-STAT3</t>
  </si>
  <si>
    <t>n'en reste plus</t>
  </si>
  <si>
    <t>InFu27+MutDir</t>
  </si>
  <si>
    <t xml:space="preserve">pAAV-sh-SOCS3 </t>
  </si>
  <si>
    <t>Jens</t>
  </si>
  <si>
    <t>(22/12/2011)</t>
  </si>
  <si>
    <t>ReaChR</t>
  </si>
  <si>
    <t>human retina</t>
  </si>
  <si>
    <t>pAAV-CMV-CatCh-GFP-WPRE</t>
  </si>
  <si>
    <t>304 (hSyn,ReaChR-citrine)</t>
  </si>
  <si>
    <t>scCAG-ReaChR-GFP</t>
  </si>
  <si>
    <t>AAV9-7mer (old)</t>
  </si>
  <si>
    <t>AAV9-7mer puc57</t>
  </si>
  <si>
    <t>(DVS)</t>
  </si>
  <si>
    <t>AAV2</t>
  </si>
  <si>
    <t>AAV2,Y444F</t>
  </si>
  <si>
    <t>Y444F</t>
  </si>
  <si>
    <t>InFu 21</t>
  </si>
  <si>
    <t>AAV2 3YF</t>
  </si>
  <si>
    <t>Y444, 500, 730F</t>
  </si>
  <si>
    <t>AAV2 4YF</t>
  </si>
  <si>
    <t>Y272, 444, 500, 730F</t>
  </si>
  <si>
    <t>pXR2 4YF</t>
  </si>
  <si>
    <t>333 (CAG CrimsonR dTTomato)</t>
  </si>
  <si>
    <t>scCAG-CrimsonR-GFP</t>
  </si>
  <si>
    <t>AAV2 5YF</t>
  </si>
  <si>
    <t>InFu22</t>
  </si>
  <si>
    <t>Y272, 444, 500, 704, 730F</t>
  </si>
  <si>
    <t>clone 5</t>
  </si>
  <si>
    <t>EF1a-DIO-EGFP-124</t>
  </si>
  <si>
    <t>AAV2 4YF bis</t>
  </si>
  <si>
    <t>Y444, 500, 704, 730F</t>
  </si>
  <si>
    <t xml:space="preserve">AAV2 V708I </t>
  </si>
  <si>
    <t>cl#1 01/26/2012</t>
  </si>
  <si>
    <t>scCAG-eNpHR</t>
  </si>
  <si>
    <t xml:space="preserve">InFu25 </t>
  </si>
  <si>
    <t>clone3</t>
  </si>
  <si>
    <t>AAV2 Heparin KO</t>
  </si>
  <si>
    <t>pXX2 Heparin KO</t>
  </si>
  <si>
    <t>NcoI</t>
  </si>
  <si>
    <t>scCAG-hCatch-GFP</t>
  </si>
  <si>
    <t>p5E18</t>
  </si>
  <si>
    <t>(AAV2 from UPENN Vector Core) 07/11/2011</t>
  </si>
  <si>
    <t xml:space="preserve">pDP3RS -AAV3 </t>
  </si>
  <si>
    <t>(DVS 08/01/2006)</t>
  </si>
  <si>
    <t>InFu26</t>
  </si>
  <si>
    <t>BglII/NheI</t>
  </si>
  <si>
    <t>pRC4 (AAV4)</t>
  </si>
  <si>
    <t xml:space="preserve">ss-1xGRm6-GFP
</t>
  </si>
  <si>
    <t>InFu30court</t>
  </si>
  <si>
    <t xml:space="preserve">ok </t>
  </si>
  <si>
    <t>midi 22/05/13, 23/01/2014</t>
  </si>
  <si>
    <t xml:space="preserve">ss-4xGRm6-GFP
</t>
  </si>
  <si>
    <t>AAV5-2</t>
  </si>
  <si>
    <t>InFu30long</t>
  </si>
  <si>
    <t>pRC6</t>
  </si>
  <si>
    <t>plasmides ultimes</t>
  </si>
  <si>
    <t>AflII/ BglII</t>
  </si>
  <si>
    <t>336 (hSNCG-ChR2-GFP-WPRE)</t>
  </si>
  <si>
    <t>AAV6</t>
  </si>
  <si>
    <t>Ultime</t>
  </si>
  <si>
    <t>InFu35</t>
  </si>
  <si>
    <t>pRepCap(AAV6)</t>
  </si>
  <si>
    <t>Applied Viromics</t>
  </si>
  <si>
    <t>Crimson R</t>
  </si>
  <si>
    <t>mouse</t>
  </si>
  <si>
    <t>cones</t>
  </si>
  <si>
    <t>93 mCAR-GFP</t>
  </si>
  <si>
    <t>NotI/HindIII</t>
  </si>
  <si>
    <t>333 (CAG Crimson dTTomato)</t>
  </si>
  <si>
    <t>AAV6 N415D</t>
  </si>
  <si>
    <t>mCAR-CrimsonR-tdTomato</t>
  </si>
  <si>
    <t>pAR8</t>
  </si>
  <si>
    <t>AAV8</t>
  </si>
  <si>
    <t>pAR8 Y733F AAV8Y733F</t>
  </si>
  <si>
    <t>AAV8 Y733F 7mer</t>
  </si>
  <si>
    <t>pAAV8 2YF</t>
  </si>
  <si>
    <t>Y444 733F</t>
  </si>
  <si>
    <t>AAV9</t>
  </si>
  <si>
    <t>InFu38</t>
  </si>
  <si>
    <t>AAV9/hu,14 ???</t>
  </si>
  <si>
    <t>sequençage</t>
  </si>
  <si>
    <t>pXR9 probablement. Sequencé en 2016</t>
  </si>
  <si>
    <t>AAV9 Y446F</t>
  </si>
  <si>
    <t>AAV9 2YF</t>
  </si>
  <si>
    <t>Y446 731F</t>
  </si>
  <si>
    <t>pXR9 probablement</t>
  </si>
  <si>
    <t>Y445 non vérifié, Y733 OK, pas de peptide</t>
  </si>
  <si>
    <t>bipo</t>
  </si>
  <si>
    <t>SacI/NotI</t>
  </si>
  <si>
    <t>1xGrm6-CrimsonR-dtTomato</t>
  </si>
  <si>
    <t>InFu40</t>
  </si>
  <si>
    <t>NcoI/EcoRV</t>
  </si>
  <si>
    <t>titre confirmé</t>
  </si>
  <si>
    <r>
      <t>AAV9 7M8 (</t>
    </r>
    <r>
      <rPr>
        <sz val="10"/>
        <color rgb="FFFF0000"/>
        <rFont val="Arial"/>
      </rPr>
      <t>L</t>
    </r>
    <r>
      <rPr>
        <sz val="10"/>
        <color rgb="FF000000"/>
        <rFont val="Arial"/>
      </rPr>
      <t>A-------)</t>
    </r>
  </si>
  <si>
    <t>4xGrm6-CrimsonR-dtTomato</t>
  </si>
  <si>
    <t xml:space="preserve">dérivé de AAV9/hu,14 </t>
  </si>
  <si>
    <t>InFu41</t>
  </si>
  <si>
    <t xml:space="preserve">Deniz </t>
  </si>
  <si>
    <t>Conevision</t>
  </si>
  <si>
    <t>LA (non pas AA) + peptide est la mais pas de carte pour confirmer. En tout cas a plus jamais reutiliser acr ca package trop mal!!!</t>
  </si>
  <si>
    <t xml:space="preserve">93 mCAR-GFP </t>
  </si>
  <si>
    <t>292 LWO-GFP</t>
  </si>
  <si>
    <t>mCAR-LWO-GFP</t>
  </si>
  <si>
    <r>
      <t>AAV9 7M8 (</t>
    </r>
    <r>
      <rPr>
        <sz val="10"/>
        <color rgb="FFFF0000"/>
        <rFont val="Arial"/>
      </rPr>
      <t>A</t>
    </r>
    <r>
      <rPr>
        <sz val="10"/>
        <color rgb="FF000000"/>
        <rFont val="Arial"/>
      </rPr>
      <t>A------)</t>
    </r>
  </si>
  <si>
    <t>William Rostene/Stéphane Mélik Parsadaniantz</t>
  </si>
  <si>
    <t>AA (non pas LA) + peptide est la mais différent par rapport à la carte</t>
  </si>
  <si>
    <t>(pAAV2/rh10 Upenn)</t>
  </si>
  <si>
    <t>fait à partir de 150 ? à confirmer par seq</t>
  </si>
  <si>
    <t xml:space="preserve"> AAV10 Y447F</t>
  </si>
  <si>
    <t>AAV10 Y733F</t>
  </si>
  <si>
    <t>AAV10 Y447 733F</t>
  </si>
  <si>
    <t>InFu 42</t>
  </si>
  <si>
    <t>ShH10</t>
  </si>
  <si>
    <t>ShH10,1</t>
  </si>
  <si>
    <t>ShH10,1 Y444F</t>
  </si>
  <si>
    <t>(DD/RK) 10/05/2011</t>
  </si>
  <si>
    <t>AAV2- 7m8,1 I718V</t>
  </si>
  <si>
    <t>pHelper</t>
  </si>
  <si>
    <t>pTR-Rho-RFP-2A-RdCVFL</t>
  </si>
  <si>
    <t>CD1 09/13/2011</t>
  </si>
  <si>
    <t>mouse RdCVFL</t>
  </si>
  <si>
    <t>pTR-Rho-RS1</t>
  </si>
  <si>
    <t>Modele rat glaucome</t>
  </si>
  <si>
    <t>Rat</t>
  </si>
  <si>
    <t>pTR-scCAG-RS1</t>
  </si>
  <si>
    <t xml:space="preserve"> (W+) 07/23/2012</t>
  </si>
  <si>
    <t>pTR-Rho-RdCVFs #2</t>
  </si>
  <si>
    <t>pTR-scCAG-GFP-2A-hRdCVFs</t>
  </si>
  <si>
    <t>human RdCVFs</t>
  </si>
  <si>
    <t>pTR-scCAG-RdCVFL</t>
  </si>
  <si>
    <t xml:space="preserve">pTR-scCAG-RdCVFs </t>
  </si>
  <si>
    <t>tube d'origine et midi 19/09/13</t>
  </si>
  <si>
    <t>120 ?</t>
  </si>
  <si>
    <t>mouse RdCVFs (short version, isoform X1)</t>
  </si>
  <si>
    <t>AflII/SpeI</t>
  </si>
  <si>
    <t>pLT-RCO2</t>
  </si>
  <si>
    <t>(AAV1)</t>
  </si>
  <si>
    <t>292 LWO-GFP et 233</t>
  </si>
  <si>
    <t>,-</t>
  </si>
  <si>
    <t>498 et 500</t>
  </si>
  <si>
    <t>499 et 501</t>
  </si>
  <si>
    <t>Pas fait</t>
  </si>
  <si>
    <t>hRO-LWO-GFP</t>
  </si>
  <si>
    <t>midi par CEA à 1,7 ug/uL ?</t>
  </si>
  <si>
    <t>CEA</t>
  </si>
  <si>
    <t>pAAV-EF1a-DIO-EGFP-124</t>
  </si>
  <si>
    <t>InFu 44</t>
  </si>
  <si>
    <t>P03-38</t>
  </si>
  <si>
    <t>pAAV2,1,MG6,hChR2(H134R)-GFP</t>
  </si>
  <si>
    <t>P01-48 ChR2 humanisé H134R 1xGrM6. YFP et pas GFP</t>
  </si>
  <si>
    <t>AAV-CAG-FLEX rev GFP-2A-PSAM Y115F L141F GlyR-WPRE</t>
  </si>
  <si>
    <t>P03-48 AA0737</t>
  </si>
  <si>
    <t>Trabeculum</t>
  </si>
  <si>
    <t>pTR-ssCMV-GFP-WPRE-bghpA</t>
  </si>
  <si>
    <t>(UPenn) SS de reference</t>
  </si>
  <si>
    <t>pXR8 Y733F</t>
  </si>
  <si>
    <t>(NVGB 10/25/2011 AJ)</t>
  </si>
  <si>
    <t>Mut Dir sur # 114</t>
  </si>
  <si>
    <t>pXR8 Y447F</t>
  </si>
  <si>
    <t>pXR8 Y447 733F</t>
  </si>
  <si>
    <t>Mut Dir sur # 193</t>
  </si>
  <si>
    <t>AAV9 7m8 Liver de-targeted</t>
  </si>
  <si>
    <t>518 et 520</t>
  </si>
  <si>
    <t>en vrai: AAV9 2YF LD           (N498F et L602F)</t>
  </si>
  <si>
    <t>519 et 521</t>
  </si>
  <si>
    <t>Mut Dir sur # 170</t>
  </si>
  <si>
    <t>LCR-hRO-LWO-GFP</t>
  </si>
  <si>
    <t>AAV9 2YF Liver de-targeted</t>
  </si>
  <si>
    <t>en vrai: AAV9 7m8 LD                        (N498F et L602F)</t>
  </si>
  <si>
    <t>scCMV-GFP</t>
  </si>
  <si>
    <t>InFu47 + Digestion+Fill-in+ligation</t>
  </si>
  <si>
    <t>16/07/2012</t>
  </si>
  <si>
    <t>324 (eNpHR3,0 YFP+tag)</t>
  </si>
  <si>
    <t>Mut Dir sur # 168, Y445F OK Y730F OK</t>
  </si>
  <si>
    <t>scCAG-eNpHR3,0-YFP</t>
  </si>
  <si>
    <t>AAV10 2YF Liver de-targeted</t>
  </si>
  <si>
    <t>(N500F et L604F)</t>
  </si>
  <si>
    <t>InFu39</t>
  </si>
  <si>
    <t>Mut Dir sur # 174</t>
  </si>
  <si>
    <t>pssAAV-mCAR-eNphR-EGFP</t>
  </si>
  <si>
    <t>!! NpHR</t>
  </si>
  <si>
    <t>midi du ?</t>
  </si>
  <si>
    <t>4xGrm6-ReachR-Citrine</t>
  </si>
  <si>
    <t xml:space="preserve">AAV </t>
  </si>
  <si>
    <t>Clonage sur # 92 + 93</t>
  </si>
  <si>
    <t>InFu36</t>
  </si>
  <si>
    <t>pTRBeta-SDH-CNTF</t>
  </si>
  <si>
    <t>original</t>
  </si>
  <si>
    <t>Vincent Pernet</t>
  </si>
  <si>
    <t>Pas de sequence, Echec sequençage avec n° 618</t>
  </si>
  <si>
    <t>pTR-hSYN-GFP-WPRE</t>
  </si>
  <si>
    <t>1xGrm6-ReachR-Citrine</t>
  </si>
  <si>
    <t>pAAV-ssCMV-hBPDE-WPRE</t>
  </si>
  <si>
    <t>InFu37</t>
  </si>
  <si>
    <t>Elise O ?</t>
  </si>
  <si>
    <t>pssAAV-EF1a-GFP</t>
  </si>
  <si>
    <t>Seq</t>
  </si>
  <si>
    <t>L5-ChR2d-CterMBD-L2</t>
  </si>
  <si>
    <t>ssmCAr-eNpHR2,0V-YFP-RE TAG</t>
  </si>
  <si>
    <t>Celui-la!!</t>
  </si>
  <si>
    <t>DNA2,0</t>
  </si>
  <si>
    <t>L5-NterMBD-ChR2d-L2</t>
  </si>
  <si>
    <t>Pas celui la!</t>
  </si>
  <si>
    <t>AAV 5-7m8</t>
  </si>
  <si>
    <t>Hanen</t>
  </si>
  <si>
    <t>178 digéré par HindIII/NotI, insert synthétysé par Genescript</t>
  </si>
  <si>
    <t>AAV 8-7m8</t>
  </si>
  <si>
    <t>AAV 10-7m8</t>
  </si>
  <si>
    <t>pAAV-mCAr-NpHR</t>
  </si>
  <si>
    <t>attention pas de ER tag!</t>
  </si>
  <si>
    <t>pssAAV-CMV-ChR2d</t>
  </si>
  <si>
    <t xml:space="preserve">!!A sequencer </t>
  </si>
  <si>
    <t>pssAAV-CMV-ChR2d-2A-GFP</t>
  </si>
  <si>
    <t>pssAAV-CMV-GFP (GW)</t>
  </si>
  <si>
    <t>sans WPRE! GW= gateway</t>
  </si>
  <si>
    <t>MD3</t>
  </si>
  <si>
    <t>pssAAV-SNCG-MBD,ChR2D-2A-GFP (N Ter)</t>
  </si>
  <si>
    <t>mauvaise</t>
  </si>
  <si>
    <t>pssAAV-SNCG-ChR2D,MBD-2A-GFP (C Ter)</t>
  </si>
  <si>
    <t>problème sur la mini</t>
  </si>
  <si>
    <t>IV et V</t>
  </si>
  <si>
    <t>pssAAV-CMV-MBD,ChR2d-2A-GFP (N Ter)</t>
  </si>
  <si>
    <t>pssAAV-CMV-ChR2d,MBD-2A-GFP (C Ter)</t>
  </si>
  <si>
    <t>A FAIRE!</t>
  </si>
  <si>
    <t>pAAV-GFP-2A-RdCVF2v1</t>
  </si>
  <si>
    <t>(Hawa)</t>
  </si>
  <si>
    <t>Hawa</t>
  </si>
  <si>
    <t>a,k,a GFP-2A-Nxnl2,V1= CAG-GFP-2A-RdCVF2Lv1</t>
  </si>
  <si>
    <t>pssAAV-hSNCG-ChR2d-2A-nlsGFP</t>
  </si>
  <si>
    <t>MutDir pour enlever extra V en N ter</t>
  </si>
  <si>
    <t>pAAV-CMV-TGFbeta-muté</t>
  </si>
  <si>
    <t>Stéphane Mélik</t>
  </si>
  <si>
    <t>Fait par Addgene</t>
  </si>
  <si>
    <t>pAAV-scCAG-GFP-CCL2mouse</t>
  </si>
  <si>
    <t>302 pour MD5, 380 pour MD7</t>
  </si>
  <si>
    <t>pAAV-scCAG-GFP-CCL2muté 26AA</t>
  </si>
  <si>
    <t>506 (MD5), 510(MD7),512 (INfu23)</t>
  </si>
  <si>
    <t>507 (MD5), 511(MD7),513 (Infu23)</t>
  </si>
  <si>
    <t>sshCAr-eNpHR2,0V-RE TAG-GFP</t>
  </si>
  <si>
    <t>ChR2 D156A-RFP-DA-hHK-NpHR-mKate</t>
  </si>
  <si>
    <t>MD5+MD7+InFu23</t>
  </si>
  <si>
    <t>MutDir pour enlever extra V en N ter puis codons STOP,InFu23 pour insérer GFP</t>
  </si>
  <si>
    <t>mouse/primate</t>
  </si>
  <si>
    <t>289 pr MD4,379pour MD6</t>
  </si>
  <si>
    <t>506(MD4),510(MD6),512 (INfu23)</t>
  </si>
  <si>
    <t>507 (MD4), 511(MD6),513 (Infu23)</t>
  </si>
  <si>
    <t>ssmCAr-eNpHR2,0V-RE TAG-GFP</t>
  </si>
  <si>
    <t>MD4+MD6+InFu23</t>
  </si>
  <si>
    <t>(BL296)</t>
  </si>
  <si>
    <t>NcoI/BamHI</t>
  </si>
  <si>
    <t>sshCAr-eNpHR2,0V-YFP-RE TAG</t>
  </si>
  <si>
    <t>Phill Wood</t>
  </si>
  <si>
    <t>T2 NphR (mamelian codon optimised ?)</t>
  </si>
  <si>
    <t>InFu24</t>
  </si>
  <si>
    <t>ChR2 D156A-bRho-mKate</t>
  </si>
  <si>
    <t>InFu24 pour insérer eNpHR2,0V-eYFP-TAG</t>
  </si>
  <si>
    <t>(BL252)</t>
  </si>
  <si>
    <t>ChR2 H134R-rDA-hBHK-NpHR-MI1</t>
  </si>
  <si>
    <t>(BL310)</t>
  </si>
  <si>
    <t>SNCG-GFPnuc</t>
  </si>
  <si>
    <t>pAAV-FLEX-GFP (28304)</t>
  </si>
  <si>
    <t>Envoyé par ADDGENE</t>
  </si>
  <si>
    <t>pAAAV-hSYN-RFP (22907)</t>
  </si>
  <si>
    <t>BamHI/XhoI</t>
  </si>
  <si>
    <t xml:space="preserve">pAAV-PGK-Cre </t>
  </si>
  <si>
    <t>sshSyn-ChR2 long-citrine</t>
  </si>
  <si>
    <t>InFu45</t>
  </si>
  <si>
    <t>SwitChR</t>
  </si>
  <si>
    <t xml:space="preserve">pAAV-EF1a-DIO-ChETA-EYFP-WPRE </t>
  </si>
  <si>
    <t>MluI/BamHI</t>
  </si>
  <si>
    <t>InFu51 For</t>
  </si>
  <si>
    <t>InFu51 Rev</t>
  </si>
  <si>
    <t>pscAAV-GFP</t>
  </si>
  <si>
    <t>,(32396)</t>
  </si>
  <si>
    <t>pAAV-mCAR-SwitChR-YFP</t>
  </si>
  <si>
    <t>InFu 51</t>
  </si>
  <si>
    <t>pAAV-4xmG6-Catch-EGFP</t>
  </si>
  <si>
    <t xml:space="preserve">(P04-37) 4xGrm6 Catch non humanisé </t>
  </si>
  <si>
    <t>De B, Roska</t>
  </si>
  <si>
    <t>V</t>
  </si>
  <si>
    <t>pAAV-mCAr-Catch-EGFP</t>
  </si>
  <si>
    <t>(P04-27)</t>
  </si>
  <si>
    <t>pAAV2-hRO-EGFP</t>
  </si>
  <si>
    <t>(P01-12)</t>
  </si>
  <si>
    <t>Même promoteur que pR2.1 sans le SV40 SA/SD</t>
  </si>
  <si>
    <t>pAAV2-hRO-hChR2-EYFP</t>
  </si>
  <si>
    <t>(P01-13) version hum sans mut</t>
  </si>
  <si>
    <t>reçu sous forme de papier Wathman, resupendu dans 50 microL de TE-EFpour la transformation,</t>
  </si>
  <si>
    <t>NheI-hCAr-NotI</t>
  </si>
  <si>
    <t>synOFF_BC-Catch</t>
  </si>
  <si>
    <t>(SynCord ChR2d)</t>
  </si>
  <si>
    <t>pAAVsc-CAG-GFP-2A-hrdcvf-e64k</t>
  </si>
  <si>
    <t>Leveillard</t>
  </si>
  <si>
    <t>non</t>
  </si>
  <si>
    <t>Bgl II/BamHI</t>
  </si>
  <si>
    <t>pAAVsc-CAG-GFP-2A-hrdcvf-wt</t>
  </si>
  <si>
    <t>pAAV-mCAR-ReaChR-Citrine</t>
  </si>
  <si>
    <t>pAAV-mCAr-hChR2 D156A-mKate-NpHR</t>
  </si>
  <si>
    <t>(199+222)</t>
  </si>
  <si>
    <t>Infu 55</t>
  </si>
  <si>
    <t>199?</t>
  </si>
  <si>
    <t>Maruša</t>
  </si>
  <si>
    <t>T2 NphR (mamalian codon optimised ?)</t>
  </si>
  <si>
    <t>pAAV-mCAr-hChR2 H134R-mKate-NpHR</t>
  </si>
  <si>
    <t>(199+224)</t>
  </si>
  <si>
    <t>pAAV-EF1a-mCherry-IRES-WGA-CRE-WPRE</t>
  </si>
  <si>
    <t>pas d'ATG !</t>
  </si>
  <si>
    <t>8,58</t>
  </si>
  <si>
    <t>Deisseroth Lab</t>
  </si>
  <si>
    <t>pAAV-EF1a-mCherry-IRES-Cre-WPRE</t>
  </si>
  <si>
    <t>7,67</t>
  </si>
  <si>
    <t>Pas de start codon !!</t>
  </si>
  <si>
    <t>pss-CAG-eGFP</t>
  </si>
  <si>
    <t>93/391</t>
  </si>
  <si>
    <t>Stefania</t>
  </si>
  <si>
    <t>AAV-Ef1a-flox-hChR2-YFP</t>
  </si>
  <si>
    <t>Infu 56 mCar For/InFu 56 SwitchR For</t>
  </si>
  <si>
    <t>(H134R) Humanisé</t>
  </si>
  <si>
    <t>Wei-Wei Desseiroth</t>
  </si>
  <si>
    <t>pAAV2,1 PN4 Rho R</t>
  </si>
  <si>
    <t>Infu 56 mCar Rev/InFu 56 SwitchR Rev</t>
  </si>
  <si>
    <t>Elise</t>
  </si>
  <si>
    <t>pAAV2,1 PN4 Rho L</t>
  </si>
  <si>
    <t>pAAV-mCAR-SwitChR-ReaChR-Citrine</t>
  </si>
  <si>
    <t>pAAV2,1 PN2 Rag R</t>
  </si>
  <si>
    <t>InFu 56</t>
  </si>
  <si>
    <t>pAAV2,1 PN2 Rag L</t>
  </si>
  <si>
    <t>pAAV2,1 CMV Rag R</t>
  </si>
  <si>
    <t>batonnets</t>
  </si>
  <si>
    <t>pAAV2,1 CMV Rag L</t>
  </si>
  <si>
    <t>MluI/AgeI</t>
  </si>
  <si>
    <t>pAAV2,1 CMV Rho R</t>
  </si>
  <si>
    <t>pTR-Rho-KillerRed</t>
  </si>
  <si>
    <t>midi du 27/11/13</t>
  </si>
  <si>
    <t>InFu54</t>
  </si>
  <si>
    <t>pAAV2,1 CMV Rho L</t>
  </si>
  <si>
    <t>Cre-lox</t>
  </si>
  <si>
    <t>ttc</t>
  </si>
  <si>
    <t xml:space="preserve">                                                                           </t>
  </si>
  <si>
    <t>pAAV-hCAr-NpHR-GFP</t>
  </si>
  <si>
    <t>Infu52 A Rev</t>
  </si>
  <si>
    <t>SANS TAG ER</t>
  </si>
  <si>
    <t>pAAV-CAG-mCherry-IRES-Cre-WPRE</t>
  </si>
  <si>
    <t>InFu2</t>
  </si>
  <si>
    <t>InFu52 A</t>
  </si>
  <si>
    <t>pENTR-L1-EF1sf-L5</t>
  </si>
  <si>
    <t>pCMV-SANS</t>
  </si>
  <si>
    <t>Iman</t>
  </si>
  <si>
    <t>pAAV-CMV-ChR2 long</t>
  </si>
  <si>
    <t>Vieille version Longue non humanisé C132 H134</t>
  </si>
  <si>
    <t>AflII/bamHI</t>
  </si>
  <si>
    <t>mini OK midi 02/10/13 mauvaise midi du 20/11/13 ok</t>
  </si>
  <si>
    <t>mini du ?, midi du 02/11/13, midi 20/11/13</t>
  </si>
  <si>
    <t>Deniz Berkeley (venant de Detroit)</t>
  </si>
  <si>
    <t>pAAV-CMV-hCHR2-eGFP (nouveau 257)</t>
  </si>
  <si>
    <t>Infu 59</t>
  </si>
  <si>
    <t>redosé le 26/11/14</t>
  </si>
  <si>
    <t>Clomeleon</t>
  </si>
  <si>
    <t>NotI/HindII</t>
  </si>
  <si>
    <t>Abhishek</t>
  </si>
  <si>
    <t>mCAR-Clm</t>
  </si>
  <si>
    <t>InFu 53</t>
  </si>
  <si>
    <t>pssAAV CMV-hCatCH-GFP</t>
  </si>
  <si>
    <t>Optogenetics</t>
  </si>
  <si>
    <t>mouse and primate</t>
  </si>
  <si>
    <t>AgeI / KpnI</t>
  </si>
  <si>
    <t>pssAAV-mCAR-CrimsonR-GFP</t>
  </si>
  <si>
    <t>InFu 63</t>
  </si>
  <si>
    <t>Version hum CatCh 1 seul ITR; utiliser 436</t>
  </si>
  <si>
    <t>Eléonore</t>
  </si>
  <si>
    <t>Traficking des Opsines</t>
  </si>
  <si>
    <t>pscAAV-CAG-Jaws-GFP</t>
  </si>
  <si>
    <t>clonages opsin Eleonore</t>
  </si>
  <si>
    <t>sans tag !</t>
  </si>
  <si>
    <t>pscAAV-CAG-NpHR-GFP</t>
  </si>
  <si>
    <t>InFu 70</t>
  </si>
  <si>
    <t>Pour avoir un controle NpHR sans tag d'exportation</t>
  </si>
  <si>
    <t>mini du 29/08/13 midi du 22 ou 29/08</t>
  </si>
  <si>
    <t>Céline</t>
  </si>
  <si>
    <t>AAV2,3YF</t>
  </si>
  <si>
    <t xml:space="preserve">InFu 8 clone 3 </t>
  </si>
  <si>
    <t>pssAAV-CAG-Clomeleon1</t>
  </si>
  <si>
    <t>,(235)</t>
  </si>
  <si>
    <t>pscAAV-CAG-Jaws-KGC-GFP-ER2</t>
  </si>
  <si>
    <t>Allemagne ( Université de Heidelberg)</t>
  </si>
  <si>
    <t>pscAAV-EFS-wtOnu-T2A-mCherry-SPA</t>
  </si>
  <si>
    <t>Pour remplacer #460 qui n'a pas de tag KGC et ER2</t>
  </si>
  <si>
    <t>Daniel Stone</t>
  </si>
  <si>
    <t>pscAAV-CAG-hChR2(sans mut)-YFP</t>
  </si>
  <si>
    <t>pscAAV-EFS-T2A-mCherry-SPA</t>
  </si>
  <si>
    <t>InFu 71</t>
  </si>
  <si>
    <t xml:space="preserve"> Selection du clone 2 InFu 71</t>
  </si>
  <si>
    <t>pscAAV-sCMV-mBFP</t>
  </si>
  <si>
    <t>pscAAV-sCMV-eGFP</t>
  </si>
  <si>
    <t>pscAAV-CAG-chrono-GFP</t>
  </si>
  <si>
    <t>infu 71</t>
  </si>
  <si>
    <t>pscAAV-sCMV-mCherry</t>
  </si>
  <si>
    <t>pscAAV-EFS-mBFP</t>
  </si>
  <si>
    <t>pscAAV-EFS-eGFP</t>
  </si>
  <si>
    <t>AgeI/HindII</t>
  </si>
  <si>
    <t>_</t>
  </si>
  <si>
    <t>pscAAV-CAG-SwitChR-TS-eYFP</t>
  </si>
  <si>
    <t>pscAAV-EFS-mCherry</t>
  </si>
  <si>
    <t>C14</t>
  </si>
  <si>
    <t>Digestion de 120 et 403 par AgeI/HindIII clone 72 sélectionné</t>
  </si>
  <si>
    <t>pscAAV-smCBA-mCherry</t>
  </si>
  <si>
    <t xml:space="preserve">
</t>
  </si>
  <si>
    <t>pssAAV-SNCG-GFP-WPRE</t>
  </si>
  <si>
    <t>Mélissa - InFusion 6 clone 33</t>
  </si>
  <si>
    <t>Vérifier les ITR (dérive de 33) comme 257</t>
  </si>
  <si>
    <t>pAAV-HA-NLS-CRE</t>
  </si>
  <si>
    <t>,(168)</t>
  </si>
  <si>
    <t>Université de Heidelberg</t>
  </si>
  <si>
    <t>pAsRed2C1 Vector</t>
  </si>
  <si>
    <t>Equipe Usher</t>
  </si>
  <si>
    <t>PEGFP-Ci+SANS-Macaque</t>
  </si>
  <si>
    <t>pAAV-GFP opsin rv right</t>
  </si>
  <si>
    <t>Equipe Leveillard</t>
  </si>
  <si>
    <t>opsin RV. Même promoteur que pR2.1 sans le SV40 SA/SD</t>
  </si>
  <si>
    <t>pssAAV-SNCG-hChR2 (H134R)-GFP-WPRE mauvais itr</t>
  </si>
  <si>
    <t>23/07/2012</t>
  </si>
  <si>
    <t>uitiliser 373</t>
  </si>
  <si>
    <t xml:space="preserve">Mélissa </t>
  </si>
  <si>
    <t>InFusion 5clone 30</t>
  </si>
  <si>
    <t>pAAV-hCAr-NpHR</t>
  </si>
  <si>
    <t>Attention sans TAG ER</t>
  </si>
  <si>
    <t>OK</t>
  </si>
  <si>
    <t>giga du 18/09/13,mini du ?</t>
  </si>
  <si>
    <t>pssAAV-SNCG-hCatch-GFP-WPRE avec SV40</t>
  </si>
  <si>
    <t>Ne pas utiliser (cf 279)</t>
  </si>
  <si>
    <t>Mut Dir clone 11 Ne pas utiliser bout de prom cmv qui traine</t>
  </si>
  <si>
    <t>pscAAV-CAG-ChR2(H134R)-GFP</t>
  </si>
  <si>
    <t>InFu 75</t>
  </si>
  <si>
    <t>pscAAV-CAG-ArChT-GFP</t>
  </si>
  <si>
    <t>pscAAV-CAG-MAC-GFP</t>
  </si>
  <si>
    <t>pscAAV-CAG-Lwo-GFP</t>
  </si>
  <si>
    <t>pscAAV-CAG-Swo-GFP</t>
  </si>
  <si>
    <t>clone 13</t>
  </si>
  <si>
    <t>AAV-flox-EF1a-hCatCh-YFP</t>
  </si>
  <si>
    <t>pscAAV-CAG-hCatCh(H134R)-GFP</t>
  </si>
  <si>
    <t>Mut Dir clone 28</t>
  </si>
  <si>
    <t>pssAAV-SNCG-hCatCh+H134R -GFP-WPRE</t>
  </si>
  <si>
    <t>avec SV40 avant GFP</t>
  </si>
  <si>
    <t>pscAAV-CAG-hChR2(H134R)-GFP</t>
  </si>
  <si>
    <t xml:space="preserve">Mut Dir clone 10 </t>
  </si>
  <si>
    <t>AAV-flox-hCatCh+H134R -YFP</t>
  </si>
  <si>
    <t>Ef1a</t>
  </si>
  <si>
    <t>pscAAV-CAG-hCatCh-GFP</t>
  </si>
  <si>
    <t xml:space="preserve">Mut Dir clone 16 </t>
  </si>
  <si>
    <t>pssAAV-SNCG-hCatch-GFP-WPRE</t>
  </si>
  <si>
    <t>sterle</t>
  </si>
  <si>
    <t>Bonne version (sans SV40), Manque 1 ITR, Utiliser 360</t>
  </si>
  <si>
    <t>Reporters</t>
  </si>
  <si>
    <t>mauvais deviens 360</t>
  </si>
  <si>
    <t>midi du 15/01/14,06/09/13, mini du 04/09/13</t>
  </si>
  <si>
    <t>InFu 12 clone 2</t>
  </si>
  <si>
    <t>pscCAG-mBFP</t>
  </si>
  <si>
    <t>pGP-CMV-GCaMP6s</t>
  </si>
  <si>
    <t>InFu 62</t>
  </si>
  <si>
    <t xml:space="preserve">        /!\ Kan /!\</t>
  </si>
  <si>
    <t>pscCAG-mCerulean</t>
  </si>
  <si>
    <t>Addgene 40753</t>
  </si>
  <si>
    <t>reçu sous forme de gélose en tube, étalé sur boite puis culture LBB à partir d'une colonie isolée</t>
  </si>
  <si>
    <t>pGP-CMV-GCaMP6m</t>
  </si>
  <si>
    <t>Addgene 40754</t>
  </si>
  <si>
    <t>pscCAG-Emerald</t>
  </si>
  <si>
    <t>pscCAG-tdTomato</t>
  </si>
  <si>
    <t xml:space="preserve">InFu 62 </t>
  </si>
  <si>
    <t>pscCAG-mCherry</t>
  </si>
  <si>
    <t>pscCAG-mPlum</t>
  </si>
  <si>
    <t>redosé le 11/06/2015</t>
  </si>
  <si>
    <t>pscCAG-mCitrine</t>
  </si>
  <si>
    <t>mut dirigé</t>
  </si>
  <si>
    <t>pAAV2-hRO-hChR2 (D156C)-EYFP</t>
  </si>
  <si>
    <t>MD13</t>
  </si>
  <si>
    <t>Alvaro Rendon</t>
  </si>
  <si>
    <t>RCG</t>
  </si>
  <si>
    <t>MluI, HindIII et AgeI</t>
  </si>
  <si>
    <t>pssAAV-CAG-ChrimsonR-GFP</t>
  </si>
  <si>
    <t>InFu 67A</t>
  </si>
  <si>
    <t>290+CAG</t>
  </si>
  <si>
    <t>ClaI and Hind III</t>
  </si>
  <si>
    <t>Dp71</t>
  </si>
  <si>
    <t>Souris Dp71/KO</t>
  </si>
  <si>
    <t>Cellules Glial de Müller</t>
  </si>
  <si>
    <t>ShH10,Y444F</t>
  </si>
  <si>
    <t>pssAAV-CAG-ChrimsonR-tdTomato</t>
  </si>
  <si>
    <t xml:space="preserve">InFu 66C </t>
  </si>
  <si>
    <t>Création du 290+CAG par Dig 290 avec MluI et ClaI et primers 699/700</t>
  </si>
  <si>
    <t>pssAAV-CAG-ChrimsonR</t>
  </si>
  <si>
    <t xml:space="preserve">InFu 66D </t>
  </si>
  <si>
    <t>pssAAV-CAG-tdTomato</t>
  </si>
  <si>
    <t>InFu 66 F</t>
  </si>
  <si>
    <t>pssAAV-CAG-GFP</t>
  </si>
  <si>
    <t>InFu 67 B</t>
  </si>
  <si>
    <t>Chrimson R</t>
  </si>
  <si>
    <t>pssAAV-mCAR-ChrimsonR</t>
  </si>
  <si>
    <t>433 (sans stop)/439</t>
  </si>
  <si>
    <t>C12 et MD 14 pour le stop</t>
  </si>
  <si>
    <t>smCBA-GFP</t>
  </si>
  <si>
    <t>120 et 267</t>
  </si>
  <si>
    <t>pssAAV-Flox-CAG/smCBA-hCatch-YFP</t>
  </si>
  <si>
    <t>16/10/14 pour CAG</t>
  </si>
  <si>
    <t>443/</t>
  </si>
  <si>
    <t>InFu 61</t>
  </si>
  <si>
    <t>XbaI/NheI</t>
  </si>
  <si>
    <t>CAG-ChR2-mKATE-eNpHR-</t>
  </si>
  <si>
    <t>341/</t>
  </si>
  <si>
    <t>InFu16 Eleonore</t>
  </si>
  <si>
    <t>&gt;30 ul @ &gt;10E14</t>
  </si>
  <si>
    <t>pssAAV-mCAR-GIRK1-GFP</t>
  </si>
  <si>
    <t>InFu 64</t>
  </si>
  <si>
    <t>pssAAV-mCAR-GIRK2-GFP</t>
  </si>
  <si>
    <t>AgeI/NotI</t>
  </si>
  <si>
    <t>pssAAV-mCAR-GIRK2-tdTomato</t>
  </si>
  <si>
    <t>InFu 65</t>
  </si>
  <si>
    <t>pssAAV-mCar-eNpHR-TAG-2A-Clm</t>
  </si>
  <si>
    <t>C13</t>
  </si>
  <si>
    <t>AgeI/hindIII</t>
  </si>
  <si>
    <t>pssAAV-CAG-eNpHR-TAG-2A-Clm</t>
  </si>
  <si>
    <t>Infu 72</t>
  </si>
  <si>
    <t>Olivier/Valentina/jens</t>
  </si>
  <si>
    <t>Brain initiative</t>
  </si>
  <si>
    <t>BPCs</t>
  </si>
  <si>
    <t>pscAAV-1xGrm6-GCamp6s</t>
  </si>
  <si>
    <t>Infu 68 A</t>
  </si>
  <si>
    <t>RGCs</t>
  </si>
  <si>
    <t>KpnI/HindIII</t>
  </si>
  <si>
    <t>pscAAV-SNCG-GCamp6s</t>
  </si>
  <si>
    <t>Infu 68 B sc</t>
  </si>
  <si>
    <t>BamHI/NotI</t>
  </si>
  <si>
    <t>pssAAV-SNCG-GCamp6s</t>
  </si>
  <si>
    <t>Infu 68 B ss</t>
  </si>
  <si>
    <t>sshSyn-ChR2 (C132 H134) long-citrine</t>
  </si>
  <si>
    <t>AflII/XhoI</t>
  </si>
  <si>
    <t>sshSyn-ChR2 (C132 H134)-citrine</t>
  </si>
  <si>
    <t>MD 19</t>
  </si>
  <si>
    <t>CAG-ReachR-2A-GCamps/m/f</t>
  </si>
  <si>
    <t>534/</t>
  </si>
  <si>
    <t>Gibs1/</t>
  </si>
  <si>
    <t xml:space="preserve">Jens
</t>
  </si>
  <si>
    <t>XhoI/HindIII</t>
  </si>
  <si>
    <t>ON bipolar</t>
  </si>
  <si>
    <t>hSyn-ReachR-WPRE</t>
  </si>
  <si>
    <t>C17+md 21</t>
  </si>
  <si>
    <t>pGP-CMV-GCaMP6f</t>
  </si>
  <si>
    <t>Addgene 40755</t>
  </si>
  <si>
    <t>Visionopsin</t>
  </si>
  <si>
    <t>pRSET-RCaMP1h</t>
  </si>
  <si>
    <t>Addgene 42874</t>
  </si>
  <si>
    <t>KpnI/AgeI</t>
  </si>
  <si>
    <t>1xGRm6-SWO-tdTomato</t>
  </si>
  <si>
    <t>InFu73 B</t>
  </si>
  <si>
    <t>pAAV-CMV-ChR2-D156A-mKate-NpHR</t>
  </si>
  <si>
    <t>mini du 13/09/13, midi du 25/10 et du 02/10</t>
  </si>
  <si>
    <t>KpnI/NotI</t>
  </si>
  <si>
    <t>InFu 7 clone 4 (Tandem 222) T2 NphR (mamelian codon optimised ?)</t>
  </si>
  <si>
    <t>1xGRm6-LWO-GFP</t>
  </si>
  <si>
    <t>MG6,ChR2b (H134R)- GFP</t>
  </si>
  <si>
    <t>InFu73 A</t>
  </si>
  <si>
    <t>pAAV-CMV-ChR2-H134R-mKate-NpHR</t>
  </si>
  <si>
    <t>"tandem"</t>
  </si>
  <si>
    <t>13/06/2012</t>
  </si>
  <si>
    <t>ConOpsin</t>
  </si>
  <si>
    <t>mini OK, midis du 25/10 et du 02/10mauvaises, midi du 20/11/13 ok</t>
  </si>
  <si>
    <t>mini du 12/09/13, midi du 25/10 et du 02/10, du 20/11/13</t>
  </si>
  <si>
    <t>NotI/AgeI</t>
  </si>
  <si>
    <t xml:space="preserve">Céline </t>
  </si>
  <si>
    <t>InFu 7 clone 3 (Tandem 224) T2 NphR (mamelian codon optimised ?)</t>
  </si>
  <si>
    <t>mCAR-SWO-tdTomato</t>
  </si>
  <si>
    <t>pscAAV-hCAR-eGFP</t>
  </si>
  <si>
    <t>InFu73 C</t>
  </si>
  <si>
    <t>mini 03/10/13 et midi 18/10/13</t>
  </si>
  <si>
    <t>Valentina Emiliani</t>
  </si>
  <si>
    <t>NIH brain initiative</t>
  </si>
  <si>
    <t>InFu 3 clone1</t>
  </si>
  <si>
    <t>pscAAV-mCAR-eGFP</t>
  </si>
  <si>
    <t>InFu 4 clone 3</t>
  </si>
  <si>
    <t>pAAV-4xGRM6-ChR2-YFP</t>
  </si>
  <si>
    <t>,(LG15) incapavle de le transformer</t>
  </si>
  <si>
    <t>pAAVss-mCar-eNpHR-WPRE</t>
  </si>
  <si>
    <t>AVEC ER TAG; bonne version</t>
  </si>
  <si>
    <t>midi du 13/11/13, midi du 05/02/14</t>
  </si>
  <si>
    <t>GenScript</t>
  </si>
  <si>
    <t>reçu en tube sous forme deshydraté, transformé dans Sure2</t>
  </si>
  <si>
    <t>neurons</t>
  </si>
  <si>
    <t>pAAV-CMV-SWopsin-mCherry-ER1A</t>
  </si>
  <si>
    <t>midi reçue</t>
  </si>
  <si>
    <t>Herlitze lab</t>
  </si>
  <si>
    <t>VII</t>
  </si>
  <si>
    <t>pscAAV-CAG-Chronos-bghpolyA</t>
  </si>
  <si>
    <t>pAAV-LW-eGFP-ER1A</t>
  </si>
  <si>
    <t>InFu 76</t>
  </si>
  <si>
    <t>ok ? (pas carte exacte)</t>
  </si>
  <si>
    <t>pAAV-LW-eGFP</t>
  </si>
  <si>
    <t>RGC + HEK</t>
  </si>
  <si>
    <t>promoteur CMV</t>
  </si>
  <si>
    <t>SpeI/HindIII</t>
  </si>
  <si>
    <t>Ok ? (pas carte exacte)</t>
  </si>
  <si>
    <t>midi reçue et midi du 13/11/13</t>
  </si>
  <si>
    <t>pTR-scCAG-GFP-2A-ChrimsonR</t>
  </si>
  <si>
    <t>Infu 77</t>
  </si>
  <si>
    <t>pscAAV-CMV-GCaMP6s-BGHpA</t>
  </si>
  <si>
    <t>midi du 04/12/13</t>
  </si>
  <si>
    <t>blue cone promoter</t>
  </si>
  <si>
    <t>InFu13 clone 22</t>
  </si>
  <si>
    <t>KflI/AgeI</t>
  </si>
  <si>
    <t>pscAAV-CMV-GCaMP6m-BGHpA</t>
  </si>
  <si>
    <t>Lenti simple brin</t>
  </si>
  <si>
    <t>pLenti-hBO-ReachR-Citrine</t>
  </si>
  <si>
    <t>InFu 78</t>
  </si>
  <si>
    <t>InFu13 clone 13</t>
  </si>
  <si>
    <t>pscAAV-CAG-eNpHR-eYFP</t>
  </si>
  <si>
    <t>eNpHR2,0 : avec ER tag</t>
  </si>
  <si>
    <t>InFu15 A clone 16</t>
  </si>
  <si>
    <t>pscAAV-CAG-NpHR-eGFP</t>
  </si>
  <si>
    <t>attention sans tag</t>
  </si>
  <si>
    <t>InFu15 B clone 1</t>
  </si>
  <si>
    <t>pscAAV-CAG-NpHR-WPRE</t>
  </si>
  <si>
    <t>AflII/BamhI</t>
  </si>
  <si>
    <t>InFu15 C clone 1</t>
  </si>
  <si>
    <t>pAAV-sh-SANS1- GFP</t>
  </si>
  <si>
    <t>CMV-hCatch-WPRE</t>
  </si>
  <si>
    <t>USHER</t>
  </si>
  <si>
    <t>N'existe pas!</t>
  </si>
  <si>
    <t>pAAV-sh-SANS2- GFP</t>
  </si>
  <si>
    <t>pAAV-sh-Luciférase- GFP</t>
  </si>
  <si>
    <t>pAAV-sshCAr-eGFP</t>
  </si>
  <si>
    <t>midi du 27/11/13 :deux bandes mais pas les bonnes, midi du 05/02/14 OK</t>
  </si>
  <si>
    <t>C16</t>
  </si>
  <si>
    <t>digestion + fill in + ligation+ Mutagenese dirigée, clone 3</t>
  </si>
  <si>
    <t>nouveau 350 (itr corrigé)</t>
  </si>
  <si>
    <t>pAAVss-hCar-eNpHR-WPRE</t>
  </si>
  <si>
    <t>Bonne version avec tag</t>
  </si>
  <si>
    <t>BglII/HindIII</t>
  </si>
  <si>
    <t>InFu19 clone 7</t>
  </si>
  <si>
    <t>pssAAV-CMV-hChR2(H134R)-WPRE</t>
  </si>
  <si>
    <t>pAAV-ss-hSyn-FLEX-ReaChR-Citrine</t>
  </si>
  <si>
    <t>addgene 50955</t>
  </si>
  <si>
    <t>Tsien Lab</t>
  </si>
  <si>
    <t>pAAV2-hSyn-ReaChR-Citrine</t>
  </si>
  <si>
    <t>carte originale très fausse</t>
  </si>
  <si>
    <t>pLenti-ss-hSyn-ReaChR-Citrine</t>
  </si>
  <si>
    <t>midi done on 14/04/14</t>
  </si>
  <si>
    <t>Infu 79</t>
  </si>
  <si>
    <t>pssAAV-SNCG-hChR2(H134R)-WPRE</t>
  </si>
  <si>
    <t>MD20</t>
  </si>
  <si>
    <t>a ete utilisé comme prod 'test' jetprime vs CaCl2</t>
  </si>
  <si>
    <t>mCar-hCatch-GFP</t>
  </si>
  <si>
    <t>Infu 80</t>
  </si>
  <si>
    <t>OV2</t>
  </si>
  <si>
    <t>pAAV,hSyn,H134RChR2,GFP</t>
  </si>
  <si>
    <t>primate</t>
  </si>
  <si>
    <t>AflII</t>
  </si>
  <si>
    <t>pssAAV-spacer-CMV-hCatch-WPRE</t>
  </si>
  <si>
    <t>InFu 85</t>
  </si>
  <si>
    <t>pssAAV-SNCG-ChrimsonR-tdTomato</t>
  </si>
  <si>
    <t>la seule prep a un ITR en moins ! utiliser 557</t>
  </si>
  <si>
    <t>InFu81</t>
  </si>
  <si>
    <t>pssAAV-CAG-ChrimsonR-FLAG</t>
  </si>
  <si>
    <t>Gibs2</t>
  </si>
  <si>
    <t>gibs3 clone 6</t>
  </si>
  <si>
    <t>speI/bstEII</t>
  </si>
  <si>
    <t>pssAAV-CAG-ChrimsonR-Flag-tdTomato</t>
  </si>
  <si>
    <t>Gibs3 + infu 84</t>
  </si>
  <si>
    <t>Berkeley</t>
  </si>
  <si>
    <t>Used in Caporale et al, très dur à retransformer</t>
  </si>
  <si>
    <t>Jens/Abhishek</t>
  </si>
  <si>
    <t>ReachR</t>
  </si>
  <si>
    <t>AgeI/ecoRI</t>
  </si>
  <si>
    <t xml:space="preserve">pLenti-CaMKIIa-C1V1(E122T)-TS-EYFP </t>
  </si>
  <si>
    <t>Deisseroth Lab (Jens MTA)</t>
  </si>
  <si>
    <t xml:space="preserve">pLenti-CaMKIIa-C1V1(E162T)-TS-EYFP </t>
  </si>
  <si>
    <t xml:space="preserve">pLenti-CaMKIIa-C1V1(E122/162T)-TS-EYFP </t>
  </si>
  <si>
    <t>pLenti-CaMKIIa-hChR2 (C128S/D156A)-EYFP</t>
  </si>
  <si>
    <t>pLenti-CaMKIIa-hChR2 (T159C)-EYFP-WPRE</t>
  </si>
  <si>
    <t>pLenti-CaMKIIa-hChR2 (E123T/T159C)-EYFP-WPRE</t>
  </si>
  <si>
    <t xml:space="preserve">pAAV-CaMKIIa-C1V1(E122/162T)-TS-EYFP </t>
  </si>
  <si>
    <t>pAAV-CaMKIIa-C1V1(E122/162T)-TS-mCherry</t>
  </si>
  <si>
    <t xml:space="preserve">pAAV-Ef1a-DIO-C1V1(E122/162T)-TS-EYFP </t>
  </si>
  <si>
    <t>pLenti-hSyn-ReachR</t>
  </si>
  <si>
    <t>pAAV-Ef1a-DIO-C1V1(E122/162T)-TS-mCherry</t>
  </si>
  <si>
    <t>INfU83</t>
  </si>
  <si>
    <t xml:space="preserve">pAAV-CaMKIIa-C1V1(E162T)-p2A-EYFP </t>
  </si>
  <si>
    <t>pAAV-mCar-ReaChR</t>
  </si>
  <si>
    <t>Infu82</t>
  </si>
  <si>
    <t>pscAAV-hRho-GFP</t>
  </si>
  <si>
    <t>pAAV-CaMKIIa-hChR2 (C128S/D156A)-EYFP</t>
  </si>
  <si>
    <t>InFu 88 A</t>
  </si>
  <si>
    <t>pAAV-CaMKIIa-hChR2 (C128S/D156A)-mCherry</t>
  </si>
  <si>
    <t>NheI/EcoRV</t>
  </si>
  <si>
    <t>pAAV-Ef1a-DIO-hChR2 (C128S/D156A)-EYFP</t>
  </si>
  <si>
    <t>Infu 88 B</t>
  </si>
  <si>
    <t>pAAV-Ef1a-DIO-hChR2 (C128S/D156A)-mCherry</t>
  </si>
  <si>
    <t>CNS</t>
  </si>
  <si>
    <t>AAV10-2YF</t>
  </si>
  <si>
    <t>pAAV-CaMKIIa-hChR2 (E123T/T159C)-EYFP</t>
  </si>
  <si>
    <t>pAAV-CaMKIIa-hChR2 (E123T/T159C)-mCherry</t>
  </si>
  <si>
    <t>pscAAV-CAG-flox-hCatch-YFP</t>
  </si>
  <si>
    <t>InFu 89</t>
  </si>
  <si>
    <t>pAAV-Ef1a-eNpHR3,0-EYFP</t>
  </si>
  <si>
    <t>BglII/XbaI</t>
  </si>
  <si>
    <t>pLenti-CaMKIIa-hChR2 (C128A)-EYFP-WPRE</t>
  </si>
  <si>
    <t>pssAAV-CAG-flex-ReachR-Citrine</t>
  </si>
  <si>
    <t>Infu 90</t>
  </si>
  <si>
    <t>pLenti-CaMKIIa-hChR2 (C128S)-EYFP-WPRE</t>
  </si>
  <si>
    <t>pLenti-CaMKIIa-hChR2 (C128T)-EYFP-WPRE</t>
  </si>
  <si>
    <t>pAAV-CaMKIIa-hChR2 (C128A/H134R)-EYFP</t>
  </si>
  <si>
    <t>pLenti-CaMKIIa-hChR2 (C128A/H134R)-EYFP</t>
  </si>
  <si>
    <t>pLenti-CaMKII-hChief-GFP</t>
  </si>
  <si>
    <t>FCK-87-GFP</t>
  </si>
  <si>
    <t>Boyden Lab</t>
  </si>
  <si>
    <t xml:space="preserve">Pas de carte </t>
  </si>
  <si>
    <t>pLenti-CaMKII-Chrimson WT-GFP</t>
  </si>
  <si>
    <t>FCK-88-GFP</t>
  </si>
  <si>
    <t>Pas de carte, N'a pas été transformé</t>
  </si>
  <si>
    <t>pLenti-CaMKII-Chronos-GFP-WPRE</t>
  </si>
  <si>
    <t>FCK-90-GFP</t>
  </si>
  <si>
    <t>pLenti(?)-CAG-ChrimsonR-dtTomato</t>
  </si>
  <si>
    <t>Nom d'origine; pCAG-ChR88m19-dtTomato</t>
  </si>
  <si>
    <t>pscAAV-CMV-GCaMP6f-BGHpA</t>
  </si>
  <si>
    <t>InFu13 C, clone 5</t>
  </si>
  <si>
    <t>pssAAV CMV-hCatCH-SpeI-GFP</t>
  </si>
  <si>
    <t>RCamP</t>
  </si>
  <si>
    <t>attention ITR en moins</t>
  </si>
  <si>
    <t>mini du 04/12/13</t>
  </si>
  <si>
    <t>MutDir sur 257, clone 1</t>
  </si>
  <si>
    <t>pssAAV-SNCG-hCatch-SpeI-GFP-WPRE</t>
  </si>
  <si>
    <t>MutDir sur 279, clone 2</t>
  </si>
  <si>
    <t>pscAAV-4xGRm6-GFP</t>
  </si>
  <si>
    <t>InFu17 pour promoteur "long" (&lt;plasmide 231), clone 11</t>
  </si>
  <si>
    <t>pscAAV-1xGrM6-GFP</t>
  </si>
  <si>
    <t>NE PAS UTILISER; Part du promoteur manquante</t>
  </si>
  <si>
    <t>macaque</t>
  </si>
  <si>
    <t>pssAAV-SNCG-JRGECO1a</t>
  </si>
  <si>
    <t>Infu 86 B</t>
  </si>
  <si>
    <t>SATT Lutech SNCG</t>
  </si>
  <si>
    <t>pssAAV-SNCG-RdCVF</t>
  </si>
  <si>
    <t>InFu 86 A</t>
  </si>
  <si>
    <t>CAG_FLEX rev GFP -2A-PSAM Y115F L141F GlyR _WPRE</t>
  </si>
  <si>
    <t>pssAAV-pR1.7-Jaws-GFP</t>
  </si>
  <si>
    <t>Infu 92</t>
  </si>
  <si>
    <t>Isabelle Audo</t>
  </si>
  <si>
    <t>Astro-Opto</t>
  </si>
  <si>
    <t>astrocytes</t>
  </si>
  <si>
    <t>nheI/AscI</t>
  </si>
  <si>
    <t>pAAV-flox-CAG-SWO-GFP</t>
  </si>
  <si>
    <t>InFu 87</t>
  </si>
  <si>
    <t xml:space="preserve">InFu17 pour promoteur "court" (&lt;plasmide 190), clone 8 </t>
  </si>
  <si>
    <t xml:space="preserve">pssAAV-SNCG-hCatch-MBD-GFP </t>
  </si>
  <si>
    <t>ITR corrigés (ancien backbone 336 sans ITR)</t>
  </si>
  <si>
    <t>Deniz/Olivier</t>
  </si>
  <si>
    <t>NIH</t>
  </si>
  <si>
    <t>bpc</t>
  </si>
  <si>
    <t>sequençage et SmaI</t>
  </si>
  <si>
    <t>C3  clone 6   (remarque :ancien InFu 20 SNCG clone 18</t>
  </si>
  <si>
    <t>pAAV-CMV-hCatch-MBD-GFP</t>
  </si>
  <si>
    <t>InFu 20 CMV  clone 3</t>
  </si>
  <si>
    <t>pAAV-sCAG-Tandem</t>
  </si>
  <si>
    <t>TALENs</t>
  </si>
  <si>
    <t>Fait à partir de 285</t>
  </si>
  <si>
    <t>séquençage</t>
  </si>
  <si>
    <t>Infu 16 clone 7 (backbone plasmide 285)</t>
  </si>
  <si>
    <t>scCAG-eGFP-2A-SANS</t>
  </si>
  <si>
    <t>midi du 15/01/14</t>
  </si>
  <si>
    <t>Genscript</t>
  </si>
  <si>
    <t>scCAG-SANS</t>
  </si>
  <si>
    <t>scCAG-RdCVF2</t>
  </si>
  <si>
    <t>Equipe T Leveillard</t>
  </si>
  <si>
    <t>scCAG-RdCVF2v</t>
  </si>
  <si>
    <t>pscAAV-CMV-RCaMP1h-BGHpA</t>
  </si>
  <si>
    <t>pAAV-Grm6-ReaChR-GFP</t>
  </si>
  <si>
    <t>InFu 94 A</t>
  </si>
  <si>
    <t>InFu13 D, clone 9</t>
  </si>
  <si>
    <t>AAV8-Y733F</t>
  </si>
  <si>
    <t>pssSNCG-hCatch sans stop!-WPRE</t>
  </si>
  <si>
    <t>pAAV-Grm6-ChR-KV2,1-EYFP</t>
  </si>
  <si>
    <t>InFu 94 B</t>
  </si>
  <si>
    <t>7mer scrambled</t>
  </si>
  <si>
    <t>HindIII/notI</t>
  </si>
  <si>
    <t>pAAV2-7mer</t>
  </si>
  <si>
    <t>607 et 608</t>
  </si>
  <si>
    <t>Gibs5</t>
  </si>
  <si>
    <t>clone 1 KKTIENR, clone 4 TTDNNNM</t>
  </si>
  <si>
    <t>sans codon stop sans ITR</t>
  </si>
  <si>
    <t>CMV-Rho-L1</t>
  </si>
  <si>
    <t>capsides Ala</t>
  </si>
  <si>
    <t>170,166,140,178,154,206</t>
  </si>
  <si>
    <t>CAP2 (R475A, R484A et K532A), CAP5 (M569A, Y585A, et L587A), CAP9 (N470A, D271A, N272A, Y446A et W503A)</t>
  </si>
  <si>
    <t>610 à 616</t>
  </si>
  <si>
    <t>MD24</t>
  </si>
  <si>
    <t>Deniz/Valentina</t>
  </si>
  <si>
    <t>&gt;100 ul @ &gt;10E12</t>
  </si>
  <si>
    <t>NIH/Brain</t>
  </si>
  <si>
    <t>AgeI/SpeI</t>
  </si>
  <si>
    <t>pssAAV-CAG-Chronos-FLAG</t>
  </si>
  <si>
    <t>Infu 96</t>
  </si>
  <si>
    <t>XbaI sur MD25 clone 2</t>
  </si>
  <si>
    <t>pssAAV-CAG-tdTomato-2A-Chronos</t>
  </si>
  <si>
    <t>MD25 puis Gibs7</t>
  </si>
  <si>
    <t>séquencage</t>
  </si>
  <si>
    <t>pssAAV-CAG-tdTomato-2A-CoChR</t>
  </si>
  <si>
    <t>Clonage #1 clone 17</t>
  </si>
  <si>
    <t>pssCMV-hCatch sans stop!- WPRE</t>
  </si>
  <si>
    <t>BamHI/EcorI</t>
  </si>
  <si>
    <t>Addgene 26721</t>
  </si>
  <si>
    <t>sans codon stop</t>
  </si>
  <si>
    <t>pssAAV-4xGrm6-TVA-2A-G</t>
  </si>
  <si>
    <t>Infu95</t>
  </si>
  <si>
    <t>clone 1</t>
  </si>
  <si>
    <t>Clonage #2 clone 7</t>
  </si>
  <si>
    <t>pssSNCG-hCatch-WPRE</t>
  </si>
  <si>
    <t>Avec codon stop, ITR corrigés (ancien bb 347</t>
  </si>
  <si>
    <t>ok- avec des ITR depuis 5/02/14</t>
  </si>
  <si>
    <t>midi du 05/02/14, mini du 04/02/14</t>
  </si>
  <si>
    <t>MD sur 347 pour ajouter stop  clone 1  puis recloné dans un nouveau backbone par InFu 33 clone 4</t>
  </si>
  <si>
    <t>pssAAV-CMV-hCatch-WPRE</t>
  </si>
  <si>
    <t>Avec codon stop Mais 1 seul ITR UITLISER 556</t>
  </si>
  <si>
    <t>midi du 22/01/14, mini du 15/01/2014</t>
  </si>
  <si>
    <t>Clonage #2 clone 7 mut dir clone 2</t>
  </si>
  <si>
    <t>pssSNCG-hCatch-MBD sans stop!-WPRE</t>
  </si>
  <si>
    <t>CAG-hChR2(D156C)-eGFP-WPRE</t>
  </si>
  <si>
    <t>InFu27 clone 3</t>
  </si>
  <si>
    <t>InFu 69</t>
  </si>
  <si>
    <t>pssSNCG-hCatch-MBD-WPRE</t>
  </si>
  <si>
    <t>!!! Attention la forme finale ne possède pas le WPRE</t>
  </si>
  <si>
    <t>avec le codon stop sans ITR</t>
  </si>
  <si>
    <t>InFu27 clone 3 Mut dir clone 1</t>
  </si>
  <si>
    <t>scCAG-ReachR-GFP</t>
  </si>
  <si>
    <t>mini du 21/01/14</t>
  </si>
  <si>
    <t>InFu21 clone 1, Aucun résultat en PCR colonie</t>
  </si>
  <si>
    <t>scCAG-ChrimsonR-GFP</t>
  </si>
  <si>
    <t>InFu22 clone 5</t>
  </si>
  <si>
    <t xml:space="preserve"> </t>
  </si>
  <si>
    <t>contient bien le "e"NpHR</t>
  </si>
  <si>
    <t>CMV-hCatch(D156C)-eGFP-WPRE</t>
  </si>
  <si>
    <t>InFu25 clone 3</t>
  </si>
  <si>
    <t>pDD345-DF1-ChRM4i-2A-mCherry</t>
  </si>
  <si>
    <t>CAG-hCatch(D156C)-eGFP-WPRE</t>
  </si>
  <si>
    <t>Wei-Wei</t>
  </si>
  <si>
    <t>Marcela</t>
  </si>
  <si>
    <t>puc19</t>
  </si>
  <si>
    <t>Agilent</t>
  </si>
  <si>
    <t>commercial</t>
  </si>
  <si>
    <t>From Agilent</t>
  </si>
  <si>
    <t>pssAAV-pR1.7-FLAG-Jaws-KGC-GFP-ER2</t>
  </si>
  <si>
    <t>Gibs 8 A</t>
  </si>
  <si>
    <t>gibs 8  A</t>
  </si>
  <si>
    <t>pssAAV-pR1.7-FLAG-Jaws-KGC-ER2</t>
  </si>
  <si>
    <t>ne pas utiliser : atg en trop</t>
  </si>
  <si>
    <t>Gibs 8 B</t>
  </si>
  <si>
    <t>clone 6</t>
  </si>
  <si>
    <t>AgeI/NheI</t>
  </si>
  <si>
    <t>pLenti-hBO-tdTomato</t>
  </si>
  <si>
    <t>InFu 97 A</t>
  </si>
  <si>
    <t>KflI/NheI</t>
  </si>
  <si>
    <t>pLenti-hRO-GFP</t>
  </si>
  <si>
    <t>InFu 97 B</t>
  </si>
  <si>
    <t>clone 2</t>
  </si>
  <si>
    <t>pssAAV-CAG-RPE65</t>
  </si>
  <si>
    <t>C20</t>
  </si>
  <si>
    <t>clone 3</t>
  </si>
  <si>
    <t>InFu26 clone 1</t>
  </si>
  <si>
    <t xml:space="preserve">pssAAV-1xGrm6-GFP
</t>
  </si>
  <si>
    <t>pssAAV-CAG-Chronos</t>
  </si>
  <si>
    <t>InFu 93</t>
  </si>
  <si>
    <t>Infu52 CFor</t>
  </si>
  <si>
    <t>Infu52 C Rev</t>
  </si>
  <si>
    <t>pAAV-smCBA-mCherry-IRES-Cre-WPRE</t>
  </si>
  <si>
    <t>Infu 52 C</t>
  </si>
  <si>
    <t>difficile a re-suspendre apres 1h @ 37: trainé et culots dans le gradient iox</t>
  </si>
  <si>
    <t>CMV-Rho-R1</t>
  </si>
  <si>
    <t>Comparaison promoteurs</t>
  </si>
  <si>
    <t>528 Infu 48 CMV F</t>
  </si>
  <si>
    <t>529 Infu 48 CMV R</t>
  </si>
  <si>
    <t>pssAAV-CMV-GFP</t>
  </si>
  <si>
    <t>CMV-Rag-R (Control)</t>
  </si>
  <si>
    <t>CMV-Rag-L (Control)</t>
  </si>
  <si>
    <t>InFu30 clone 18</t>
  </si>
  <si>
    <t>pssAAV-SNCG-hCatch-GFP-WPRE ultime</t>
  </si>
  <si>
    <t>sans SV40</t>
  </si>
  <si>
    <t>séquencage+digestions clés</t>
  </si>
  <si>
    <t>InFu35 clone 3, C'est le plasmide ss "ultime" avec des sites de restriction clés uniques entre chaque blocs</t>
  </si>
  <si>
    <t xml:space="preserve">pAAV-ss-4xGRm6-GFP
</t>
  </si>
  <si>
    <t>Infu 48 A</t>
  </si>
  <si>
    <t>InFu30 clone3</t>
  </si>
  <si>
    <t>530 Infu 48 mCar F</t>
  </si>
  <si>
    <t>531 Infu 48 mCar R</t>
  </si>
  <si>
    <t>pAAV-DIO-vLWO-1A</t>
  </si>
  <si>
    <t>pssAAV-mCar-GFP</t>
  </si>
  <si>
    <t>pAAV-DIO-vSWO-1B</t>
  </si>
  <si>
    <t>Infu 48 B</t>
  </si>
  <si>
    <t>clone 8</t>
  </si>
  <si>
    <t>pssAAV-mCar-ChrimsonR-tdTomato</t>
  </si>
  <si>
    <t>InFu 38 clone 2</t>
  </si>
  <si>
    <t>psc-AAV-1xGrM6-ReachR-Citrine-BGHpA</t>
  </si>
  <si>
    <t>532 Infu 48 hCar F</t>
  </si>
  <si>
    <t>533 Infu 48 hCar R</t>
  </si>
  <si>
    <t>pssAAV-hCar-GFP</t>
  </si>
  <si>
    <t>Infu 48 C</t>
  </si>
  <si>
    <t>534 Infu 48 hRo F</t>
  </si>
  <si>
    <t xml:space="preserve"> 535 Infu 48 hRo R</t>
  </si>
  <si>
    <t>pssAAV-hRo-GFP</t>
  </si>
  <si>
    <t>InFu34 clone 11</t>
  </si>
  <si>
    <t>Infu 48 D</t>
  </si>
  <si>
    <t>pTR-SB-smCBA-dp71</t>
  </si>
  <si>
    <t>protéine dp71</t>
  </si>
  <si>
    <t>Rendon</t>
  </si>
  <si>
    <t>1118/1120</t>
  </si>
  <si>
    <t>1119/1121</t>
  </si>
  <si>
    <t>pssAAV-SNCG-FastChrimsonR(KYS)-tdTomato</t>
  </si>
  <si>
    <t>pTR-SB-smCBA-dp71sh4</t>
  </si>
  <si>
    <t>Infu 101 A</t>
  </si>
  <si>
    <t>shARN n°4 de la dp71</t>
  </si>
  <si>
    <t>ssCMV-GFP (attention- simple brin)</t>
  </si>
  <si>
    <t>pssAAV-1xGrm6-ChrimsonR-dtTomato</t>
  </si>
  <si>
    <t>22/08/2012</t>
  </si>
  <si>
    <t>pssAAV-SNCG-FastChrimson(YS)-tdTomato</t>
  </si>
  <si>
    <t>Infu 102 B</t>
  </si>
  <si>
    <t>HindIII/AgeI</t>
  </si>
  <si>
    <t>1115 GFP-Flag + STOP</t>
  </si>
  <si>
    <t>1116 GFP-Flag + STOP</t>
  </si>
  <si>
    <t>pssAAV-pR1.7-GFP-FLAG</t>
  </si>
  <si>
    <t>non 4x selon les séquencage de 30/ 01/2017</t>
  </si>
  <si>
    <t>Gibs 10</t>
  </si>
  <si>
    <t>clone 7</t>
  </si>
  <si>
    <t>InFu40 clone 1</t>
  </si>
  <si>
    <t>Deniz/Cardillia</t>
  </si>
  <si>
    <t>pssAAV-4xGrm6-ChrimsonR-dtTomato</t>
  </si>
  <si>
    <t>4x selon les séquencage de 30/01/2017</t>
  </si>
  <si>
    <t>pssAAV-pR1.7-SWO-FLAG</t>
  </si>
  <si>
    <t>séq+digMluI/BamHI</t>
  </si>
  <si>
    <t>InFu41 clone 14</t>
  </si>
  <si>
    <t>pssAAV-mCAR-LWO-GFP</t>
  </si>
  <si>
    <t>InFu42 clone 5</t>
  </si>
  <si>
    <t>pscAAV-CAG-eNpHR3,0-YFP</t>
  </si>
  <si>
    <t>InFu39 clone 2</t>
  </si>
  <si>
    <t>pssAAV-SNCG-hCatch-GFP-WPRE ultime v2</t>
  </si>
  <si>
    <t xml:space="preserve">2 sites HindIII rajoutés </t>
  </si>
  <si>
    <t>digestion HindIII</t>
  </si>
  <si>
    <t>MD clone 1</t>
  </si>
  <si>
    <t xml:space="preserve">pssAAV-SNCG-hChR2 (H134R)-GFP-WPRE </t>
  </si>
  <si>
    <t>ITR corrigé de 273</t>
  </si>
  <si>
    <t>ancien C4 =MD1= hChR2 L132,R134, clone 1</t>
  </si>
  <si>
    <t xml:space="preserve">puc19-CAP2+pept1 </t>
  </si>
  <si>
    <t>insertion pept1 de maurocalcine dans le CAP2 du plasmide 402</t>
  </si>
  <si>
    <t xml:space="preserve">puc19-CAP2+pept2 </t>
  </si>
  <si>
    <t xml:space="preserve">puc19-CAP2+pept3 </t>
  </si>
  <si>
    <t>pssAAV-hROmini-LWO-GFP</t>
  </si>
  <si>
    <t>promoteur sans le "LCR"</t>
  </si>
  <si>
    <t>VI</t>
  </si>
  <si>
    <t>InFu44 clone 21</t>
  </si>
  <si>
    <t>pssAAV-mCAR-eNphR2,0V-EYFP</t>
  </si>
  <si>
    <t>suppression de V9,RE tag après YFP</t>
  </si>
  <si>
    <t>MD3 clone 2</t>
  </si>
  <si>
    <t>pssAAV-mCar-eNpHR2,0V-WPRE</t>
  </si>
  <si>
    <t>suppression de V9</t>
  </si>
  <si>
    <t>MD4 clone 1</t>
  </si>
  <si>
    <t>pssAAV-hCar-eNpHR2,0V-WPRE</t>
  </si>
  <si>
    <t>Gibs 11A</t>
  </si>
  <si>
    <t>clone A5</t>
  </si>
  <si>
    <t>MD5 clone3</t>
  </si>
  <si>
    <t>pAAV-hRO-eNpHR-eYFP</t>
  </si>
  <si>
    <t>p01-19 Roska</t>
  </si>
  <si>
    <t>pssAAV-pR1.7-Girk2-FLAG</t>
  </si>
  <si>
    <t>Gibs 11B</t>
  </si>
  <si>
    <t>à partir de la transfo avec le morceau de papier</t>
  </si>
  <si>
    <t>Clone B7</t>
  </si>
  <si>
    <t>pssAAV-SNCG-hCatch (T159S)-GFP-WPRE</t>
  </si>
  <si>
    <t>T159S</t>
  </si>
  <si>
    <t>BamHI/HindIII</t>
  </si>
  <si>
    <t>Donné a Stefania</t>
  </si>
  <si>
    <t>pssAAV-4xGrm6-LWO-FLAG</t>
  </si>
  <si>
    <t>Gibs 12</t>
  </si>
  <si>
    <t>clone 4</t>
  </si>
  <si>
    <t>MD2 clone3</t>
  </si>
  <si>
    <t>pssAAV-4xgrm6-ReachR-Citrine</t>
  </si>
  <si>
    <t>pssAAV-4xGrm6-LWO-GFP</t>
  </si>
  <si>
    <t>Infu 109 A</t>
  </si>
  <si>
    <t>InFu36 clone2</t>
  </si>
  <si>
    <t>pssAAV-1xgrm6-ReachR-Citrine</t>
  </si>
  <si>
    <t>promoteur confirmé 1x</t>
  </si>
  <si>
    <t>InFu37 clone 11</t>
  </si>
  <si>
    <t>pssAAV-hCar-eNpHR2,0V-GFP-WPRE</t>
  </si>
  <si>
    <t>RE tag avant GFP</t>
  </si>
  <si>
    <t>mCar-GFP</t>
  </si>
  <si>
    <t>MD7(clone2 + INFu23B clone 19</t>
  </si>
  <si>
    <t>pssAAV-mCar-eNpHR2,0V-GFP-WPRE</t>
  </si>
  <si>
    <t>MD6 (cl1 + Infu23A clone 1</t>
  </si>
  <si>
    <t>pssAAV-hCAr-eNpHR2,0V-YFP-WPRE</t>
  </si>
  <si>
    <t>AgeI/BstBI</t>
  </si>
  <si>
    <t>Conta des cellules: filtré le milieu, resuspension ON 4° et filtration a nouveau,</t>
  </si>
  <si>
    <t>pssAAV-promoteur 200En-mGluR500P -LWO-GFP</t>
  </si>
  <si>
    <t>RE tag après YFP</t>
  </si>
  <si>
    <t>InFu24 clone 16</t>
  </si>
  <si>
    <t>pscAAV-CAG-eNpHR2,0V-eYFP</t>
  </si>
  <si>
    <t>Infu 110 A</t>
  </si>
  <si>
    <t xml:space="preserve"> suppression de V9,RE tag après YFP </t>
  </si>
  <si>
    <t>en cours</t>
  </si>
  <si>
    <t>pssAAV-4xGrm6-SWO-GFP</t>
  </si>
  <si>
    <t xml:space="preserve">Infu 109 B </t>
  </si>
  <si>
    <t>MD8 clone 4 prep et Sg jetés car séquençage mauvais remplacé par 417</t>
  </si>
  <si>
    <t>pssAAV-promoteur 200En-mGluR500P -SWO-GFP</t>
  </si>
  <si>
    <t>pscAAV-CAG-eNpHR2,0V</t>
  </si>
  <si>
    <t>MD9 clone 7</t>
  </si>
  <si>
    <t>pssAAV-hRo-LWO-GFP</t>
  </si>
  <si>
    <t>promoteur avec LCR,Sans WPRE</t>
  </si>
  <si>
    <t>InFu47 clone 4 puis digestion NotI/BglII, Fill-in, ligation, clone 6</t>
  </si>
  <si>
    <t>pAAV-CaMKIIa-SwiChR(C128A)-TS-eYFP</t>
  </si>
  <si>
    <t>SwichR CA</t>
  </si>
  <si>
    <t>retransfomé en Endura à partir de la midi donnée par Stanford</t>
  </si>
  <si>
    <t>pAAV-hRho-eNpHR-EYFP</t>
  </si>
  <si>
    <t>P01-20</t>
  </si>
  <si>
    <t>Roska Lab (Josephine)</t>
  </si>
  <si>
    <t>Infu 110 B</t>
  </si>
  <si>
    <t>reçu sous forme de papier Wateman</t>
  </si>
  <si>
    <t>pscAAV-CAG-mem-Killer Red</t>
  </si>
  <si>
    <t>Addgene</t>
  </si>
  <si>
    <t>Deniz/Diane</t>
  </si>
  <si>
    <t>Killer Red</t>
  </si>
  <si>
    <t>reçu sous forme de papier Wateman (Deniz Berkeley), Nouvelle transfo à partir d'un autre papier, clone 2</t>
  </si>
  <si>
    <t>pssAAV-NheI-mCAR-NcoI-eNphR2,0V-EYFP</t>
  </si>
  <si>
    <t>Dévaliné, RE tag après YFP</t>
  </si>
  <si>
    <t>Infu 50 clone 5</t>
  </si>
  <si>
    <t>pssAAV-NheI-mCar-eNpHR2,0V-WPRE</t>
  </si>
  <si>
    <t>Dévaliné,RE tag après eNpHR, site BamHI apres prom non unique</t>
  </si>
  <si>
    <t>Infu 50 clone 38</t>
  </si>
  <si>
    <t>pAAV-1xGrm6-Grm6-eGFP</t>
  </si>
  <si>
    <t>Miguel Dias( Eq AZ)</t>
  </si>
  <si>
    <t>pAAV-1xGrm6-Grm6</t>
  </si>
  <si>
    <t>pssAAV-mCAR-ClaI-eNphR2,0V-EYFP</t>
  </si>
  <si>
    <t>séquençage et dig test</t>
  </si>
  <si>
    <t>MD10 cl4</t>
  </si>
  <si>
    <t>pssAAV-mCar-ClaI-eNpHR2,0V-WPRE</t>
  </si>
  <si>
    <t>Dévaliné,RE tag après eNpHR</t>
  </si>
  <si>
    <t>pssAAV-CAG-Supernova</t>
  </si>
  <si>
    <t>MD11 cl2</t>
  </si>
  <si>
    <t>pssAAV-mCar-ClaI-eNphR-EYFP</t>
  </si>
  <si>
    <t>RE tag après YFP, Profils de digestion BamHi, BlpI/Acci bizare</t>
  </si>
  <si>
    <t>MD12 clone 7</t>
  </si>
  <si>
    <t>pssAAV-hSyn-ChR2 long-citrine</t>
  </si>
  <si>
    <t>non humanisé</t>
  </si>
  <si>
    <t>séqunçage</t>
  </si>
  <si>
    <t>InFu45 clone 1</t>
  </si>
  <si>
    <t>puc19-CAP2</t>
  </si>
  <si>
    <t>Cap2 du plasmide 11 (111 n'a pas fonctionné)</t>
  </si>
  <si>
    <t>Arthur</t>
  </si>
  <si>
    <t>InFu46 clone 5</t>
  </si>
  <si>
    <t>pssAAV-mCar-SwiChR-TS-eYFP</t>
  </si>
  <si>
    <t>InFu 51 clone 9</t>
  </si>
  <si>
    <t>pCap2 Maurocalcine pep1</t>
  </si>
  <si>
    <t>pept 1 Mut sur RepCap4</t>
  </si>
  <si>
    <t>Infusion 105</t>
  </si>
  <si>
    <t>C5 Cl11</t>
  </si>
  <si>
    <t>clone 10</t>
  </si>
  <si>
    <t>pCap2 Maurocalcine pep2</t>
  </si>
  <si>
    <t>pept 2 Mut sur RepCap4</t>
  </si>
  <si>
    <t>C6 Cl9</t>
  </si>
  <si>
    <t>pCap2 Maurocalcine pep3</t>
  </si>
  <si>
    <t>pept 3 Mut sur RepCap4</t>
  </si>
  <si>
    <t>C7 clone 4</t>
  </si>
  <si>
    <t>puc57-rHKAb</t>
  </si>
  <si>
    <t>pAAV-mCAr-rHKAb-eNpHR-YFP-WPRE</t>
  </si>
  <si>
    <t>pAAV-mCAr-rHKAb-eNpHR-WPRE</t>
  </si>
  <si>
    <t>Correction promoteur :C11 clone C</t>
  </si>
  <si>
    <t>pAAV-hCAr-rHKAb-eNpHR-YFP-WPRE</t>
  </si>
  <si>
    <t>pAAV-hCAr-rHKAb-eNpHR-WPRE</t>
  </si>
  <si>
    <t>pAAV-mCAr-hHKAb-eNpHR-YFP-WPRE</t>
  </si>
  <si>
    <t>** mut 1aa en moins,Version corrigée =456</t>
  </si>
  <si>
    <t>pAAV-mCAr-hHKAb-eNpHR-WPRE</t>
  </si>
  <si>
    <t>** mut 1aa en moins, Version corrigée = 450</t>
  </si>
  <si>
    <t>Correction promoteur : C11 clone B</t>
  </si>
  <si>
    <t>pAAV-hCAr-hHKAb-eNpHR-YFP-WPRE</t>
  </si>
  <si>
    <t>** mut 1aa en moins</t>
  </si>
  <si>
    <t>pAAV-hCAr-hHKAb-eNpHR-WPRE</t>
  </si>
  <si>
    <t>puc57-hHKAb</t>
  </si>
  <si>
    <t>C8 clone 8 (correction de 388)</t>
  </si>
  <si>
    <t>puc57-hBO promoteur</t>
  </si>
  <si>
    <t>human blue cone pigment promoteur</t>
  </si>
  <si>
    <t>human BlueOpsin, short-wavelength sensitive</t>
  </si>
  <si>
    <t>pssAAV-mCAr-ReachR-Citrine</t>
  </si>
  <si>
    <t>Infu 55 clone 21</t>
  </si>
  <si>
    <t>pAAV-CAG-rHKAb-NpHR-bghPA</t>
  </si>
  <si>
    <t>pAAV-CAG-hHKAb-NpHR-bghPA</t>
  </si>
  <si>
    <t>puc19-Cap2</t>
  </si>
  <si>
    <t>Version Eleonore; sortir le Cap par HindIII/PvuI</t>
  </si>
  <si>
    <t>357/11</t>
  </si>
  <si>
    <t>"Clonage Eleonore " Clone 19  Problème digestion PvuI</t>
  </si>
  <si>
    <t>pAAV-EF1a-mCherry-WGA-Cre</t>
  </si>
  <si>
    <t>Herlitze Lab</t>
  </si>
  <si>
    <t>pAAV-1,5kb-1A</t>
  </si>
  <si>
    <t>pHluorin-1A</t>
  </si>
  <si>
    <t>pCMV-iGluSnFR</t>
  </si>
  <si>
    <t>Glutamate sensor Fluo Reporter</t>
  </si>
  <si>
    <t>Addgene 41732</t>
  </si>
  <si>
    <t>Pas d'ITR ? ATTENTION PAS UN PLASMIDE AAV</t>
  </si>
  <si>
    <t>AAV-EF1a-DIO-GCaMP6f-P2A-nls-dTomato</t>
  </si>
  <si>
    <t>Floxed GCaMP6f</t>
  </si>
  <si>
    <t>Addgene 51083</t>
  </si>
  <si>
    <t>AAV-EF1a-DIO-GCaMP6s-P2A-nls-dTomato</t>
  </si>
  <si>
    <t>Floxed GCaMP6s</t>
  </si>
  <si>
    <t>Addgene 51082</t>
  </si>
  <si>
    <t>pCMV-Cerulean-C1</t>
  </si>
  <si>
    <t>Addgene 15214</t>
  </si>
  <si>
    <t>pQC mPlum IX</t>
  </si>
  <si>
    <t>Addgene 37355</t>
  </si>
  <si>
    <t>pCMV-Emerald-C1</t>
  </si>
  <si>
    <t>Addgene 54734</t>
  </si>
  <si>
    <t>pssAAV-mCAr-SwichR-ReachR-Citrine</t>
  </si>
  <si>
    <t>InFu 56 clone 3</t>
  </si>
  <si>
    <t>pssAAV-hRho-Supernova</t>
  </si>
  <si>
    <t>pssAAV-mCar-ChrimsonR*sans stop-WPRE</t>
  </si>
  <si>
    <t>C12 clone 4</t>
  </si>
  <si>
    <t>pAAV-hRho-Killer Red</t>
  </si>
  <si>
    <t>Infu 54 clone 3 puis MD 16 clone 2  pour corriger mutation</t>
  </si>
  <si>
    <t>Infusion 107</t>
  </si>
  <si>
    <t>DARPANIH/Brain</t>
  </si>
  <si>
    <t>pssAAV-CAG-FastChrimson(KYS)-tdTomato</t>
  </si>
  <si>
    <t>reste qqes µl</t>
  </si>
  <si>
    <t>La resuspension de PEG à été centrifugé; le surnageant à été mis sur gradient,</t>
  </si>
  <si>
    <t>psa d'ATG !</t>
  </si>
  <si>
    <t>InFu 52 A clone 5. pas de start codon</t>
  </si>
  <si>
    <t>pssAAV-CMV-hCatCH-GFP</t>
  </si>
  <si>
    <t>ITR corrigé de 257</t>
  </si>
  <si>
    <t>InFu 59 clone 13</t>
  </si>
  <si>
    <t>pAAV-CAG-rHKAb-eNpHR-YFP</t>
  </si>
  <si>
    <t>pAAV-CAG-hHKAb-NpHR-YFP</t>
  </si>
  <si>
    <t>** mut 1aa en moins, Version corrigée = 451</t>
  </si>
  <si>
    <t>pssAAV-mCar-ChrimsonR-WPRE</t>
  </si>
  <si>
    <t>avec STOP</t>
  </si>
  <si>
    <t>MD14 clone 1</t>
  </si>
  <si>
    <t>pAAV-CMV-YFP-CTshort</t>
  </si>
  <si>
    <t>recu midi</t>
  </si>
  <si>
    <t>pAAV-CMV-YFP-CT12</t>
  </si>
  <si>
    <t>pAAV-CMV-YFP-CT27(long)</t>
  </si>
  <si>
    <t>pAAV-flox-CAG-hCatCh-YFP</t>
  </si>
  <si>
    <t>seq</t>
  </si>
  <si>
    <t>InFu61A clone1</t>
  </si>
  <si>
    <t>pcDNA3,1-GIRK1</t>
  </si>
  <si>
    <t>pcDNA3,1+</t>
  </si>
  <si>
    <t>Herlitze</t>
  </si>
  <si>
    <t>reçu en papier wateman</t>
  </si>
  <si>
    <t>pcDNA3,1-GIRK2</t>
  </si>
  <si>
    <t>ssAAV Ple155-emGFP-WPRE</t>
  </si>
  <si>
    <t>pEM 2115</t>
  </si>
  <si>
    <t>UBC (Simpson</t>
  </si>
  <si>
    <t>reçu sous forme de mini</t>
  </si>
  <si>
    <t>ssAAV Ple155-emGFP</t>
  </si>
  <si>
    <t>pEM 2116</t>
  </si>
  <si>
    <t>pfck-CAMKII-Jaws-GFP-ER2</t>
  </si>
  <si>
    <t>dans le papier Nat Neurosci de Chuong et al, ils appellent cette version "Jaws ER2"</t>
  </si>
  <si>
    <t>Boyden lab</t>
  </si>
  <si>
    <t>LV?</t>
  </si>
  <si>
    <t>pfck-CAMKII-Jaws-KGC-GFP-ER2</t>
  </si>
  <si>
    <t>Fck_halo_GFP-nonstartcodon 10844 bp</t>
  </si>
  <si>
    <t>1 nt rajouté</t>
  </si>
  <si>
    <t>MD 15 sur 413, clone 3</t>
  </si>
  <si>
    <t>MD 15 sur 438, clone 1</t>
  </si>
  <si>
    <t>pAAV-CMV-vSWO-mCherry</t>
  </si>
  <si>
    <t xml:space="preserve">Herlitze lab </t>
  </si>
  <si>
    <t xml:space="preserve">pAAV-CMV-NogoA </t>
  </si>
  <si>
    <t>Pernet lab</t>
  </si>
  <si>
    <t>pscAAV-CAG-tdTomato-bghPA</t>
  </si>
  <si>
    <t>AAV transgene- couleurs</t>
  </si>
  <si>
    <t>InFu 62 A clone 2</t>
  </si>
  <si>
    <t>pscAAV-CAG-mCherry-bghPA</t>
  </si>
  <si>
    <t>InFu 62 C clone 2</t>
  </si>
  <si>
    <t>Chem AAV</t>
  </si>
  <si>
    <t>MD 15 sur 412, clone 8</t>
  </si>
  <si>
    <t>pssAAV- mCAR-Clm</t>
  </si>
  <si>
    <t>MD28</t>
  </si>
  <si>
    <t>pssAAV-CAG-FastChrimson(YS)-tdTomato</t>
  </si>
  <si>
    <t>&gt;100 ul @ &gt;10E15</t>
  </si>
  <si>
    <t>Infu53 cl3</t>
  </si>
  <si>
    <t>pssAAV-mCAR-ChrimsonR-GFP</t>
  </si>
  <si>
    <t>InFu 63 cl3</t>
  </si>
  <si>
    <t>pAAV2</t>
  </si>
  <si>
    <t>pAV2</t>
  </si>
  <si>
    <t xml:space="preserve">pBR322 </t>
  </si>
  <si>
    <t>ATCC</t>
  </si>
  <si>
    <t>AAV packaging wt</t>
  </si>
  <si>
    <t>Rep2 et Cap2 avec ITR</t>
  </si>
  <si>
    <t>ATG surnum, pas KGC, pas ER2, Utiliser 510</t>
  </si>
  <si>
    <t>clone 8, clonages CAG-Opsin</t>
  </si>
  <si>
    <t>pscAAV-CAG-BFP-bghPA</t>
  </si>
  <si>
    <t>Deniz/Arthur</t>
  </si>
  <si>
    <t>AAV-antero</t>
  </si>
  <si>
    <t>InFu 62 B clone 1</t>
  </si>
  <si>
    <t>pscAAV-CAG-Cerulean-bghPA</t>
  </si>
  <si>
    <t>pssAAV-hSyn-Cre</t>
  </si>
  <si>
    <t>InFu 62 F clone 3</t>
  </si>
  <si>
    <t>pscAAV-CAG-Emerald-bghPA</t>
  </si>
  <si>
    <t>InFu 62 G clone 13</t>
  </si>
  <si>
    <t>pAAV2 AscI+NotI 1/3</t>
  </si>
  <si>
    <t>seulement le site NotI ajouté</t>
  </si>
  <si>
    <t>sequencage+digestion NotI</t>
  </si>
  <si>
    <t>Clone 5 MD</t>
  </si>
  <si>
    <t>pssAAV-Norrin-GFP</t>
  </si>
  <si>
    <t>Antje Grosche</t>
  </si>
  <si>
    <t>PUC57-insertA 18AA</t>
  </si>
  <si>
    <t>Genescript</t>
  </si>
  <si>
    <t>pAAV-mCAr-18AAhNAChR-eNpHR-YFP</t>
  </si>
  <si>
    <t>pAAV-mCAr-18AAhNAChR-eNpHR-WPRE</t>
  </si>
  <si>
    <t>PUC57-insertB 23AA</t>
  </si>
  <si>
    <t>pAAV-mCAr-23AAhNAChR-eNpHR-YFP</t>
  </si>
  <si>
    <t>pAAV-mCAr-23AAhNAChR-eNpHR-WPRE</t>
  </si>
  <si>
    <t>CAG OK</t>
  </si>
  <si>
    <t>InFu67 A clone 1</t>
  </si>
  <si>
    <t>pAAV2+NotI</t>
  </si>
  <si>
    <t>NotI ajouté en fin de cap2</t>
  </si>
  <si>
    <t>séquençage+Digestion NotI</t>
  </si>
  <si>
    <t>MD5 d'Arthur cl2</t>
  </si>
  <si>
    <t>AAV8 + mutation Bennett</t>
  </si>
  <si>
    <t>sequencage Genscript</t>
  </si>
  <si>
    <t>AAV packaging mut</t>
  </si>
  <si>
    <t>puc57 + AAV8 mut Bennett MluI- KflI</t>
  </si>
  <si>
    <t>pUC5-eNpHR-2A</t>
  </si>
  <si>
    <t xml:space="preserve"> intermédiaire pour clonage</t>
  </si>
  <si>
    <t>pscAAV-CAG-mPlum</t>
  </si>
  <si>
    <t>InFu62 D clone 3</t>
  </si>
  <si>
    <t>MD13 clone 2</t>
  </si>
  <si>
    <t>7 deletions dans le CAG</t>
  </si>
  <si>
    <t>InFu66 C clone 1</t>
  </si>
  <si>
    <t>KpnI/ClaI</t>
  </si>
  <si>
    <t>pss-AAV-hSyn-ChrimsonR-tdTomato</t>
  </si>
  <si>
    <t>2 deletions dans le CAG</t>
  </si>
  <si>
    <t>InFu66 D clone 8</t>
  </si>
  <si>
    <t>InFu111</t>
  </si>
  <si>
    <t>Olivier</t>
  </si>
  <si>
    <t>InFu66 F clone 7</t>
  </si>
  <si>
    <t>pscAAV-CAG-RPE65</t>
  </si>
  <si>
    <t>pss-AAV-scCAG-GCamp6f</t>
  </si>
  <si>
    <t>Deniz ?</t>
  </si>
  <si>
    <t>Vient de Berkeley, retransformé à partir de papier, clone 3</t>
  </si>
  <si>
    <t>pscAAV-CAG-18AAhNAChR-eNpHR-YFP</t>
  </si>
  <si>
    <t>Envoyé à Strasbourg</t>
  </si>
  <si>
    <t>pscAAV-CAG-18AAhNAChR-eNpHR-WPRE</t>
  </si>
  <si>
    <t>pscAAV-CAG-23AAhNAChR-eNpHR-YFP</t>
  </si>
  <si>
    <t>pscAAV-CAG-23AAhNAChR-eNpHR-WPRE</t>
  </si>
  <si>
    <t>hBGHpa</t>
  </si>
  <si>
    <t>InFu 67 B clone 7</t>
  </si>
  <si>
    <t>pscAAV-CAG-mCitrine</t>
  </si>
  <si>
    <t>InFu119</t>
  </si>
  <si>
    <t>Fisson/Dalkara</t>
  </si>
  <si>
    <t>InFu 62 E clone 7</t>
  </si>
  <si>
    <t>NcoI/HindIII</t>
  </si>
  <si>
    <t>pAAV2 AscI+NotI 2/3</t>
  </si>
  <si>
    <t>pss-AAV-GRK1-GFP-HY</t>
  </si>
  <si>
    <t>Séquençage</t>
  </si>
  <si>
    <t>Gibson 13 (remplace InFu120)</t>
  </si>
  <si>
    <t xml:space="preserve">VII
</t>
  </si>
  <si>
    <t>MDa6 clone 7'</t>
  </si>
  <si>
    <t>pCMV-mouse sidekick2</t>
  </si>
  <si>
    <t xml:space="preserve">        /!\ Kan /!\ 18735</t>
  </si>
  <si>
    <t>addgene</t>
  </si>
  <si>
    <t>pTR-scCAG-GFP-2A-Cre</t>
  </si>
  <si>
    <t>InFu112B</t>
  </si>
  <si>
    <t>pCMV-mouse Dscam</t>
  </si>
  <si>
    <t xml:space="preserve">        /!\ Kan /!\ 18737</t>
  </si>
  <si>
    <t>KpnI/BstBI</t>
  </si>
  <si>
    <t>pAAV-double floxed-eNpHR-eYFP</t>
  </si>
  <si>
    <t>pssAAV-PanCourt-ChrimsonR-tdTomato</t>
  </si>
  <si>
    <t>ef1a promoter</t>
  </si>
  <si>
    <t>Infu 121A</t>
  </si>
  <si>
    <t>clone 9</t>
  </si>
  <si>
    <t>pAAV1+NotI</t>
  </si>
  <si>
    <t>Cap1 au lieu de Cap2 dans pAV2+NotI</t>
  </si>
  <si>
    <t>110+473</t>
  </si>
  <si>
    <t>pssAAV-PanLong-ChrimsonR-tdTomato</t>
  </si>
  <si>
    <t>pAAV5+NotI</t>
  </si>
  <si>
    <t>112+473</t>
  </si>
  <si>
    <t>pAAV6+NotI</t>
  </si>
  <si>
    <t>157+473</t>
  </si>
  <si>
    <t>pAAV8+NotI</t>
  </si>
  <si>
    <t>114+473</t>
  </si>
  <si>
    <t>pAAV9hu14+NotI</t>
  </si>
  <si>
    <t>123+473</t>
  </si>
  <si>
    <t>pAAVrh10+NotI</t>
  </si>
  <si>
    <t>pAAV2 AscI+NotI</t>
  </si>
  <si>
    <t>Sites NotI et AscI entre AA 587 et 588</t>
  </si>
  <si>
    <t>Séquençage+Digestion AscI</t>
  </si>
  <si>
    <t>Infu 121B</t>
  </si>
  <si>
    <t>MDa7 clone 3</t>
  </si>
  <si>
    <t>AAV Capsid</t>
  </si>
  <si>
    <t>Infu64 clone 3</t>
  </si>
  <si>
    <t>GRADINARU</t>
  </si>
  <si>
    <t>Infu64 clone 20</t>
  </si>
  <si>
    <t>InFu65 clone 5</t>
  </si>
  <si>
    <t>5'UTR COX10 MTS COX10 ND4 FLAG 3'UTR COX10_pAAV-MCS</t>
  </si>
  <si>
    <t>Marisol; 356574_5</t>
  </si>
  <si>
    <t>MTS-COX10-ND4-FLAG 3'UTR COX10_pAAV-MCS</t>
  </si>
  <si>
    <t>Marisol; 356574_9</t>
  </si>
  <si>
    <t>MTS COX10 ND4 FLAG 3'UTR COX10</t>
  </si>
  <si>
    <t>Marisol; 356574_4</t>
  </si>
  <si>
    <t>MD29</t>
  </si>
  <si>
    <t>5'UTR COX10-MTS COX10-ND4-FLAG_pAAV-MCS</t>
  </si>
  <si>
    <t>Marisol; 356574_7</t>
  </si>
  <si>
    <t>Cardillia</t>
  </si>
  <si>
    <t>5'UTR COX10-MTS COX10-Mutant ND4*-HA1-3'UTR</t>
  </si>
  <si>
    <t>Marisol; 356574_11</t>
  </si>
  <si>
    <t>C13 clone 3</t>
  </si>
  <si>
    <t>sans ER-tag, pour témoin -</t>
  </si>
  <si>
    <t>InFu70 NpHR clone 4</t>
  </si>
  <si>
    <t>pscAAV-CAG-JAWS-KGC-GFP-ER2</t>
  </si>
  <si>
    <t>pssAAV-pR1,7-Girk2-GFP</t>
  </si>
  <si>
    <t>InFu70 Jaws clone 11</t>
  </si>
  <si>
    <t>&gt;50 ul @ &gt;10E12</t>
  </si>
  <si>
    <t>31/07/2012</t>
  </si>
  <si>
    <t>pAAV-CMV,CBA,synITR,short-hRdCVF1-exon-1-ORF</t>
  </si>
  <si>
    <t>Najate p623</t>
  </si>
  <si>
    <t>Rdcvf</t>
  </si>
  <si>
    <t>pAAV-CMV,CBA,synITR,short-hRdCVF1-exon-1-region</t>
  </si>
  <si>
    <t>Najate p624</t>
  </si>
  <si>
    <t>Rdcvf PTR</t>
  </si>
  <si>
    <t>Infu 122A</t>
  </si>
  <si>
    <t>collab Leah</t>
  </si>
  <si>
    <t>BamHI/ NotI</t>
  </si>
  <si>
    <t>pssAAV-SNCG-Tomato</t>
  </si>
  <si>
    <t>28/08/12</t>
  </si>
  <si>
    <t>Infu 71 clone 2</t>
  </si>
  <si>
    <t xml:space="preserve">pscAAV-CAG-Chronos-GFP </t>
  </si>
  <si>
    <t>InFu71 clone 52</t>
  </si>
  <si>
    <t>manque 2 G dans le CAG</t>
  </si>
  <si>
    <t xml:space="preserve">Céline
</t>
  </si>
  <si>
    <t>Infu72 clone 3</t>
  </si>
  <si>
    <t>pXR8 (Y447F Y733F T494V)</t>
  </si>
  <si>
    <t>MD18 clone 4</t>
  </si>
  <si>
    <t>pscAAV-1xGrm6-GCamp6s-pA</t>
  </si>
  <si>
    <t>InFu 123 M</t>
  </si>
  <si>
    <t>InFu68 A clone 5</t>
  </si>
  <si>
    <t>HindIII</t>
  </si>
  <si>
    <t>scCAG-GFP-WPRE</t>
  </si>
  <si>
    <t>Mix avec 47: 1,5e+15</t>
  </si>
  <si>
    <t>InFu 68 B ss clone 11</t>
  </si>
  <si>
    <t>CAG-DP71a</t>
  </si>
  <si>
    <t>Lourdes</t>
  </si>
  <si>
    <t xml:space="preserve">midi seulement : pas de stock gly ni </t>
  </si>
  <si>
    <t>22/10/12: 160µl</t>
  </si>
  <si>
    <t>CAG-Dp71b</t>
  </si>
  <si>
    <t>26/11/2012</t>
  </si>
  <si>
    <t>CAG-Dp71ab</t>
  </si>
  <si>
    <t>CAG-Dp71</t>
  </si>
  <si>
    <t>CAG-Dp40</t>
  </si>
  <si>
    <t>pscAAV-CAG-SwitchR-TS-YFP</t>
  </si>
  <si>
    <t>C14 clone 72</t>
  </si>
  <si>
    <t>pAAV2-EP-Librairie-Gib</t>
  </si>
  <si>
    <t>pAAV2-7mers-Librairie</t>
  </si>
  <si>
    <t>pAAV-Shuffling-Librairie</t>
  </si>
  <si>
    <t xml:space="preserve">pssAAV-CAG**-GFP
</t>
  </si>
  <si>
    <t>CAG muté de 479</t>
  </si>
  <si>
    <t>InFu124</t>
  </si>
  <si>
    <t>C15 clone 7</t>
  </si>
  <si>
    <t xml:space="preserve">pssAAV-CAG*-GFP
</t>
  </si>
  <si>
    <t>CAG muté de 480</t>
  </si>
  <si>
    <t>C15 clone 17</t>
  </si>
  <si>
    <t>pssAAV-1xGRm6-LWO-GFP</t>
  </si>
  <si>
    <t>pR1,7-Girk2</t>
  </si>
  <si>
    <t>Infu 122B</t>
  </si>
  <si>
    <t>pss-AAV-GRK1-luciferase-HY</t>
  </si>
  <si>
    <t>pss-AAV-PGK-luciferase-HY</t>
  </si>
  <si>
    <t>1,5e+13 ("mix) 
4e+13 (Helper "4")</t>
  </si>
  <si>
    <t>Infu73 A clone 1</t>
  </si>
  <si>
    <t>pssAAV-1xGRm6-SWO-dtTomato</t>
  </si>
  <si>
    <t>Infu73 B clone 10</t>
  </si>
  <si>
    <t>pssAAV-mCar-SWO-dtTomato</t>
  </si>
  <si>
    <t>Infu73 C clone 20</t>
  </si>
  <si>
    <t>pscAAV-SNCG-GCAmp6s-pA</t>
  </si>
  <si>
    <t>InFu 68 B sc clone 7</t>
  </si>
  <si>
    <t>pssAAV-CAG-ReachR-2A-GCAmp6s</t>
  </si>
  <si>
    <t>Gibs1 clone 4</t>
  </si>
  <si>
    <t>pssAAV-CAG-ChR2(H134R)-GFP</t>
  </si>
  <si>
    <t>Infu 75 clone 6</t>
  </si>
  <si>
    <t>pssAAV-CAG-ArchT-GFP</t>
  </si>
  <si>
    <t>454 (sans codon start)</t>
  </si>
  <si>
    <t>pss-4x-GRM6-Chr2(H134R)-tdTomato</t>
  </si>
  <si>
    <t>Infu 75 clone 18</t>
  </si>
  <si>
    <t>pssAAV-CAG-MAC-GFP</t>
  </si>
  <si>
    <t>Infu 75 clone 21</t>
  </si>
  <si>
    <t>Infu 75 clone 26</t>
  </si>
  <si>
    <t>pAAV-Shuffling-LibrairieB</t>
  </si>
  <si>
    <t>pscAAV-CAG-hChR2(D156C)-eGFP</t>
  </si>
  <si>
    <t>VIII</t>
  </si>
  <si>
    <t>ne pas prendre codon start sur tomato</t>
  </si>
  <si>
    <t>InFu69 clone 5</t>
  </si>
  <si>
    <t>!! 07/2017 était noté catch; il semble que  ce soit chr2 plutot</t>
  </si>
  <si>
    <t>pscAAV-CAG-SWO-GFP</t>
  </si>
  <si>
    <t>Bgl II</t>
  </si>
  <si>
    <t>Infu 75 clone 13</t>
  </si>
  <si>
    <t>pr1,7-SWO-FLAG-WPRE</t>
  </si>
  <si>
    <t>Envoyé à strasbourg</t>
  </si>
  <si>
    <t>Alain cMyc</t>
  </si>
  <si>
    <t>Alain cntf</t>
  </si>
  <si>
    <t>smCBA-DH-CNTF superagoniste</t>
  </si>
  <si>
    <t xml:space="preserve">refait a partir des whatman de Deniz
</t>
  </si>
  <si>
    <t xml:space="preserve">aucun sequençage correct : est-ce le bon plasmide ???
</t>
  </si>
  <si>
    <t>InFu 126</t>
  </si>
  <si>
    <t>scCAG-GFP-WPRE deisseroth</t>
  </si>
  <si>
    <t>Infu 75 clone 36</t>
  </si>
  <si>
    <t>pscAAV-CAG-hCatch(H134R)-GFP</t>
  </si>
  <si>
    <t>Infu 75 clone 42</t>
  </si>
  <si>
    <t>Comparaison nouveau sérum (6bte) + serum normal  3 bte helper de 12/11 et 3 bte helper 09/12</t>
  </si>
  <si>
    <t>pscAAV-CAG-hCatch-GFP</t>
  </si>
  <si>
    <t>Infu 75 clone 46</t>
  </si>
  <si>
    <t>pAAV-CMV-hOPN4-mCherry</t>
  </si>
  <si>
    <t xml:space="preserve">Herlitze Lab </t>
  </si>
  <si>
    <t>human melanopsin mCherry fusionprotein on pAAV-MCS vector under CMV promoter</t>
  </si>
  <si>
    <t>pAAV-MCS-OPN4L-eGFP</t>
  </si>
  <si>
    <t>mouse melanopsin eGFP fusionprotein on
            pAAV-MCS vector under CMV promoter</t>
  </si>
  <si>
    <t>pAAV-EF1alpha-OPN4L-eGFP (DIO?)</t>
  </si>
  <si>
    <t>double floxed inverted open reding frame mouse melanopsin eGFP fusionprotein on pAAV-MCS vector under Ef1a promoter for cell type-specific expression in cre ,ice</t>
  </si>
  <si>
    <t>pssAAV-CMV-hCatCH (D156C)-GFP</t>
  </si>
  <si>
    <t>MD13 sur 436 clone 3</t>
  </si>
  <si>
    <t>AAV9-2YF-LD</t>
  </si>
  <si>
    <t>Infu 76 clone 4</t>
  </si>
  <si>
    <t>pTR-CAG-GFP-2A-ChrimsonR</t>
  </si>
  <si>
    <t>oui</t>
  </si>
  <si>
    <t>Infu 77 clone 2</t>
  </si>
  <si>
    <t>Lenti transgene</t>
  </si>
  <si>
    <t>Infu 78 clone 11</t>
  </si>
  <si>
    <t>pAAV6+AscI</t>
  </si>
  <si>
    <t>MDa9 cl4</t>
  </si>
  <si>
    <t>nouveau 350</t>
  </si>
  <si>
    <t>C16 clone 3</t>
  </si>
  <si>
    <t>pssAAV-hSyn-ChR2(H134R)-GFP</t>
  </si>
  <si>
    <t xml:space="preserve">ss </t>
  </si>
  <si>
    <t>nouveau 306</t>
  </si>
  <si>
    <t>Infu74 cl 3</t>
  </si>
  <si>
    <t>pAAV-shNogoA-CMV-GFP</t>
  </si>
  <si>
    <t>MD20 clone 2</t>
  </si>
  <si>
    <t>pssAAV-hSyn-ReachR-WPRE</t>
  </si>
  <si>
    <t>C17 clone 10 puis MD 21 clone 3</t>
  </si>
  <si>
    <t xml:space="preserve">Infu 79 clone 1 , </t>
  </si>
  <si>
    <t>pssAAV-mCar-hCatch-GFP</t>
  </si>
  <si>
    <t>Infu 80 clone 10</t>
  </si>
  <si>
    <t>pUC57-pR2,1</t>
  </si>
  <si>
    <t>pUC57</t>
  </si>
  <si>
    <t>promoteur pR2,1= même promoteur que #272 et #233 avec en plus SV40 SA/SD, dans pUC57</t>
  </si>
  <si>
    <t>pssAAV-pR2,1-GFP</t>
  </si>
  <si>
    <t>pUC57-pR1.7</t>
  </si>
  <si>
    <t>promoteur pR1.7 = pR2.1 moins les premières 377 pb, dans pUC57</t>
  </si>
  <si>
    <t>pssAAV-pR1.7-GFP</t>
  </si>
  <si>
    <t>pUC57-IRBP/GNAT2</t>
  </si>
  <si>
    <t>300µl</t>
  </si>
  <si>
    <t>promoteur IRBP/GNAT2 dans pUC57</t>
  </si>
  <si>
    <t>pssAAV-IRBP/GNAT2-GFP</t>
  </si>
  <si>
    <t>pUC57-CAPsh873</t>
  </si>
  <si>
    <t>puc57</t>
  </si>
  <si>
    <t>puc19-CAPsh</t>
  </si>
  <si>
    <t>offBipolar-eNpHR-GFP</t>
  </si>
  <si>
    <t>Gibs2 clone 2</t>
  </si>
  <si>
    <t>pAAV-Lin-AchR</t>
  </si>
  <si>
    <t>Mourot / Faure</t>
  </si>
  <si>
    <t>8 boites, transfection CaPO4, récolte du sérum + cellules, grand amicon</t>
  </si>
  <si>
    <t>AAV10-2YF-LD</t>
  </si>
  <si>
    <t>150µl</t>
  </si>
  <si>
    <t>Infu81 clone 7</t>
  </si>
  <si>
    <t>22/10/12:
160µl</t>
  </si>
  <si>
    <t>ShH19</t>
  </si>
  <si>
    <t xml:space="preserve">AAV packaging </t>
  </si>
  <si>
    <t xml:space="preserve">C18 clone 2 puis MD22 clone 3
</t>
  </si>
  <si>
    <t>pssAAV-CAG-ChrimsonR-FLAG-tdTomato-hghpa</t>
  </si>
  <si>
    <t>Gibs3 clone 6 puis infu 84 clone 6</t>
  </si>
  <si>
    <t>pssAAV-mCar-ReachR</t>
  </si>
  <si>
    <t>Infu 82 clone 2</t>
  </si>
  <si>
    <t>souris</t>
  </si>
  <si>
    <t>Lenti transgène</t>
  </si>
  <si>
    <t>Infu 83 clone 3</t>
  </si>
  <si>
    <t>Infu 85 clone 1</t>
  </si>
  <si>
    <t>pAAV-CMV-SWO-mcherry (flex?)</t>
  </si>
  <si>
    <t>NON! pAAV-Flex-SWO-mCherry-pA</t>
  </si>
  <si>
    <t>Olivia (Herlitze lab)</t>
  </si>
  <si>
    <t>pAAV-CMV-DIO-vSWO-mCherry</t>
  </si>
  <si>
    <t>pAAV2 Lib-Tr-I</t>
  </si>
  <si>
    <t>Librairie Antérograde après 1er round</t>
  </si>
  <si>
    <t>pGP-CMV-NES-jRGEC01a</t>
  </si>
  <si>
    <t xml:space="preserve">pas d'ITR.         /!\ Kan /!\ </t>
  </si>
  <si>
    <t>addgene plasmid 61563</t>
  </si>
  <si>
    <t>VII ?</t>
  </si>
  <si>
    <t>enovyé par William H. Merigan (U Rochester)</t>
  </si>
  <si>
    <t>pAAV-SYN-ChR2(H134R)-EYFP-KV2,1</t>
  </si>
  <si>
    <t>Chris Baker's lab?</t>
  </si>
  <si>
    <t>to Giulia</t>
  </si>
  <si>
    <t>pAAV-CMV-RdCVFs-bghpA-CMV-RdCVFL-bghpA</t>
  </si>
  <si>
    <t xml:space="preserve">"pHRDCVF CLIN V1" /!\ Kan /!\ 
</t>
  </si>
  <si>
    <t>Genethon</t>
  </si>
  <si>
    <t xml:space="preserve">Don Thierry Leveillard. </t>
  </si>
  <si>
    <t>pAAV-CMV-hRdCVFs-bghpA-CMV-hRdCVFs-bghpA</t>
  </si>
  <si>
    <t xml:space="preserve">"pHRDCVF CLIN V2" /!\ Kan /!\ 
</t>
  </si>
  <si>
    <t>92*</t>
  </si>
  <si>
    <t>Don Thierry Leveillard</t>
  </si>
  <si>
    <t>Infu90 clone 3</t>
  </si>
  <si>
    <t>InFu 88 B clone 13. Pour comparaison directe avec 121</t>
  </si>
  <si>
    <t>mCAr-MAC-GFP</t>
  </si>
  <si>
    <t>&gt;50 ul @ &gt;10E13</t>
  </si>
  <si>
    <t>InFu 88 A clone 1. Pour comparaison directe avec 120</t>
  </si>
  <si>
    <t xml:space="preserve">pscAAV-CAG-GFP-2A-mRdCVF2 </t>
  </si>
  <si>
    <t xml:space="preserve">pscAAV-CAG-GFP-2A-mRdCVF2L </t>
  </si>
  <si>
    <t>pAAV-Ef1a-DIO-vMo-eGFP-CT2A</t>
  </si>
  <si>
    <t xml:space="preserve">  human melanopsin-eGFP fusion protein tagged with the C-terminus of the human 5-HT2A receptor on pAAV-MCS vector</t>
  </si>
  <si>
    <t>pAAV-Ef1a-DIO-vMo-eGFP-CT2C</t>
  </si>
  <si>
    <t xml:space="preserve">  human melanopsin-eGFP fusion protein tagged with the C-terminus of the human 5-HT2C receptor on pAAV-MCS vector</t>
  </si>
  <si>
    <t>pAAV-CMV-vMo-eGFP-CT2A</t>
  </si>
  <si>
    <t>human melanopsin eGFP fusion protein tagged with the C-terminus of the human 5-HT2A receptor on pAAV-MCS vector</t>
  </si>
  <si>
    <t>pscAAV-flox-CAG-hCatCh-YFP</t>
  </si>
  <si>
    <t>Infu 89 clone 7</t>
  </si>
  <si>
    <t>sshCAr-eNpHR-YFPe</t>
  </si>
  <si>
    <t>InFu 86 B clone 5</t>
  </si>
  <si>
    <t>Infu 92 clone 10</t>
  </si>
  <si>
    <t>pssAAV-SNCG-mRdCVFs</t>
  </si>
  <si>
    <t>InFu 86 A clone 4</t>
  </si>
  <si>
    <t>pAAV-Syn-CoChR-GFP</t>
  </si>
  <si>
    <t>Boyden lab (V.Emiliari)</t>
  </si>
  <si>
    <t>pAAV2 7mA</t>
  </si>
  <si>
    <t>issu de Lib-Tr-II 7mA cl 2 - backbone de 178</t>
  </si>
  <si>
    <t>pAAV2 7mB</t>
  </si>
  <si>
    <t>issu de Lib-Tr-II 7mB cl 5</t>
  </si>
  <si>
    <t>pAAV2 Lib-Tr-II LGN</t>
  </si>
  <si>
    <t>Librairie Antérograde après 2nd round</t>
  </si>
  <si>
    <t>pAAV2 Lib-Tr-II Cx</t>
  </si>
  <si>
    <t>pAAV2 Lib-RH-I</t>
  </si>
  <si>
    <t>Librairie Rétine Humaine après 1er round</t>
  </si>
  <si>
    <t>pssAAV-flox-CAG-SWO-GFP</t>
  </si>
  <si>
    <t>Infu 87 clone 3</t>
  </si>
  <si>
    <t>pscAAV-1xgrm6-ReachR-GFP</t>
  </si>
  <si>
    <t>InFu94 A clone 10</t>
  </si>
  <si>
    <t>pscAAV-1xgrm6-Chr2(H134R)-eYFP-Kv2.1</t>
  </si>
  <si>
    <t>INfu 94 B clone 17</t>
  </si>
  <si>
    <t>pAAV2-7merK</t>
  </si>
  <si>
    <t>Gibs 5 clone 1</t>
  </si>
  <si>
    <t>pAAV2-7merT</t>
  </si>
  <si>
    <t>Gibs 5 clone 4</t>
  </si>
  <si>
    <t>pXR9+NotI</t>
  </si>
  <si>
    <t>3 SR NotI</t>
  </si>
  <si>
    <t>Issu de MDa 166+NotI cl4</t>
  </si>
  <si>
    <t>pAAV2/5(M569A,Y585A,L587A)</t>
  </si>
  <si>
    <t>MD24 sur #154 clone 3</t>
  </si>
  <si>
    <t>pAAV2/5-7m8 (M569A,Y595A,L597A)</t>
  </si>
  <si>
    <t>MD24 sur #206 clone 4</t>
  </si>
  <si>
    <t>pAAV2/2 (R475A, R484A,K532A)</t>
  </si>
  <si>
    <t>MD24 sur #140 clone 5</t>
  </si>
  <si>
    <t>pAAV2/2-7m8 (R475A, R484A,K532A)</t>
  </si>
  <si>
    <t>MD24 bis sur #178, amorces Rev,  clone 18</t>
  </si>
  <si>
    <t>pAAV2/9 (N470A,D271A,N272A,Y446A,W503A)</t>
  </si>
  <si>
    <t>MD24 bis sur le clone 4 de MD24 sur #166, amorces For, clone 13</t>
  </si>
  <si>
    <t>pAAV2/9 (D271A,N272A)</t>
  </si>
  <si>
    <t>MD24 bis sur le clone 4 de MD24 sur #166, amorces Rev, clone 14</t>
  </si>
  <si>
    <t>pAAV2/9-7m8 (D271A,N272A)</t>
  </si>
  <si>
    <t>MD24 bis sur #170, amorces Rev, clone 18</t>
  </si>
  <si>
    <t>pAAV-1xGrm6-Lrit3-STOP-GFP</t>
  </si>
  <si>
    <t>Juliette</t>
  </si>
  <si>
    <t>Don équipe AZ</t>
  </si>
  <si>
    <t>pAAV-1xGrm6-Lrit3-GFP</t>
  </si>
  <si>
    <t xml:space="preserve">pscAAV-CAG-RdCVFs </t>
  </si>
  <si>
    <t>nouveau 187</t>
  </si>
  <si>
    <t>C19 clone 4</t>
  </si>
  <si>
    <t>AAV2.1.CMV.eGFP</t>
  </si>
  <si>
    <t>Don équipe Thierry Leveillard</t>
  </si>
  <si>
    <t>pAAV2 Lib-RM-I</t>
  </si>
  <si>
    <t>Librairie Rétine Macaque après 1er round</t>
  </si>
  <si>
    <t>pAnc80L65</t>
  </si>
  <si>
    <t>Gaelle</t>
  </si>
  <si>
    <t>don equipe Chrisitine Petit</t>
  </si>
  <si>
    <t>p1045/SANS</t>
  </si>
  <si>
    <t>pAAV-Ef1a-DIO-bpac</t>
  </si>
  <si>
    <t>pAAV-Ef1a-DIO-Momo-eGFP-mGluR1ct</t>
  </si>
  <si>
    <t>pAAV-CMV-Momo-eGFP-mGluR1ct</t>
  </si>
  <si>
    <t>pAAV5+NotI+HindIII</t>
  </si>
  <si>
    <t>Charline</t>
  </si>
  <si>
    <t>à partir de MDa12 cl4</t>
  </si>
  <si>
    <t>115µl</t>
  </si>
  <si>
    <t>finie</t>
  </si>
  <si>
    <t>Condition "normale": 6 boites, transfection CaPO4, récolte du sérum uniquement, grand amicon</t>
  </si>
  <si>
    <t>CMV-hCaTCh-MDB no GFP</t>
  </si>
  <si>
    <t>mCAr-ArchT-GFP</t>
  </si>
  <si>
    <t>mCAr-Halo57-GFP</t>
  </si>
  <si>
    <t>pAAV8+NotI+HindIII</t>
  </si>
  <si>
    <t>à partir de MDa13 cl8</t>
  </si>
  <si>
    <t>pAAV9hu14+NotI+HindIII</t>
  </si>
  <si>
    <t>à partir de MDa14 cl4</t>
  </si>
  <si>
    <t xml:space="preserve">pssAAV-U6-sh454-MfUSH1C-CMV-GFP
</t>
  </si>
  <si>
    <t xml:space="preserve">Amrit </t>
  </si>
  <si>
    <t>U6 prom de pU6-m4 (D. Htafield); shRNA (9 bp loop)</t>
  </si>
  <si>
    <t>pssAAV-U6-sh1082-MfUSH1C-CMV-GFP</t>
  </si>
  <si>
    <t>pssAAV-U6-shLife7-MfHsUSH1C-CMV-GFP</t>
  </si>
  <si>
    <t>AAV9-7m8-LD</t>
  </si>
  <si>
    <t>pssAAV-U6-shLife10-MfHsUSH1C-CMV-GFP</t>
  </si>
  <si>
    <t>pssAAV-U6-shLife10scr-MfHsUSH1C-CMV-GFP</t>
  </si>
  <si>
    <t>pAAV-SV40-GRM6-MBD</t>
  </si>
  <si>
    <t>Miguel</t>
  </si>
  <si>
    <t>InFu96 clone 4</t>
  </si>
  <si>
    <t>MD25 clone2 + Gibs7 A clone 8</t>
  </si>
  <si>
    <t>MD25 clone2 + Gibs7 B clone 17</t>
  </si>
  <si>
    <t>pAAV5+NotI-SansRep2</t>
  </si>
  <si>
    <t>L627</t>
  </si>
  <si>
    <t>pAAV8+NotI-SansRep2</t>
  </si>
  <si>
    <t>L628</t>
  </si>
  <si>
    <t>pAAV9hu14+NotI-SansRep2</t>
  </si>
  <si>
    <t>L629</t>
  </si>
  <si>
    <t>pXR9 NotI Unique</t>
  </si>
  <si>
    <t>MDa20 cl2</t>
  </si>
  <si>
    <t>pssAAV-4xGRM6-TVA-2A-RabbiesG</t>
  </si>
  <si>
    <t>Infu 95 clone 1</t>
  </si>
  <si>
    <t>pAAV5+NotI-SansRep2-SupprNruI</t>
  </si>
  <si>
    <t>MDa639 cl4</t>
  </si>
  <si>
    <t>pAAV8+NotI-SansRep2-SupprNruI</t>
  </si>
  <si>
    <t>MDa640 cl2</t>
  </si>
  <si>
    <t>pAAV9hu14+NotI-SansRep2-SupprNruI</t>
  </si>
  <si>
    <t>MDa641 cl2</t>
  </si>
  <si>
    <t>pAAV-syn-DIO ReaChR-FLAG-kv-P2A-H2B-mRuby2</t>
  </si>
  <si>
    <t>Max Plank Institute</t>
  </si>
  <si>
    <t>don Giulia. Reçu sous forme deshydratée sur papier</t>
  </si>
  <si>
    <t>pAAV-EF1-DIO-YFP</t>
  </si>
  <si>
    <t>AAV Transgene</t>
  </si>
  <si>
    <t>Alex Mourot</t>
  </si>
  <si>
    <t>pssAAV-pR1.7-FLAG-Jaws-KGC-GFP-ER3</t>
  </si>
  <si>
    <t>Gibs8 A clone 5</t>
  </si>
  <si>
    <t>pAAV5+NotI-SansRep2-SupprNruI-NsiI</t>
  </si>
  <si>
    <t>L650 cl</t>
  </si>
  <si>
    <t>pAAV8+NotI-SansRep2-SupprNruI-KpnI</t>
  </si>
  <si>
    <t>Mda 22 cl5</t>
  </si>
  <si>
    <t>pAAV9hu14+NotI-SansRep2-SupprNruI-AgeI</t>
  </si>
  <si>
    <t>Mda 26 cl4</t>
  </si>
  <si>
    <t>8 boites, transfection CaPO4, récolte du sérum + cellules, grand amicon, µCentri à 4°,,,</t>
  </si>
  <si>
    <t>Julien</t>
  </si>
  <si>
    <t>Infu93 clone 1</t>
  </si>
  <si>
    <t>AAV2.1.CMV.eGFP V2 J Bennet</t>
  </si>
  <si>
    <t>Jean Bennet ?</t>
  </si>
  <si>
    <t>pscAAV-EF1-miR1813_96_183_Cluster C_ EGFP-WPRE</t>
  </si>
  <si>
    <t>From B. Roska via O. Goureau</t>
  </si>
  <si>
    <t>pcDNA3,1-CMV-Chrimson-SM/YF-YFP BL455T</t>
  </si>
  <si>
    <t>Y261F S267M</t>
  </si>
  <si>
    <t>pcDNA3,1-CMV-ChrimsonR-SM/YF/KR-YFP BL456T</t>
  </si>
  <si>
    <t>K176R Y261F S267M</t>
  </si>
  <si>
    <t>7m8-444.740</t>
  </si>
  <si>
    <t>AAV packaging ?</t>
  </si>
  <si>
    <t>7m8-T491V</t>
  </si>
  <si>
    <t>7m8-Y444F-T491V</t>
  </si>
  <si>
    <t>7m8-S662V</t>
  </si>
  <si>
    <t>7m8-T491V-Y730F</t>
  </si>
  <si>
    <t>110µl</t>
  </si>
  <si>
    <t>Lenti Transgene</t>
  </si>
  <si>
    <t>Infu 97b cl2</t>
  </si>
  <si>
    <t>pAV2 Lib-Tr-III LGN</t>
  </si>
  <si>
    <t>pAV2 Lib-Tr-III Cx</t>
  </si>
  <si>
    <t>pssAAV-1xgrm6*-tdT-2a-CochR</t>
  </si>
  <si>
    <t>par la méthode Infusion</t>
  </si>
  <si>
    <t>InFu 98 C clone 18</t>
  </si>
  <si>
    <t>pAV2-7mAbis</t>
  </si>
  <si>
    <t>nouveau backbone à partir de pXR9</t>
  </si>
  <si>
    <t>642+librairie</t>
  </si>
  <si>
    <t>pAV2-7mBbis</t>
  </si>
  <si>
    <t>pAV2-7mC</t>
  </si>
  <si>
    <t>pAV2-7mD</t>
  </si>
  <si>
    <t>pssAAV-smCBA-mCherry-IRES-Cre-Wpre</t>
  </si>
  <si>
    <t>InFu 52 C  N'a pas de start codon</t>
  </si>
  <si>
    <t>Infu 97a clone 6</t>
  </si>
  <si>
    <t>pssAAV-CMV-STOP-GFP</t>
  </si>
  <si>
    <t>pssAAV-U6-sh1082-MfUSH1C-CMV-STOP-GFP</t>
  </si>
  <si>
    <t>pssAAV-U6-shLife10-MfHsUSH1C-CMV-STOP-GFP</t>
  </si>
  <si>
    <t>pssAAV-pr1.7-sv40sasd-FLAG-Jaws-KGC-ER2-hghpA</t>
  </si>
  <si>
    <t>Gibs 8B clone 6</t>
  </si>
  <si>
    <t>pssAAV-CAG-mRPE65-hghpA</t>
  </si>
  <si>
    <t>C20 clone 3</t>
  </si>
  <si>
    <t>pUC57-In4sIn3-200En-mGluR500P</t>
  </si>
  <si>
    <t>Pan LONG- ! pas un pAAV</t>
  </si>
  <si>
    <t>pUC57-200En-mGluR500P</t>
  </si>
  <si>
    <t>Pan COURT - !Pas un pAAV</t>
  </si>
  <si>
    <t>pLenti-mCAR-switchR-YFP</t>
  </si>
  <si>
    <t>Infu 57 clone 7</t>
  </si>
  <si>
    <t>pssAAV-1xgrm6-CoChR-GFP</t>
  </si>
  <si>
    <t>par la méthode Gibson</t>
  </si>
  <si>
    <t>190.5</t>
  </si>
  <si>
    <t xml:space="preserve">Gibs9 B clone 20. </t>
  </si>
  <si>
    <t>Ischemie-reperfusion</t>
  </si>
  <si>
    <t>pssAAV-1xgrm6*-CochR-GFP</t>
  </si>
  <si>
    <t xml:space="preserve">InFu 98 B clone 10. </t>
  </si>
  <si>
    <t xml:space="preserve">pAAV-CMV-B-GECO1.0 </t>
  </si>
  <si>
    <t>Addgene 32448</t>
  </si>
  <si>
    <t>Mutations GCaMP3 : S40P/L60P/D86G/K119I/L173Q/T223S/Y224H/D305G/R377P/K380Q/ S404G</t>
  </si>
  <si>
    <t>pssAAV-1xgrm6*-ReachR-GFP</t>
  </si>
  <si>
    <t>AAV2,Stat3-coFLAG</t>
  </si>
  <si>
    <t xml:space="preserve">InFu 98 A bis clone 7.  </t>
  </si>
  <si>
    <t>21/9/2012</t>
  </si>
  <si>
    <t>pssAAV-U6-shLife7-MfUSH1C-CMV-***-GFP</t>
  </si>
  <si>
    <t>pssAAV-U6-sh454-MfUSH1C-CMV-***-GFP</t>
  </si>
  <si>
    <t>pssAAV-U6-ScrLife10-MfUSH1C-CMV-***-GFP</t>
  </si>
  <si>
    <t xml:space="preserve"> pssAAV-1xgrm6-ReachR-GFP</t>
  </si>
  <si>
    <t>Gibs 9 A bis clone 1</t>
  </si>
  <si>
    <t>pssAAV-Cmv-eGFP</t>
  </si>
  <si>
    <t xml:space="preserve">dans l'ultime </t>
  </si>
  <si>
    <t>infu 48 A clone 2</t>
  </si>
  <si>
    <t>pssAAV-mCAR-eGFP</t>
  </si>
  <si>
    <t>infu 48 B clone 8</t>
  </si>
  <si>
    <t>pssAAV-hCar-eGFP</t>
  </si>
  <si>
    <t>infu 48 C clone 5</t>
  </si>
  <si>
    <t>pssAAV-hRo-eGFP</t>
  </si>
  <si>
    <t>infu 48 D clone 2</t>
  </si>
  <si>
    <t>pssAAV-Pan court-CoChR-GFP</t>
  </si>
  <si>
    <t xml:space="preserve">promoteur 200En-mGluR500P </t>
  </si>
  <si>
    <t xml:space="preserve">InFu 99 A+C clone 1.  Promoteur d'après Z-H Pan, 2016 </t>
  </si>
  <si>
    <t>pssAAV-Pan long-CoChR-GFP</t>
  </si>
  <si>
    <t xml:space="preserve">promoteur In4sIn3-200En-mGluR500P </t>
  </si>
  <si>
    <t xml:space="preserve">InFu 99 B+C clone 13.  Promoteur d'après Z-H Pan, 2016 </t>
  </si>
  <si>
    <t>pRep2</t>
  </si>
  <si>
    <t>pAV2 sans ITR sans Cap</t>
  </si>
  <si>
    <t>MDa31 cl4</t>
  </si>
  <si>
    <t>pssAAV-grm6-ClaI-hChR2(H134R)-GFP</t>
  </si>
  <si>
    <t>MD27 clone 13</t>
  </si>
  <si>
    <t>pssAAV-pr1.7-GFP-FLAG</t>
  </si>
  <si>
    <t>Gibson</t>
  </si>
  <si>
    <t>Gibs 10 clone 7</t>
  </si>
  <si>
    <t>pssAAV-SNCG-ChrimsonR-(R176K Y261F S267M)-tdTomato</t>
  </si>
  <si>
    <t>Infusion</t>
  </si>
  <si>
    <t>Infu 101 A clone 8</t>
  </si>
  <si>
    <t>pssAAV-SNCG-Chrimson-(Y261F S267M)-tdTomato</t>
  </si>
  <si>
    <t>Infu 101 B clone 6</t>
  </si>
  <si>
    <t>6 boites, transfection CaPO4, récolte du sérum, grand amicon,</t>
  </si>
  <si>
    <t>pssAAV-PanCourt-ReachR-GFP</t>
  </si>
  <si>
    <t>Infu 102 A clone 4</t>
  </si>
  <si>
    <t>pssAAV-PanLong-ReachR-GFP</t>
  </si>
  <si>
    <t>INfu 102 B clone 6</t>
  </si>
  <si>
    <t>pAAV-Opsin-GFP</t>
  </si>
  <si>
    <t>Najate</t>
  </si>
  <si>
    <t>AAV Transgène</t>
  </si>
  <si>
    <t>pAAV-Retro</t>
  </si>
  <si>
    <t>pAAV2 Lib-RH-II</t>
  </si>
  <si>
    <t>Gibson + électroporation</t>
  </si>
  <si>
    <t>pssAAV-IRBP_GNAT-ReachR-GFP</t>
  </si>
  <si>
    <t>par la méthode infusion</t>
  </si>
  <si>
    <t>infu 103 clone 1</t>
  </si>
  <si>
    <t>pssAAV-SNCG-GCamp6f</t>
  </si>
  <si>
    <t>infu 104 A clone 3</t>
  </si>
  <si>
    <t>pscAAV-SNCG-GCamp6f-WPRE</t>
  </si>
  <si>
    <t>infu 104 B clone 3</t>
  </si>
  <si>
    <t>pssAAV-pr1.7-SWO-FLAG</t>
  </si>
  <si>
    <t xml:space="preserve"> AAV2,Stat3-wt</t>
  </si>
  <si>
    <t>Gisbon</t>
  </si>
  <si>
    <t>Gibs 11 A clone 5</t>
  </si>
  <si>
    <t>pssAAV-pr1.7-Girk2-FLAG</t>
  </si>
  <si>
    <t>Gibs 11 B clone 7</t>
  </si>
  <si>
    <t>pss-smCBA-GFP-2A-DP71</t>
  </si>
  <si>
    <t>Ophélie</t>
  </si>
  <si>
    <t>RdCVF-Stuffer (CT37)</t>
  </si>
  <si>
    <t>p855 [CT-37] de R1D Biotech</t>
  </si>
  <si>
    <t>Thierry Leveillard</t>
  </si>
  <si>
    <t>lot : 16092ASM</t>
  </si>
  <si>
    <t>0.9833</t>
  </si>
  <si>
    <t>pAAV-DIO-ef1a-hOpn4L-eGFP-2A</t>
  </si>
  <si>
    <t>Herlitz</t>
  </si>
  <si>
    <t>pAAV-CMV-hOpn5-eGFP</t>
  </si>
  <si>
    <t>pAAV2 Lib-RH-III</t>
  </si>
  <si>
    <t>pAAVmix Lib-RMSR-I</t>
  </si>
  <si>
    <t>473/650/651/652</t>
  </si>
  <si>
    <t>pAAVmix Lib-RMIVT-I</t>
  </si>
  <si>
    <t>473/652</t>
  </si>
  <si>
    <t>SuperNova/pRSETB</t>
  </si>
  <si>
    <t>Retransformé en Endura</t>
  </si>
  <si>
    <t>Addgene 53234</t>
  </si>
  <si>
    <t>attention vecteur d'expression bactérienne</t>
  </si>
  <si>
    <t>pAAV-CAG-hRdCVFs</t>
  </si>
  <si>
    <t>Infusion 106</t>
  </si>
  <si>
    <t>Infu 106 clone 1</t>
  </si>
  <si>
    <t>pscAAV-CAG-SuperNova</t>
  </si>
  <si>
    <t>Infu 105 clone 10</t>
  </si>
  <si>
    <t>pAAV2 Lib-RH-IV</t>
  </si>
  <si>
    <t>pssAAV-hRho-SuperNova</t>
  </si>
  <si>
    <t>Inufsion 107</t>
  </si>
  <si>
    <t>INfu 107 cl 6</t>
  </si>
  <si>
    <t>pAAV-mOpn4L-GCamp6m</t>
  </si>
  <si>
    <t>Herlitze lab (Katarina)</t>
  </si>
  <si>
    <t>Gibs 12 clone ??</t>
  </si>
  <si>
    <t>Infu 109 A clone 5</t>
  </si>
  <si>
    <t>Infu 109 B clone 4</t>
  </si>
  <si>
    <t>pAAV2/2</t>
  </si>
  <si>
    <t>Perelman</t>
  </si>
  <si>
    <t>AAV sérotype</t>
  </si>
  <si>
    <t>lot P0002-6</t>
  </si>
  <si>
    <t>lot P0050</t>
  </si>
  <si>
    <t>lot P5E18</t>
  </si>
  <si>
    <t>pAAV2/1</t>
  </si>
  <si>
    <t>lot C24MAY10</t>
  </si>
  <si>
    <t>pAAV2/6</t>
  </si>
  <si>
    <t>lot C23FEB06B</t>
  </si>
  <si>
    <t>pAAV2/rh10</t>
  </si>
  <si>
    <t>lot C13DEC13B</t>
  </si>
  <si>
    <t>pssAAV-Syn-HA-msAPPa</t>
  </si>
  <si>
    <t>pssAAV-pR1.7-Jaws</t>
  </si>
  <si>
    <t>Infusion 108</t>
  </si>
  <si>
    <t>Infu 108 clone 4</t>
  </si>
  <si>
    <t>pAAV8 BP</t>
  </si>
  <si>
    <t>pAAV8 cap variant 2</t>
  </si>
  <si>
    <t>pAAV-CAG-ChR2d-EGFP</t>
  </si>
  <si>
    <t>P06-37 ("CAG paris")</t>
  </si>
  <si>
    <t>pssAAV-200En-GluR500P-SWO-GFP</t>
  </si>
  <si>
    <t>infu 110 B</t>
  </si>
  <si>
    <t>Infu 110B clone 8</t>
  </si>
  <si>
    <t>AAV9 7M8 (AA------)</t>
  </si>
  <si>
    <t>InFusion C21</t>
  </si>
  <si>
    <t>642-170</t>
  </si>
  <si>
    <t>recloné dans bcb 642 (clone 3)</t>
  </si>
  <si>
    <t>InFusion C22</t>
  </si>
  <si>
    <t>642-703</t>
  </si>
  <si>
    <t>recloné dans bcb 642 derive de aav2 ATTENTION NE PAS UTILISER ERREUR DE SEQUENCE (clone 1)</t>
  </si>
  <si>
    <t>hSyn1-Cre-WPRE</t>
  </si>
  <si>
    <t>InFusion</t>
  </si>
  <si>
    <t>bb 304 + Cre 228</t>
  </si>
  <si>
    <t>pAAV-ef1a-Chr2d-egfp</t>
  </si>
  <si>
    <t>P05-49</t>
  </si>
  <si>
    <t>pcDNA3,1-CMV-Chrimson KFM-YFP</t>
  </si>
  <si>
    <t>3 mutations</t>
  </si>
  <si>
    <t>pcDNA3,1-CMV-Chrimson FM-YFP</t>
  </si>
  <si>
    <t>2 mut</t>
  </si>
  <si>
    <t>pssAAV-SNCG-ChimsonR-FM-tdTomato</t>
  </si>
  <si>
    <t>pssAAV-SNCG-ChimsonR-KFM-tdTomato</t>
  </si>
  <si>
    <t>pAAV1 bb pXR9</t>
  </si>
  <si>
    <t>110+642</t>
  </si>
  <si>
    <t>pAAV1-7mC</t>
  </si>
  <si>
    <t>IX</t>
  </si>
  <si>
    <t>pAAV1-7mD</t>
  </si>
  <si>
    <t>pssAAV-CaMKIIa-ChrimsonR-tdTomato</t>
  </si>
  <si>
    <t>Infu 113</t>
  </si>
  <si>
    <t>infu 113 clone 3</t>
  </si>
  <si>
    <t>pssAAV-EF1a-ChrimsonR-tdTomato</t>
  </si>
  <si>
    <t>Infu 115</t>
  </si>
  <si>
    <t>infu 115 clone 3</t>
  </si>
  <si>
    <t>pAAV2 Lib-RH-IVbis</t>
  </si>
  <si>
    <t>pAAV2 Lib-Tr-IV</t>
  </si>
  <si>
    <t>pAAV2.1-hGRK1-eGFP</t>
  </si>
  <si>
    <t>p674\(pAAV2.1\hGRK1\eGFP)</t>
  </si>
  <si>
    <t>TIGEM- Alberto Auricchio</t>
  </si>
  <si>
    <t>AAV9-GFP-ScFLT3 (rat)</t>
  </si>
  <si>
    <t>Valmier</t>
  </si>
  <si>
    <t>AAV9-GFP-ScFLT3 (souris)</t>
  </si>
  <si>
    <t>AAV9-GFP-shFLT3 (rat)</t>
  </si>
  <si>
    <t>AAV9-GFP-shFLT3 (souris)</t>
  </si>
  <si>
    <t>pAAP2</t>
  </si>
  <si>
    <t>Addgene 73211</t>
  </si>
  <si>
    <t>&gt;250 ul @ &gt;10E14</t>
  </si>
  <si>
    <t>25/10/2012</t>
  </si>
  <si>
    <t>pssAAV-hSyn-hCatch-eGFP</t>
  </si>
  <si>
    <t>Infu 114</t>
  </si>
  <si>
    <t>Infu 114 clone 1</t>
  </si>
  <si>
    <t>pssAAV-CAG-hCatch-eGFP</t>
  </si>
  <si>
    <t>Infu 116</t>
  </si>
  <si>
    <t>Infu 116 clone 4</t>
  </si>
  <si>
    <t>pssAAV-EF1a-hCatch-eGFP</t>
  </si>
  <si>
    <t>Infu 118</t>
  </si>
  <si>
    <t>Infu 118 clone 4</t>
  </si>
  <si>
    <t>pssAAV-Pan short-ChrimsonR-tdTomato</t>
  </si>
  <si>
    <t>700+479</t>
  </si>
  <si>
    <t>Francois Stransky</t>
  </si>
  <si>
    <t>pssAAV-Pan long-ChrimsonR-tdTomato</t>
  </si>
  <si>
    <t>701+479</t>
  </si>
  <si>
    <t>pssAAV-Pan short-tdTomato</t>
  </si>
  <si>
    <t>700+454</t>
  </si>
  <si>
    <t>pssAAV-Pan long-tdTomato</t>
  </si>
  <si>
    <t>701+454</t>
  </si>
  <si>
    <t>pssAAV-CAG-iGlusnFr-hpA</t>
  </si>
  <si>
    <t>479+426</t>
  </si>
  <si>
    <t>pAAV.hSynapsin.SF-iGluSnFR</t>
  </si>
  <si>
    <t>Janelia - O Marre</t>
  </si>
  <si>
    <t>Rhodopsin-cGMP Sponge</t>
  </si>
  <si>
    <t>Xavier Nicol</t>
  </si>
  <si>
    <t>AAV9- 7mer Gradinaru</t>
  </si>
  <si>
    <t>Séquencage</t>
  </si>
  <si>
    <t>MD29 - Clone 10</t>
  </si>
  <si>
    <t>pAAV Rétro</t>
  </si>
  <si>
    <t>C22 bis</t>
  </si>
  <si>
    <t>recloné dans bcb 642 (clone 1)</t>
  </si>
  <si>
    <t>pssAAV-hSyn-Chrimson-tdTomato</t>
  </si>
  <si>
    <t>infu 111C</t>
  </si>
  <si>
    <t>infu 111C clone 10</t>
  </si>
  <si>
    <t>pssAAV-CamKII-hCatch-eGFP</t>
  </si>
  <si>
    <t>infu 117C</t>
  </si>
  <si>
    <t>infu 117C clone 7</t>
  </si>
  <si>
    <t>pAAV-PGK-GFP-HY-pA</t>
  </si>
  <si>
    <t>Appelé à l'origine pGG21-PGK-GFP-HY</t>
  </si>
  <si>
    <t>pssAAV-scCAG-GCamp6f</t>
  </si>
  <si>
    <t>Infu 119</t>
  </si>
  <si>
    <t>infu 119 clone 5</t>
  </si>
  <si>
    <t>Infu 121 A</t>
  </si>
  <si>
    <t>Infu 121 A clone 9</t>
  </si>
  <si>
    <t>Infu 121 B</t>
  </si>
  <si>
    <t>poole 522</t>
  </si>
  <si>
    <t>SPVN06_RdCVF/RdCVFL</t>
  </si>
  <si>
    <t>12 boites, transfection 1/2 CaPO4 1/2PEI, recolte du serum</t>
  </si>
  <si>
    <t>Thierry Leveillard/ SparingVision</t>
  </si>
  <si>
    <t>!! Le stock est gardé par l'équipe Leveillard (un petit aliquot est conservé ici). Lors de production virales, utiliser les plasmides capside et transgène produits aussi par l'équipe Leveillard en GMP</t>
  </si>
  <si>
    <t>Rhodopsin-Ca-sponge</t>
  </si>
  <si>
    <t>pAAV2 Lib-RH-V</t>
  </si>
  <si>
    <t>pAAV-ss-SNCG-TdTomato</t>
  </si>
  <si>
    <t>InFu123(Mélissa)</t>
  </si>
  <si>
    <t>InFu123 clone 3</t>
  </si>
  <si>
    <t>pAAV-CAG-Cre-NLS</t>
  </si>
  <si>
    <t>Labo Cayouette</t>
  </si>
  <si>
    <t>pAAV-CAG-Numb72-ires-GFP</t>
  </si>
  <si>
    <t>120µl</t>
  </si>
  <si>
    <t>pAAV-CAG-mCherry</t>
  </si>
  <si>
    <t>12 boites, transfection PEI, recolte serum + cellules</t>
  </si>
  <si>
    <t>pAAV-CAG-Ikaros-IRES-mCherry</t>
  </si>
  <si>
    <t>pAAV-CAG-Ascl1-IRES-mCherry</t>
  </si>
  <si>
    <t>Rh74</t>
  </si>
  <si>
    <t>Genethon- Mingozzi</t>
  </si>
  <si>
    <t>pscAAV-CAG-GFP-WPRE</t>
  </si>
  <si>
    <t>120+360</t>
  </si>
  <si>
    <t>InFu124 clone 9</t>
  </si>
  <si>
    <t>pssAAV-pR1.7-Gik2-GFP-hGHpA</t>
  </si>
  <si>
    <t>566+501</t>
  </si>
  <si>
    <t xml:space="preserve">InFu122A clone 8 </t>
  </si>
  <si>
    <t>AAV5 7mer librairie</t>
  </si>
  <si>
    <t>de Leah Byrne</t>
  </si>
  <si>
    <t>!! Librairie de collab; très précieux! (pas de midi possible..)</t>
  </si>
  <si>
    <t>mCAR-eNpHR-GFP</t>
  </si>
  <si>
    <t>stérile</t>
  </si>
  <si>
    <t>cellules seulement</t>
  </si>
  <si>
    <t>&gt;150 ul @ &gt;10E14</t>
  </si>
  <si>
    <t>180µl</t>
  </si>
  <si>
    <t>170µl</t>
  </si>
  <si>
    <t>4,72E+12</t>
  </si>
  <si>
    <t>9,20E+12</t>
  </si>
  <si>
    <t>ok 03/04/2017</t>
  </si>
  <si>
    <t>Rho-Rho-L1</t>
  </si>
  <si>
    <t>&gt;200 ul @ &gt;10E14</t>
  </si>
  <si>
    <t>7,34E+13</t>
  </si>
  <si>
    <t>reste moins de 10</t>
  </si>
  <si>
    <t>Rho-Rho-R1</t>
  </si>
  <si>
    <t>1,21E+14</t>
  </si>
  <si>
    <t>Rho-control-L1</t>
  </si>
  <si>
    <t>7,02E+13</t>
  </si>
  <si>
    <t>Rho-control-R1</t>
  </si>
  <si>
    <t>1,29E+14</t>
  </si>
  <si>
    <t>n° InFu</t>
  </si>
  <si>
    <t>Construction</t>
  </si>
  <si>
    <t>Etat</t>
  </si>
  <si>
    <t>Autres clonages</t>
  </si>
  <si>
    <t>Mutagenèses Dirigées</t>
  </si>
  <si>
    <t>Mutation</t>
  </si>
  <si>
    <t>Sur plasmide</t>
  </si>
  <si>
    <t>sshCAr-GFP</t>
  </si>
  <si>
    <t>annulé</t>
  </si>
  <si>
    <t>MD 1 (ancien C4)</t>
  </si>
  <si>
    <t>CNTF</t>
  </si>
  <si>
    <t>C132L H134R dans hCatch</t>
  </si>
  <si>
    <t>hCAr-eNpHR-GFP</t>
  </si>
  <si>
    <t>C1</t>
  </si>
  <si>
    <t>pssAAV-SNCG-hCAtch</t>
  </si>
  <si>
    <t>12 C+M</t>
  </si>
  <si>
    <t>ancien 349, supprimé</t>
  </si>
  <si>
    <t>MD 2</t>
  </si>
  <si>
    <t>T159S dans hCatch</t>
  </si>
  <si>
    <t>sc-hCAr-GFP</t>
  </si>
  <si>
    <t>C2</t>
  </si>
  <si>
    <t>pssAAV-CMV-hCAtch</t>
  </si>
  <si>
    <t>MD 3</t>
  </si>
  <si>
    <t>suppression V9 dans eNpHR</t>
  </si>
  <si>
    <t>sc-mCAr-GFP</t>
  </si>
  <si>
    <t>C3</t>
  </si>
  <si>
    <t>changement backbone 339</t>
  </si>
  <si>
    <t>nouveau 339</t>
  </si>
  <si>
    <t>MD 4</t>
  </si>
  <si>
    <t>SNCG-ChR2</t>
  </si>
  <si>
    <t>273/275</t>
  </si>
  <si>
    <t>C4</t>
  </si>
  <si>
    <t>pAAV-hRho-eNpHR</t>
  </si>
  <si>
    <t>CBA-GFP-2A-Dp71</t>
  </si>
  <si>
    <t>eNpHR avec RE TAg ?</t>
  </si>
  <si>
    <t>MD 5</t>
  </si>
  <si>
    <t>13/12/12</t>
  </si>
  <si>
    <t>2,34E+14</t>
  </si>
  <si>
    <t>C5</t>
  </si>
  <si>
    <t>Cap2 + pep1 (bb11)</t>
  </si>
  <si>
    <t>MD 6</t>
  </si>
  <si>
    <t>suppression STOPSTOP dans eNpHR</t>
  </si>
  <si>
    <t>clone1</t>
  </si>
  <si>
    <t>CMV-Tandem</t>
  </si>
  <si>
    <t>284+285</t>
  </si>
  <si>
    <t>C6</t>
  </si>
  <si>
    <t>Cap2 + pep2 (bb 11)</t>
  </si>
  <si>
    <t>MD 7</t>
  </si>
  <si>
    <t>clone2</t>
  </si>
  <si>
    <t>CMV-Catch-GFP</t>
  </si>
  <si>
    <t>C7</t>
  </si>
  <si>
    <t>Cap2 + pep3 (bb11)</t>
  </si>
  <si>
    <t>MD 8</t>
  </si>
  <si>
    <t>mCAr-eNpHR-Clomeleon</t>
  </si>
  <si>
    <t>Abhishek : annulé</t>
  </si>
  <si>
    <t xml:space="preserve">C8 </t>
  </si>
  <si>
    <t>CAG-eNpHR2,0V-YFP</t>
  </si>
  <si>
    <t>MD 9</t>
  </si>
  <si>
    <t>anulé</t>
  </si>
  <si>
    <t>C9</t>
  </si>
  <si>
    <t>création d'un SR sur 92</t>
  </si>
  <si>
    <t>remplacé par infu 58</t>
  </si>
  <si>
    <t>MD 10</t>
  </si>
  <si>
    <t xml:space="preserve">création site ClaI  </t>
  </si>
  <si>
    <t>scCAG-GFP-2A-SANS</t>
  </si>
  <si>
    <t>C10</t>
  </si>
  <si>
    <t>SOpsin-SwichR-TSmCherry</t>
  </si>
  <si>
    <t>remplacé par infu 60</t>
  </si>
  <si>
    <t>MD 11</t>
  </si>
  <si>
    <t xml:space="preserve">création site ClaI </t>
  </si>
  <si>
    <t>SNCG-CATCH (sans SV40)</t>
  </si>
  <si>
    <t>C11</t>
  </si>
  <si>
    <t>nouveaux 409 et 413</t>
  </si>
  <si>
    <t>409 et 413 (anciens jetés)</t>
  </si>
  <si>
    <t>SANOFI</t>
  </si>
  <si>
    <t>MD 12</t>
  </si>
  <si>
    <t>Macaque</t>
  </si>
  <si>
    <t>scCMV-GCamp-BGHpA</t>
  </si>
  <si>
    <t>293/294/334/346</t>
  </si>
  <si>
    <t>C12</t>
  </si>
  <si>
    <t>mCar-CrimsonR</t>
  </si>
  <si>
    <t>MD 13</t>
  </si>
  <si>
    <t xml:space="preserve">D156C sur channel rho hum </t>
  </si>
  <si>
    <t>234/436</t>
  </si>
  <si>
    <t>478/551</t>
  </si>
  <si>
    <t>mCAr-Tandem</t>
  </si>
  <si>
    <t>EF1a-ChR2d(L132C)-2A-nlsGFP</t>
  </si>
  <si>
    <t>100µl @ 10E11</t>
  </si>
  <si>
    <t>21/12/12</t>
  </si>
  <si>
    <t>mCar-eNpHR-TAG-2A-Clm</t>
  </si>
  <si>
    <t>MD 14</t>
  </si>
  <si>
    <t>création STOP après ChrimsonR</t>
  </si>
  <si>
    <t>scCAG eNpHR +/- GFP / YFP</t>
  </si>
  <si>
    <t>295/296/297</t>
  </si>
  <si>
    <t>Cag-SwiChR-TS-eYFP</t>
  </si>
  <si>
    <t>MD 15</t>
  </si>
  <si>
    <t>ajout d'un nucléotide sur hHKAb</t>
  </si>
  <si>
    <t>412-13-38</t>
  </si>
  <si>
    <t>456-450-451</t>
  </si>
  <si>
    <t>ssCAG Tandem eNpHR</t>
  </si>
  <si>
    <t>341/En attente du seq de CAG</t>
  </si>
  <si>
    <t>C15</t>
  </si>
  <si>
    <t>CAG-GFP</t>
  </si>
  <si>
    <t>528/529</t>
  </si>
  <si>
    <t>MD 16</t>
  </si>
  <si>
    <t>mutation V151D pour corriger KillerRed</t>
  </si>
  <si>
    <t>nouveau 434</t>
  </si>
  <si>
    <t>sc-GRm6-GFP (1x et 4x)</t>
  </si>
  <si>
    <t>338 et 337</t>
  </si>
  <si>
    <t>changement de backbone 350</t>
  </si>
  <si>
    <t>5 C + M</t>
  </si>
  <si>
    <t>MD 17</t>
  </si>
  <si>
    <t>correction Kozak-ATG en trop (sup CAT)</t>
  </si>
  <si>
    <t>clones 3,17,70,63,22,43 opsine + 358</t>
  </si>
  <si>
    <t>annulé (taux de mismatch de 20 % !)</t>
  </si>
  <si>
    <t>ss hCar-GFP</t>
  </si>
  <si>
    <t>C17</t>
  </si>
  <si>
    <t>MD 18</t>
  </si>
  <si>
    <t>Mutation T494V sur capside AAV8 2Y</t>
  </si>
  <si>
    <t>sshCAr-eNpHR TAG</t>
  </si>
  <si>
    <t>C18</t>
  </si>
  <si>
    <t>shH19 dans 11</t>
  </si>
  <si>
    <t>ajout STOPCTT pour couper la queue</t>
  </si>
  <si>
    <t>design primers</t>
  </si>
  <si>
    <t>SNCG et CMV CatCh MBD GFP</t>
  </si>
  <si>
    <t>339 et 340</t>
  </si>
  <si>
    <t>C19</t>
  </si>
  <si>
    <t>RdcvF dans 120</t>
  </si>
  <si>
    <t>MD 20</t>
  </si>
  <si>
    <t xml:space="preserve">MD 21 </t>
  </si>
  <si>
    <t>ajout STOP</t>
  </si>
  <si>
    <t>C17 clone 10</t>
  </si>
  <si>
    <t>scCAG-Crimson-GFP</t>
  </si>
  <si>
    <t>C21</t>
  </si>
  <si>
    <t>AAV9 7M8 (AA------) recloné dans 642</t>
  </si>
  <si>
    <t>MD 22</t>
  </si>
  <si>
    <t xml:space="preserve">Q601L V711I dans CAP2
</t>
  </si>
  <si>
    <t>C18 clone 2</t>
  </si>
  <si>
    <t>sshCar/mCar-eNpHR2,0V-GFP</t>
  </si>
  <si>
    <t>385/386</t>
  </si>
  <si>
    <t>C22</t>
  </si>
  <si>
    <t>pAAV-Rétro recloné dans 642</t>
  </si>
  <si>
    <t>MD 23</t>
  </si>
  <si>
    <t>ACG&gt;ATG  début rep (et fin cap?)</t>
  </si>
  <si>
    <t>178 et 140</t>
  </si>
  <si>
    <t>abandonée : echec à cause des ITR</t>
  </si>
  <si>
    <t>sshCar/mCar-eNpHR2,0V-YFP</t>
  </si>
  <si>
    <t>modifications capsides</t>
  </si>
  <si>
    <t>170,166,140,178,154,206,169</t>
  </si>
  <si>
    <t>610 a 616</t>
  </si>
  <si>
    <t>MD25</t>
  </si>
  <si>
    <t>STOP&gt; sr XbaI</t>
  </si>
  <si>
    <t>scCAG-hCatCh-GFP</t>
  </si>
  <si>
    <t>MD26</t>
  </si>
  <si>
    <t>mutations dans Chrimson</t>
  </si>
  <si>
    <t>fait par infu</t>
  </si>
  <si>
    <t>AAV5</t>
  </si>
  <si>
    <t>6 C + M</t>
  </si>
  <si>
    <t>ssAAV-SNCG-hCatch-MBD sans GFP</t>
  </si>
  <si>
    <t>MD 27</t>
  </si>
  <si>
    <t>crétation site ClaI avant l'opsine</t>
  </si>
  <si>
    <t>pssAAV-CMV-hCatch-MBD</t>
  </si>
  <si>
    <t>MD 28</t>
  </si>
  <si>
    <t>Mutation sur chrimson</t>
  </si>
  <si>
    <t>pssAAV-4xGRM6-ReachR-GFP</t>
  </si>
  <si>
    <t>Marusa</t>
  </si>
  <si>
    <t xml:space="preserve">MD 29 </t>
  </si>
  <si>
    <t>Gradinaru</t>
  </si>
  <si>
    <t>6 btes PEI</t>
  </si>
  <si>
    <t>ssGrM6 (1x et 4x) GFP</t>
  </si>
  <si>
    <t>359/361</t>
  </si>
  <si>
    <t>MD30</t>
  </si>
  <si>
    <t xml:space="preserve">Librairies 7 mer ; retrait NruI sur AAV1 </t>
  </si>
  <si>
    <t>remplacé par C16</t>
  </si>
  <si>
    <t>off- eNpHR- GFP</t>
  </si>
  <si>
    <t>???</t>
  </si>
  <si>
    <t>C1 changement de back-bone</t>
  </si>
  <si>
    <t>nouveau 349</t>
  </si>
  <si>
    <t>scAAV-1XGrm6-ReachR-Citrine</t>
  </si>
  <si>
    <t>Ultime simple brin</t>
  </si>
  <si>
    <t>ss-4xgrm6-ReachR-Citrine</t>
  </si>
  <si>
    <t>ss-1xgrm6-ReachR-Citrine</t>
  </si>
  <si>
    <t>384 ?</t>
  </si>
  <si>
    <t>ss-mCar-CrimsonR-tdTomato</t>
  </si>
  <si>
    <t>Gibs1</t>
  </si>
  <si>
    <t>CAG-ReachR-2A-GCAmp6s</t>
  </si>
  <si>
    <t>ssCAG-ChrimsonR-Flag</t>
  </si>
  <si>
    <t>6 C+ M</t>
  </si>
  <si>
    <t>Gibs3</t>
  </si>
  <si>
    <t>ssCAG-ChrimsonR-Flag-tdTomato</t>
  </si>
  <si>
    <t>Gibs 4</t>
  </si>
  <si>
    <t>N'EN RESTE presque plus</t>
  </si>
  <si>
    <t>2A hanen</t>
  </si>
  <si>
    <t>6 boites PEI</t>
  </si>
  <si>
    <t>Gibs 5</t>
  </si>
  <si>
    <t>7mer scambled  hanen pcr sur librairie</t>
  </si>
  <si>
    <t>sc-mCAR-GFP-miR124</t>
  </si>
  <si>
    <t xml:space="preserve">dig test OK
</t>
  </si>
  <si>
    <t xml:space="preserve">Gibs 6 </t>
  </si>
  <si>
    <t>7mer scrambled hanen pcr 178</t>
  </si>
  <si>
    <t>AAV2 Y444F</t>
  </si>
  <si>
    <t>ss-hRO-LWO-GFP</t>
  </si>
  <si>
    <t xml:space="preserve">Gibs 7 </t>
  </si>
  <si>
    <t>CAG-tdtomato-2A-Chronos/CoChR</t>
  </si>
  <si>
    <t>637/638</t>
  </si>
  <si>
    <t>ss-hSyn-ChR2 long-citrine</t>
  </si>
  <si>
    <t>Gibs 8</t>
  </si>
  <si>
    <t>649/676</t>
  </si>
  <si>
    <t>Arthur- cap2 dans PuC19</t>
  </si>
  <si>
    <t>Gibs 9</t>
  </si>
  <si>
    <t>1xgrm6-ReachR-GFP/CoChR-GFP/tdtomato-2a-CoChR</t>
  </si>
  <si>
    <t>ss-LCR-hRo-LWO-GFP</t>
  </si>
  <si>
    <t>clonages tests promoteurs</t>
  </si>
  <si>
    <t>689/690/691/692</t>
  </si>
  <si>
    <t>Gibs 11 A</t>
  </si>
  <si>
    <t>ss-hCar-eNpHR-YFPe</t>
  </si>
  <si>
    <t>séquençage 400/PCR def OK</t>
  </si>
  <si>
    <t>Gibs 11 B</t>
  </si>
  <si>
    <t>mCar-eNpHR2,0V-RETAG-WPRE/eNpHR2,0V-YFP-RETAG</t>
  </si>
  <si>
    <t>394/395</t>
  </si>
  <si>
    <t>Gibs 13</t>
  </si>
  <si>
    <t xml:space="preserve">pssAAV2.1-Girk1-GFP-HY </t>
  </si>
  <si>
    <t>remplacé par Infu120B</t>
  </si>
  <si>
    <t>clonages mCherry-IRES-Cre-WPRE</t>
  </si>
  <si>
    <t>435/671</t>
  </si>
  <si>
    <t>mCAr-ReachR-Citrine</t>
  </si>
  <si>
    <t>pLenti-mCAR-SwitChR-YFP</t>
  </si>
  <si>
    <t>24/01/13</t>
  </si>
  <si>
    <t>création d'un SR sur 92 après mCAR</t>
  </si>
  <si>
    <t>abandonné ?</t>
  </si>
  <si>
    <t>changement backbone 257</t>
  </si>
  <si>
    <t>hBO-SwichR-TSmCherry</t>
  </si>
  <si>
    <t>attente résultats SwichR seul</t>
  </si>
  <si>
    <t>Flox-CAG/smCBA-hCatch-YFP</t>
  </si>
  <si>
    <t>CAG=443/</t>
  </si>
  <si>
    <t>pscAAV-CAG-protéine fluo</t>
  </si>
  <si>
    <t>454/461/455/477/488/462/463</t>
  </si>
  <si>
    <t>pssAAV-mCAR-GIRK1/Girk2-GFP</t>
  </si>
  <si>
    <t>500/501</t>
  </si>
  <si>
    <t>clonages ChrimsonR S1</t>
  </si>
  <si>
    <t>C=479,D=480,F=481</t>
  </si>
  <si>
    <t>clonages ChrimsonR S2</t>
  </si>
  <si>
    <t>A = 472, B=487</t>
  </si>
  <si>
    <t>SNCG/Grm6-GCamp6s</t>
  </si>
  <si>
    <t>517 pour 1xGrm6/518 pour SNCG ss/533 pour sc</t>
  </si>
  <si>
    <t>scCAG-hChR2(D156C)-YFP</t>
  </si>
  <si>
    <t>clonages correction CAG Opsines avec TAG</t>
  </si>
  <si>
    <t>NphR=509, Jaws= 510/SwichR = abandonné car T°A trop élevée, Remplacé par C14</t>
  </si>
  <si>
    <t>clonages CAG-Opsin-GFP/YFP (AgeI)  correction ATG</t>
  </si>
  <si>
    <t>fini mais non utilisables en tant que tels (erreur cadre lecture) sauf hChr2 = 513</t>
  </si>
  <si>
    <t>CAG-eNpHR-ertag-2a-Clm</t>
  </si>
  <si>
    <t>1xGrm6-SWO/LWO-GFP/tdTomato</t>
  </si>
  <si>
    <t>530/531/532</t>
  </si>
  <si>
    <t>Changement bcb 306</t>
  </si>
  <si>
    <t>clonages opsines Eleonore suite et fin</t>
  </si>
  <si>
    <t>535/536/537/538/541/545/546/547</t>
  </si>
  <si>
    <t>hBO-Catch-GFP</t>
  </si>
  <si>
    <t>CMV ChR2(H134R)</t>
  </si>
  <si>
    <t>cag-chrimsonR-flag-tdtomato-stop-hghpa</t>
  </si>
  <si>
    <t>pssAAV-SNCG-RdCVF/JRECO1a</t>
  </si>
  <si>
    <t>597/595</t>
  </si>
  <si>
    <t>CAG/hRho-GFP</t>
  </si>
  <si>
    <t>587/588</t>
  </si>
  <si>
    <t>pscAAV-flox-CAG-hCatch-YFP</t>
  </si>
  <si>
    <t>Suite 7m8</t>
  </si>
  <si>
    <t>CAG-RDCVF-CAG-RPE65/RDCVFL</t>
  </si>
  <si>
    <t>19/01/13</t>
  </si>
  <si>
    <t>pause</t>
  </si>
  <si>
    <t>pssAAV-pR1.7-JAws-GFP</t>
  </si>
  <si>
    <t>pscAAV-1xgrm6-/ReachR-GFP/ChrKv2.1</t>
  </si>
  <si>
    <t>605/606</t>
  </si>
  <si>
    <t>pssAAV-Chronos-FLAG</t>
  </si>
  <si>
    <t>pLenti-hBO-tdtomato/hRO-GFP</t>
  </si>
  <si>
    <t>672/663</t>
  </si>
  <si>
    <t>clonages dans #190</t>
  </si>
  <si>
    <t>684/682/666</t>
  </si>
  <si>
    <t>clonages nouveaux promoteurs bipolaires</t>
  </si>
  <si>
    <t>suite MD 27</t>
  </si>
  <si>
    <t>101 A</t>
  </si>
  <si>
    <t>pssAAV-SNCG-ChrimsonR-(Y261F/S267M)-tdTomato</t>
  </si>
  <si>
    <t>101 B</t>
  </si>
  <si>
    <t>pssAAV-SNCG-Chrimson-(Y261F/S267M)-tdTomato</t>
  </si>
  <si>
    <t>102 A</t>
  </si>
  <si>
    <t>102 B</t>
  </si>
  <si>
    <t>104 A</t>
  </si>
  <si>
    <t>104 B</t>
  </si>
  <si>
    <t>109 A</t>
  </si>
  <si>
    <t>109 B</t>
  </si>
  <si>
    <t>110 A</t>
  </si>
  <si>
    <t>pssAAV-200En-GluR500P-LWO-GFP</t>
  </si>
  <si>
    <t>RS1</t>
  </si>
  <si>
    <t>110 B</t>
  </si>
  <si>
    <t>hSyn-ChrimsonR-tdTomato</t>
  </si>
  <si>
    <t>!!remplacé par 111B</t>
  </si>
  <si>
    <t>111B</t>
  </si>
  <si>
    <t xml:space="preserve">!! remplacé par 111C !! </t>
  </si>
  <si>
    <t>111C</t>
  </si>
  <si>
    <t>CAG-GFP-2A-Cre</t>
  </si>
  <si>
    <t>CamKII-ChrimsonR-tdTomato</t>
  </si>
  <si>
    <t>hSyn-Catch-egfp</t>
  </si>
  <si>
    <t>ef1a-ChrimsonR-tdTomato</t>
  </si>
  <si>
    <t>CAG-Catch-egfp</t>
  </si>
  <si>
    <t>CamKII-Catch-egfp</t>
  </si>
  <si>
    <t>ef1a-hCatch-GFP</t>
  </si>
  <si>
    <t>scCAG-GCamp6f</t>
  </si>
  <si>
    <t>pssAAV-Girk1-GFP-HY</t>
  </si>
  <si>
    <t>remplacé par Gibs13</t>
  </si>
  <si>
    <t>120B</t>
  </si>
  <si>
    <t>pssAAV-Girk1-GFP-HY (remplace Gibs13)</t>
  </si>
  <si>
    <t>121A</t>
  </si>
  <si>
    <t>121B</t>
  </si>
  <si>
    <t>122A</t>
  </si>
  <si>
    <t>pssAAV-pR1.7-Girk2-GFP</t>
  </si>
  <si>
    <t>122B</t>
  </si>
  <si>
    <t xml:space="preserve">pssAAV-pR1.7-Girk2 </t>
  </si>
  <si>
    <t>123M</t>
  </si>
  <si>
    <t>scCAG-RS1</t>
  </si>
  <si>
    <t>pssAAV-SNCG-tdTomato</t>
  </si>
  <si>
    <t>17/01/13</t>
  </si>
  <si>
    <t>!! Il existe un infu 123 par julien, je ne sais pas ce que c'est; répertorié nulle part...a ne pas confondre.</t>
  </si>
  <si>
    <t>pscAAV-CAG-GFP-WPRe</t>
  </si>
  <si>
    <t>Librairie: AAV1 rep en trans</t>
  </si>
  <si>
    <t>Nom du plasmide</t>
  </si>
  <si>
    <t>très peu</t>
  </si>
  <si>
    <t>Lot</t>
  </si>
  <si>
    <t>Type de préparation</t>
  </si>
  <si>
    <t>Par</t>
  </si>
  <si>
    <t>concentration ug/uL</t>
  </si>
  <si>
    <t>bactéries</t>
  </si>
  <si>
    <t>Remarque</t>
  </si>
  <si>
    <t>mCAR-eNpHR-2A-GFP</t>
  </si>
  <si>
    <t>Midi</t>
  </si>
  <si>
    <t>MD</t>
  </si>
  <si>
    <t>pTR-CBA-CNTF</t>
  </si>
  <si>
    <t>39 ?</t>
  </si>
  <si>
    <t>pCIG-BF-hRho</t>
  </si>
  <si>
    <t>39,2 ?</t>
  </si>
  <si>
    <t>mini</t>
  </si>
  <si>
    <t>mélissa</t>
  </si>
  <si>
    <t>AAV8-2YF</t>
  </si>
  <si>
    <t xml:space="preserve">Maxi </t>
  </si>
  <si>
    <t>25/11/09</t>
  </si>
  <si>
    <t>1,25</t>
  </si>
  <si>
    <t xml:space="preserve">Midi </t>
  </si>
  <si>
    <t>0,34</t>
  </si>
  <si>
    <t>pENTR/D-hSNCG</t>
  </si>
  <si>
    <t>0,8</t>
  </si>
  <si>
    <t>18/11/09</t>
  </si>
  <si>
    <t>0,18</t>
  </si>
  <si>
    <t>0,29</t>
  </si>
  <si>
    <t>15/9/9</t>
  </si>
  <si>
    <t>0,46</t>
  </si>
  <si>
    <t xml:space="preserve"> 15/09/09</t>
  </si>
  <si>
    <t xml:space="preserve">mini </t>
  </si>
  <si>
    <t>14/01/10</t>
  </si>
  <si>
    <t>0,38</t>
  </si>
  <si>
    <t>0,69</t>
  </si>
  <si>
    <t>reste 15 µl</t>
  </si>
  <si>
    <t>0,68</t>
  </si>
  <si>
    <t>AAV10-7m8</t>
  </si>
  <si>
    <t>RESTE entre 4 et 5 µL</t>
  </si>
  <si>
    <t>Digestion HindIII ok</t>
  </si>
  <si>
    <t>0,73</t>
  </si>
  <si>
    <t>30/07/10</t>
  </si>
  <si>
    <t>AAV5 7m8</t>
  </si>
  <si>
    <t>Giga ?</t>
  </si>
  <si>
    <t>3.200</t>
  </si>
  <si>
    <t>tube originel</t>
  </si>
  <si>
    <t>0.314</t>
  </si>
  <si>
    <t>0.7369</t>
  </si>
  <si>
    <t>22/7/2010</t>
  </si>
  <si>
    <t>0,56</t>
  </si>
  <si>
    <t>24/08/10</t>
  </si>
  <si>
    <t>0,28</t>
  </si>
  <si>
    <t>0,5</t>
  </si>
  <si>
    <t xml:space="preserve">Giga </t>
  </si>
  <si>
    <t>29/08/2011</t>
  </si>
  <si>
    <t>0,45</t>
  </si>
  <si>
    <t>L2</t>
  </si>
  <si>
    <t>pXX6-81</t>
  </si>
  <si>
    <t>Midi ?</t>
  </si>
  <si>
    <t>0.4953</t>
  </si>
  <si>
    <t>AAV8 7m8</t>
  </si>
  <si>
    <t>15/12/2010</t>
  </si>
  <si>
    <t>0,64</t>
  </si>
  <si>
    <t>titre ATCC</t>
  </si>
  <si>
    <t>0,13</t>
  </si>
  <si>
    <t xml:space="preserve">Midi
</t>
  </si>
  <si>
    <t>md</t>
  </si>
  <si>
    <t>1.62</t>
  </si>
  <si>
    <t>0,63</t>
  </si>
  <si>
    <t>CMV-GFP (GW)</t>
  </si>
  <si>
    <t>4,4</t>
  </si>
  <si>
    <t>1,98</t>
  </si>
  <si>
    <t>pLVi-PGK-GFP-WdU4</t>
  </si>
  <si>
    <t>Vide</t>
  </si>
  <si>
    <t>titre genzyme: 6,4E12 DRPs/mL</t>
  </si>
  <si>
    <t>maxi</t>
  </si>
  <si>
    <t>CMV-ChR2d-2A-GFP</t>
  </si>
  <si>
    <t>14/0213</t>
  </si>
  <si>
    <t>0.4478</t>
  </si>
  <si>
    <t>mini?</t>
  </si>
  <si>
    <t>18/03/2011</t>
  </si>
  <si>
    <t>29/03/2011</t>
  </si>
  <si>
    <t>0,43</t>
  </si>
  <si>
    <t>prod ne marche pas</t>
  </si>
  <si>
    <t>24/08/2011</t>
  </si>
  <si>
    <t>0,39</t>
  </si>
  <si>
    <t>reste 25µl</t>
  </si>
  <si>
    <t>titre genzyme:  3,7E12 DRPs/mL</t>
  </si>
  <si>
    <t>à partir du SG</t>
  </si>
  <si>
    <t>28/1/11</t>
  </si>
  <si>
    <t>reste 40µl</t>
  </si>
  <si>
    <t>0,82</t>
  </si>
  <si>
    <t>titre genzyme:  3,3E12 DRPs/mL</t>
  </si>
  <si>
    <t>CMV-MBD-ChR2d-GFP (Cter)</t>
  </si>
  <si>
    <t xml:space="preserve">lavage </t>
  </si>
  <si>
    <t>0.443</t>
  </si>
  <si>
    <t>Deniz/Hanen</t>
  </si>
  <si>
    <t>28/01/11</t>
  </si>
  <si>
    <t>0,2</t>
  </si>
  <si>
    <t>25/11/11</t>
  </si>
  <si>
    <t>1,32</t>
  </si>
  <si>
    <t>28/01/10</t>
  </si>
  <si>
    <t>0,4</t>
  </si>
  <si>
    <t>30/11/11</t>
  </si>
  <si>
    <t>17/05/2013</t>
  </si>
  <si>
    <t>0,47</t>
  </si>
  <si>
    <t>16/04/11</t>
  </si>
  <si>
    <t>23/02/2010</t>
  </si>
  <si>
    <t>0,35</t>
  </si>
  <si>
    <t>CMV-MBD-ChR2d-GFP (Nter)</t>
  </si>
  <si>
    <t>6 erreur fait 12</t>
  </si>
  <si>
    <t>14/05/10</t>
  </si>
  <si>
    <t>1,24</t>
  </si>
  <si>
    <t>mCAR-eNpHR-noGFP</t>
  </si>
  <si>
    <t>0.533</t>
  </si>
  <si>
    <t>2,25</t>
  </si>
  <si>
    <t>1,4</t>
  </si>
  <si>
    <t>0,3</t>
  </si>
  <si>
    <t>20/09/2010</t>
  </si>
  <si>
    <t>17/09/2010</t>
  </si>
  <si>
    <t>23/09/2010</t>
  </si>
  <si>
    <t>2,42</t>
  </si>
  <si>
    <t>2,2</t>
  </si>
  <si>
    <t>1,57</t>
  </si>
  <si>
    <t>pLVi-BGH-hRhoWT-bRHOprom-dU4</t>
  </si>
  <si>
    <t>0.376</t>
  </si>
  <si>
    <t>22/02/13et 27/02/2013</t>
  </si>
  <si>
    <t>4,5</t>
  </si>
  <si>
    <t>25/04/2013</t>
  </si>
  <si>
    <t>20/12/10</t>
  </si>
  <si>
    <t>Recepteur RdCVF</t>
  </si>
  <si>
    <t>Souris rd10</t>
  </si>
  <si>
    <t>N°</t>
  </si>
  <si>
    <t>Construit par</t>
  </si>
  <si>
    <t>Ciblage</t>
  </si>
  <si>
    <t>MAJ 11/05/2015 (j547)</t>
  </si>
  <si>
    <t>CAG-GFP-2A-hRdCVF(E64K)</t>
  </si>
  <si>
    <t>Najaite</t>
  </si>
  <si>
    <t>pAAV-1xGrM6-GFP</t>
  </si>
  <si>
    <t>Bipolaires on</t>
  </si>
  <si>
    <t>pAAV-1xGrM6-ReachR-Citrine-BGHpA</t>
  </si>
  <si>
    <t>pAAV-1xGrm6-CrimsonR-dtTomato</t>
  </si>
  <si>
    <t xml:space="preserve">pAAV-1xGRm6-GFP
</t>
  </si>
  <si>
    <t>pAAV-1xgrm6-ReachR-Citrine</t>
  </si>
  <si>
    <t>Miguel Dias</t>
  </si>
  <si>
    <t xml:space="preserve">CAG-GFP-2A-hRdCVF(WT)
</t>
  </si>
  <si>
    <t>100µl au max</t>
  </si>
  <si>
    <t>pAAV-4xGrm6-CrimsonR-dtTomato</t>
  </si>
  <si>
    <t>pAAV-4xGRm6-GFP</t>
  </si>
  <si>
    <t xml:space="preserve">pAAV-4xGRm6-GFP
</t>
  </si>
  <si>
    <t>pAAV-4xgrm6-ReachR-Citrine</t>
  </si>
  <si>
    <t>pAAV-CAG-ChR2c (C128T)-nlsGFP</t>
  </si>
  <si>
    <t>Ubiquitaire</t>
  </si>
  <si>
    <t>123 B</t>
  </si>
  <si>
    <t>pAAV-CAG-ChR2d(L132C)-nlsGFP</t>
  </si>
  <si>
    <t>pAAV-CAG-ChR2e-nlsGFP</t>
  </si>
  <si>
    <t>pAAV-CAG-Clomeleon1</t>
  </si>
  <si>
    <t>p-CAG-eGFP</t>
  </si>
  <si>
    <t>pAAV-CAG-Tandem</t>
  </si>
  <si>
    <t>pAAV-CAG-CrimsonR-GFP</t>
  </si>
  <si>
    <t>pAAVsc-CAG-eNpHR</t>
  </si>
  <si>
    <t>pAAV-scCAG-eNpHR-eYFP</t>
  </si>
  <si>
    <t>pAAV-scCAG-eNpHR2,0V</t>
  </si>
  <si>
    <t>RdCVF2Lv1</t>
  </si>
  <si>
    <t xml:space="preserve">Thy-TAU mouse </t>
  </si>
  <si>
    <t>pAAV-CAG-eNpHR2,0V-eYFP</t>
  </si>
  <si>
    <t xml:space="preserve"> suppression de V9,RE tag après YFP</t>
  </si>
  <si>
    <t>MD8 clone 4</t>
  </si>
  <si>
    <t>pAAV-CAG-eNpHR3,0-YFP</t>
  </si>
  <si>
    <t>CAG-GFP-2A-RdCVF2Lv1</t>
  </si>
  <si>
    <t>pAAV-CAG-GFP-2A-hrdcvf-e64k</t>
  </si>
  <si>
    <t>pAAV-CAG-GFP-2A-hrdcvf-wt</t>
  </si>
  <si>
    <t>pAAV-CAG-GFP-CCL2mouse</t>
  </si>
  <si>
    <t>pAAV-CAG-GFP-CCL2muté 26AA</t>
  </si>
  <si>
    <t>pAAV-CAG-hCatCh-GFP</t>
  </si>
  <si>
    <t>pAAV-CAG-NpHR-eGFP</t>
  </si>
  <si>
    <t>pAAV-CAG-NpHR-WPRE</t>
  </si>
  <si>
    <t>pAAV-CAG-ReachR-GFP</t>
  </si>
  <si>
    <t>Tube au L2 21/01/16</t>
  </si>
  <si>
    <t>pLenti(?)-CAG-CrimsonR-dtTomato</t>
  </si>
  <si>
    <t>pscAAV-CAG-Killer Red</t>
  </si>
  <si>
    <t>pAAV-CAG-rHKAb-NpHR-YFP</t>
  </si>
  <si>
    <t>pEntr-221- ApoE4</t>
  </si>
  <si>
    <t>0.1</t>
  </si>
  <si>
    <t xml:space="preserve">pscAAV-CAG-Chrono-GFP </t>
  </si>
  <si>
    <t>CAG-hChR2(H134R)-GFP</t>
  </si>
  <si>
    <t>CAG-hCatch(H134R)-GFP</t>
  </si>
  <si>
    <t xml:space="preserve">sc
</t>
  </si>
  <si>
    <t>CAG-hCatch-GFP</t>
  </si>
  <si>
    <t>CMV-TGFbeta-muté</t>
  </si>
  <si>
    <t>pssAAV-CAG-Lwo-GFP</t>
  </si>
  <si>
    <t>pscAAV-CAG-hCatch(D156C)-eGFP-WPRE</t>
  </si>
  <si>
    <t>pAAV-smCBA-mCherry</t>
  </si>
  <si>
    <t>pDONR 221mm Ccl3</t>
  </si>
  <si>
    <t>0.19</t>
  </si>
  <si>
    <t>0,09</t>
  </si>
  <si>
    <t>Maxi</t>
  </si>
  <si>
    <t>1,89</t>
  </si>
  <si>
    <t>13/04/12</t>
  </si>
  <si>
    <t>20/05/2011</t>
  </si>
  <si>
    <t>0,21</t>
  </si>
  <si>
    <t>0,48</t>
  </si>
  <si>
    <t>1,9</t>
  </si>
  <si>
    <t>pLVi-VMD2-CTSD-WPREdU4</t>
  </si>
  <si>
    <t xml:space="preserve">Midi EF </t>
  </si>
  <si>
    <t>30/01/12</t>
  </si>
  <si>
    <t>3,5</t>
  </si>
  <si>
    <t>0,9</t>
  </si>
  <si>
    <t>28/03/2012</t>
  </si>
  <si>
    <t>1,38</t>
  </si>
  <si>
    <t>1,73</t>
  </si>
  <si>
    <t>22/09/2011</t>
  </si>
  <si>
    <t>pLVi-arr3-eNphR-YFP-dU4</t>
  </si>
  <si>
    <t>15/11/2011</t>
  </si>
  <si>
    <t>17/2/11</t>
  </si>
  <si>
    <t>3,46</t>
  </si>
  <si>
    <t>pLVi-VMD2-FasL-w-dU4</t>
  </si>
  <si>
    <t>lavage</t>
  </si>
  <si>
    <t>3,07</t>
  </si>
  <si>
    <t>pLVi-VMD2-ccl2-w-dU4</t>
  </si>
  <si>
    <t>0.229</t>
  </si>
  <si>
    <t>1,36</t>
  </si>
  <si>
    <t>22/11/2010</t>
  </si>
  <si>
    <t>1,3</t>
  </si>
  <si>
    <t>sc-CAG-CFP</t>
  </si>
  <si>
    <t>26/09/12</t>
  </si>
  <si>
    <t>26/09/2013</t>
  </si>
  <si>
    <t>Mathias</t>
  </si>
  <si>
    <t>Stéphane Mélik Parsadaniantz/Anabelle</t>
  </si>
  <si>
    <t>AAV-antidouleur</t>
  </si>
  <si>
    <t>AAV8,2YF</t>
  </si>
  <si>
    <t>CCL2-muté</t>
  </si>
  <si>
    <t>16/12/2012</t>
  </si>
  <si>
    <t>Stanford</t>
  </si>
  <si>
    <t>CCL2</t>
  </si>
  <si>
    <t>Halo57</t>
  </si>
  <si>
    <t>pAAV-sCMV-eGFP</t>
  </si>
  <si>
    <t>pAAV-sCMV-mBFP</t>
  </si>
  <si>
    <t>pAAV-sCMV-mCherry</t>
  </si>
  <si>
    <t>1xGrm6-Chr2(H134R)-GFP</t>
  </si>
  <si>
    <t>InFu 7 clone 4 (Tandem 222)</t>
  </si>
  <si>
    <t>InFu 7 clone 3 (Tandem 224)</t>
  </si>
  <si>
    <t>pAAV-CMV-ChR2d</t>
  </si>
  <si>
    <t>pAAV-CMV-ChR2d-2A-GFP</t>
  </si>
  <si>
    <t>pAAV-CMV-ChR2d,MBD-2A-GFP (C Ter)</t>
  </si>
  <si>
    <t>pAAV-CMV-GCaMP6f-BGHpA</t>
  </si>
  <si>
    <t>0.170</t>
  </si>
  <si>
    <t>pAAV-CMV-GCaMP6m-BGHpA</t>
  </si>
  <si>
    <t>pAAV-CMV-GCaMP6s-BGHpA</t>
  </si>
  <si>
    <t>2,75</t>
  </si>
  <si>
    <t>16/02/2010</t>
  </si>
  <si>
    <t>pAAV-CMV-GFP</t>
  </si>
  <si>
    <t>0.3086</t>
  </si>
  <si>
    <t>14/10/2011</t>
  </si>
  <si>
    <t>pAAV-CMV-GFP (GW)</t>
  </si>
  <si>
    <t>pssAAV-mCAR-Halo57-GFP</t>
  </si>
  <si>
    <t>problème ITR ?</t>
  </si>
  <si>
    <t>pAAV-CMV-hBPDE-WPRE</t>
  </si>
  <si>
    <t>ITR corrigé</t>
  </si>
  <si>
    <t>du 11/05/11</t>
  </si>
  <si>
    <t>pAAV-CMV-MBD,ChR2d-2A-GFP (N Ter)</t>
  </si>
  <si>
    <t>0,31</t>
  </si>
  <si>
    <t>pAAV-CMV-RCaMP1h-BGHpA</t>
  </si>
  <si>
    <t>pAAV-CMV-Rfa</t>
  </si>
  <si>
    <t>pAAV-CMV-Rfa invert</t>
  </si>
  <si>
    <t>0,42</t>
  </si>
  <si>
    <t xml:space="preserve">maxi </t>
  </si>
  <si>
    <t>20/06/11</t>
  </si>
  <si>
    <t>1,23</t>
  </si>
  <si>
    <t>pssAAV-mCAR-eNphR-EYFP</t>
  </si>
  <si>
    <t>0,32</t>
  </si>
  <si>
    <t>à partir du stock gly</t>
  </si>
  <si>
    <t>Mélissa ?</t>
  </si>
  <si>
    <t>ND</t>
  </si>
  <si>
    <t>pTR-ssCMV-GFP</t>
  </si>
  <si>
    <t>transfection CaCl2</t>
  </si>
  <si>
    <t>divers</t>
  </si>
  <si>
    <t>100µl @ 10E14</t>
  </si>
  <si>
    <t>shRNA(1)-antiDp71</t>
  </si>
  <si>
    <t>CBA-Dp71-GFP</t>
  </si>
  <si>
    <t>shRNA(control)-antiDp71</t>
  </si>
  <si>
    <t>mCAR-Halo57-GFP</t>
  </si>
  <si>
    <t>0,49</t>
  </si>
  <si>
    <t>pss-AAV-mCar-GFP</t>
  </si>
  <si>
    <t>Chapel Hill</t>
  </si>
  <si>
    <t>1,74</t>
  </si>
  <si>
    <t>0,1</t>
  </si>
  <si>
    <t>pAAV10</t>
  </si>
  <si>
    <t>mCAR-eNpHR-no GFP</t>
  </si>
  <si>
    <t>0.545</t>
  </si>
  <si>
    <t>0,6</t>
  </si>
  <si>
    <t xml:space="preserve">? donné </t>
  </si>
  <si>
    <t>1,45</t>
  </si>
  <si>
    <t>17/12/2009</t>
  </si>
  <si>
    <t>2,45</t>
  </si>
  <si>
    <t>2,8</t>
  </si>
  <si>
    <t>0,55</t>
  </si>
  <si>
    <t>0,36</t>
  </si>
  <si>
    <t>17/04/2013</t>
  </si>
  <si>
    <t>PBE</t>
  </si>
  <si>
    <t>GIGA</t>
  </si>
  <si>
    <t>pAAV-CMV-GFP-WPRE</t>
  </si>
  <si>
    <t>manque 1 ITR</t>
  </si>
  <si>
    <t>Fini</t>
  </si>
  <si>
    <t>Un seul ITR</t>
  </si>
  <si>
    <t>pAAV-CMV-hCatch sans stop!- WPRE</t>
  </si>
  <si>
    <t>avant la mut dir pour ajouter le codon stop</t>
  </si>
  <si>
    <t>120,3,120,4,120,5</t>
  </si>
  <si>
    <t>3 Midis</t>
  </si>
  <si>
    <t>pAAV-CMV-hCatCH-GFP</t>
  </si>
  <si>
    <t>Version hum CatCh</t>
  </si>
  <si>
    <t>DH5α</t>
  </si>
  <si>
    <t>pAAV-CMV-hCatCH-SpeI-GFP</t>
  </si>
  <si>
    <t>pAAV-CMV-hCatch-WPRE</t>
  </si>
  <si>
    <t>Axonal growth</t>
  </si>
  <si>
    <t>ssCAG-eGFP</t>
  </si>
  <si>
    <t>50µl @ 10E13</t>
  </si>
  <si>
    <t>Giga</t>
  </si>
  <si>
    <t>Avec codon stop</t>
  </si>
  <si>
    <t>à partir du SG, élution H2O, 4,2mL PROBLEME DE PROFIL SUR GEL,,,</t>
  </si>
  <si>
    <t>pAAV-EF1a-ChR2d(L132C)-2A-nlsGFP</t>
  </si>
  <si>
    <t>à partir du SG, élution dans 7 ml TE-EF</t>
  </si>
  <si>
    <t>Giga?</t>
  </si>
  <si>
    <t>pAAV-EF1a-GFP</t>
  </si>
  <si>
    <t>19/12/13</t>
  </si>
  <si>
    <t>à partir du SG, finie</t>
  </si>
  <si>
    <t>25/07/2012</t>
  </si>
  <si>
    <t>pAAV-Ef1a-flox-hChR2-YFP</t>
  </si>
  <si>
    <t>pAAV-EFS-eGFP</t>
  </si>
  <si>
    <t>29/06/2012</t>
  </si>
  <si>
    <t>pAAV-EFS-mBFP</t>
  </si>
  <si>
    <t>pAAV-EFS-mCherry</t>
  </si>
  <si>
    <t>pAAV-EFS-T2A-mCherry-SPA</t>
  </si>
  <si>
    <t>pAAV-EFS-wtOnu-T2A-mCherry-SPA</t>
  </si>
  <si>
    <t>human Cone arrestin</t>
  </si>
  <si>
    <t>pAAV-hCAR-eGFP</t>
  </si>
  <si>
    <t>pAAV-hCAr-eGFP</t>
  </si>
  <si>
    <t>pAAV-hCar-eNpHR-WPRE</t>
  </si>
  <si>
    <t>pAAV-hCar-eNpHR2,0V-GFP-WPRE</t>
  </si>
  <si>
    <t>pAAV-hCar-eNpHR2,0V-WPRE</t>
  </si>
  <si>
    <t>pAAV-hCAr-eNpHR2,0V-YFP-WPRE</t>
  </si>
  <si>
    <t>pAAV-hCAr-rHKAb-NpHR-YFP-WPRE</t>
  </si>
  <si>
    <t>pAAV-hCAr-rHKAb-NpHR-WPRE</t>
  </si>
  <si>
    <t>pAAV-hCAr-hHKAb-NpHR-YFP-WPRE</t>
  </si>
  <si>
    <t>pAAV-hCAr-hHKAb-NpHR-WPRE</t>
  </si>
  <si>
    <t>mouse cone arrestin</t>
  </si>
  <si>
    <t>pAAV-mCAR-ArchT-GFP</t>
  </si>
  <si>
    <t>pAAV-mCar-CrimsonR-tdTomato</t>
  </si>
  <si>
    <t>pAAV-mCAR-eGFP</t>
  </si>
  <si>
    <t>pAAV-mCAR-eNphR-EGFP</t>
  </si>
  <si>
    <t>pAAV-mCAR-eNphR-EYFP</t>
  </si>
  <si>
    <t>pAAV-mCar-eNpHR-WPRE</t>
  </si>
  <si>
    <t>pAAV-mCAR-eNphR2,0V-EYFP</t>
  </si>
  <si>
    <t>pAAV-mCar-eNpHR2,0V-GFP-WPRE</t>
  </si>
  <si>
    <t>pAAV-mCar-eNpHR2,0V-WPRE</t>
  </si>
  <si>
    <t>pAAV-mCAR-GFP</t>
  </si>
  <si>
    <t>pAAV-mCAR-Halo57-GFP</t>
  </si>
  <si>
    <t>pAAV-mCAR-LWO-GFP</t>
  </si>
  <si>
    <t>pAAV-mCAR-MAC-GFP</t>
  </si>
  <si>
    <t>pssAAV-NheI-mCar-BamHI-eNpHR2,0V-WPRE</t>
  </si>
  <si>
    <t>Dévaliné,RE tag avant GFP</t>
  </si>
  <si>
    <t>mCAr-rHKAb-NpHR-YFP-WPRE</t>
  </si>
  <si>
    <t>pAAV-mCAr-rHKAb-NpHR-WPRE</t>
  </si>
  <si>
    <t>pAAV-mCAr-hHKAb-NpHR-YFP-WPRE</t>
  </si>
  <si>
    <t>pAAV-mCAr-hHKAb-NpHR-WPRE</t>
  </si>
  <si>
    <t>pssAAV-mCar-SwitchR-TS-eYFP</t>
  </si>
  <si>
    <t>pssAAV-mCar-CrimsonR*sans stop-WPRE</t>
  </si>
  <si>
    <t>pssAAV-mCar-CrimsonR-WPRE</t>
  </si>
  <si>
    <t>pssAAV-mCAR-Clomeleon</t>
  </si>
  <si>
    <t>human red opsin</t>
  </si>
  <si>
    <t>DH5a ?</t>
  </si>
  <si>
    <t>122.4</t>
  </si>
  <si>
    <t>Endura</t>
  </si>
  <si>
    <t>122.5</t>
  </si>
  <si>
    <t>cones rouges</t>
  </si>
  <si>
    <t>long-wavelength sensitive</t>
  </si>
  <si>
    <t>pAAV-hROmini-LWO-GFP</t>
  </si>
  <si>
    <t>pAAV-hRO-LWO-GFP</t>
  </si>
  <si>
    <t>131.2</t>
  </si>
  <si>
    <t>0.4838</t>
  </si>
  <si>
    <t>131.3</t>
  </si>
  <si>
    <t>pTR-Stat-3-wt</t>
  </si>
  <si>
    <t>F</t>
  </si>
  <si>
    <t>C2 AAV2</t>
  </si>
  <si>
    <t>140,3, 140,4</t>
  </si>
  <si>
    <t>Midix2</t>
  </si>
  <si>
    <t>shRNA(3)-antiDp71</t>
  </si>
  <si>
    <t>Midi a Midi b</t>
  </si>
  <si>
    <t>19/09/2013</t>
  </si>
  <si>
    <t>shRNA(2)-antiDp71</t>
  </si>
  <si>
    <t>pAAV2-hRO-ChR2-EYFP</t>
  </si>
  <si>
    <t>(P01-13)</t>
  </si>
  <si>
    <t>a=ancien kit, b=kit neuf : pas de différence : pool des deux</t>
  </si>
  <si>
    <t>human blue opsin</t>
  </si>
  <si>
    <t>Rongeur</t>
  </si>
  <si>
    <t>16/4/2012</t>
  </si>
  <si>
    <t>cones bleus</t>
  </si>
  <si>
    <t>short-wave-sensitive</t>
  </si>
  <si>
    <t>human synapsin</t>
  </si>
  <si>
    <t>pAAV-hSyn-FLEX-ReaChR-Citrine</t>
  </si>
  <si>
    <t>neuronal</t>
  </si>
  <si>
    <t>pAAV-hSyn-H134RChR2-GFP</t>
  </si>
  <si>
    <t>Used in Caporale et al,</t>
  </si>
  <si>
    <t>4xmG6-Catch-EGFP</t>
  </si>
  <si>
    <t>pAAV-hSyn-ReaChR-Citrine</t>
  </si>
  <si>
    <t>pAAV-hSYN-RFP (22907)</t>
  </si>
  <si>
    <t>pLenti-hSyn-ReaChR-Citrine</t>
  </si>
  <si>
    <t>pTR-hSYN-GFP-wPRE</t>
  </si>
  <si>
    <t>human gamma synuclein</t>
  </si>
  <si>
    <t>pscAAV-SNCG-GFP</t>
  </si>
  <si>
    <t>pscAAV-SNCG-GCAmp6s-WPRE</t>
  </si>
  <si>
    <t>pAAV-SNCG-ChR2D,MBD-2A-GFP (C Ter)</t>
  </si>
  <si>
    <t>pAAV-SNCG-ChR2d-2A-nlsGFP</t>
  </si>
  <si>
    <t>pAAV-SNCG-GFP-WPRE</t>
  </si>
  <si>
    <t>pAAV-SNCG-hCatch-GFP-WPRE avec SV40</t>
  </si>
  <si>
    <t>pAAV-SNCG-hCatch-GFP-WPRE ultime</t>
  </si>
  <si>
    <t>mCAR-eNpHR-no-GFP</t>
  </si>
  <si>
    <t>pAAV-SNCG-hCatch-GFP-WPRE ultime v2</t>
  </si>
  <si>
    <t xml:space="preserve">pAAV-SNCG-hCatch-MBD-GFP </t>
  </si>
  <si>
    <t>à partir du nouveau SG</t>
  </si>
  <si>
    <t>pAAV-SNCG-hCatch-WPRE</t>
  </si>
  <si>
    <t>347+mutdir</t>
  </si>
  <si>
    <t>Clonage #1 clone 1  puis recloné dans un nouveau backbone par InFu 33 clone 4</t>
  </si>
  <si>
    <t>140.9</t>
  </si>
  <si>
    <t>pAAV-SNCG-hCatCh+H134R -GFP-WPRE</t>
  </si>
  <si>
    <t>XL10Gold</t>
  </si>
  <si>
    <t>à partir du nouveau SG en Xl10Gold</t>
  </si>
  <si>
    <t>140.10</t>
  </si>
  <si>
    <t xml:space="preserve">pAAV-SNCG-hChR2 (H134R)-GFP-WPRE </t>
  </si>
  <si>
    <t>C2,1 AAV2 Y444F</t>
  </si>
  <si>
    <t>C4 =MD hChR2 L132,R134, clone 1</t>
  </si>
  <si>
    <t>pAAV-SNCG-MBD,ChR2D-2A-GFP (N Ter)</t>
  </si>
  <si>
    <t>off-bipolar-CaTCh-GFP</t>
  </si>
  <si>
    <t>C2,2 AAV2 3YF</t>
  </si>
  <si>
    <t>pAAV-SNCG-hCatch (T159S)-GFP-WPRE</t>
  </si>
  <si>
    <t>pAAV-SNCG-hCatch-GFP-WPRE</t>
  </si>
  <si>
    <t>Bonne version (sans SV40)</t>
  </si>
  <si>
    <t>mCAr-Catch-EGFP</t>
  </si>
  <si>
    <t>pAAV-SNCG-hCatch-MBD sans stop!-WPRE</t>
  </si>
  <si>
    <t>Plus D' ITR</t>
  </si>
  <si>
    <t>pAAV-SNCG-hCatch sans stop!-WPRE</t>
  </si>
  <si>
    <t>jeté</t>
  </si>
  <si>
    <t>AAV2-3YF</t>
  </si>
  <si>
    <t>25/07/2013</t>
  </si>
  <si>
    <t>jeté (tube vide)</t>
  </si>
  <si>
    <t>142.5</t>
  </si>
  <si>
    <t>150.2</t>
  </si>
  <si>
    <t>C5-pXR5</t>
  </si>
  <si>
    <t>20/02/2014</t>
  </si>
  <si>
    <t>étalement SG, puis minis pour tester SmaI, clone 1</t>
  </si>
  <si>
    <t>23/01/14</t>
  </si>
  <si>
    <t>154.5</t>
  </si>
  <si>
    <t>0.363</t>
  </si>
  <si>
    <t>154.6</t>
  </si>
  <si>
    <t>462.2</t>
  </si>
  <si>
    <t>154.7</t>
  </si>
  <si>
    <t>Camille</t>
  </si>
  <si>
    <t>0.487</t>
  </si>
  <si>
    <t>157,1 ?</t>
  </si>
  <si>
    <t>culot congelé</t>
  </si>
  <si>
    <t>Mini</t>
  </si>
  <si>
    <t>0710/14</t>
  </si>
  <si>
    <t>pRepCap6</t>
  </si>
  <si>
    <t>158,1 ?</t>
  </si>
  <si>
    <t xml:space="preserve">C8,2 - pAR8 Y733F AAV8Y733F
</t>
  </si>
  <si>
    <t>164.1</t>
  </si>
  <si>
    <t>Berkeley  - ?</t>
  </si>
  <si>
    <t>transfo + stock gly a faire</t>
  </si>
  <si>
    <t>à partie du SG, Volume de culture utilisé d'après DO</t>
  </si>
  <si>
    <t>pAAV-SNCG-hCatch-MBD-WPRE</t>
  </si>
  <si>
    <t>avec le codon stop</t>
  </si>
  <si>
    <t>pAAV-SNCG-hCatch-SpeI-GFP-WPRE</t>
  </si>
  <si>
    <t>pAAV-SNCG-hChR2 (H134R)-GFP-WPRE mauvais itr</t>
  </si>
  <si>
    <t>à partie du SG,Volume de culture utilisé = volume restant</t>
  </si>
  <si>
    <t>Midi 2x</t>
  </si>
  <si>
    <t>HK</t>
  </si>
  <si>
    <t>reste 50 env</t>
  </si>
  <si>
    <t>Souris-Macaque</t>
  </si>
  <si>
    <t>reste 35µl</t>
  </si>
  <si>
    <t>à partir du sg</t>
  </si>
  <si>
    <t>168.4</t>
  </si>
  <si>
    <t>2.204</t>
  </si>
  <si>
    <t>nd</t>
  </si>
  <si>
    <t>168.5</t>
  </si>
  <si>
    <t>168.6</t>
  </si>
  <si>
    <t>2.290</t>
  </si>
  <si>
    <t>169.1</t>
  </si>
  <si>
    <t>1.409</t>
  </si>
  <si>
    <t>C9,4 - AAV9 7M8 (LA------)</t>
  </si>
  <si>
    <t>13/02/2014</t>
  </si>
  <si>
    <t>0.835</t>
  </si>
  <si>
    <t>170.4</t>
  </si>
  <si>
    <t>AAV10 2YF</t>
  </si>
  <si>
    <t>axonal tracing</t>
  </si>
  <si>
    <t>EF1a-mCherry-IRES-WGA-CRE-WPRE</t>
  </si>
  <si>
    <t>16/5/2012</t>
  </si>
  <si>
    <t>à partir du SG, Finie</t>
  </si>
  <si>
    <t>reste 20µl</t>
  </si>
  <si>
    <t>hCAR-eNpHR-GFP</t>
  </si>
  <si>
    <t>2,25e+13</t>
  </si>
  <si>
    <t>Wei Wei</t>
  </si>
  <si>
    <t>Cre-study</t>
  </si>
  <si>
    <t>amacrine</t>
  </si>
  <si>
    <t>EF1a-mCherry-IRES-Cre-WPRE</t>
  </si>
  <si>
    <t>177.6</t>
  </si>
  <si>
    <t>1.0279</t>
  </si>
  <si>
    <t>177.7</t>
  </si>
  <si>
    <t>MDS</t>
  </si>
  <si>
    <t>AAV2-7m8 (DD/RK)</t>
  </si>
  <si>
    <t>5,12e+14</t>
  </si>
  <si>
    <t>178,2,178,3,178,4</t>
  </si>
  <si>
    <t>13/09/12</t>
  </si>
  <si>
    <t>PB</t>
  </si>
  <si>
    <t>finies ? plus les tubes dans boite serotypes</t>
  </si>
  <si>
    <t>insertion pept1 de maurocalcine dans le CAP2</t>
  </si>
  <si>
    <t>insertion pep2 de maurocalcine dans le CAP2</t>
  </si>
  <si>
    <t>insertion pept3 de maurocalcine dans le CAP2</t>
  </si>
  <si>
    <t>opsin RV</t>
  </si>
  <si>
    <t>numéro plaque</t>
  </si>
  <si>
    <t>Date</t>
  </si>
  <si>
    <t>N° de prod</t>
  </si>
  <si>
    <t>Date inactivation</t>
  </si>
  <si>
    <t>Titre AAV (vg/ml)</t>
  </si>
  <si>
    <t>Titre ATTC AAV2 (vg/ml)</t>
  </si>
  <si>
    <t>Titre Scaria AAV2 CBA-eGFP(vg/ml)</t>
  </si>
  <si>
    <t>Titre ATCC AAV8 (vg/ml)</t>
  </si>
  <si>
    <t>Plaque</t>
  </si>
  <si>
    <t>Titre corrigé en fonction de ATCC 2</t>
  </si>
  <si>
    <t>Inactivation ATCC 2</t>
  </si>
  <si>
    <t>Standard</t>
  </si>
  <si>
    <t>ok entre 8E+9 et 8E+10 vg/ml</t>
  </si>
  <si>
    <t>5.75.10^11</t>
  </si>
  <si>
    <t>14_22</t>
  </si>
  <si>
    <t>226</t>
  </si>
  <si>
    <t>AAV2 7m8</t>
  </si>
  <si>
    <t>fini ? plus le tube dans boite serotypes</t>
  </si>
  <si>
    <t xml:space="preserve">AAV2-7m8 </t>
  </si>
  <si>
    <t>29/01/14</t>
  </si>
  <si>
    <t>à partir du SG initial</t>
  </si>
  <si>
    <t>263</t>
  </si>
  <si>
    <t>reste 10µl</t>
  </si>
  <si>
    <t>flox-hChR2 (H134R)-YFP</t>
  </si>
  <si>
    <t>3,88e+14</t>
  </si>
  <si>
    <t>227</t>
  </si>
  <si>
    <t>316</t>
  </si>
  <si>
    <t>317</t>
  </si>
  <si>
    <t>196</t>
  </si>
  <si>
    <t>14_23</t>
  </si>
  <si>
    <t>312</t>
  </si>
  <si>
    <t>313</t>
  </si>
  <si>
    <t>22/05/2013</t>
  </si>
  <si>
    <t>1,05e+14</t>
  </si>
  <si>
    <t>314</t>
  </si>
  <si>
    <t>315</t>
  </si>
  <si>
    <t>2,00e+14</t>
  </si>
  <si>
    <t>nouvelles cellules</t>
  </si>
  <si>
    <t>2,51e+14</t>
  </si>
  <si>
    <t>Finit!</t>
  </si>
  <si>
    <t>à partir du SG initial, pool de 4 éluats de 4 minis de la même culture. jeté</t>
  </si>
  <si>
    <t>scSNCG-GFP</t>
  </si>
  <si>
    <t>5,26e+14</t>
  </si>
  <si>
    <t>à partir d'une transfo avec lot 9, pool de 4 éluats de 4 minis de la même culture</t>
  </si>
  <si>
    <t>178.12</t>
  </si>
  <si>
    <t>CMV-ChR2d-2A-NLS-GFP</t>
  </si>
  <si>
    <t>5,15e+13</t>
  </si>
  <si>
    <t>4,07e+11</t>
  </si>
  <si>
    <t>Retine + cerveau</t>
  </si>
  <si>
    <t>17/07/13</t>
  </si>
  <si>
    <t>318</t>
  </si>
  <si>
    <t>319</t>
  </si>
  <si>
    <t>Stéphane Mélik Parsadaniantz</t>
  </si>
  <si>
    <t>18/06/13</t>
  </si>
  <si>
    <t>7,52e+14</t>
  </si>
  <si>
    <t>à partir du SG, Velution = 7ml</t>
  </si>
  <si>
    <t>14_24</t>
  </si>
  <si>
    <t>6,53e+12</t>
  </si>
  <si>
    <t>180,4,180,5, 180,6,180,7,180,8</t>
  </si>
  <si>
    <t>320</t>
  </si>
  <si>
    <t>shRNA(4)-antiDp71</t>
  </si>
  <si>
    <t>voir Ophelie</t>
  </si>
  <si>
    <t>à partir du SG, Velution = 8,5ml</t>
  </si>
  <si>
    <t>321</t>
  </si>
  <si>
    <t>322</t>
  </si>
  <si>
    <t>180.9</t>
  </si>
  <si>
    <t>323</t>
  </si>
  <si>
    <t>180.10</t>
  </si>
  <si>
    <t>MIdi</t>
  </si>
  <si>
    <t>0.147</t>
  </si>
  <si>
    <t>nouvelle transfo en XL10G</t>
  </si>
  <si>
    <t>180.11</t>
  </si>
  <si>
    <t>Nouvelle transfo en XL10G</t>
  </si>
  <si>
    <t>2017/05/</t>
  </si>
  <si>
    <t>Bipovision</t>
  </si>
  <si>
    <t xml:space="preserve">                                            </t>
  </si>
  <si>
    <t>181.1</t>
  </si>
  <si>
    <t>0.5136</t>
  </si>
  <si>
    <t>pTr-Rho-RS1</t>
  </si>
  <si>
    <t>182.1</t>
  </si>
  <si>
    <t>pTR-scCAG-RS1(W+)</t>
  </si>
  <si>
    <t xml:space="preserve"> MG6,ChR2b (H134R)- GFP</t>
  </si>
  <si>
    <t>14_25</t>
  </si>
  <si>
    <t>324</t>
  </si>
  <si>
    <t>325</t>
  </si>
  <si>
    <t>326</t>
  </si>
  <si>
    <t>327</t>
  </si>
  <si>
    <t>ok 21/03/14</t>
  </si>
  <si>
    <t>210</t>
  </si>
  <si>
    <t>211</t>
  </si>
  <si>
    <t>212</t>
  </si>
  <si>
    <t>rho-eGFP</t>
  </si>
  <si>
    <t>! surnageant seulement</t>
  </si>
  <si>
    <t>RdCVF</t>
  </si>
  <si>
    <t>toutes cellules</t>
  </si>
  <si>
    <t>AAV9-2YF/2-7m8?</t>
  </si>
  <si>
    <t>186.3</t>
  </si>
  <si>
    <t>0.6643</t>
  </si>
  <si>
    <t>sc CAG Rdcvf</t>
  </si>
  <si>
    <t>0.9091</t>
  </si>
  <si>
    <t>187.3</t>
  </si>
  <si>
    <t>EF1a-DIO-eGFP124</t>
  </si>
  <si>
    <t>Grm6 P01-48</t>
  </si>
  <si>
    <t>22/06/12</t>
  </si>
  <si>
    <t>digestion smaI le 05/02/14. "PO1-48"</t>
  </si>
  <si>
    <t>MG6 ChR2b</t>
  </si>
  <si>
    <t>190.6</t>
  </si>
  <si>
    <t>0.264</t>
  </si>
  <si>
    <t>à partir d'une nouvelle tranfo à partir du lot 1</t>
  </si>
  <si>
    <t>AAV-CAG-Flex-GFP-2A-,,,,</t>
  </si>
  <si>
    <t>OK ?</t>
  </si>
  <si>
    <t>testé une mini mais sait pas laquelle</t>
  </si>
  <si>
    <t>13/08/12</t>
  </si>
  <si>
    <t>pXR8-Y733F</t>
  </si>
  <si>
    <t>22/08/12</t>
  </si>
  <si>
    <t xml:space="preserve">Elise </t>
  </si>
  <si>
    <t>pXR8-Y444,733F</t>
  </si>
  <si>
    <t>pXR8 (NVGB) Y444F 733F</t>
  </si>
  <si>
    <t xml:space="preserve">Melissa </t>
  </si>
  <si>
    <t>20/08/12</t>
  </si>
  <si>
    <t>AAV9 7mer8 Liver De-Targetted</t>
  </si>
  <si>
    <t>14_26</t>
  </si>
  <si>
    <t>328</t>
  </si>
  <si>
    <t>329</t>
  </si>
  <si>
    <t>330</t>
  </si>
  <si>
    <t>331</t>
  </si>
  <si>
    <t>14_27</t>
  </si>
  <si>
    <t>332</t>
  </si>
  <si>
    <t>24/08/12</t>
  </si>
  <si>
    <t>AAV9 2YF Liver De-Targetted</t>
  </si>
  <si>
    <t>197,4 ?</t>
  </si>
  <si>
    <t>197,3 ?</t>
  </si>
  <si>
    <t>* moins urgent</t>
  </si>
  <si>
    <t>333</t>
  </si>
  <si>
    <t>AAV10 2YF Liver De-Targetted</t>
  </si>
  <si>
    <t>334</t>
  </si>
  <si>
    <t>15/11/12</t>
  </si>
  <si>
    <t>335</t>
  </si>
  <si>
    <t>27/03/2013</t>
  </si>
  <si>
    <t>331- redosage</t>
  </si>
  <si>
    <t>pTR-beta-SDH-CNTF</t>
  </si>
  <si>
    <t>200.1</t>
  </si>
  <si>
    <t>331 réinactivé</t>
  </si>
  <si>
    <t>Virotek (virus congelé du L2)</t>
  </si>
  <si>
    <t>Elise O</t>
  </si>
  <si>
    <t>204.1</t>
  </si>
  <si>
    <t>wathman</t>
  </si>
  <si>
    <t>pas de mini-midi-stock gly</t>
  </si>
  <si>
    <t>205.1</t>
  </si>
  <si>
    <t>CAP5-7m8</t>
  </si>
  <si>
    <t xml:space="preserve"> 14_28</t>
  </si>
  <si>
    <t>25/01/13</t>
  </si>
  <si>
    <t>CAP8-7m8</t>
  </si>
  <si>
    <t>14_28</t>
  </si>
  <si>
    <t>CAP10-7m8</t>
  </si>
  <si>
    <t>336</t>
  </si>
  <si>
    <t>337</t>
  </si>
  <si>
    <t>Peggy ?</t>
  </si>
  <si>
    <t>212.2</t>
  </si>
  <si>
    <t>Amrit</t>
  </si>
  <si>
    <t>338</t>
  </si>
  <si>
    <t>339</t>
  </si>
  <si>
    <t>don equipe Chrisitine Petit. Aliquot 200uL</t>
  </si>
  <si>
    <t>virotek</t>
  </si>
  <si>
    <t>30/01/14</t>
  </si>
  <si>
    <t>cc faible : problème ? faite a partir d'une nouvelle transfo car sg donnait aussi une cc faible</t>
  </si>
  <si>
    <t>215,1,215,2</t>
  </si>
  <si>
    <t>0,37 et 0,915</t>
  </si>
  <si>
    <t>mCAR-eNpHR</t>
  </si>
  <si>
    <t>Sure2</t>
  </si>
  <si>
    <t xml:space="preserve"> 14_29</t>
  </si>
  <si>
    <t>340</t>
  </si>
  <si>
    <t>14_29</t>
  </si>
  <si>
    <t>341</t>
  </si>
  <si>
    <t>342</t>
  </si>
  <si>
    <t>343</t>
  </si>
  <si>
    <t xml:space="preserve"> 14_30</t>
  </si>
  <si>
    <t>344</t>
  </si>
  <si>
    <t>pAAV-PGK-Cre</t>
  </si>
  <si>
    <t>228.1</t>
  </si>
  <si>
    <t>0.266</t>
  </si>
  <si>
    <t>mini ?</t>
  </si>
  <si>
    <t>pAAV-4xmG6-Catch-EGFP (P04-37)</t>
  </si>
  <si>
    <t>14_30</t>
  </si>
  <si>
    <t>15/5/2013</t>
  </si>
  <si>
    <t>345</t>
  </si>
  <si>
    <t>pAAV-4xGRM6-ChR2-eGFP</t>
  </si>
  <si>
    <t>27/11/13</t>
  </si>
  <si>
    <t>pAAV-mCAr-Catch-EGFP (P04-27)</t>
  </si>
  <si>
    <t>346</t>
  </si>
  <si>
    <t>347</t>
  </si>
  <si>
    <t>43m</t>
  </si>
  <si>
    <t>142m</t>
  </si>
  <si>
    <t>260m</t>
  </si>
  <si>
    <t>336m</t>
  </si>
  <si>
    <t>14_31</t>
  </si>
  <si>
    <t>Emilie</t>
  </si>
  <si>
    <t>transformé à partir de réhydratation de papier wateman</t>
  </si>
  <si>
    <t>234.2</t>
  </si>
  <si>
    <t>0.6885</t>
  </si>
  <si>
    <t>à partir du SG. dans boite Abhishek</t>
  </si>
  <si>
    <t>synOFF_BC-Catch (SynCord ChR2d)</t>
  </si>
  <si>
    <t>348</t>
  </si>
  <si>
    <t>349</t>
  </si>
  <si>
    <t>0,400 ?</t>
  </si>
  <si>
    <t>350</t>
  </si>
  <si>
    <t>237.1</t>
  </si>
  <si>
    <t>1.038</t>
  </si>
  <si>
    <t>original - pas de mini - stock gly</t>
  </si>
  <si>
    <t>351</t>
  </si>
  <si>
    <t>238.1</t>
  </si>
  <si>
    <t>252m</t>
  </si>
  <si>
    <t>0.819</t>
  </si>
  <si>
    <t>pAAV-EF1a-mCherry-IRES-WGA</t>
  </si>
  <si>
    <t>260v2m</t>
  </si>
  <si>
    <t>pAAV-EF1a-mCherry-IRES-Cre</t>
  </si>
  <si>
    <t>14_32</t>
  </si>
  <si>
    <t>pAAV-Flox-ChR-YFP</t>
  </si>
  <si>
    <t>0.4012</t>
  </si>
  <si>
    <t>07/2013</t>
  </si>
  <si>
    <t>pAAV-CMV-ChR2 (vieille version)</t>
  </si>
  <si>
    <t xml:space="preserve">pAAV-CMV-ChR2 (vieille version) </t>
  </si>
  <si>
    <t>20/11/13</t>
  </si>
  <si>
    <t>352</t>
  </si>
  <si>
    <t>353</t>
  </si>
  <si>
    <t>354</t>
  </si>
  <si>
    <t>355</t>
  </si>
  <si>
    <t>26/07/13</t>
  </si>
  <si>
    <t>14_33</t>
  </si>
  <si>
    <t>356</t>
  </si>
  <si>
    <t>357</t>
  </si>
  <si>
    <t>358</t>
  </si>
  <si>
    <t>359</t>
  </si>
  <si>
    <t>14_34</t>
  </si>
  <si>
    <t>360</t>
  </si>
  <si>
    <t>22/08/2013</t>
  </si>
  <si>
    <t>361</t>
  </si>
  <si>
    <t>362</t>
  </si>
  <si>
    <t>363</t>
  </si>
  <si>
    <t>jetée</t>
  </si>
  <si>
    <t>107</t>
  </si>
  <si>
    <t>14_35</t>
  </si>
  <si>
    <t>364</t>
  </si>
  <si>
    <t>29/08/13</t>
  </si>
  <si>
    <t>365</t>
  </si>
  <si>
    <t>366</t>
  </si>
  <si>
    <t>29/08/2013</t>
  </si>
  <si>
    <t xml:space="preserve">mauvaise </t>
  </si>
  <si>
    <t>367</t>
  </si>
  <si>
    <t>14_36</t>
  </si>
  <si>
    <t>368</t>
  </si>
  <si>
    <t>369</t>
  </si>
  <si>
    <t>370</t>
  </si>
  <si>
    <t>371</t>
  </si>
  <si>
    <t>14_37</t>
  </si>
  <si>
    <t>372</t>
  </si>
  <si>
    <t>373</t>
  </si>
  <si>
    <t>374</t>
  </si>
  <si>
    <t>375</t>
  </si>
  <si>
    <t>14_38</t>
  </si>
  <si>
    <t>376</t>
  </si>
  <si>
    <t>377</t>
  </si>
  <si>
    <t>378</t>
  </si>
  <si>
    <t>379</t>
  </si>
  <si>
    <t>14_39</t>
  </si>
  <si>
    <t>376 réinactivé</t>
  </si>
  <si>
    <t>377 réinactivé</t>
  </si>
  <si>
    <t>378 réinactivé</t>
  </si>
  <si>
    <t>379 réinactivé</t>
  </si>
  <si>
    <t>380</t>
  </si>
  <si>
    <t>381</t>
  </si>
  <si>
    <t>382</t>
  </si>
  <si>
    <t>383</t>
  </si>
  <si>
    <t>42</t>
  </si>
  <si>
    <t>99</t>
  </si>
  <si>
    <t>14_40</t>
  </si>
  <si>
    <t>14_41</t>
  </si>
  <si>
    <t>14_42</t>
  </si>
  <si>
    <t>384</t>
  </si>
  <si>
    <t>385</t>
  </si>
  <si>
    <t>386</t>
  </si>
  <si>
    <t>387</t>
  </si>
  <si>
    <t>14_43</t>
  </si>
  <si>
    <t>388</t>
  </si>
  <si>
    <t>389</t>
  </si>
  <si>
    <t>390</t>
  </si>
  <si>
    <t>391</t>
  </si>
  <si>
    <t>Virotek 4°C</t>
  </si>
  <si>
    <t>Virotek -20°C</t>
  </si>
  <si>
    <t>14_44</t>
  </si>
  <si>
    <t>392</t>
  </si>
  <si>
    <t>393</t>
  </si>
  <si>
    <t>394</t>
  </si>
  <si>
    <t>395</t>
  </si>
  <si>
    <t>14_45</t>
  </si>
  <si>
    <t>396</t>
  </si>
  <si>
    <t>397</t>
  </si>
  <si>
    <t>398</t>
  </si>
  <si>
    <t>399</t>
  </si>
  <si>
    <t>14_46</t>
  </si>
  <si>
    <t>400</t>
  </si>
  <si>
    <t>401</t>
  </si>
  <si>
    <t>402</t>
  </si>
  <si>
    <t>403</t>
  </si>
  <si>
    <t>14_47</t>
  </si>
  <si>
    <t>404</t>
  </si>
  <si>
    <t>405</t>
  </si>
  <si>
    <t>406</t>
  </si>
  <si>
    <t>407</t>
  </si>
  <si>
    <t>15_01</t>
  </si>
  <si>
    <t>408</t>
  </si>
  <si>
    <t>409</t>
  </si>
  <si>
    <t>410</t>
  </si>
  <si>
    <t>411</t>
  </si>
  <si>
    <t>15_02</t>
  </si>
  <si>
    <t>412 A</t>
  </si>
  <si>
    <t>412 B</t>
  </si>
  <si>
    <t>413 A</t>
  </si>
  <si>
    <t>413 B</t>
  </si>
  <si>
    <t>414</t>
  </si>
  <si>
    <t>415</t>
  </si>
  <si>
    <t>15_03</t>
  </si>
  <si>
    <t>416</t>
  </si>
  <si>
    <t>417</t>
  </si>
  <si>
    <t>418 A</t>
  </si>
  <si>
    <t>418 B</t>
  </si>
  <si>
    <t>419 A</t>
  </si>
  <si>
    <t>scCAG-RdCVF/MAC?</t>
  </si>
  <si>
    <t>GFP??? sterile+ ok 03/04/2017</t>
  </si>
  <si>
    <t>hCAR-eNpHR-noGFP</t>
  </si>
  <si>
    <t>1,69e+13</t>
  </si>
  <si>
    <t>419 B</t>
  </si>
  <si>
    <t>cellules 173</t>
  </si>
  <si>
    <t>15_04</t>
  </si>
  <si>
    <t>420 A</t>
  </si>
  <si>
    <t>272.1</t>
  </si>
  <si>
    <t>420 B</t>
  </si>
  <si>
    <t>421 A</t>
  </si>
  <si>
    <t>421 B</t>
  </si>
  <si>
    <t>422 VI</t>
  </si>
  <si>
    <t>422 III</t>
  </si>
  <si>
    <t>423</t>
  </si>
  <si>
    <t>412</t>
  </si>
  <si>
    <t>cellules du 174</t>
  </si>
  <si>
    <t>2,58e+12</t>
  </si>
  <si>
    <t>a revoir</t>
  </si>
  <si>
    <t>413</t>
  </si>
  <si>
    <t>418</t>
  </si>
  <si>
    <t>15_05</t>
  </si>
  <si>
    <t>424</t>
  </si>
  <si>
    <t>425</t>
  </si>
  <si>
    <t>SNCG-hCatch-GFP-WPRE sans SV40</t>
  </si>
  <si>
    <t>426</t>
  </si>
  <si>
    <t>427</t>
  </si>
  <si>
    <t>419</t>
  </si>
  <si>
    <t>420</t>
  </si>
  <si>
    <t>421</t>
  </si>
  <si>
    <t>422</t>
  </si>
  <si>
    <t>109</t>
  </si>
  <si>
    <t>112</t>
  </si>
  <si>
    <t>15_06</t>
  </si>
  <si>
    <t>5,97e+13</t>
  </si>
  <si>
    <t>inf 30µl</t>
  </si>
  <si>
    <t>32800000000000 le 15/01/2014</t>
  </si>
  <si>
    <t>à réinactiver pr confirmer</t>
  </si>
  <si>
    <t>3,38e+12</t>
  </si>
  <si>
    <t>à réinactiver</t>
  </si>
  <si>
    <t>15_07</t>
  </si>
  <si>
    <t>428</t>
  </si>
  <si>
    <t>scCAG-RdCVFs</t>
  </si>
  <si>
    <t>429</t>
  </si>
  <si>
    <t>430</t>
  </si>
  <si>
    <t>431</t>
  </si>
  <si>
    <t>223</t>
  </si>
  <si>
    <t>238</t>
  </si>
  <si>
    <t>reste 5µL envoyé a Berkeley</t>
  </si>
  <si>
    <t>432</t>
  </si>
  <si>
    <t>433</t>
  </si>
  <si>
    <t>3,85e+14</t>
  </si>
  <si>
    <t>434</t>
  </si>
  <si>
    <t>435</t>
  </si>
  <si>
    <t>15_08</t>
  </si>
  <si>
    <t>mCAR-eNpHR-eGFP</t>
  </si>
  <si>
    <t>15_09</t>
  </si>
  <si>
    <t>1,41e+11</t>
  </si>
  <si>
    <t>fin le 09/07/14</t>
  </si>
  <si>
    <t>3,53e+12</t>
  </si>
  <si>
    <t>432 A</t>
  </si>
  <si>
    <t>très visqueux???</t>
  </si>
  <si>
    <t>433 A</t>
  </si>
  <si>
    <t>434 A</t>
  </si>
  <si>
    <t>1,39e+13</t>
  </si>
  <si>
    <t>435 A</t>
  </si>
  <si>
    <t>432 B</t>
  </si>
  <si>
    <t>433 B</t>
  </si>
  <si>
    <t>Nxnl/vieillissement</t>
  </si>
  <si>
    <t>GFP-opsinRV</t>
  </si>
  <si>
    <t>434 B</t>
  </si>
  <si>
    <t>2,41e+13</t>
  </si>
  <si>
    <t>435 B</t>
  </si>
  <si>
    <t>15_10</t>
  </si>
  <si>
    <t>436</t>
  </si>
  <si>
    <t>437</t>
  </si>
  <si>
    <t>438</t>
  </si>
  <si>
    <t>439</t>
  </si>
  <si>
    <t>112 A</t>
  </si>
  <si>
    <t>112 B</t>
  </si>
  <si>
    <t>réinactivé</t>
  </si>
  <si>
    <t>422 A</t>
  </si>
  <si>
    <t>3,02e+13</t>
  </si>
  <si>
    <t>422 B</t>
  </si>
  <si>
    <t>425 A</t>
  </si>
  <si>
    <t>425 B</t>
  </si>
  <si>
    <t>15_11</t>
  </si>
  <si>
    <t>440</t>
  </si>
  <si>
    <t>2,73e+13</t>
  </si>
  <si>
    <t>441</t>
  </si>
  <si>
    <t>CMV-hChR2(H134R)-GFP</t>
  </si>
  <si>
    <t>100µl @ au max</t>
  </si>
  <si>
    <t>1,61e+13</t>
  </si>
  <si>
    <t>442</t>
  </si>
  <si>
    <t>443</t>
  </si>
  <si>
    <t>1,02e+14</t>
  </si>
  <si>
    <t>15_12</t>
  </si>
  <si>
    <t>444</t>
  </si>
  <si>
    <t>445</t>
  </si>
  <si>
    <t>446</t>
  </si>
  <si>
    <t>CAG-GFP-2A-hRdCVF(wt)</t>
  </si>
  <si>
    <t>447</t>
  </si>
  <si>
    <t>2,89e+14</t>
  </si>
  <si>
    <t>15_13</t>
  </si>
  <si>
    <t>448</t>
  </si>
  <si>
    <t>poolé avec 242: au L2</t>
  </si>
  <si>
    <t>449</t>
  </si>
  <si>
    <t>450</t>
  </si>
  <si>
    <t>mCAR-eNphR-EYFP</t>
  </si>
  <si>
    <t>451</t>
  </si>
  <si>
    <t>15_14</t>
  </si>
  <si>
    <t>452</t>
  </si>
  <si>
    <t>reste 5</t>
  </si>
  <si>
    <t>453</t>
  </si>
  <si>
    <t xml:space="preserve">souris </t>
  </si>
  <si>
    <t>454</t>
  </si>
  <si>
    <t>455</t>
  </si>
  <si>
    <t>456</t>
  </si>
  <si>
    <t>457</t>
  </si>
  <si>
    <t>25/102013</t>
  </si>
  <si>
    <t>458</t>
  </si>
  <si>
    <t>Reste 14 µL</t>
  </si>
  <si>
    <t>459</t>
  </si>
  <si>
    <t>scCAG-RFP</t>
  </si>
  <si>
    <t>15_15</t>
  </si>
  <si>
    <t>100 ul au max</t>
  </si>
  <si>
    <t>465 (PEI ok)</t>
  </si>
  <si>
    <t>1,58E+13</t>
  </si>
  <si>
    <t>466 (PEI mauvais)</t>
  </si>
  <si>
    <t>CT38</t>
  </si>
  <si>
    <t>CT37</t>
  </si>
  <si>
    <t>CT39</t>
  </si>
  <si>
    <t>KA597</t>
  </si>
  <si>
    <t>Deniz/SH</t>
  </si>
  <si>
    <t>CT-38   AAV2    RdCVFss/RdCVFL          4,29E+12        J,B</t>
  </si>
  <si>
    <t>vSWO-mCherry-CT-5HT1A</t>
  </si>
  <si>
    <t>2,83E+13</t>
  </si>
  <si>
    <t>vLWO-GFP-CT-5HT1A</t>
  </si>
  <si>
    <t>1,63E+13</t>
  </si>
  <si>
    <t>vLWO-eGFP</t>
  </si>
  <si>
    <t>3,99E+12</t>
  </si>
  <si>
    <t>8,92E+12</t>
  </si>
  <si>
    <t>mCar-eNpHR-TAG-WPRE</t>
  </si>
  <si>
    <t>200 ul au max</t>
  </si>
  <si>
    <t>8,32E+12</t>
  </si>
  <si>
    <t>Ct-37   AAV2    RdCVF-stuffer                J,B</t>
  </si>
  <si>
    <t>pssAAV-SNCG-hChR2 (H134R)-GFP-WPRE</t>
  </si>
  <si>
    <t>CT-39   AAV2    2x RdCVF                4,59E+12        J,B</t>
  </si>
  <si>
    <t>AAV2,1-CMV-GFP                                  08/11/2014      J, Bennett</t>
  </si>
  <si>
    <t>15_16</t>
  </si>
  <si>
    <t>460</t>
  </si>
  <si>
    <t>461</t>
  </si>
  <si>
    <t>462</t>
  </si>
  <si>
    <t>15_17</t>
  </si>
  <si>
    <t>463</t>
  </si>
  <si>
    <t>464</t>
  </si>
  <si>
    <t>466</t>
  </si>
  <si>
    <t>455b</t>
  </si>
  <si>
    <t>manque un site</t>
  </si>
  <si>
    <t>pssAAV-SNCG-ChR2 (H134R)-GFP-WPRE</t>
  </si>
  <si>
    <t>467</t>
  </si>
  <si>
    <t>hCar-eNpHR-noGFP</t>
  </si>
  <si>
    <t>468</t>
  </si>
  <si>
    <t>2 tubes</t>
  </si>
  <si>
    <t>14/08/13</t>
  </si>
  <si>
    <t>469</t>
  </si>
  <si>
    <t>&gt;100 ul au max</t>
  </si>
  <si>
    <t>470</t>
  </si>
  <si>
    <t>28/10/2013</t>
  </si>
  <si>
    <t>15_18</t>
  </si>
  <si>
    <t>Test X</t>
  </si>
  <si>
    <t>Eau inactivé et dosé</t>
  </si>
  <si>
    <t>pssAAV-SNCG-hCatch-GFP-WPRE sans SV40</t>
  </si>
  <si>
    <t xml:space="preserve">fin </t>
  </si>
  <si>
    <t>très visqueux</t>
  </si>
  <si>
    <t>Christine Petit /  Iman Sahly</t>
  </si>
  <si>
    <t>jetée ?</t>
  </si>
  <si>
    <t>15/01/14</t>
  </si>
  <si>
    <t>471</t>
  </si>
  <si>
    <t>20/09/13</t>
  </si>
  <si>
    <t>472</t>
  </si>
  <si>
    <t>PR</t>
  </si>
  <si>
    <t>473</t>
  </si>
  <si>
    <t>13/09/13</t>
  </si>
  <si>
    <t>474</t>
  </si>
  <si>
    <t>24/10/13</t>
  </si>
  <si>
    <t>475</t>
  </si>
  <si>
    <t>CMV Tandem 224</t>
  </si>
  <si>
    <t>476</t>
  </si>
  <si>
    <t xml:space="preserve">CMV Tandem 224 </t>
  </si>
  <si>
    <t>477</t>
  </si>
  <si>
    <t>15_19</t>
  </si>
  <si>
    <t>478</t>
  </si>
  <si>
    <t>479</t>
  </si>
  <si>
    <t>480</t>
  </si>
  <si>
    <t>481</t>
  </si>
  <si>
    <t>482</t>
  </si>
  <si>
    <t>483</t>
  </si>
  <si>
    <t>18/10/2013</t>
  </si>
  <si>
    <t>484</t>
  </si>
  <si>
    <t>485</t>
  </si>
  <si>
    <t>15_20</t>
  </si>
  <si>
    <t>487</t>
  </si>
  <si>
    <t>pAAV-4xGRM6-ChR2-YFP (LG15)</t>
  </si>
  <si>
    <t>488</t>
  </si>
  <si>
    <t>retransformé à partir de la mini (lot 289,1)</t>
  </si>
  <si>
    <t>489</t>
  </si>
  <si>
    <t>pAAVss-mCar-eNpHR-TAG-WPRE</t>
  </si>
  <si>
    <t>13/11/13</t>
  </si>
  <si>
    <t>15_21</t>
  </si>
  <si>
    <t>490</t>
  </si>
  <si>
    <t>491</t>
  </si>
  <si>
    <t>492</t>
  </si>
  <si>
    <t>493</t>
  </si>
  <si>
    <t>15_22</t>
  </si>
  <si>
    <t>494</t>
  </si>
  <si>
    <t>rem : R2 0,98</t>
  </si>
  <si>
    <t>495</t>
  </si>
  <si>
    <t>496</t>
  </si>
  <si>
    <t>497</t>
  </si>
  <si>
    <t>498</t>
  </si>
  <si>
    <t>499</t>
  </si>
  <si>
    <t>15_23</t>
  </si>
  <si>
    <t>500</t>
  </si>
  <si>
    <t>501</t>
  </si>
  <si>
    <t>502</t>
  </si>
  <si>
    <t>503</t>
  </si>
  <si>
    <t>504</t>
  </si>
  <si>
    <t>505</t>
  </si>
  <si>
    <t>15_24</t>
  </si>
  <si>
    <t>506</t>
  </si>
  <si>
    <t>2,6</t>
  </si>
  <si>
    <t>ok?</t>
  </si>
  <si>
    <t>Smai testé mais pas la carte pour vérifier taillle des bandes</t>
  </si>
  <si>
    <t>2,1</t>
  </si>
  <si>
    <t>507</t>
  </si>
  <si>
    <t>30/10/13</t>
  </si>
  <si>
    <t>508</t>
  </si>
  <si>
    <t>509</t>
  </si>
  <si>
    <t>510</t>
  </si>
  <si>
    <t>511</t>
  </si>
  <si>
    <t>512</t>
  </si>
  <si>
    <t>513</t>
  </si>
  <si>
    <t>Réinactivation</t>
  </si>
  <si>
    <t>15_25</t>
  </si>
  <si>
    <t>514</t>
  </si>
  <si>
    <t>Sure 2</t>
  </si>
  <si>
    <t>à partir du SG finie</t>
  </si>
  <si>
    <t>à partir du SG. ancienne concentration avant evaporation : 0,5508</t>
  </si>
  <si>
    <t>Début pb BadRox</t>
  </si>
  <si>
    <t>515</t>
  </si>
  <si>
    <t>où ??</t>
  </si>
  <si>
    <t>516</t>
  </si>
  <si>
    <t>295.5</t>
  </si>
  <si>
    <t>517</t>
  </si>
  <si>
    <t>518</t>
  </si>
  <si>
    <t>0.207</t>
  </si>
  <si>
    <t>519</t>
  </si>
  <si>
    <t>pool de 2 prep. sans aucune info</t>
  </si>
  <si>
    <t>Natacha</t>
  </si>
  <si>
    <t>0.587</t>
  </si>
  <si>
    <t>520</t>
  </si>
  <si>
    <t>Usher</t>
  </si>
  <si>
    <t>2,09</t>
  </si>
  <si>
    <t>1,72</t>
  </si>
  <si>
    <t>2,11</t>
  </si>
  <si>
    <t>521</t>
  </si>
  <si>
    <t>14/11/13</t>
  </si>
  <si>
    <t>522</t>
  </si>
  <si>
    <t>15_26</t>
  </si>
  <si>
    <t>44</t>
  </si>
  <si>
    <t>la digestion SmaI donne deux bandes mais une n'a pas la bonne taille</t>
  </si>
  <si>
    <t>19/11/13</t>
  </si>
  <si>
    <t>??</t>
  </si>
  <si>
    <t>transfo à partir du lot 1</t>
  </si>
  <si>
    <t>334.2</t>
  </si>
  <si>
    <t>Stellar</t>
  </si>
  <si>
    <t>24/01/14</t>
  </si>
  <si>
    <t>15_27</t>
  </si>
  <si>
    <t xml:space="preserve">15_28
</t>
  </si>
  <si>
    <t>523</t>
  </si>
  <si>
    <t>pAAV-SNCG-hCatch-MBD-GFP</t>
  </si>
  <si>
    <t>524</t>
  </si>
  <si>
    <t>525</t>
  </si>
  <si>
    <t>526</t>
  </si>
  <si>
    <t>527</t>
  </si>
  <si>
    <t>15_29</t>
  </si>
  <si>
    <t>528</t>
  </si>
  <si>
    <t>529</t>
  </si>
  <si>
    <t>ancien 339 sans ITR, supprimé</t>
  </si>
  <si>
    <t>Jens Duebel</t>
  </si>
  <si>
    <t>530</t>
  </si>
  <si>
    <t>531</t>
  </si>
  <si>
    <t>532</t>
  </si>
  <si>
    <t>15_30</t>
  </si>
  <si>
    <t>533</t>
  </si>
  <si>
    <t>534</t>
  </si>
  <si>
    <t>535</t>
  </si>
  <si>
    <t>536</t>
  </si>
  <si>
    <t>537</t>
  </si>
  <si>
    <t>15_31</t>
  </si>
  <si>
    <t>538</t>
  </si>
  <si>
    <t>539</t>
  </si>
  <si>
    <t>540</t>
  </si>
  <si>
    <t>541</t>
  </si>
  <si>
    <t>15_32</t>
  </si>
  <si>
    <t>542</t>
  </si>
  <si>
    <t>rem : nouvelle inactivation de scaria</t>
  </si>
  <si>
    <t>543</t>
  </si>
  <si>
    <t>544</t>
  </si>
  <si>
    <t>545</t>
  </si>
  <si>
    <t>546</t>
  </si>
  <si>
    <t>ATCC AAV2 new</t>
  </si>
  <si>
    <t>ATCC AAV8</t>
  </si>
  <si>
    <t>15_33</t>
  </si>
  <si>
    <t>547</t>
  </si>
  <si>
    <t>même lot de scaria que plaque 32</t>
  </si>
  <si>
    <t>548</t>
  </si>
  <si>
    <t>549</t>
  </si>
  <si>
    <t>C3 clone 6 : nouveau 339 avec ITR OK</t>
  </si>
  <si>
    <t>550</t>
  </si>
  <si>
    <t>15_34</t>
  </si>
  <si>
    <t>à partir de la transfo du 14/04/2014 : meme boite mais colonie différente du SG</t>
  </si>
  <si>
    <t>13/12/13</t>
  </si>
  <si>
    <t>15_35</t>
  </si>
  <si>
    <t>551</t>
  </si>
  <si>
    <t>552</t>
  </si>
  <si>
    <t>553</t>
  </si>
  <si>
    <t>554</t>
  </si>
  <si>
    <t>ReChR</t>
  </si>
  <si>
    <t>15_36</t>
  </si>
  <si>
    <t>555</t>
  </si>
  <si>
    <t>556</t>
  </si>
  <si>
    <t>557</t>
  </si>
  <si>
    <t>558</t>
  </si>
  <si>
    <t>15_37</t>
  </si>
  <si>
    <t>559</t>
  </si>
  <si>
    <t>560</t>
  </si>
  <si>
    <t>561</t>
  </si>
  <si>
    <t>562</t>
  </si>
  <si>
    <t>15_38</t>
  </si>
  <si>
    <t xml:space="preserve">ND
</t>
  </si>
  <si>
    <t>15_39</t>
  </si>
  <si>
    <t>563</t>
  </si>
  <si>
    <t>564</t>
  </si>
  <si>
    <t>565</t>
  </si>
  <si>
    <t>inactivation Céline du 18/08</t>
  </si>
  <si>
    <t>15_40</t>
  </si>
  <si>
    <t>566</t>
  </si>
  <si>
    <t>567</t>
  </si>
  <si>
    <t>problème dilution ?</t>
  </si>
  <si>
    <t>568</t>
  </si>
  <si>
    <t>569</t>
  </si>
  <si>
    <t xml:space="preserve">ATCC AAV8 </t>
  </si>
  <si>
    <t xml:space="preserve">inactivation Mélissa
</t>
  </si>
  <si>
    <t>ATCC AAV2 ancien</t>
  </si>
  <si>
    <t>inactivation 2015</t>
  </si>
  <si>
    <t>15_41</t>
  </si>
  <si>
    <t>570</t>
  </si>
  <si>
    <t>571</t>
  </si>
  <si>
    <t>572</t>
  </si>
  <si>
    <t>inactivation Céline du 02/09</t>
  </si>
  <si>
    <t>15_42</t>
  </si>
  <si>
    <t>573</t>
  </si>
  <si>
    <t>pb avec ATCC</t>
  </si>
  <si>
    <t>pb avec scaria</t>
  </si>
  <si>
    <t>574</t>
  </si>
  <si>
    <t>575</t>
  </si>
  <si>
    <t>576</t>
  </si>
  <si>
    <t xml:space="preserve">349 nouveau </t>
  </si>
  <si>
    <t>577</t>
  </si>
  <si>
    <t>15_43</t>
  </si>
  <si>
    <t>RP</t>
  </si>
  <si>
    <t>15_44</t>
  </si>
  <si>
    <t>15_44,</t>
  </si>
  <si>
    <t>A partir d'ici ; ATCC AAV NEW</t>
  </si>
  <si>
    <t>15_45</t>
  </si>
  <si>
    <t>578</t>
  </si>
  <si>
    <t>579</t>
  </si>
  <si>
    <t>580</t>
  </si>
  <si>
    <t>581</t>
  </si>
  <si>
    <t>transfo à partir du lot 2</t>
  </si>
  <si>
    <t>pssCMV-hCatch-WPRE</t>
  </si>
  <si>
    <t>582</t>
  </si>
  <si>
    <t>583</t>
  </si>
  <si>
    <t>17/01/14</t>
  </si>
  <si>
    <t>15_46</t>
  </si>
  <si>
    <t>584</t>
  </si>
  <si>
    <t>transfo à partir de la mini</t>
  </si>
  <si>
    <t>585</t>
  </si>
  <si>
    <t>21/01/14</t>
  </si>
  <si>
    <t>586</t>
  </si>
  <si>
    <t>587</t>
  </si>
  <si>
    <t>15_47</t>
  </si>
  <si>
    <t>588</t>
  </si>
  <si>
    <t>589</t>
  </si>
  <si>
    <t>590</t>
  </si>
  <si>
    <t>591</t>
  </si>
  <si>
    <t>15_48</t>
  </si>
  <si>
    <t>dil 446</t>
  </si>
  <si>
    <t>14/02/14</t>
  </si>
  <si>
    <t xml:space="preserve">pAAV-ss-1xGRm6-GFP
</t>
  </si>
  <si>
    <t>dil 479</t>
  </si>
  <si>
    <t>15_49</t>
  </si>
  <si>
    <t>592</t>
  </si>
  <si>
    <t>593</t>
  </si>
  <si>
    <t>594</t>
  </si>
  <si>
    <t>595</t>
  </si>
  <si>
    <t>596</t>
  </si>
  <si>
    <t>nouvelle inactivation</t>
  </si>
  <si>
    <t>reste de la culture utilisée pour le lot 359,3 (culot congelé)</t>
  </si>
  <si>
    <t>vieille inactivation</t>
  </si>
  <si>
    <t>nouvelle transfo à partir de la mini, Volume de culture utilisé = volume d'après DO</t>
  </si>
  <si>
    <t>15_50</t>
  </si>
  <si>
    <t>597</t>
  </si>
  <si>
    <t>598</t>
  </si>
  <si>
    <t>599</t>
  </si>
  <si>
    <t>600</t>
  </si>
  <si>
    <t>601</t>
  </si>
  <si>
    <t>602</t>
  </si>
  <si>
    <t>nouvelle transfo à partir de la mini,Volume de culture utilisé = volume restant</t>
  </si>
  <si>
    <t>26/02/14</t>
  </si>
  <si>
    <t>15_51</t>
  </si>
  <si>
    <t>15_52</t>
  </si>
  <si>
    <t>603</t>
  </si>
  <si>
    <t>à paritr du SG</t>
  </si>
  <si>
    <t>604</t>
  </si>
  <si>
    <t>605</t>
  </si>
  <si>
    <t>606</t>
  </si>
  <si>
    <t>15_53</t>
  </si>
  <si>
    <t>607</t>
  </si>
  <si>
    <t>pAAV-DIO-vLWO-GFP-1A</t>
  </si>
  <si>
    <t>608</t>
  </si>
  <si>
    <t>362.2</t>
  </si>
  <si>
    <t>même lot que 1 ???</t>
  </si>
  <si>
    <t>pAAV-DIO-vSWO-mCherry-1B</t>
  </si>
  <si>
    <t>363.2</t>
  </si>
  <si>
    <t>pssAAV-mCar-CrimsonR-tdTomato</t>
  </si>
  <si>
    <t>16_01</t>
  </si>
  <si>
    <t>609</t>
  </si>
  <si>
    <t>610</t>
  </si>
  <si>
    <t>611</t>
  </si>
  <si>
    <t>612</t>
  </si>
  <si>
    <t>613</t>
  </si>
  <si>
    <t>614</t>
  </si>
  <si>
    <t>16_02</t>
  </si>
  <si>
    <t>615</t>
  </si>
  <si>
    <t>616</t>
  </si>
  <si>
    <t>617</t>
  </si>
  <si>
    <t>618</t>
  </si>
  <si>
    <t>16_03</t>
  </si>
  <si>
    <t>619</t>
  </si>
  <si>
    <t>620</t>
  </si>
  <si>
    <t>621</t>
  </si>
  <si>
    <t>622</t>
  </si>
  <si>
    <t>16_04</t>
  </si>
  <si>
    <t>623</t>
  </si>
  <si>
    <t>624</t>
  </si>
  <si>
    <t>625</t>
  </si>
  <si>
    <t>626</t>
  </si>
  <si>
    <t>16_05</t>
  </si>
  <si>
    <t>16_06</t>
  </si>
  <si>
    <t>368.3</t>
  </si>
  <si>
    <t>1.0772</t>
  </si>
  <si>
    <t>Test dPCR</t>
  </si>
  <si>
    <t>16_07</t>
  </si>
  <si>
    <t>627</t>
  </si>
  <si>
    <t>628</t>
  </si>
  <si>
    <t>369.3</t>
  </si>
  <si>
    <t>0.6963</t>
  </si>
  <si>
    <t>629</t>
  </si>
  <si>
    <t>630</t>
  </si>
  <si>
    <t>à partir du SG, PAs de péculture</t>
  </si>
  <si>
    <t>Infu 39 clone 2</t>
  </si>
  <si>
    <t>371.2</t>
  </si>
  <si>
    <t>0.628</t>
  </si>
  <si>
    <t>clone 1 MD du 11/04</t>
  </si>
  <si>
    <t>clone 1 MD du 11/04 (C4 : changement de backbone 273)</t>
  </si>
  <si>
    <t>à partir du SG du clone 1 de la mutagenèse dirigée sur 360 (midi sur clone 2 jetée)</t>
  </si>
  <si>
    <t>VTA</t>
  </si>
  <si>
    <t>TOP10</t>
  </si>
  <si>
    <t>16_08</t>
  </si>
  <si>
    <t>à partir de la nouvelle transfo du 02/06/14</t>
  </si>
  <si>
    <t>631</t>
  </si>
  <si>
    <t>632</t>
  </si>
  <si>
    <t>633</t>
  </si>
  <si>
    <t>MD4 clone1</t>
  </si>
  <si>
    <t>634</t>
  </si>
  <si>
    <t>16_09</t>
  </si>
  <si>
    <t>286</t>
  </si>
  <si>
    <t>MD5 clone 3</t>
  </si>
  <si>
    <t>307</t>
  </si>
  <si>
    <t>culture à partir de la transfo du 23/06/14, Jetée</t>
  </si>
  <si>
    <t>635</t>
  </si>
  <si>
    <t>636</t>
  </si>
  <si>
    <t>637</t>
  </si>
  <si>
    <t>638</t>
  </si>
  <si>
    <t>639</t>
  </si>
  <si>
    <t>Auriane</t>
  </si>
  <si>
    <t>culture à partir de la transfo du 23/06/14</t>
  </si>
  <si>
    <t xml:space="preserve">!! Semble y avoir eu une inversion; ce n'est </t>
  </si>
  <si>
    <t>640</t>
  </si>
  <si>
    <t>16_10</t>
  </si>
  <si>
    <t>641</t>
  </si>
  <si>
    <t>642</t>
  </si>
  <si>
    <t>643</t>
  </si>
  <si>
    <t>644</t>
  </si>
  <si>
    <t>645</t>
  </si>
  <si>
    <t>transfo à partir de papier wateman</t>
  </si>
  <si>
    <t>646</t>
  </si>
  <si>
    <t>647</t>
  </si>
  <si>
    <t>manque un ITR car vient de 279</t>
  </si>
  <si>
    <t>16_11</t>
  </si>
  <si>
    <t>648</t>
  </si>
  <si>
    <t>649</t>
  </si>
  <si>
    <t>650</t>
  </si>
  <si>
    <t>651</t>
  </si>
  <si>
    <t>652</t>
  </si>
  <si>
    <t>653</t>
  </si>
  <si>
    <t>654</t>
  </si>
  <si>
    <t>16_12</t>
  </si>
  <si>
    <t>655</t>
  </si>
  <si>
    <t>InFu 24 cl 16</t>
  </si>
  <si>
    <t>656</t>
  </si>
  <si>
    <t>657</t>
  </si>
  <si>
    <t>658</t>
  </si>
  <si>
    <t>111</t>
  </si>
  <si>
    <t>16_13</t>
  </si>
  <si>
    <t>659</t>
  </si>
  <si>
    <t>à partir du SG, jetée</t>
  </si>
  <si>
    <t>660</t>
  </si>
  <si>
    <t>661</t>
  </si>
  <si>
    <t>662</t>
  </si>
  <si>
    <t>663</t>
  </si>
  <si>
    <t>à partir du SG; 3 différentes colonies pour s'assurer qu'il n'y a pas un mix de plusieurs plasmides dans le SG, jetée</t>
  </si>
  <si>
    <t>664</t>
  </si>
  <si>
    <t>16_14</t>
  </si>
  <si>
    <t>16_15</t>
  </si>
  <si>
    <t>665</t>
  </si>
  <si>
    <t>666</t>
  </si>
  <si>
    <t>667</t>
  </si>
  <si>
    <t>668</t>
  </si>
  <si>
    <t>16_16</t>
  </si>
  <si>
    <t>15/10/2015?</t>
  </si>
  <si>
    <t>16_17</t>
  </si>
  <si>
    <t>669</t>
  </si>
  <si>
    <t>670</t>
  </si>
  <si>
    <t>671</t>
  </si>
  <si>
    <t>0,5-1;</t>
  </si>
  <si>
    <t>TopTEN?</t>
  </si>
  <si>
    <t>672</t>
  </si>
  <si>
    <t>16_18</t>
  </si>
  <si>
    <t>673</t>
  </si>
  <si>
    <t>Jens/Olivier</t>
  </si>
  <si>
    <t>674</t>
  </si>
  <si>
    <t>675</t>
  </si>
  <si>
    <t>retransformé à partir du lot 1</t>
  </si>
  <si>
    <t>676</t>
  </si>
  <si>
    <t>251</t>
  </si>
  <si>
    <t>252</t>
  </si>
  <si>
    <t>391.4</t>
  </si>
  <si>
    <t>16_19</t>
  </si>
  <si>
    <t>677</t>
  </si>
  <si>
    <t>4/12/0216</t>
  </si>
  <si>
    <t>678</t>
  </si>
  <si>
    <t>679</t>
  </si>
  <si>
    <t>culot le 17/07. ancienne concentration avant evaporation : 0,8587</t>
  </si>
  <si>
    <t>680</t>
  </si>
  <si>
    <t>25/20/2016</t>
  </si>
  <si>
    <t xml:space="preserve">OK </t>
  </si>
  <si>
    <t>même culture que la midi (lot 1)</t>
  </si>
  <si>
    <t>16_20</t>
  </si>
  <si>
    <t>culot le 17/07, jeté car mutation dans KR</t>
  </si>
  <si>
    <t>même culture que la midi (lot 1) jeté car mutation dans KR</t>
  </si>
  <si>
    <t>16_21</t>
  </si>
  <si>
    <t>681</t>
  </si>
  <si>
    <t>nouvelle transfo à partir d'un nouveau papier, clone 2</t>
  </si>
  <si>
    <t>682</t>
  </si>
  <si>
    <t>nouvelle transfo à partir du lot 3</t>
  </si>
  <si>
    <t>à partir du stock gly, 1 colonie dans culture de 10 ml</t>
  </si>
  <si>
    <t>même culture que lot 5</t>
  </si>
  <si>
    <t>1.019</t>
  </si>
  <si>
    <t>683</t>
  </si>
  <si>
    <t>684</t>
  </si>
  <si>
    <t>685</t>
  </si>
  <si>
    <t>686</t>
  </si>
  <si>
    <t>687</t>
  </si>
  <si>
    <t>688</t>
  </si>
  <si>
    <t>16_22 1</t>
  </si>
  <si>
    <t>16_22 2</t>
  </si>
  <si>
    <t>689</t>
  </si>
  <si>
    <t>690</t>
  </si>
  <si>
    <t>691</t>
  </si>
  <si>
    <t>692</t>
  </si>
  <si>
    <t>693</t>
  </si>
  <si>
    <t>WDS 9</t>
  </si>
  <si>
    <t>WDS 10</t>
  </si>
  <si>
    <t>WDS 11</t>
  </si>
  <si>
    <t>WDS 12</t>
  </si>
  <si>
    <t>16_23</t>
  </si>
  <si>
    <t>694</t>
  </si>
  <si>
    <t>695</t>
  </si>
  <si>
    <t>696</t>
  </si>
  <si>
    <t>697</t>
  </si>
  <si>
    <t>698</t>
  </si>
  <si>
    <t>699</t>
  </si>
  <si>
    <t>700</t>
  </si>
  <si>
    <t>701</t>
  </si>
  <si>
    <t>16_24</t>
  </si>
  <si>
    <t>702</t>
  </si>
  <si>
    <t>703</t>
  </si>
  <si>
    <t>704</t>
  </si>
  <si>
    <t>705</t>
  </si>
  <si>
    <t>bande à 2883 incorecte (ext des ITR</t>
  </si>
  <si>
    <t>infu 45 clone 1</t>
  </si>
  <si>
    <t>16_25</t>
  </si>
  <si>
    <t>706</t>
  </si>
  <si>
    <t>707</t>
  </si>
  <si>
    <t>708</t>
  </si>
  <si>
    <t>709</t>
  </si>
  <si>
    <t xml:space="preserve">017 (WDS) </t>
  </si>
  <si>
    <t>C5 cl11</t>
  </si>
  <si>
    <t>16_26</t>
  </si>
  <si>
    <t>710</t>
  </si>
  <si>
    <t>711</t>
  </si>
  <si>
    <t>712</t>
  </si>
  <si>
    <t>713</t>
  </si>
  <si>
    <t>714</t>
  </si>
  <si>
    <t>715</t>
  </si>
  <si>
    <t>poolé 522</t>
  </si>
  <si>
    <t>C6 cl9</t>
  </si>
  <si>
    <t>017 (WDS)</t>
  </si>
  <si>
    <t>16_27</t>
  </si>
  <si>
    <t>C7 cl4</t>
  </si>
  <si>
    <t>OK (pas ITR)</t>
  </si>
  <si>
    <t>resuspension</t>
  </si>
  <si>
    <t>16_28</t>
  </si>
  <si>
    <t>716</t>
  </si>
  <si>
    <t>717</t>
  </si>
  <si>
    <t>718</t>
  </si>
  <si>
    <t>719</t>
  </si>
  <si>
    <t>720</t>
  </si>
  <si>
    <t>16_29</t>
  </si>
  <si>
    <t>721</t>
  </si>
  <si>
    <t>problème standard</t>
  </si>
  <si>
    <t>&lt;SG</t>
  </si>
  <si>
    <t>NON</t>
  </si>
  <si>
    <t>Bandes incorrectes, jeté</t>
  </si>
  <si>
    <t>722</t>
  </si>
  <si>
    <t>723</t>
  </si>
  <si>
    <t>724</t>
  </si>
  <si>
    <t>725</t>
  </si>
  <si>
    <t>726</t>
  </si>
  <si>
    <t>727</t>
  </si>
  <si>
    <t>728</t>
  </si>
  <si>
    <t>16_30</t>
  </si>
  <si>
    <t>Florian</t>
  </si>
  <si>
    <t>Inflammation</t>
  </si>
  <si>
    <t>16_31</t>
  </si>
  <si>
    <t>729</t>
  </si>
  <si>
    <t>RPE/PR</t>
  </si>
  <si>
    <t>STD?  amorces</t>
  </si>
  <si>
    <t>Incertitude</t>
  </si>
  <si>
    <t>730</t>
  </si>
  <si>
    <t>731</t>
  </si>
  <si>
    <t>OK (mais bandes tres proches)</t>
  </si>
  <si>
    <t>C11 clone C</t>
  </si>
  <si>
    <t>732</t>
  </si>
  <si>
    <t>733</t>
  </si>
  <si>
    <t>734</t>
  </si>
  <si>
    <t>735</t>
  </si>
  <si>
    <t>16_32</t>
  </si>
  <si>
    <t>Undetermined</t>
  </si>
  <si>
    <t>STD? amorces Chloé</t>
  </si>
  <si>
    <t>16_33</t>
  </si>
  <si>
    <t>STD new amocres Chloé</t>
  </si>
  <si>
    <t>691*</t>
  </si>
  <si>
    <t>STD new amocres new</t>
  </si>
  <si>
    <t>692*</t>
  </si>
  <si>
    <t>Bandes incorrecte jeté</t>
  </si>
  <si>
    <t>reste plus</t>
  </si>
  <si>
    <t>Picaud/Petit</t>
  </si>
  <si>
    <t>C11 clone  B</t>
  </si>
  <si>
    <t>Usher GT</t>
  </si>
  <si>
    <t>PR+RPE</t>
  </si>
  <si>
    <t>16_34</t>
  </si>
  <si>
    <t>2 (w)</t>
  </si>
  <si>
    <t>4.27e14</t>
  </si>
  <si>
    <t>16_35</t>
  </si>
  <si>
    <t>417.5</t>
  </si>
  <si>
    <t>0.6389</t>
  </si>
  <si>
    <t>16_36</t>
  </si>
  <si>
    <t>InFu 55 clone 21</t>
  </si>
  <si>
    <t>rods</t>
  </si>
  <si>
    <t>743</t>
  </si>
  <si>
    <t>XL1-Blue</t>
  </si>
  <si>
    <t>748</t>
  </si>
  <si>
    <t>Digestion HindIII et HindIII+PvuI?</t>
  </si>
  <si>
    <t>POOLE avec 248</t>
  </si>
  <si>
    <t>reste 100</t>
  </si>
  <si>
    <t>749</t>
  </si>
  <si>
    <t>426.2</t>
  </si>
  <si>
    <t>Souris rd1</t>
  </si>
  <si>
    <t>750</t>
  </si>
  <si>
    <t>reste 5µL</t>
  </si>
  <si>
    <t>744</t>
  </si>
  <si>
    <t>745</t>
  </si>
  <si>
    <t>746</t>
  </si>
  <si>
    <t>747</t>
  </si>
  <si>
    <t>751</t>
  </si>
  <si>
    <t>reste 13</t>
  </si>
  <si>
    <t>737</t>
  </si>
  <si>
    <t>736</t>
  </si>
  <si>
    <t>740</t>
  </si>
  <si>
    <t>16_37</t>
  </si>
  <si>
    <t>738</t>
  </si>
  <si>
    <t>739</t>
  </si>
  <si>
    <t>InFu 54 clone 3, Jeté car mutation dans le Killer Red</t>
  </si>
  <si>
    <t>741</t>
  </si>
  <si>
    <t>à partir du SG Jeté car mutation dans le Killer Red</t>
  </si>
  <si>
    <t>742</t>
  </si>
  <si>
    <t xml:space="preserve">MD16 clone 2 </t>
  </si>
  <si>
    <t>POOLE avec 238</t>
  </si>
  <si>
    <t>Nouvelle transfo à partir du lot 3</t>
  </si>
  <si>
    <t>NogoA</t>
  </si>
  <si>
    <t>CGM</t>
  </si>
  <si>
    <t>16-38</t>
  </si>
  <si>
    <t>752</t>
  </si>
  <si>
    <t>InFu 52 A clone 5</t>
  </si>
  <si>
    <t>753</t>
  </si>
  <si>
    <t>754</t>
  </si>
  <si>
    <t>755</t>
  </si>
  <si>
    <t>à partir de la boite numérotée</t>
  </si>
  <si>
    <t>756</t>
  </si>
  <si>
    <t>757</t>
  </si>
  <si>
    <t>16_39</t>
  </si>
  <si>
    <t>762</t>
  </si>
  <si>
    <t>763</t>
  </si>
  <si>
    <t>764</t>
  </si>
  <si>
    <t>765</t>
  </si>
  <si>
    <t>766</t>
  </si>
  <si>
    <t>767</t>
  </si>
  <si>
    <t>1r (783)</t>
  </si>
  <si>
    <t>2r low (784)</t>
  </si>
  <si>
    <t>768</t>
  </si>
  <si>
    <t>MD14 cl1</t>
  </si>
  <si>
    <t>cherry</t>
  </si>
  <si>
    <t>a partir du 439,1</t>
  </si>
  <si>
    <t>OTX2</t>
  </si>
  <si>
    <t>IMTRON1</t>
  </si>
  <si>
    <t>INTRON2</t>
  </si>
  <si>
    <t>INTRON3</t>
  </si>
  <si>
    <t>INTRON4</t>
  </si>
  <si>
    <t>16_40</t>
  </si>
  <si>
    <t>769</t>
  </si>
  <si>
    <t>rgc</t>
  </si>
  <si>
    <t>770</t>
  </si>
  <si>
    <t>771</t>
  </si>
  <si>
    <t>772</t>
  </si>
  <si>
    <t>773</t>
  </si>
  <si>
    <t>774</t>
  </si>
  <si>
    <t>775</t>
  </si>
  <si>
    <t>758</t>
  </si>
  <si>
    <t>759</t>
  </si>
  <si>
    <t>760</t>
  </si>
  <si>
    <t>761</t>
  </si>
  <si>
    <t>16_41</t>
  </si>
  <si>
    <t>776</t>
  </si>
  <si>
    <t>777</t>
  </si>
  <si>
    <t>779</t>
  </si>
  <si>
    <t>781</t>
  </si>
  <si>
    <t>16_42</t>
  </si>
  <si>
    <t>778</t>
  </si>
  <si>
    <t>ATCC2 "vieux"?</t>
  </si>
  <si>
    <t>780</t>
  </si>
  <si>
    <t>782</t>
  </si>
  <si>
    <t>16_43</t>
  </si>
  <si>
    <t>16_44</t>
  </si>
  <si>
    <t>0.025 ?</t>
  </si>
  <si>
    <t>16_45</t>
  </si>
  <si>
    <t>785</t>
  </si>
  <si>
    <t>443.3</t>
  </si>
  <si>
    <t>William Rostene/Stéphane Mélik</t>
  </si>
  <si>
    <t>786</t>
  </si>
  <si>
    <t>787</t>
  </si>
  <si>
    <t>443.4</t>
  </si>
  <si>
    <t>0.1404</t>
  </si>
  <si>
    <t>788</t>
  </si>
  <si>
    <t>789</t>
  </si>
  <si>
    <t>à partir de la resuspension de papier wateman</t>
  </si>
  <si>
    <t>790</t>
  </si>
  <si>
    <t>18/03/2014 (mis dans 270)</t>
  </si>
  <si>
    <t>791</t>
  </si>
  <si>
    <t>Su ?</t>
  </si>
  <si>
    <t>792</t>
  </si>
  <si>
    <t>transfo à partir de la mini reçue (446,1)</t>
  </si>
  <si>
    <t>22</t>
  </si>
  <si>
    <t>(80 µl a friedlander)</t>
  </si>
  <si>
    <t>transfo à partir de la mini reçue (447,1)</t>
  </si>
  <si>
    <t>23</t>
  </si>
  <si>
    <t>18</t>
  </si>
  <si>
    <t>19</t>
  </si>
  <si>
    <t>20</t>
  </si>
  <si>
    <t>21</t>
  </si>
  <si>
    <t>16_46</t>
  </si>
  <si>
    <t>793</t>
  </si>
  <si>
    <t>794</t>
  </si>
  <si>
    <t>795</t>
  </si>
  <si>
    <t>796</t>
  </si>
  <si>
    <t>16_47</t>
  </si>
  <si>
    <t>797</t>
  </si>
  <si>
    <t>Ne marche pas très bien!!!</t>
  </si>
  <si>
    <t>798</t>
  </si>
  <si>
    <t>799</t>
  </si>
  <si>
    <t>800</t>
  </si>
  <si>
    <t>EAT1</t>
  </si>
  <si>
    <t>EAT2</t>
  </si>
  <si>
    <t>16_48</t>
  </si>
  <si>
    <t>801</t>
  </si>
  <si>
    <t>802</t>
  </si>
  <si>
    <t>803</t>
  </si>
  <si>
    <t>XL10gold</t>
  </si>
  <si>
    <t>804</t>
  </si>
  <si>
    <t>805</t>
  </si>
  <si>
    <t>16-49</t>
  </si>
  <si>
    <t>fait en 18/06/14</t>
  </si>
  <si>
    <t>806</t>
  </si>
  <si>
    <t>jetprime</t>
  </si>
  <si>
    <t>807</t>
  </si>
  <si>
    <t>808</t>
  </si>
  <si>
    <t>Stefan Herlitze</t>
  </si>
  <si>
    <t>Opsin-Gi/o</t>
  </si>
  <si>
    <t>809</t>
  </si>
  <si>
    <t>024 wds</t>
  </si>
  <si>
    <t>025 wds</t>
  </si>
  <si>
    <t>026 wds</t>
  </si>
  <si>
    <t>027 wds</t>
  </si>
  <si>
    <t>16_50</t>
  </si>
  <si>
    <t>pscAAV-SNCG-GCamp6f</t>
  </si>
  <si>
    <t>CMV-GCamp6f</t>
  </si>
  <si>
    <t>810</t>
  </si>
  <si>
    <t>811</t>
  </si>
  <si>
    <t>812</t>
  </si>
  <si>
    <t>813</t>
  </si>
  <si>
    <t>814</t>
  </si>
  <si>
    <t>16_51</t>
  </si>
  <si>
    <t>à partir de la transfo</t>
  </si>
  <si>
    <t>Fini le 18/07/14</t>
  </si>
  <si>
    <t>815</t>
  </si>
  <si>
    <t>AAV9 7M8 (LA------)</t>
  </si>
  <si>
    <t>816</t>
  </si>
  <si>
    <t>817</t>
  </si>
  <si>
    <t>818</t>
  </si>
  <si>
    <t>819</t>
  </si>
  <si>
    <t>16_52</t>
  </si>
  <si>
    <t>Jet Prime</t>
  </si>
  <si>
    <t>Explants/ souris</t>
  </si>
  <si>
    <t>falcon 15 renversé pendant la midi au moment de l'élution : jeté</t>
  </si>
  <si>
    <t>16_53</t>
  </si>
  <si>
    <t>bipolaires</t>
  </si>
  <si>
    <t>à partir du Sg</t>
  </si>
  <si>
    <t>820</t>
  </si>
  <si>
    <t>821</t>
  </si>
  <si>
    <t>E,Coli HB101</t>
  </si>
  <si>
    <t>822</t>
  </si>
  <si>
    <t>826</t>
  </si>
  <si>
    <t>Issu des bactéries freeze-dried d'ATCC clone M2 finie</t>
  </si>
  <si>
    <t>MAUVAIS TITRE PROD REFAITE EN JET PRIME</t>
  </si>
  <si>
    <t>issu du stock Gly</t>
  </si>
  <si>
    <t>retransformé à partir du 459,2</t>
  </si>
  <si>
    <t>16_54</t>
  </si>
  <si>
    <t>XLGold</t>
  </si>
  <si>
    <t>16_55</t>
  </si>
  <si>
    <t>AET3</t>
  </si>
  <si>
    <t>AET4</t>
  </si>
  <si>
    <t>AET5</t>
  </si>
  <si>
    <t>AET6</t>
  </si>
  <si>
    <t>AET7</t>
  </si>
  <si>
    <t>AET8</t>
  </si>
  <si>
    <t>injection bipvision 1bis</t>
  </si>
  <si>
    <t>retransformé à partir du 464,1</t>
  </si>
  <si>
    <t>AET9</t>
  </si>
  <si>
    <t>AET10</t>
  </si>
  <si>
    <t>827</t>
  </si>
  <si>
    <t>829</t>
  </si>
  <si>
    <t>bipolars</t>
  </si>
  <si>
    <t>831</t>
  </si>
  <si>
    <t>832</t>
  </si>
  <si>
    <t>833</t>
  </si>
  <si>
    <t>834</t>
  </si>
  <si>
    <t>835</t>
  </si>
  <si>
    <t>reçue de ?</t>
  </si>
  <si>
    <t>16_56</t>
  </si>
  <si>
    <t>à partir de la transfo&lt;prep reçue</t>
  </si>
  <si>
    <t>à partir du tube déshydraté Gnenescript</t>
  </si>
  <si>
    <t>Optogenetics2,0</t>
  </si>
  <si>
    <t>mouse and explants</t>
  </si>
  <si>
    <t>Eleonore ?</t>
  </si>
  <si>
    <t>836</t>
  </si>
  <si>
    <t>16_57</t>
  </si>
  <si>
    <t>823</t>
  </si>
  <si>
    <t>Inactivation ATCC 2 14/12/2016 CRT</t>
  </si>
  <si>
    <t>16_58</t>
  </si>
  <si>
    <t>837</t>
  </si>
  <si>
    <t>tester les cellules inversion recolte milieu seulement</t>
  </si>
  <si>
    <t>838</t>
  </si>
  <si>
    <t>839</t>
  </si>
  <si>
    <t>840</t>
  </si>
  <si>
    <t>cones, rgcs</t>
  </si>
  <si>
    <t>16_59</t>
  </si>
  <si>
    <t>824</t>
  </si>
  <si>
    <t>828</t>
  </si>
  <si>
    <t>830</t>
  </si>
  <si>
    <t>ATTC 2 (2)</t>
  </si>
  <si>
    <t>ATTC 2n (1)</t>
  </si>
  <si>
    <t>ATTC 2n (2)</t>
  </si>
  <si>
    <t>16_60</t>
  </si>
  <si>
    <t>tout le tube sorti au L2</t>
  </si>
  <si>
    <t>prep originelle</t>
  </si>
  <si>
    <t>à partir du SG. Finie</t>
  </si>
  <si>
    <t>841</t>
  </si>
  <si>
    <t>842</t>
  </si>
  <si>
    <t>843</t>
  </si>
  <si>
    <t>844</t>
  </si>
  <si>
    <t>16_61</t>
  </si>
  <si>
    <t>472.5</t>
  </si>
  <si>
    <t>472.6</t>
  </si>
  <si>
    <t>pool de 2 preps sans aucune info</t>
  </si>
  <si>
    <t>17_01</t>
  </si>
  <si>
    <t>845</t>
  </si>
  <si>
    <t>846</t>
  </si>
  <si>
    <t>847</t>
  </si>
  <si>
    <t>848</t>
  </si>
  <si>
    <t>17_02</t>
  </si>
  <si>
    <t>17_03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</si>
  <si>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</si>
  <si>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</si>
  <si>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</si>
  <si>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</si>
  <si>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</si>
  <si>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</si>
  <si>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</si>
  <si>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</si>
  <si>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</si>
  <si>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</si>
  <si>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</si>
  <si>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17_04</t>
  </si>
  <si>
    <t>17_05</t>
  </si>
  <si>
    <t>4,42E+12</t>
  </si>
  <si>
    <t>2,06E+09</t>
  </si>
  <si>
    <t>2,39E+12</t>
  </si>
  <si>
    <t>retransformé à partir du 473,1</t>
  </si>
  <si>
    <t>8,95E+12</t>
  </si>
  <si>
    <t>3,12E+13</t>
  </si>
  <si>
    <t>5,36E+13</t>
  </si>
  <si>
    <t>6,08E+13</t>
  </si>
  <si>
    <t>2,54E+12</t>
  </si>
  <si>
    <t>à partir d'un SG</t>
  </si>
  <si>
    <t>reste 5ul</t>
  </si>
  <si>
    <t>2015_01_22</t>
  </si>
  <si>
    <t>7,70E+12</t>
  </si>
  <si>
    <t>0.2324</t>
  </si>
  <si>
    <t>à partir du MDa5 cl2 retransformé en Endura</t>
  </si>
  <si>
    <t>5,63E+12</t>
  </si>
  <si>
    <t>3,89E+13</t>
  </si>
  <si>
    <t>9,99E+13</t>
  </si>
  <si>
    <t>4,40E+13</t>
  </si>
  <si>
    <t>0.1725</t>
  </si>
  <si>
    <t>1,30E+12</t>
  </si>
  <si>
    <t>2,58E+12</t>
  </si>
  <si>
    <t>17_06</t>
  </si>
  <si>
    <t>à partir du tube déshydraté Genescript</t>
  </si>
  <si>
    <t>reste 7µL</t>
  </si>
  <si>
    <t>17_07</t>
  </si>
  <si>
    <t>Opto3,0</t>
  </si>
  <si>
    <t>31 WDS</t>
  </si>
  <si>
    <t>32 WDS</t>
  </si>
  <si>
    <t xml:space="preserve">nouvelle transfo à partir du lot 1 fnie
</t>
  </si>
  <si>
    <t>33 WDs</t>
  </si>
  <si>
    <t>17_08</t>
  </si>
  <si>
    <t>884</t>
  </si>
  <si>
    <t>885</t>
  </si>
  <si>
    <t>17_09</t>
  </si>
  <si>
    <t>888</t>
  </si>
  <si>
    <t>479.5</t>
  </si>
  <si>
    <t>0.3667</t>
  </si>
  <si>
    <t>889</t>
  </si>
  <si>
    <t>890</t>
  </si>
  <si>
    <t>479.6</t>
  </si>
  <si>
    <t>0.2916</t>
  </si>
  <si>
    <t>891</t>
  </si>
  <si>
    <t>479.7</t>
  </si>
  <si>
    <t>renversé lors de la filtration</t>
  </si>
  <si>
    <t>Najaite (237)</t>
  </si>
  <si>
    <t>0.3849</t>
  </si>
  <si>
    <t>892</t>
  </si>
  <si>
    <t>479.8</t>
  </si>
  <si>
    <t>893</t>
  </si>
  <si>
    <t>894</t>
  </si>
  <si>
    <t>pré-filtration</t>
  </si>
  <si>
    <t>895</t>
  </si>
  <si>
    <t>17_10</t>
  </si>
  <si>
    <t>896</t>
  </si>
  <si>
    <t>479.9</t>
  </si>
  <si>
    <t>0.5505</t>
  </si>
  <si>
    <t>897</t>
  </si>
  <si>
    <t>898</t>
  </si>
  <si>
    <t>899</t>
  </si>
  <si>
    <t>900</t>
  </si>
  <si>
    <t>901</t>
  </si>
  <si>
    <t>17_11</t>
  </si>
  <si>
    <t>902</t>
  </si>
  <si>
    <t>903</t>
  </si>
  <si>
    <t>904</t>
  </si>
  <si>
    <t>905</t>
  </si>
  <si>
    <t>906</t>
  </si>
  <si>
    <t>907</t>
  </si>
  <si>
    <t>908</t>
  </si>
  <si>
    <t>909</t>
  </si>
  <si>
    <t>post filtration</t>
  </si>
  <si>
    <t>17_12</t>
  </si>
  <si>
    <t>910</t>
  </si>
  <si>
    <t>911</t>
  </si>
  <si>
    <t>912</t>
  </si>
  <si>
    <t>913</t>
  </si>
  <si>
    <t>914</t>
  </si>
  <si>
    <t>915</t>
  </si>
  <si>
    <t>916</t>
  </si>
  <si>
    <t>917</t>
  </si>
  <si>
    <t>culture de 15 ml à partir d'une colonie d'une transfo à partir du lot 1</t>
  </si>
  <si>
    <t>918</t>
  </si>
  <si>
    <t>w38</t>
  </si>
  <si>
    <t>w39</t>
  </si>
  <si>
    <t>même culture que lot 3</t>
  </si>
  <si>
    <t>w40</t>
  </si>
  <si>
    <t>w41</t>
  </si>
  <si>
    <t>w42</t>
  </si>
  <si>
    <t>17_13</t>
  </si>
  <si>
    <t>919</t>
  </si>
  <si>
    <t>920</t>
  </si>
  <si>
    <t>921</t>
  </si>
  <si>
    <t>922</t>
  </si>
  <si>
    <t>923</t>
  </si>
  <si>
    <t>924</t>
  </si>
  <si>
    <t>925</t>
  </si>
  <si>
    <t>926</t>
  </si>
  <si>
    <t>17-14</t>
  </si>
  <si>
    <t>927</t>
  </si>
  <si>
    <t>12/4/2017*</t>
  </si>
  <si>
    <t>Ces inactivations ont été jetés par accident après la prod</t>
  </si>
  <si>
    <t>*: inactivation avec Tampon DNAse fait maison le 12/04/17 par MDS</t>
  </si>
  <si>
    <t>929</t>
  </si>
  <si>
    <t>930</t>
  </si>
  <si>
    <t>931</t>
  </si>
  <si>
    <t>932</t>
  </si>
  <si>
    <t>17-15</t>
  </si>
  <si>
    <t>928</t>
  </si>
  <si>
    <t>933</t>
  </si>
  <si>
    <t>934</t>
  </si>
  <si>
    <t>935</t>
  </si>
  <si>
    <t>936</t>
  </si>
  <si>
    <t>937</t>
  </si>
  <si>
    <t>938</t>
  </si>
  <si>
    <t>à partir d'une transfo à partir du lot 1</t>
  </si>
  <si>
    <t>939</t>
  </si>
  <si>
    <t>940</t>
  </si>
  <si>
    <t>941</t>
  </si>
  <si>
    <t>942</t>
  </si>
  <si>
    <t>943</t>
  </si>
  <si>
    <t>W48</t>
  </si>
  <si>
    <t>W50</t>
  </si>
  <si>
    <t>W51</t>
  </si>
  <si>
    <t>W52</t>
  </si>
  <si>
    <t>W53</t>
  </si>
  <si>
    <t>W54</t>
  </si>
  <si>
    <t>17-16</t>
  </si>
  <si>
    <t>Nouvelle inactivations pour comparer les tampons de filtrations</t>
  </si>
  <si>
    <t>OK ? pas carte</t>
  </si>
  <si>
    <t>XL10Gold ?</t>
  </si>
  <si>
    <t>transfo à partir de papier wateman, clone 3</t>
  </si>
  <si>
    <t>927*</t>
  </si>
  <si>
    <t>25/04/2017*</t>
  </si>
  <si>
    <t>929*</t>
  </si>
  <si>
    <t>944</t>
  </si>
  <si>
    <t>945</t>
  </si>
  <si>
    <t>946</t>
  </si>
  <si>
    <t>947</t>
  </si>
  <si>
    <t>17-17</t>
  </si>
  <si>
    <t>Post filtration</t>
  </si>
  <si>
    <t>17_18</t>
  </si>
  <si>
    <t>292</t>
  </si>
  <si>
    <t>0.395</t>
  </si>
  <si>
    <t>948</t>
  </si>
  <si>
    <t>949</t>
  </si>
  <si>
    <t>950</t>
  </si>
  <si>
    <t>W59</t>
  </si>
  <si>
    <t>W60</t>
  </si>
  <si>
    <t>W61</t>
  </si>
  <si>
    <t>W62</t>
  </si>
  <si>
    <t>17_19</t>
  </si>
  <si>
    <t>951</t>
  </si>
  <si>
    <t>952</t>
  </si>
  <si>
    <t>953</t>
  </si>
  <si>
    <t>953 exo</t>
  </si>
  <si>
    <t>954</t>
  </si>
  <si>
    <t>954 exo</t>
  </si>
  <si>
    <t>955</t>
  </si>
  <si>
    <t>956 culot</t>
  </si>
  <si>
    <t>956 surnageant</t>
  </si>
  <si>
    <t>17_20</t>
  </si>
  <si>
    <t>957</t>
  </si>
  <si>
    <t>958</t>
  </si>
  <si>
    <t>959</t>
  </si>
  <si>
    <t>960</t>
  </si>
  <si>
    <t>961</t>
  </si>
  <si>
    <t>962</t>
  </si>
  <si>
    <t>963</t>
  </si>
  <si>
    <t>964</t>
  </si>
  <si>
    <t>C</t>
  </si>
  <si>
    <t>17_21</t>
  </si>
  <si>
    <t>965</t>
  </si>
  <si>
    <t>0.432</t>
  </si>
  <si>
    <t>966</t>
  </si>
  <si>
    <t>967</t>
  </si>
  <si>
    <t>968</t>
  </si>
  <si>
    <t>tube vide</t>
  </si>
  <si>
    <t>17_22</t>
  </si>
  <si>
    <t>969</t>
  </si>
  <si>
    <t>970</t>
  </si>
  <si>
    <t>971</t>
  </si>
  <si>
    <t>972</t>
  </si>
  <si>
    <t>17_23</t>
  </si>
  <si>
    <t>t</t>
  </si>
  <si>
    <t>jet prime</t>
  </si>
  <si>
    <t>17_24</t>
  </si>
  <si>
    <t>973</t>
  </si>
  <si>
    <t>974</t>
  </si>
  <si>
    <t>975</t>
  </si>
  <si>
    <t>976</t>
  </si>
  <si>
    <t>63 WDS</t>
  </si>
  <si>
    <t>64 WDS</t>
  </si>
  <si>
    <t xml:space="preserve">65 WDS </t>
  </si>
  <si>
    <t>RESTE 40</t>
  </si>
  <si>
    <t>862</t>
  </si>
  <si>
    <t>P, Fort</t>
  </si>
  <si>
    <t>Manip NAB ne fonctionne pas donc redosage de ce virus</t>
  </si>
  <si>
    <t>KEC</t>
  </si>
  <si>
    <t>MGC</t>
  </si>
  <si>
    <t>17_25</t>
  </si>
  <si>
    <t>977</t>
  </si>
  <si>
    <t>978</t>
  </si>
  <si>
    <t>979</t>
  </si>
  <si>
    <t>980</t>
  </si>
  <si>
    <t>ITR ?</t>
  </si>
  <si>
    <t>66 WDS</t>
  </si>
  <si>
    <t>à partir de la gélose piquée reçue</t>
  </si>
  <si>
    <t>67 WDS</t>
  </si>
  <si>
    <t>68 WDS</t>
  </si>
  <si>
    <t>69 WDS</t>
  </si>
  <si>
    <t xml:space="preserve">Plaque 17_24 résultats étrange </t>
  </si>
  <si>
    <t>17_26</t>
  </si>
  <si>
    <t>981</t>
  </si>
  <si>
    <t>all retina</t>
  </si>
  <si>
    <t>982</t>
  </si>
  <si>
    <t>983</t>
  </si>
  <si>
    <t>984</t>
  </si>
  <si>
    <t>culot PEG pure</t>
  </si>
  <si>
    <t>17_27</t>
  </si>
  <si>
    <t>985</t>
  </si>
  <si>
    <t>InFU avec 473</t>
  </si>
  <si>
    <t>986</t>
  </si>
  <si>
    <t>987</t>
  </si>
  <si>
    <t>988</t>
  </si>
  <si>
    <t>70wds</t>
  </si>
  <si>
    <t>surnageant de cellules</t>
  </si>
  <si>
    <t>71wds</t>
  </si>
  <si>
    <t>72wds</t>
  </si>
  <si>
    <t>73wds</t>
  </si>
  <si>
    <t>74wds</t>
  </si>
  <si>
    <t>49wds</t>
  </si>
  <si>
    <t>17_28</t>
  </si>
  <si>
    <t>989</t>
  </si>
  <si>
    <t>990</t>
  </si>
  <si>
    <t>991</t>
  </si>
  <si>
    <t>992 A</t>
  </si>
  <si>
    <t>992 B</t>
  </si>
  <si>
    <t>993</t>
  </si>
  <si>
    <t>994</t>
  </si>
  <si>
    <t>995</t>
  </si>
  <si>
    <t>996</t>
  </si>
  <si>
    <t>997</t>
  </si>
  <si>
    <t>17_29</t>
  </si>
  <si>
    <t>17_30</t>
  </si>
  <si>
    <t>998</t>
  </si>
  <si>
    <t>999</t>
  </si>
  <si>
    <t>1000</t>
  </si>
  <si>
    <t>1001</t>
  </si>
  <si>
    <t>75wds</t>
  </si>
  <si>
    <t>76wds</t>
  </si>
  <si>
    <t>77wds</t>
  </si>
  <si>
    <t>78wds</t>
  </si>
  <si>
    <t>17_31</t>
  </si>
  <si>
    <t>17_32</t>
  </si>
  <si>
    <t>Camile</t>
  </si>
  <si>
    <t>1002</t>
  </si>
  <si>
    <t>reste 5µL!</t>
  </si>
  <si>
    <t>1003</t>
  </si>
  <si>
    <t>Progenitors</t>
  </si>
  <si>
    <t>Photoreceptor precursor</t>
  </si>
  <si>
    <t>1004</t>
  </si>
  <si>
    <t>1005</t>
  </si>
  <si>
    <t>ANC80fromVANDEENBERGH</t>
  </si>
  <si>
    <t>17_33</t>
  </si>
  <si>
    <t>1006</t>
  </si>
  <si>
    <t>1007</t>
  </si>
  <si>
    <t>1008</t>
  </si>
  <si>
    <t>1009</t>
  </si>
  <si>
    <t>79WDS</t>
  </si>
  <si>
    <t>80WDS</t>
  </si>
  <si>
    <t>Top10</t>
  </si>
  <si>
    <t>81WDS</t>
  </si>
  <si>
    <t>82WDS</t>
  </si>
  <si>
    <t>17_34</t>
  </si>
  <si>
    <t>1010</t>
  </si>
  <si>
    <t>1011</t>
  </si>
  <si>
    <t>1012</t>
  </si>
  <si>
    <t>1013</t>
  </si>
  <si>
    <t>60ul</t>
  </si>
  <si>
    <t>nouvelle transfo à  partir du lot 1</t>
  </si>
  <si>
    <t>0.044</t>
  </si>
  <si>
    <t>nouvelle transfo à  partir du lot 1 + stock gly</t>
  </si>
  <si>
    <t>1.106</t>
  </si>
  <si>
    <t>nouvelle transfo à partir du lot 1</t>
  </si>
  <si>
    <t>visqueux ,,,,</t>
  </si>
  <si>
    <t>514.1</t>
  </si>
  <si>
    <t>514.2</t>
  </si>
  <si>
    <t>0.4095</t>
  </si>
  <si>
    <t>514.3</t>
  </si>
  <si>
    <t>0.8722</t>
  </si>
  <si>
    <t>visqueux</t>
  </si>
  <si>
    <t>Push-pull</t>
  </si>
  <si>
    <t>avant evaporation : 0,6726</t>
  </si>
  <si>
    <t>tranfo à partir du lot 1</t>
  </si>
  <si>
    <t>transfo à partir de la boite de pcr colonies</t>
  </si>
  <si>
    <t>DH10B</t>
  </si>
  <si>
    <t>Miguel Dias (AZ team)</t>
  </si>
  <si>
    <t>Grm6</t>
  </si>
  <si>
    <t xml:space="preserve">XL10Gold
</t>
  </si>
  <si>
    <t>très bonne expression 7j après IVT chez la souris</t>
  </si>
  <si>
    <t>534.1</t>
  </si>
  <si>
    <t>534.2</t>
  </si>
  <si>
    <t>à partir du SG. Dans boite Abhishek</t>
  </si>
  <si>
    <t>535.1</t>
  </si>
  <si>
    <t xml:space="preserve"> Visqueux</t>
  </si>
  <si>
    <t>535.2</t>
  </si>
  <si>
    <t>min 5x10e12</t>
  </si>
  <si>
    <t>535.3</t>
  </si>
  <si>
    <t>0.2546</t>
  </si>
  <si>
    <t>535.4</t>
  </si>
  <si>
    <t>1.257</t>
  </si>
  <si>
    <t>536.1</t>
  </si>
  <si>
    <t>536.2</t>
  </si>
  <si>
    <t>avec antibio / Jet Prime</t>
  </si>
  <si>
    <t>sans AB / Jet Prime</t>
  </si>
  <si>
    <t>536.3</t>
  </si>
  <si>
    <t>0.4859</t>
  </si>
  <si>
    <t>tout</t>
  </si>
  <si>
    <t>Titre final (vg/ml)</t>
  </si>
  <si>
    <t>B1</t>
  </si>
  <si>
    <t>hCX36 (FL) KGCamp3</t>
  </si>
  <si>
    <t>B2</t>
  </si>
  <si>
    <t>ip/ml</t>
  </si>
  <si>
    <t>hSYN,ChIEF</t>
  </si>
  <si>
    <t>B3</t>
  </si>
  <si>
    <t>B4</t>
  </si>
  <si>
    <t>B5</t>
  </si>
  <si>
    <t>B6</t>
  </si>
  <si>
    <t>AAV10 Y730F</t>
  </si>
  <si>
    <t>B7</t>
  </si>
  <si>
    <t>Rho-GFP</t>
  </si>
  <si>
    <t>B8</t>
  </si>
  <si>
    <t>AAV2 708??</t>
  </si>
  <si>
    <t>B9</t>
  </si>
  <si>
    <t>hSYN,Opn4</t>
  </si>
  <si>
    <t>B10</t>
  </si>
  <si>
    <t>Tout rouge!</t>
  </si>
  <si>
    <t>hSYN-GluR6</t>
  </si>
  <si>
    <t>B11</t>
  </si>
  <si>
    <t>B12</t>
  </si>
  <si>
    <t>AAV2 7m8 4YF</t>
  </si>
  <si>
    <t>B13</t>
  </si>
  <si>
    <t>B14</t>
  </si>
  <si>
    <t>B15</t>
  </si>
  <si>
    <t>B16</t>
  </si>
  <si>
    <t>AAV2 7m8 Y444F</t>
  </si>
  <si>
    <t>B17</t>
  </si>
  <si>
    <t>537.1</t>
  </si>
  <si>
    <t>shh10 Y445F</t>
  </si>
  <si>
    <t>CBA-CNTF</t>
  </si>
  <si>
    <t>B18</t>
  </si>
  <si>
    <t>B19</t>
  </si>
  <si>
    <t>B20</t>
  </si>
  <si>
    <t>B21</t>
  </si>
  <si>
    <t>B22</t>
  </si>
  <si>
    <t>hCX36 (FL) mCherry</t>
  </si>
  <si>
    <t>B23</t>
  </si>
  <si>
    <t>hCX36 (FL) ChR</t>
  </si>
  <si>
    <t>B24</t>
  </si>
  <si>
    <t>environ 1E12</t>
  </si>
  <si>
    <t>AAV10 Y444F</t>
  </si>
  <si>
    <t>B25</t>
  </si>
  <si>
    <t>CMV-GFP-miRNA</t>
  </si>
  <si>
    <t>B26</t>
  </si>
  <si>
    <t>Rho-Rho P23H</t>
  </si>
  <si>
    <t>B27</t>
  </si>
  <si>
    <t>Rho-Rho S334Ter</t>
  </si>
  <si>
    <t>B28</t>
  </si>
  <si>
    <t>B29</t>
  </si>
  <si>
    <t>B30</t>
  </si>
  <si>
    <t>AKAR3</t>
  </si>
  <si>
    <t>B31</t>
  </si>
  <si>
    <t>AAV2  7M8 4YF</t>
  </si>
  <si>
    <t>hSYN,ChIEF,GW</t>
  </si>
  <si>
    <t>B32</t>
  </si>
  <si>
    <t xml:space="preserve">AAV 5 </t>
  </si>
  <si>
    <t>CMV-MERTK</t>
  </si>
  <si>
    <t>B33</t>
  </si>
  <si>
    <t>B34</t>
  </si>
  <si>
    <t>B35</t>
  </si>
  <si>
    <t>AAV9 7m8</t>
  </si>
  <si>
    <t>B36</t>
  </si>
  <si>
    <t>B37</t>
  </si>
  <si>
    <t>D532N??</t>
  </si>
  <si>
    <t>B38</t>
  </si>
  <si>
    <t>Rouge</t>
  </si>
  <si>
    <t>AAV6 H642N</t>
  </si>
  <si>
    <t>B39</t>
  </si>
  <si>
    <t>AAV 8 2YF</t>
  </si>
  <si>
    <t>hCX36 (FL) GW</t>
  </si>
  <si>
    <t>B40</t>
  </si>
  <si>
    <t>B41</t>
  </si>
  <si>
    <t>B42</t>
  </si>
  <si>
    <t>B43</t>
  </si>
  <si>
    <t>max</t>
  </si>
  <si>
    <t>537.2</t>
  </si>
  <si>
    <t>0.429</t>
  </si>
  <si>
    <t>537.3</t>
  </si>
  <si>
    <t>0.478</t>
  </si>
  <si>
    <t>538.1</t>
  </si>
  <si>
    <t>538.2</t>
  </si>
  <si>
    <t>0.6115</t>
  </si>
  <si>
    <t>jeté (finie)</t>
  </si>
  <si>
    <t>538.3</t>
  </si>
  <si>
    <t>538.4</t>
  </si>
  <si>
    <t>Natacha/Céline</t>
  </si>
  <si>
    <t>0.749</t>
  </si>
  <si>
    <t>à partir du nouveau stock gly ?</t>
  </si>
  <si>
    <t>538.5</t>
  </si>
  <si>
    <t>0.716</t>
  </si>
  <si>
    <t>1.203</t>
  </si>
  <si>
    <t>0.262</t>
  </si>
  <si>
    <t>541.3</t>
  </si>
  <si>
    <t>0.441</t>
  </si>
  <si>
    <t xml:space="preserve">Eléonore
</t>
  </si>
  <si>
    <t>545.4</t>
  </si>
  <si>
    <t>0.5185</t>
  </si>
  <si>
    <t>545.2</t>
  </si>
  <si>
    <t>à partir du nouveau SG ?</t>
  </si>
  <si>
    <t>545.5</t>
  </si>
  <si>
    <t>0.4474</t>
  </si>
  <si>
    <t>546.4</t>
  </si>
  <si>
    <t>0.5699</t>
  </si>
  <si>
    <t>546.2</t>
  </si>
  <si>
    <t>Jens Marusa</t>
  </si>
  <si>
    <t>MAUVAIS</t>
  </si>
  <si>
    <t>à partir du nouveau SG ? 4 bandes comme si plasmides mélangés. jeté</t>
  </si>
  <si>
    <t>546.3</t>
  </si>
  <si>
    <t>11/15/2015</t>
  </si>
  <si>
    <t>0.177</t>
  </si>
  <si>
    <t>546.5</t>
  </si>
  <si>
    <t>0.605</t>
  </si>
  <si>
    <t>0.568</t>
  </si>
  <si>
    <t xml:space="preserve">Midi ?
</t>
  </si>
  <si>
    <t>à partir du SG. Concentration biaisée ?</t>
  </si>
  <si>
    <t>553.3</t>
  </si>
  <si>
    <t>0.2403</t>
  </si>
  <si>
    <t>pool de 3 minis faites à partir du SG (2,3,4</t>
  </si>
  <si>
    <t>Stocké au L2</t>
  </si>
  <si>
    <t>554.3</t>
  </si>
  <si>
    <t>XGold</t>
  </si>
  <si>
    <t>Jens/Deniz</t>
  </si>
  <si>
    <t>fausse</t>
  </si>
  <si>
    <t xml:space="preserve">Endura
</t>
  </si>
  <si>
    <t>la concentration au nanodrop est beaucoup plus élevée que celle sur gel</t>
  </si>
  <si>
    <t xml:space="preserve">C16 clone 3
</t>
  </si>
  <si>
    <t>nouvelle transfo à partir de la mini 1</t>
  </si>
  <si>
    <t>556.3</t>
  </si>
  <si>
    <t>0.5626</t>
  </si>
  <si>
    <t>à partir du SG, Pas de carte</t>
  </si>
  <si>
    <t>558.2</t>
  </si>
  <si>
    <t>0.6047</t>
  </si>
  <si>
    <t>Maurocalcine</t>
  </si>
  <si>
    <t>559.1</t>
  </si>
  <si>
    <t>0.2699</t>
  </si>
  <si>
    <t>9 aa</t>
  </si>
  <si>
    <t>560.2</t>
  </si>
  <si>
    <t>0.9729</t>
  </si>
  <si>
    <t>Envoi 60 µl Botond = Dasha+ test conta</t>
  </si>
  <si>
    <t>561.2</t>
  </si>
  <si>
    <t>0.2341</t>
  </si>
  <si>
    <t xml:space="preserve">kit MN. A partir du Sg
</t>
  </si>
  <si>
    <t>561.3</t>
  </si>
  <si>
    <t xml:space="preserve">kit Promega. Meme starter que lot 2
</t>
  </si>
  <si>
    <t>562.2</t>
  </si>
  <si>
    <t>0.8686</t>
  </si>
  <si>
    <t>Nicole Ropert</t>
  </si>
  <si>
    <t>Glia</t>
  </si>
  <si>
    <t>566.4</t>
  </si>
  <si>
    <t>0.1833</t>
  </si>
  <si>
    <t>Envoi de la totalité du tube</t>
  </si>
  <si>
    <t>16 aa</t>
  </si>
  <si>
    <t>Alvaro Rendon/ Friedlander</t>
  </si>
  <si>
    <t>Envoie 100 µL</t>
  </si>
  <si>
    <t>571.1</t>
  </si>
  <si>
    <t>12 aa</t>
  </si>
  <si>
    <t>OM</t>
  </si>
  <si>
    <t>571.2</t>
  </si>
  <si>
    <t>0.1181</t>
  </si>
  <si>
    <t>5-HT</t>
  </si>
  <si>
    <t>571.3</t>
  </si>
  <si>
    <t>0.2635</t>
  </si>
  <si>
    <t>572.1</t>
  </si>
  <si>
    <t>Alex</t>
  </si>
  <si>
    <t>pH vesicles</t>
  </si>
  <si>
    <t>Annulé et remplacé</t>
  </si>
  <si>
    <t>573.1</t>
  </si>
  <si>
    <t>0.4391</t>
  </si>
  <si>
    <t>573.2</t>
  </si>
  <si>
    <t>574.1</t>
  </si>
  <si>
    <t>redosé avec nouvel aliquot de standard et nouvelle plaque, Remarque : même valeur pour échantillon inactivé avec nouvelles enzymes</t>
  </si>
  <si>
    <t>0.5357</t>
  </si>
  <si>
    <t>574.2</t>
  </si>
  <si>
    <t>575.1</t>
  </si>
  <si>
    <t>0.2972</t>
  </si>
  <si>
    <t>575.2</t>
  </si>
  <si>
    <t>576.1</t>
  </si>
  <si>
    <t>0.1467</t>
  </si>
  <si>
    <t>redosé avec nouvel aliquot de standard</t>
  </si>
  <si>
    <t>577.1</t>
  </si>
  <si>
    <t>0.3893</t>
  </si>
  <si>
    <t>578.1</t>
  </si>
  <si>
    <t>0.5346</t>
  </si>
  <si>
    <t>578.2</t>
  </si>
  <si>
    <t>579.1</t>
  </si>
  <si>
    <t>0.8695</t>
  </si>
  <si>
    <t>Velu 300 uL. A partir transfo</t>
  </si>
  <si>
    <t>579.2</t>
  </si>
  <si>
    <t>580.1</t>
  </si>
  <si>
    <t>0.5263</t>
  </si>
  <si>
    <t>580.2</t>
  </si>
  <si>
    <t>581.1</t>
  </si>
  <si>
    <t>0.2883</t>
  </si>
  <si>
    <t>582.1</t>
  </si>
  <si>
    <t>0.4852</t>
  </si>
  <si>
    <t xml:space="preserve"> souris</t>
  </si>
  <si>
    <t>à partir du tube de gélose reçu</t>
  </si>
  <si>
    <t>0.476</t>
  </si>
  <si>
    <t>584.1</t>
  </si>
  <si>
    <t>"pHRDCVF CLIN V1" 1mg/mL, il y a 195 µL</t>
  </si>
  <si>
    <t>584.2</t>
  </si>
  <si>
    <t>0.3299</t>
  </si>
  <si>
    <t>ok ?</t>
  </si>
  <si>
    <t>SCA6</t>
  </si>
  <si>
    <t>585.1</t>
  </si>
  <si>
    <t>"pHRDCVF CLIN V2" 1mg/mL, il y a 195 µL</t>
  </si>
  <si>
    <t>585.2</t>
  </si>
  <si>
    <t>0.3934</t>
  </si>
  <si>
    <t>0.3542</t>
  </si>
  <si>
    <t>0.4878</t>
  </si>
  <si>
    <t>588.1</t>
  </si>
  <si>
    <t>0.4004</t>
  </si>
  <si>
    <t>588.2</t>
  </si>
  <si>
    <t>0.632</t>
  </si>
  <si>
    <t>589.1</t>
  </si>
  <si>
    <t>reçu 300 uL à 1ug/uL</t>
  </si>
  <si>
    <t>590.1</t>
  </si>
  <si>
    <t>594.1</t>
  </si>
  <si>
    <t>1.0762</t>
  </si>
  <si>
    <t>594.2</t>
  </si>
  <si>
    <t>0.9681</t>
  </si>
  <si>
    <t>595.1</t>
  </si>
  <si>
    <t>595.2</t>
  </si>
  <si>
    <t>0.766</t>
  </si>
  <si>
    <t>596.1</t>
  </si>
  <si>
    <t>0.3378</t>
  </si>
  <si>
    <t>92 cl 10</t>
  </si>
  <si>
    <t>596.2</t>
  </si>
  <si>
    <t>0.369</t>
  </si>
  <si>
    <t>596.3</t>
  </si>
  <si>
    <t>0.2655</t>
  </si>
  <si>
    <t>596.4</t>
  </si>
  <si>
    <t>0.139</t>
  </si>
  <si>
    <t>596.5</t>
  </si>
  <si>
    <t>597.1</t>
  </si>
  <si>
    <t>0.4656</t>
  </si>
  <si>
    <t>86 A cl 4</t>
  </si>
  <si>
    <t>598.1</t>
  </si>
  <si>
    <t>maxi ??</t>
  </si>
  <si>
    <t>MAUVAISE</t>
  </si>
  <si>
    <t>de V.Emiliani</t>
  </si>
  <si>
    <t>599.1</t>
  </si>
  <si>
    <t>0.2875</t>
  </si>
  <si>
    <t>sans ITR OK</t>
  </si>
  <si>
    <t>7mA clone 2</t>
  </si>
  <si>
    <t>599.2</t>
  </si>
  <si>
    <t>1.1428</t>
  </si>
  <si>
    <t>0.4653</t>
  </si>
  <si>
    <t>7mB clone 5</t>
  </si>
  <si>
    <t>1.1816</t>
  </si>
  <si>
    <t>601.1</t>
  </si>
  <si>
    <t>0.4024</t>
  </si>
  <si>
    <t>à partir des extractions de LGN et de CS de Lib-Tr-I</t>
  </si>
  <si>
    <t>tube au L2</t>
  </si>
  <si>
    <t>602.1</t>
  </si>
  <si>
    <t>0.2618</t>
  </si>
  <si>
    <t>à partir des extractions de Cx de Lib-Tr-I</t>
  </si>
  <si>
    <t>603.1</t>
  </si>
  <si>
    <t>0.4378</t>
  </si>
  <si>
    <t>à partir des extractions de Lib-RH</t>
  </si>
  <si>
    <t>0.0856</t>
  </si>
  <si>
    <t>605.1</t>
  </si>
  <si>
    <t>605.2</t>
  </si>
  <si>
    <t>607.1</t>
  </si>
  <si>
    <t>sans ITR</t>
  </si>
  <si>
    <t>Xl10Gold</t>
  </si>
  <si>
    <t>607.2</t>
  </si>
  <si>
    <t>0.5247</t>
  </si>
  <si>
    <t>608.1</t>
  </si>
  <si>
    <t>General</t>
  </si>
  <si>
    <t>608.2</t>
  </si>
  <si>
    <t>souris/ HEK</t>
  </si>
  <si>
    <t>0.2517</t>
  </si>
  <si>
    <t>609.1</t>
  </si>
  <si>
    <t>0.5748</t>
  </si>
  <si>
    <t>Sans ITR</t>
  </si>
  <si>
    <t>à partir de MDa 166+NotI cl4</t>
  </si>
  <si>
    <t>610.1</t>
  </si>
  <si>
    <t>610.2</t>
  </si>
  <si>
    <t>611.1</t>
  </si>
  <si>
    <t>29/12/2014 et 9/09/2015</t>
  </si>
  <si>
    <t>611.2</t>
  </si>
  <si>
    <t>612.1</t>
  </si>
  <si>
    <t>612.2</t>
  </si>
  <si>
    <t>613.1</t>
  </si>
  <si>
    <t>16 µL réservé pour Hanen</t>
  </si>
  <si>
    <t>613.2</t>
  </si>
  <si>
    <t>LCA</t>
  </si>
  <si>
    <t>615.1</t>
  </si>
  <si>
    <t>615.2</t>
  </si>
  <si>
    <t>617.1</t>
  </si>
  <si>
    <t>Juliette (AZ)</t>
  </si>
  <si>
    <t>618.1</t>
  </si>
  <si>
    <t>620.1</t>
  </si>
  <si>
    <t>test smaI par Najate</t>
  </si>
  <si>
    <t>621.1</t>
  </si>
  <si>
    <t>0.4284</t>
  </si>
  <si>
    <t>à partir des extractions de Lib-RM</t>
  </si>
  <si>
    <t>622.1</t>
  </si>
  <si>
    <t>623.1</t>
  </si>
  <si>
    <t>624.1</t>
  </si>
  <si>
    <t>don Herlitze</t>
  </si>
  <si>
    <t>625.1</t>
  </si>
  <si>
    <t>626.1</t>
  </si>
  <si>
    <t>627.1</t>
  </si>
  <si>
    <t>10?</t>
  </si>
  <si>
    <t>627.2</t>
  </si>
  <si>
    <t>SG</t>
  </si>
  <si>
    <t>628.1</t>
  </si>
  <si>
    <t>628.2</t>
  </si>
  <si>
    <t>629.1</t>
  </si>
  <si>
    <t>629.2</t>
  </si>
  <si>
    <t>630.1</t>
  </si>
  <si>
    <t>1.544</t>
  </si>
  <si>
    <t>pAAV-mCAr-hnAChR23-eNpHR-YFP-WPRE</t>
  </si>
  <si>
    <t>29/12/2014 et 9/09/15</t>
  </si>
  <si>
    <t>630.2</t>
  </si>
  <si>
    <t>631.1</t>
  </si>
  <si>
    <t>1.287</t>
  </si>
  <si>
    <t>631.2</t>
  </si>
  <si>
    <t>pAAV-mCAr-hnAChR18-eNpHR-YFP-WPRE</t>
  </si>
  <si>
    <t>632.1</t>
  </si>
  <si>
    <t>1.659</t>
  </si>
  <si>
    <t>632.2</t>
  </si>
  <si>
    <t>633.1</t>
  </si>
  <si>
    <t>1.776</t>
  </si>
  <si>
    <t>633.2</t>
  </si>
  <si>
    <t>634.1</t>
  </si>
  <si>
    <t>1.170</t>
  </si>
  <si>
    <t>634.2</t>
  </si>
  <si>
    <t>19 crt 26/04/17</t>
  </si>
  <si>
    <t>636.1</t>
  </si>
  <si>
    <t>0.2319</t>
  </si>
  <si>
    <t>636.2</t>
  </si>
  <si>
    <t>0.405</t>
  </si>
  <si>
    <t>a partir de la culture du lot 3</t>
  </si>
  <si>
    <t>636.3</t>
  </si>
  <si>
    <t>0.0892</t>
  </si>
  <si>
    <t>cf lot 2</t>
  </si>
  <si>
    <t>Valentina/Olivier</t>
  </si>
  <si>
    <t>636.4</t>
  </si>
  <si>
    <t>à partir du SG. Donné à Marta</t>
  </si>
  <si>
    <t>637.1</t>
  </si>
  <si>
    <t>0.2929</t>
  </si>
  <si>
    <t>637.2</t>
  </si>
  <si>
    <t>0.3744</t>
  </si>
  <si>
    <t>637.3</t>
  </si>
  <si>
    <t>638.1</t>
  </si>
  <si>
    <t>0.3353</t>
  </si>
  <si>
    <t>638.2</t>
  </si>
  <si>
    <t>0.4043</t>
  </si>
  <si>
    <t>638.3</t>
  </si>
  <si>
    <t>639.1</t>
  </si>
  <si>
    <t>L627 cl5</t>
  </si>
  <si>
    <t>640.1</t>
  </si>
  <si>
    <t>L628 cl2</t>
  </si>
  <si>
    <t>641.1</t>
  </si>
  <si>
    <t>L629 cl4</t>
  </si>
  <si>
    <t>642.1</t>
  </si>
  <si>
    <t>*** Qu'un seul ITR!</t>
  </si>
  <si>
    <t>642.2</t>
  </si>
  <si>
    <t>à partir de MDa20 cl2</t>
  </si>
  <si>
    <t>643.1</t>
  </si>
  <si>
    <t>0.1386</t>
  </si>
  <si>
    <t>644.1</t>
  </si>
  <si>
    <t>0.0237</t>
  </si>
  <si>
    <t>pas bon</t>
  </si>
  <si>
    <t>MDa639 cl 4</t>
  </si>
  <si>
    <t>644.2</t>
  </si>
  <si>
    <t>grosse mini</t>
  </si>
  <si>
    <t>645.1</t>
  </si>
  <si>
    <t>0.127</t>
  </si>
  <si>
    <t>MDa640 cl 2</t>
  </si>
  <si>
    <t>645.2</t>
  </si>
  <si>
    <t>645.3</t>
  </si>
  <si>
    <t>646.1</t>
  </si>
  <si>
    <t>0.0534</t>
  </si>
  <si>
    <t>MDa641 cl 2</t>
  </si>
  <si>
    <t>646.2</t>
  </si>
  <si>
    <t>647.1</t>
  </si>
  <si>
    <t>0.2276</t>
  </si>
  <si>
    <t>faire sequencer pour être sûre du SmaI</t>
  </si>
  <si>
    <t>649.1</t>
  </si>
  <si>
    <t>0.3736</t>
  </si>
  <si>
    <t>649.2</t>
  </si>
  <si>
    <t>0.1928</t>
  </si>
  <si>
    <t>transfo à partir du lot  1</t>
  </si>
  <si>
    <t>650.1</t>
  </si>
  <si>
    <t>Mda 21 cl2</t>
  </si>
  <si>
    <t>650.2</t>
  </si>
  <si>
    <t>650.3</t>
  </si>
  <si>
    <t>L650 cl 1</t>
  </si>
  <si>
    <t>650.4</t>
  </si>
  <si>
    <t>651.1</t>
  </si>
  <si>
    <t>651.2</t>
  </si>
  <si>
    <t>651.3</t>
  </si>
  <si>
    <t>652.1</t>
  </si>
  <si>
    <t>Mda26 cl4</t>
  </si>
  <si>
    <t>652.2</t>
  </si>
  <si>
    <t>653.1</t>
  </si>
  <si>
    <t>0.864</t>
  </si>
  <si>
    <t>infu 93 clone 1. Concentration surestimée (pas très propre)</t>
  </si>
  <si>
    <t>654.1</t>
  </si>
  <si>
    <t>don équipe leveillard</t>
  </si>
  <si>
    <t>655.1</t>
  </si>
  <si>
    <t>O. Goureau</t>
  </si>
  <si>
    <t>Stbl3</t>
  </si>
  <si>
    <t>from O.Goureau</t>
  </si>
  <si>
    <t>656.1</t>
  </si>
  <si>
    <t>0.200</t>
  </si>
  <si>
    <t>657.1</t>
  </si>
  <si>
    <t>*** conta sur 3 bte; pris uniquement les 3 autres</t>
  </si>
  <si>
    <t>0.195</t>
  </si>
  <si>
    <t>145 / 150</t>
  </si>
  <si>
    <t>130 / 135</t>
  </si>
  <si>
    <t>663.1</t>
  </si>
  <si>
    <t>julien</t>
  </si>
  <si>
    <t>0.6467</t>
  </si>
  <si>
    <t>endura</t>
  </si>
  <si>
    <t xml:space="preserve">infu 97b clone 2 </t>
  </si>
  <si>
    <t>664.1</t>
  </si>
  <si>
    <t>4 minis</t>
  </si>
  <si>
    <t>0.1514</t>
  </si>
  <si>
    <t>665.1</t>
  </si>
  <si>
    <t>0.146</t>
  </si>
  <si>
    <t>666.1</t>
  </si>
  <si>
    <t>0.4899</t>
  </si>
  <si>
    <t>666.2</t>
  </si>
  <si>
    <t>0.6754</t>
  </si>
  <si>
    <t>667.1</t>
  </si>
  <si>
    <t>0.2207</t>
  </si>
  <si>
    <t>pas d'ITR</t>
  </si>
  <si>
    <t>bb 642.2 + 4s Cx cl2 (Lib-Tr-II)</t>
  </si>
  <si>
    <t>667.2</t>
  </si>
  <si>
    <t>7mAbis cl3</t>
  </si>
  <si>
    <t>668.1</t>
  </si>
  <si>
    <t>0.3519</t>
  </si>
  <si>
    <t>bb 642.2 + 5s CS 3 cl5 (Lib-Tr-II)</t>
  </si>
  <si>
    <t>668.2</t>
  </si>
  <si>
    <t>7mBbis cl2</t>
  </si>
  <si>
    <t>668.3</t>
  </si>
  <si>
    <t>669.1</t>
  </si>
  <si>
    <t>0.304</t>
  </si>
  <si>
    <t>bb 642.2 + insert Cx'3 cl5 (Lib-Tr-III)</t>
  </si>
  <si>
    <t>669.2</t>
  </si>
  <si>
    <t>7mC cl1</t>
  </si>
  <si>
    <t>670.1</t>
  </si>
  <si>
    <t>0.245</t>
  </si>
  <si>
    <t>bb 642.2 + insert Cx'4 cl5 (Lib-Tr-III)</t>
  </si>
  <si>
    <t>Envoyé a Valentina</t>
  </si>
  <si>
    <t>670.2</t>
  </si>
  <si>
    <t>7mD cl4</t>
  </si>
  <si>
    <t>670.3</t>
  </si>
  <si>
    <t>671.1</t>
  </si>
  <si>
    <t>198.1</t>
  </si>
  <si>
    <t>infu 52 clone 1</t>
  </si>
  <si>
    <t>672.1</t>
  </si>
  <si>
    <t>0.7999</t>
  </si>
  <si>
    <t>infu 97a clone 6</t>
  </si>
  <si>
    <t>145 / 145</t>
  </si>
  <si>
    <t>673.1</t>
  </si>
  <si>
    <t>1.377</t>
  </si>
  <si>
    <t>673.2</t>
  </si>
  <si>
    <t>135 / 122</t>
  </si>
  <si>
    <t>673.3</t>
  </si>
  <si>
    <t>Utiliser celui ci pour les prochaine prods</t>
  </si>
  <si>
    <t>674.1</t>
  </si>
  <si>
    <t>0.962</t>
  </si>
  <si>
    <t>Non</t>
  </si>
  <si>
    <t>6 (3 +3)</t>
  </si>
  <si>
    <t>165/160</t>
  </si>
  <si>
    <t>674.2</t>
  </si>
  <si>
    <t>674.3</t>
  </si>
  <si>
    <t>675.1</t>
  </si>
  <si>
    <t>1.584</t>
  </si>
  <si>
    <t>172/170</t>
  </si>
  <si>
    <t>675.2</t>
  </si>
  <si>
    <t>675.3</t>
  </si>
  <si>
    <t>676.1</t>
  </si>
  <si>
    <t>gibs 8B clone 6</t>
  </si>
  <si>
    <t>677.1</t>
  </si>
  <si>
    <t>678.1</t>
  </si>
  <si>
    <t>resupension</t>
  </si>
  <si>
    <t>0.2</t>
  </si>
  <si>
    <t>678.2</t>
  </si>
  <si>
    <t>0.5446</t>
  </si>
  <si>
    <t>679.1</t>
  </si>
  <si>
    <t>au L2</t>
  </si>
  <si>
    <t>679.2</t>
  </si>
  <si>
    <t>0.3227</t>
  </si>
  <si>
    <t xml:space="preserve">Endura </t>
  </si>
  <si>
    <t>680.1</t>
  </si>
  <si>
    <t>681.1</t>
  </si>
  <si>
    <t>0.4729</t>
  </si>
  <si>
    <t>Gibs9 clone 20</t>
  </si>
  <si>
    <t>681.2</t>
  </si>
  <si>
    <t>0.451</t>
  </si>
  <si>
    <t>682.1</t>
  </si>
  <si>
    <t>0.7004</t>
  </si>
  <si>
    <t>InFu 98 B clone 10</t>
  </si>
  <si>
    <t>suite 7m8</t>
  </si>
  <si>
    <t>682.2</t>
  </si>
  <si>
    <t>683.1</t>
  </si>
  <si>
    <t>à partir du stack reçu</t>
  </si>
  <si>
    <t>684.1</t>
  </si>
  <si>
    <t>- de 10</t>
  </si>
  <si>
    <t>684.2</t>
  </si>
  <si>
    <t>0.468</t>
  </si>
  <si>
    <t>685.1</t>
  </si>
  <si>
    <t>Armrit</t>
  </si>
  <si>
    <t>NON Ne pas utiliser</t>
  </si>
  <si>
    <t>685.2</t>
  </si>
  <si>
    <t>686.1</t>
  </si>
  <si>
    <t>687.1</t>
  </si>
  <si>
    <t>688.1</t>
  </si>
  <si>
    <t>688.2</t>
  </si>
  <si>
    <t>0.526</t>
  </si>
  <si>
    <t>689.1</t>
  </si>
  <si>
    <t>0.4458</t>
  </si>
  <si>
    <t>A faire</t>
  </si>
  <si>
    <t>690.1</t>
  </si>
  <si>
    <t>0.1765</t>
  </si>
  <si>
    <t>691.1</t>
  </si>
  <si>
    <t>0.4722</t>
  </si>
  <si>
    <t>692.1</t>
  </si>
  <si>
    <t>0.2782</t>
  </si>
  <si>
    <t>693.1</t>
  </si>
  <si>
    <t>0.3098</t>
  </si>
  <si>
    <t>693.2</t>
  </si>
  <si>
    <t>0.4355</t>
  </si>
  <si>
    <t>694.1</t>
  </si>
  <si>
    <t>0.3236</t>
  </si>
  <si>
    <t>0.5649</t>
  </si>
  <si>
    <t>695.1</t>
  </si>
  <si>
    <t>XL10 Gold</t>
  </si>
  <si>
    <t>Mda31 cl4</t>
  </si>
  <si>
    <t>695.2</t>
  </si>
  <si>
    <t>696.1</t>
  </si>
  <si>
    <t>0.3007</t>
  </si>
  <si>
    <t>697.1</t>
  </si>
  <si>
    <t>0.2995</t>
  </si>
  <si>
    <t xml:space="preserve">A faire </t>
  </si>
  <si>
    <t>XL10-Gold</t>
  </si>
  <si>
    <t>698.1</t>
  </si>
  <si>
    <t>0.4943</t>
  </si>
  <si>
    <t>699.1</t>
  </si>
  <si>
    <t>0.4948</t>
  </si>
  <si>
    <t>700.1</t>
  </si>
  <si>
    <t>0.1012</t>
  </si>
  <si>
    <t>700.2</t>
  </si>
  <si>
    <t>0.7525</t>
  </si>
  <si>
    <t>701.1</t>
  </si>
  <si>
    <t>0.1348</t>
  </si>
  <si>
    <t>ischemia/reperfusion</t>
  </si>
  <si>
    <t>MGCs</t>
  </si>
  <si>
    <t>envoyé a Antje</t>
  </si>
  <si>
    <t>Infu 102 B clone 6</t>
  </si>
  <si>
    <t>701.2</t>
  </si>
  <si>
    <t>0.8253</t>
  </si>
  <si>
    <t>702.1</t>
  </si>
  <si>
    <t>0.755</t>
  </si>
  <si>
    <t>pAAV-retro</t>
  </si>
  <si>
    <t>703.1</t>
  </si>
  <si>
    <t>0.67</t>
  </si>
  <si>
    <t>704.1</t>
  </si>
  <si>
    <t>0.01967</t>
  </si>
  <si>
    <t>DH10B T1R</t>
  </si>
  <si>
    <t>704.2</t>
  </si>
  <si>
    <t>0.0682</t>
  </si>
  <si>
    <t>705.1</t>
  </si>
  <si>
    <t>pool</t>
  </si>
  <si>
    <t>409-413</t>
  </si>
  <si>
    <t>3,60E+13</t>
  </si>
  <si>
    <t>0.2897</t>
  </si>
  <si>
    <t>705.2</t>
  </si>
  <si>
    <t>0.430</t>
  </si>
  <si>
    <t>3,73E+10</t>
  </si>
  <si>
    <t>Mis de coté pour Gensight (sachet frigo L3)</t>
  </si>
  <si>
    <t>706.1</t>
  </si>
  <si>
    <t>0.3933</t>
  </si>
  <si>
    <t>408-412-424</t>
  </si>
  <si>
    <t>1,40E+13</t>
  </si>
  <si>
    <t>706.2</t>
  </si>
  <si>
    <t>0.7571</t>
  </si>
  <si>
    <t>707.1</t>
  </si>
  <si>
    <t>0.3604</t>
  </si>
  <si>
    <t>411-419-421</t>
  </si>
  <si>
    <t>3,97E+13</t>
  </si>
  <si>
    <t>707.2</t>
  </si>
  <si>
    <t>0.8269</t>
  </si>
  <si>
    <t>707.3</t>
  </si>
  <si>
    <t>0.9485</t>
  </si>
  <si>
    <t>à partir du stock glycérol</t>
  </si>
  <si>
    <t>410-418-420-436</t>
  </si>
  <si>
    <t>1,47E+13</t>
  </si>
  <si>
    <t>708.1</t>
  </si>
  <si>
    <t>Gibs 11 clone A5</t>
  </si>
  <si>
    <t>3+3</t>
  </si>
  <si>
    <t>709.1</t>
  </si>
  <si>
    <t>Najate-Thierry Leveillard</t>
  </si>
  <si>
    <t>Gibs 11 clone B7</t>
  </si>
  <si>
    <t>RdCVF-PTR</t>
  </si>
  <si>
    <t>PR/EPR</t>
  </si>
  <si>
    <t>709.2</t>
  </si>
  <si>
    <t>0.5901</t>
  </si>
  <si>
    <t>retransformé en endura</t>
  </si>
  <si>
    <t>pssAAV-RdCVF</t>
  </si>
  <si>
    <t>710.1</t>
  </si>
  <si>
    <t>donné</t>
  </si>
  <si>
    <t>1.762</t>
  </si>
  <si>
    <t>711.1</t>
  </si>
  <si>
    <t>T. Leveillard</t>
  </si>
  <si>
    <t>pssAAV-RdCVF-PTR</t>
  </si>
  <si>
    <t>714.1</t>
  </si>
  <si>
    <t>0.0966</t>
  </si>
  <si>
    <t>DH10BT1R</t>
  </si>
  <si>
    <t>715.1</t>
  </si>
  <si>
    <t>0.0747</t>
  </si>
  <si>
    <t xml:space="preserve">716.1
</t>
  </si>
  <si>
    <t>0.0568</t>
  </si>
  <si>
    <t>717.1</t>
  </si>
  <si>
    <t>0.256</t>
  </si>
  <si>
    <t>718.1</t>
  </si>
  <si>
    <t>0.199</t>
  </si>
  <si>
    <t>718.2</t>
  </si>
  <si>
    <t>0.4356</t>
  </si>
  <si>
    <t>719.1</t>
  </si>
  <si>
    <t>0.2461</t>
  </si>
  <si>
    <t>720.1</t>
  </si>
  <si>
    <t>0.0637</t>
  </si>
  <si>
    <t>721.1</t>
  </si>
  <si>
    <t>721.2</t>
  </si>
  <si>
    <t>721.3</t>
  </si>
  <si>
    <t>0.4717</t>
  </si>
  <si>
    <t>recu (midi?)</t>
  </si>
  <si>
    <t>723.1</t>
  </si>
  <si>
    <t>0.3489</t>
  </si>
  <si>
    <t>724.1</t>
  </si>
  <si>
    <t>0.2259</t>
  </si>
  <si>
    <t>725.1</t>
  </si>
  <si>
    <t>0.058</t>
  </si>
  <si>
    <t>726.1</t>
  </si>
  <si>
    <t>3.19</t>
  </si>
  <si>
    <t>727.1</t>
  </si>
  <si>
    <t>1.41</t>
  </si>
  <si>
    <t>728.1</t>
  </si>
  <si>
    <t>3.41</t>
  </si>
  <si>
    <t>729.1</t>
  </si>
  <si>
    <t>1.88</t>
  </si>
  <si>
    <t>730.1</t>
  </si>
  <si>
    <t>1.36</t>
  </si>
  <si>
    <t>731.1</t>
  </si>
  <si>
    <t>732.1</t>
  </si>
  <si>
    <t>0.2001</t>
  </si>
  <si>
    <t>733.1</t>
  </si>
  <si>
    <t>0.064</t>
  </si>
  <si>
    <t>infu 108 clone 4</t>
  </si>
  <si>
    <t>733.2</t>
  </si>
  <si>
    <t>734.1</t>
  </si>
  <si>
    <t>734.2</t>
  </si>
  <si>
    <t>1.359</t>
  </si>
  <si>
    <t>735.1</t>
  </si>
  <si>
    <t>735.2</t>
  </si>
  <si>
    <t>0.5696</t>
  </si>
  <si>
    <t>736.1</t>
  </si>
  <si>
    <t>0.2274</t>
  </si>
  <si>
    <t>infu 110B clone 8</t>
  </si>
  <si>
    <t>737.1</t>
  </si>
  <si>
    <t>0.2287</t>
  </si>
  <si>
    <t>C21 clone 3</t>
  </si>
  <si>
    <t>737.2</t>
  </si>
  <si>
    <t>1.184</t>
  </si>
  <si>
    <t>738.1</t>
  </si>
  <si>
    <t>0.247</t>
  </si>
  <si>
    <t>C22 clone 1</t>
  </si>
  <si>
    <t>738.2</t>
  </si>
  <si>
    <t>1.123</t>
  </si>
  <si>
    <t>Rods</t>
  </si>
  <si>
    <t>739.1</t>
  </si>
  <si>
    <t>Infu clone 3</t>
  </si>
  <si>
    <t>739.2</t>
  </si>
  <si>
    <t>0.6014</t>
  </si>
  <si>
    <t>739.3</t>
  </si>
  <si>
    <t>Fiona</t>
  </si>
  <si>
    <t>0.423</t>
  </si>
  <si>
    <t>A partir du stock gly</t>
  </si>
  <si>
    <t>740.1</t>
  </si>
  <si>
    <t>0.046</t>
  </si>
  <si>
    <t>suite 7m8 et
comparaison vecteurs</t>
  </si>
  <si>
    <t>745.1</t>
  </si>
  <si>
    <t>InFu clone 2</t>
  </si>
  <si>
    <t>746.1</t>
  </si>
  <si>
    <t>MD clone 3</t>
  </si>
  <si>
    <t>746.2</t>
  </si>
  <si>
    <t>1.275</t>
  </si>
  <si>
    <t>747.1</t>
  </si>
  <si>
    <t>MD clone 2</t>
  </si>
  <si>
    <t>747.2</t>
  </si>
  <si>
    <t>1.337</t>
  </si>
  <si>
    <t>748.1</t>
  </si>
  <si>
    <t>0.3123</t>
  </si>
  <si>
    <t>Infu 113 clone 3</t>
  </si>
  <si>
    <t>748.2</t>
  </si>
  <si>
    <t>749.1</t>
  </si>
  <si>
    <t>0.2701</t>
  </si>
  <si>
    <t>Infu 115 clone 3</t>
  </si>
  <si>
    <t>749.2</t>
  </si>
  <si>
    <t>750.1</t>
  </si>
  <si>
    <t>Grosse mini</t>
  </si>
  <si>
    <t>0.3335</t>
  </si>
  <si>
    <t>751.1</t>
  </si>
  <si>
    <t>0.3586</t>
  </si>
  <si>
    <t>752.1</t>
  </si>
  <si>
    <t>Doria</t>
  </si>
  <si>
    <t>752.2</t>
  </si>
  <si>
    <t>0.7745</t>
  </si>
  <si>
    <t>transfo à partir de l'aliquot de Doria</t>
  </si>
  <si>
    <t>753.1</t>
  </si>
  <si>
    <t>0.7</t>
  </si>
  <si>
    <t>754.1</t>
  </si>
  <si>
    <t>1.33</t>
  </si>
  <si>
    <t>755.1</t>
  </si>
  <si>
    <t>756.1</t>
  </si>
  <si>
    <t>comparaison vecteurs</t>
  </si>
  <si>
    <t>batônnets</t>
  </si>
  <si>
    <t>757.1</t>
  </si>
  <si>
    <t>758.1</t>
  </si>
  <si>
    <t>0.2668</t>
  </si>
  <si>
    <t>758.2</t>
  </si>
  <si>
    <t>0.2255</t>
  </si>
  <si>
    <t>759.1</t>
  </si>
  <si>
    <t>0.2947</t>
  </si>
  <si>
    <t>759.2</t>
  </si>
  <si>
    <t>0.7831</t>
  </si>
  <si>
    <t>760.1</t>
  </si>
  <si>
    <t>0.3342</t>
  </si>
  <si>
    <t>760.2</t>
  </si>
  <si>
    <t>1.040</t>
  </si>
  <si>
    <t>761.2</t>
  </si>
  <si>
    <t>762.2</t>
  </si>
  <si>
    <t>763.2</t>
  </si>
  <si>
    <t>764.2</t>
  </si>
  <si>
    <t>765.2</t>
  </si>
  <si>
    <t>766.1</t>
  </si>
  <si>
    <t>767.1</t>
  </si>
  <si>
    <t>Sandrine Couvet</t>
  </si>
  <si>
    <t>768.1</t>
  </si>
  <si>
    <t>0.4540</t>
  </si>
  <si>
    <t>MD29-clone 10</t>
  </si>
  <si>
    <t>768.2</t>
  </si>
  <si>
    <t>769.1</t>
  </si>
  <si>
    <t>0.3577</t>
  </si>
  <si>
    <t>C22 (refait) clone 2</t>
  </si>
  <si>
    <t>770.1</t>
  </si>
  <si>
    <t>0.1967</t>
  </si>
  <si>
    <t>Infu 111C clone 10</t>
  </si>
  <si>
    <t>770.2</t>
  </si>
  <si>
    <t>0.4847</t>
  </si>
  <si>
    <t>771.1</t>
  </si>
  <si>
    <t>0.3359</t>
  </si>
  <si>
    <t>Infu 117C clone 7</t>
  </si>
  <si>
    <t>771.2</t>
  </si>
  <si>
    <t>mixe avec 455 du 14/04/2015</t>
  </si>
  <si>
    <t>Refaire</t>
  </si>
  <si>
    <t>1.1410</t>
  </si>
  <si>
    <t>772.1</t>
  </si>
  <si>
    <t>1.000</t>
  </si>
  <si>
    <t>773.1</t>
  </si>
  <si>
    <t>Au -20 le 20/02/17</t>
  </si>
  <si>
    <t>Infu 119 clone 5</t>
  </si>
  <si>
    <t>774.1</t>
  </si>
  <si>
    <t>0.2868</t>
  </si>
  <si>
    <t>775.1</t>
  </si>
  <si>
    <t>0.2895</t>
  </si>
  <si>
    <t>Infu 121 B clone 8</t>
  </si>
  <si>
    <t>777.1</t>
  </si>
  <si>
    <t>778.1</t>
  </si>
  <si>
    <t>0.0744</t>
  </si>
  <si>
    <t>librairie</t>
  </si>
  <si>
    <t>779.1</t>
  </si>
  <si>
    <t>InFu123 M clone 3</t>
  </si>
  <si>
    <t>Refait car titre trop faible</t>
  </si>
  <si>
    <t>a partir du stock gly</t>
  </si>
  <si>
    <t>a refaire</t>
  </si>
  <si>
    <t xml:space="preserve">ReaChR
</t>
  </si>
  <si>
    <t>cônes</t>
  </si>
  <si>
    <t>Ancien PEI, prod ok</t>
  </si>
  <si>
    <t xml:space="preserve">Hanen </t>
  </si>
  <si>
    <t>Divers</t>
  </si>
  <si>
    <t>Librairies</t>
  </si>
  <si>
    <t>Souris/Humain</t>
  </si>
  <si>
    <t>Tout</t>
  </si>
  <si>
    <t>pAAV2-EP-Librairie</t>
  </si>
  <si>
    <t>Ne pas effacer de la liste SVP (Arthur)</t>
  </si>
  <si>
    <t xml:space="preserve">Lipofectamine 2000 </t>
  </si>
  <si>
    <t>2ul</t>
  </si>
  <si>
    <t>10ul</t>
  </si>
  <si>
    <t>précipités blancs</t>
  </si>
  <si>
    <t>5ul</t>
  </si>
  <si>
    <t>refait</t>
  </si>
  <si>
    <t>TITRE BAS</t>
  </si>
  <si>
    <t>Stock au L2</t>
  </si>
  <si>
    <t>Alain Chedotal</t>
  </si>
  <si>
    <t>optic nerve crush</t>
  </si>
  <si>
    <t>Accident en cours de prod ; 490</t>
  </si>
  <si>
    <t>Oliver Marre</t>
  </si>
  <si>
    <t>Deniz/ Jens</t>
  </si>
  <si>
    <t>VisionOpsin</t>
  </si>
  <si>
    <t>Chlomeleon</t>
  </si>
  <si>
    <t>7µL 23/05/2017</t>
  </si>
  <si>
    <t>MAUVAIS TITRE, PROD REFAITE</t>
  </si>
  <si>
    <t>lot 178,11</t>
  </si>
  <si>
    <t xml:space="preserve">JP depuis cette date
</t>
  </si>
  <si>
    <t>faire jet prime</t>
  </si>
  <si>
    <t xml:space="preserve">JP
</t>
  </si>
  <si>
    <t>Au L2</t>
  </si>
  <si>
    <t>TITRE OK pour icd</t>
  </si>
  <si>
    <t>faire jet prime L2</t>
  </si>
  <si>
    <t>Yannick</t>
  </si>
  <si>
    <t>Optoremode</t>
  </si>
  <si>
    <t>Ophelie</t>
  </si>
  <si>
    <t>Dp71-cerveau</t>
  </si>
  <si>
    <t>Donné à Ophélie</t>
  </si>
  <si>
    <t>JP</t>
  </si>
  <si>
    <t>Donné à Marta</t>
  </si>
  <si>
    <t xml:space="preserve">promoteur bip
</t>
  </si>
  <si>
    <t>bip</t>
  </si>
  <si>
    <t>envoyer 70 ul a Vicnent</t>
  </si>
  <si>
    <t>Envoyer a vincent'</t>
  </si>
  <si>
    <t>Tobias Moser</t>
  </si>
  <si>
    <t>Opto-hearing</t>
  </si>
  <si>
    <t>mouse/marmoset/neuronal culture</t>
  </si>
  <si>
    <t>plasmide transgène 557 en excès ? (concentration sous-estimée de 200ng/uL)</t>
  </si>
  <si>
    <t>envoyé le 22/09/15</t>
  </si>
  <si>
    <t xml:space="preserve">promoteurs cônes
</t>
  </si>
  <si>
    <t>1 aliquot de 100uL au -20 le 20/02/17</t>
  </si>
  <si>
    <t>Pool de 78 -83-220-226-322</t>
  </si>
  <si>
    <t>Opto-stem</t>
  </si>
  <si>
    <t>iPS</t>
  </si>
  <si>
    <t>sterile 7/09/2015</t>
  </si>
  <si>
    <t>au -20 le 20/02/17</t>
  </si>
  <si>
    <t>FActure du 7/10/15</t>
  </si>
  <si>
    <t>Envoyé  à Katharina</t>
  </si>
  <si>
    <t>Envoyé à Vincent</t>
  </si>
  <si>
    <t>OV_2</t>
  </si>
  <si>
    <t>pr</t>
  </si>
  <si>
    <t>pAAV,shNogoA,CMV,GFP</t>
  </si>
  <si>
    <t>Pool 564+540: devenu 596</t>
  </si>
  <si>
    <t>SR_RGC</t>
  </si>
  <si>
    <t>43 crt 25/08/17</t>
  </si>
  <si>
    <t>Décongelé le 04/05/17</t>
  </si>
  <si>
    <t>Facture du 7/10/15</t>
  </si>
  <si>
    <t>Tube au L2</t>
  </si>
  <si>
    <t xml:space="preserve">49µL 11/07/17
</t>
  </si>
  <si>
    <t>1 aliquot au -20 le 20/02/17</t>
  </si>
  <si>
    <t>TITRE OK</t>
  </si>
  <si>
    <t>N'en reste presque plus!</t>
  </si>
  <si>
    <t>10/08/2015 ok 13/02/2017</t>
  </si>
  <si>
    <t>pssAAV-pR1,7-GFP</t>
  </si>
  <si>
    <t xml:space="preserve">44 CRT 04/04/17
</t>
  </si>
  <si>
    <t>vide au 29/09/16</t>
  </si>
  <si>
    <t>* tube thermo défaut</t>
  </si>
  <si>
    <t>Opto-Stem</t>
  </si>
  <si>
    <t>sterile 7/09/2015 + 02/13/2017</t>
  </si>
  <si>
    <t>OptoNico</t>
  </si>
  <si>
    <t>LiNAChR</t>
  </si>
  <si>
    <t>donné à Giulia</t>
  </si>
  <si>
    <t>poole avec 540; devenu 596</t>
  </si>
  <si>
    <t>pool vers 577</t>
  </si>
  <si>
    <t xml:space="preserve">ReaChr
</t>
  </si>
  <si>
    <t>Factrue du 7/10/15</t>
  </si>
  <si>
    <t>NIH Brain Init</t>
  </si>
  <si>
    <t>Facture 7/10/15</t>
  </si>
  <si>
    <t>Pool 568 577</t>
  </si>
  <si>
    <t>Pool 568 et 557 (120ul)</t>
  </si>
  <si>
    <t>sterile 7/09/15</t>
  </si>
  <si>
    <t>Titre utilisé pour calculs HM10: 1.71E14</t>
  </si>
  <si>
    <t>PEI Test</t>
  </si>
  <si>
    <t>PEI proto normal</t>
  </si>
  <si>
    <t>Contient 580 +581</t>
  </si>
  <si>
    <t>PEI chgt ratio plas</t>
  </si>
  <si>
    <t>POOLE DANS 580</t>
  </si>
  <si>
    <t>Donné en entier a martha</t>
  </si>
  <si>
    <t>titre moyen, à refaire ?</t>
  </si>
  <si>
    <t>ok 13/02/2017</t>
  </si>
  <si>
    <t>Mixé; devient 613</t>
  </si>
  <si>
    <t>VGlutproj</t>
  </si>
  <si>
    <t>Amacrine</t>
  </si>
  <si>
    <t>Herlitze-Olivia</t>
  </si>
  <si>
    <t>5ht-anxiety</t>
  </si>
  <si>
    <t>Donné en entier a Alex</t>
  </si>
  <si>
    <t>Hanen/Chloé</t>
  </si>
  <si>
    <t>Comparaison vecteurs
- Inflammation</t>
  </si>
  <si>
    <t>17µL 10/07//17</t>
  </si>
  <si>
    <t>pool de 540+564 reconcentré</t>
  </si>
  <si>
    <t>Direction sensitiv</t>
  </si>
  <si>
    <t>RGC+AC</t>
  </si>
  <si>
    <t>Antérograde</t>
  </si>
  <si>
    <t>Thierry Leveillard/ Najaite</t>
  </si>
  <si>
    <t>pAAV-scCAG-GFP-2A-mRdCVF2</t>
  </si>
  <si>
    <t>pAAV-scCAG-GFP-2A-mRdCVF2L</t>
  </si>
  <si>
    <t>E. Audinat</t>
  </si>
  <si>
    <t>OptoGlia</t>
  </si>
  <si>
    <t>glia</t>
  </si>
  <si>
    <t>MIX 588 + 606</t>
  </si>
  <si>
    <t>titre théorique : 1,00E+13</t>
  </si>
  <si>
    <t>145ul +145 ul</t>
  </si>
  <si>
    <t>MIX 513 (80ul)+ 606 (5ul) + 607(76ul) + 608(145ul)</t>
  </si>
  <si>
    <t>titre théorique: 5,42+E12</t>
  </si>
  <si>
    <t>7µL 31/07/17 41 06/03/2017</t>
  </si>
  <si>
    <t>Bill Merigan</t>
  </si>
  <si>
    <t>MAUVAIS TITRE</t>
  </si>
  <si>
    <t>TITRE BAS POUR ICD</t>
  </si>
  <si>
    <t>macaque/souris</t>
  </si>
  <si>
    <t>pssAAV-pR1,7-Jaws-GFP</t>
  </si>
  <si>
    <t>Send to William Merigan- U Rochester- USA (Fedex#: 198128988)</t>
  </si>
  <si>
    <t>Herlitze / Katharina</t>
  </si>
  <si>
    <t>Melanopsin</t>
  </si>
  <si>
    <t>Send to Katharina Spoida (Herlitze Lab)- Germany</t>
  </si>
  <si>
    <t xml:space="preserve">ok 27/03/17
</t>
  </si>
  <si>
    <t>\Stéphane Mélik</t>
  </si>
  <si>
    <t>Stephane Melik</t>
  </si>
  <si>
    <t>PIO</t>
  </si>
  <si>
    <t>trabeculum</t>
  </si>
  <si>
    <t>Neurones</t>
  </si>
  <si>
    <t>pAAV2-7mA</t>
  </si>
  <si>
    <t>pAAV2-7mB</t>
  </si>
  <si>
    <t>600.2</t>
  </si>
  <si>
    <t>pAAV2 Lib-Tr-II</t>
  </si>
  <si>
    <t>Lipofectamine 2000</t>
  </si>
  <si>
    <t>Limitante</t>
  </si>
  <si>
    <t>Explants rétines humaines</t>
  </si>
  <si>
    <t>7m8 mechanism</t>
  </si>
  <si>
    <t>AAV2-7m-sramble1</t>
  </si>
  <si>
    <t>AAV2-7m-sramble2</t>
  </si>
  <si>
    <t>35 mds 27/04/17</t>
  </si>
  <si>
    <t>50 mds 27/04/2017</t>
  </si>
  <si>
    <t>CSNB</t>
  </si>
  <si>
    <t>L2 pour Miguel</t>
  </si>
  <si>
    <t>NAb</t>
  </si>
  <si>
    <t>L2 - Mélissa</t>
  </si>
  <si>
    <t xml:space="preserve">61 crt 25/07/2017 </t>
  </si>
  <si>
    <t>Sparing Vision</t>
  </si>
  <si>
    <t>60 ul 26/04/17</t>
  </si>
  <si>
    <t>Gaelle/Christine Petit</t>
  </si>
  <si>
    <t>Hair bundle</t>
  </si>
  <si>
    <t>cellulles ciliée</t>
  </si>
  <si>
    <t>Anc80</t>
  </si>
  <si>
    <t>RHU</t>
  </si>
  <si>
    <t>Explants retines humaines</t>
  </si>
  <si>
    <t>Christina/Miguel</t>
  </si>
  <si>
    <t>LRIT</t>
  </si>
  <si>
    <t>Hanen/Deniz</t>
  </si>
  <si>
    <t>Explants rétines macaques</t>
  </si>
  <si>
    <t>1.8 07/03/2017</t>
  </si>
  <si>
    <t>Donné a Alex</t>
  </si>
  <si>
    <t>AAV-flox-EF1a-YFP</t>
  </si>
  <si>
    <t>Donné à Alex</t>
  </si>
  <si>
    <t>Olivier Goureau</t>
  </si>
  <si>
    <t>IPS</t>
  </si>
  <si>
    <t>Retines</t>
  </si>
  <si>
    <t>Herlitze / Mark</t>
  </si>
  <si>
    <t>Associative motor learning/ absence seizure</t>
  </si>
  <si>
    <t>Cortex</t>
  </si>
  <si>
    <t>Cortex, thalamus, cerebellum</t>
  </si>
  <si>
    <t>Dystro-cervelet</t>
  </si>
  <si>
    <t>RdCVF clinique</t>
  </si>
  <si>
    <t>AAV2.1.CMV.eGFP V2</t>
  </si>
  <si>
    <t>RM</t>
  </si>
  <si>
    <t>Explants macaques</t>
  </si>
  <si>
    <t>ok 20/03/2017</t>
  </si>
  <si>
    <t>24/06/0216</t>
  </si>
  <si>
    <t>Explants retines macaque</t>
  </si>
  <si>
    <t xml:space="preserve">2ème titration:
5,66E+14
</t>
  </si>
  <si>
    <t xml:space="preserve">2ème titration:
2,38E+15
</t>
  </si>
  <si>
    <t>Olivier/Giulia</t>
  </si>
  <si>
    <t>Récolté par william; ne pas facturer!</t>
  </si>
  <si>
    <t>758 wds</t>
  </si>
  <si>
    <t>759 wds</t>
  </si>
  <si>
    <t>760 wds</t>
  </si>
  <si>
    <t>761 wds</t>
  </si>
  <si>
    <t>OptoStem</t>
  </si>
  <si>
    <t>hiPSC</t>
  </si>
  <si>
    <t>CRT 17/08/2016</t>
  </si>
  <si>
    <t xml:space="preserve">pool de 744/745
</t>
  </si>
  <si>
    <t>pool de 744/745</t>
  </si>
  <si>
    <t>Arthur/Deniz</t>
  </si>
  <si>
    <t>PR evolution</t>
  </si>
  <si>
    <t>Librarie AAV5-EP</t>
  </si>
  <si>
    <t>Attention! 10 bte / prod!</t>
  </si>
  <si>
    <t>Librarie AAV 5-7m</t>
  </si>
  <si>
    <t>27/03/2017 +?</t>
  </si>
  <si>
    <t>Librarie AAV 8-EP</t>
  </si>
  <si>
    <t>Librarie AAV 8-7m</t>
  </si>
  <si>
    <t>Librarie AAV 9-EP</t>
  </si>
  <si>
    <t>Librarie AAV 9-7m</t>
  </si>
  <si>
    <t>ali</t>
  </si>
  <si>
    <t>lot 381-062</t>
  </si>
  <si>
    <t>rAAV2 7-m8 GS030</t>
  </si>
  <si>
    <t>GS030 produit Lonza 06/2016</t>
  </si>
  <si>
    <t>gensight</t>
  </si>
  <si>
    <t>Titre théorique 7,84e+12</t>
  </si>
  <si>
    <t>8 aliquot de 40µL (400µL)</t>
  </si>
  <si>
    <t>783-1 20/07/216 783-2 18/08/2016 783-3 10/10/2016 783-4/5 19/01/2017</t>
  </si>
  <si>
    <t>783-3 au L2</t>
  </si>
  <si>
    <t>rAAV2 7-m8 GS030 low dose</t>
  </si>
  <si>
    <t>Titre théorique 7,21e+11</t>
  </si>
  <si>
    <t>784-1 20/07/2016 784-2 18/08/2016</t>
  </si>
  <si>
    <t>16Q3</t>
  </si>
  <si>
    <t>Hanen/Julie V</t>
  </si>
  <si>
    <t>réponse immu</t>
  </si>
  <si>
    <t>Lib</t>
  </si>
  <si>
    <t xml:space="preserve">Progenitors </t>
  </si>
  <si>
    <t>RdCVF-splice</t>
  </si>
  <si>
    <t>Deniz/Yamamori</t>
  </si>
  <si>
    <t>NHP-opto</t>
  </si>
  <si>
    <t>rodent/marmoset</t>
  </si>
  <si>
    <t>21 crt 18/07/17</t>
  </si>
  <si>
    <t>1 aliquot de 100uL à -20°C</t>
  </si>
  <si>
    <t>MAUVAIS
TITRE</t>
  </si>
  <si>
    <t>ok 31/07/2017</t>
  </si>
  <si>
    <t>67 15/02/2017</t>
  </si>
  <si>
    <t xml:space="preserve">30 10/03/2017
</t>
  </si>
  <si>
    <t>L2 presque fini</t>
  </si>
  <si>
    <t>cone</t>
  </si>
  <si>
    <t>nouvelle
midi 18/11</t>
  </si>
  <si>
    <t>1 aliquot de 50uL à -20°C</t>
  </si>
  <si>
    <t>Eyal Banin</t>
  </si>
  <si>
    <t>IVT-mouton</t>
  </si>
  <si>
    <t>Mouton</t>
  </si>
  <si>
    <t>devenu 859</t>
  </si>
  <si>
    <t xml:space="preserve">Deniz / </t>
  </si>
  <si>
    <t>Mourot</t>
  </si>
  <si>
    <t>Dys</t>
  </si>
  <si>
    <t>neurons/glia</t>
  </si>
  <si>
    <t>ok 13/03/2017</t>
  </si>
  <si>
    <t>64 04/04/2017</t>
  </si>
  <si>
    <t>contat 13/0</t>
  </si>
  <si>
    <t>Macaque SR</t>
  </si>
  <si>
    <t>contat 13/03/2017</t>
  </si>
  <si>
    <t>Macaque IVT</t>
  </si>
  <si>
    <t>AU L2</t>
  </si>
  <si>
    <t>conta</t>
  </si>
  <si>
    <t>Conta 13/02/2017</t>
  </si>
  <si>
    <t>Pool de 841 + 823</t>
  </si>
  <si>
    <t>ok 13/02/0217</t>
  </si>
  <si>
    <t>Envoyé pour les moutons</t>
  </si>
  <si>
    <t>DARPA</t>
  </si>
  <si>
    <t>155 06/03/2017</t>
  </si>
  <si>
    <t>AU L2 - sachet Mélissa</t>
  </si>
  <si>
    <t>Donné à Ophelie</t>
  </si>
  <si>
    <t>3 28/02/2017</t>
  </si>
  <si>
    <t>193 crt 24/07/217</t>
  </si>
  <si>
    <t>180 crt 25/08/17</t>
  </si>
  <si>
    <t>Diane</t>
  </si>
  <si>
    <t>Regenether</t>
  </si>
  <si>
    <t>pAAV-hRho-GFP</t>
  </si>
  <si>
    <t>112 02/03/2017 crt 187 28/02/2017</t>
  </si>
  <si>
    <t xml:space="preserve">141 02/03/2017 crt 216+ 28/02/2017 </t>
  </si>
  <si>
    <t>wt</t>
  </si>
  <si>
    <t>amacrines ?</t>
  </si>
  <si>
    <t>0 mds 09/05/17</t>
  </si>
  <si>
    <t>4 aliquots de 50uL à -20°C</t>
  </si>
  <si>
    <t>RDCVF</t>
  </si>
  <si>
    <t xml:space="preserve">L2
</t>
  </si>
  <si>
    <t>Thierry Leveillard/ Najate</t>
  </si>
  <si>
    <t>tous</t>
  </si>
  <si>
    <t>150 03/03/2017</t>
  </si>
  <si>
    <t>Gros volume</t>
  </si>
  <si>
    <t>3 aliquots donnés à Diane ?</t>
  </si>
  <si>
    <t xml:space="preserve">Tube L3 déja fait </t>
  </si>
  <si>
    <t>ok sur gel 230517</t>
  </si>
  <si>
    <t>Hanen/Laure</t>
  </si>
  <si>
    <t>10 aliquots de 50uL au -20</t>
  </si>
  <si>
    <t>Herlitze-Olivia-Spoida</t>
  </si>
  <si>
    <t>envoyé 13/03/16</t>
  </si>
  <si>
    <t>CorticalSight</t>
  </si>
  <si>
    <t>conta 13/03 - filtré ok 20/03/2017</t>
  </si>
  <si>
    <t xml:space="preserve">conta 13/03 filtré ok 27/03/2017
</t>
  </si>
  <si>
    <t>conta 13/04/17</t>
  </si>
  <si>
    <t>gros volume</t>
  </si>
  <si>
    <t xml:space="preserve">conta 13/04/17 filtré 21/04/17 </t>
  </si>
  <si>
    <t>envoyé reste 5ul pour test sté + inactiv</t>
  </si>
  <si>
    <t>Titre post filtration d'avril 2017; 2x10e+13</t>
  </si>
  <si>
    <t xml:space="preserve">Saaid </t>
  </si>
  <si>
    <t>envoyé 21/04/17</t>
  </si>
  <si>
    <t>muscle</t>
  </si>
  <si>
    <t>ALL</t>
  </si>
  <si>
    <t>Miguel (Juliette Varin)</t>
  </si>
  <si>
    <t>opto</t>
  </si>
  <si>
    <t>neurones</t>
  </si>
  <si>
    <t>Lipo 2000</t>
  </si>
  <si>
    <t>ok 10/04/2017</t>
  </si>
  <si>
    <t>Jean Valmier / via S. Mélik</t>
  </si>
  <si>
    <t>s-FLT</t>
  </si>
  <si>
    <t>rat</t>
  </si>
  <si>
    <t>Envoi 10/04/17</t>
  </si>
  <si>
    <t>envoi 21/04/17</t>
  </si>
  <si>
    <t>hSyn-HA msAPP</t>
  </si>
  <si>
    <t>envoi 04/2017</t>
  </si>
  <si>
    <t>Anc80L65 + AAP2</t>
  </si>
  <si>
    <t>622 + AAP</t>
  </si>
  <si>
    <t>Meme qté anc80 que app2; 50ug</t>
  </si>
  <si>
    <t>ok 19/06/2017</t>
  </si>
  <si>
    <t>ok  230517</t>
  </si>
  <si>
    <t>Marusa/Jens</t>
  </si>
  <si>
    <t>120 MDS 20/04/17</t>
  </si>
  <si>
    <t xml:space="preserve">envoyé par erreur en Israel. </t>
  </si>
  <si>
    <t>pssAAV-mCAR-Girk2-GFP</t>
  </si>
  <si>
    <t>retine</t>
  </si>
  <si>
    <t>Hanen / Cardilia</t>
  </si>
  <si>
    <t>Trafficking</t>
  </si>
  <si>
    <t>all</t>
  </si>
  <si>
    <t>ok 19/06/019</t>
  </si>
  <si>
    <t>Olivier/Pierre</t>
  </si>
  <si>
    <t>NIH (pre-jcjc)</t>
  </si>
  <si>
    <t>Xavier/Sandrine</t>
  </si>
  <si>
    <t>Prestation</t>
  </si>
  <si>
    <t>EXOSOMES</t>
  </si>
  <si>
    <t>gel du 23052017</t>
  </si>
  <si>
    <t>Test robot</t>
  </si>
  <si>
    <t>TEST FLASQUES A/ petri</t>
  </si>
  <si>
    <t>AAV1-7mC</t>
  </si>
  <si>
    <t>aav</t>
  </si>
  <si>
    <t>exo</t>
  </si>
  <si>
    <t>AAV1-7mD</t>
  </si>
  <si>
    <t>sur gel le 27/07/2017</t>
  </si>
  <si>
    <t>TEST FLASQUES C/ MF 3L</t>
  </si>
  <si>
    <t>TEST FLASQUES D / HF10L</t>
  </si>
  <si>
    <t>recolté 2x: A: surnageant, B culot resuspendu dans 1000ul</t>
  </si>
  <si>
    <t>1 tube au L2 (600µL) et le rete au L3</t>
  </si>
  <si>
    <t>hiPS</t>
  </si>
  <si>
    <t>Olivier Marre</t>
  </si>
  <si>
    <t>TEST FLASQUES A/ petri + DNAse</t>
  </si>
  <si>
    <t>Saaid Saffieddine</t>
  </si>
  <si>
    <t>oreille interne</t>
  </si>
  <si>
    <t>hair cells</t>
  </si>
  <si>
    <t>ok 26/06/2017</t>
  </si>
  <si>
    <t>NIH brain</t>
  </si>
  <si>
    <t>mice</t>
  </si>
  <si>
    <t>Thierry Leveillard/ Emma</t>
  </si>
  <si>
    <t>!!!! Attention! Tous les plasmides (helper, tg et sero) sont inclus, dans un sachet au -20, tiroir réactifs. Une fois prélevé le nécessaire, retourner à l'équipe Leveillard</t>
  </si>
  <si>
    <t>NAB</t>
  </si>
  <si>
    <t>ok 10/07/2017</t>
  </si>
  <si>
    <t>!!! Proto modifié - 1/32 de TG</t>
  </si>
  <si>
    <t>!! le tube de plasmide est dans la boite mini</t>
  </si>
  <si>
    <t>ok 18/07/2017</t>
  </si>
  <si>
    <t>Aliquoté au L2 pour NAB</t>
  </si>
  <si>
    <t>Monkey / Marmoset</t>
  </si>
  <si>
    <t>!!! Proto modifié moins de TG 1/64</t>
  </si>
  <si>
    <t>Collab Cayouette</t>
  </si>
  <si>
    <t>!!! Proto modifié moins de TG 1/32</t>
  </si>
  <si>
    <t>!! Doivent être lancé un lundi!</t>
  </si>
  <si>
    <t>ok 16/08/2017</t>
  </si>
  <si>
    <t xml:space="preserve"> AAV</t>
  </si>
  <si>
    <t>Muller</t>
  </si>
  <si>
    <t>100ul au -20</t>
  </si>
  <si>
    <t>Chlomelion</t>
  </si>
  <si>
    <t>1000!!!!!</t>
  </si>
  <si>
    <t>Infection</t>
  </si>
  <si>
    <t>human</t>
  </si>
  <si>
    <t>Ush</t>
  </si>
  <si>
    <t>cochlea</t>
  </si>
  <si>
    <t>rainbow retina</t>
  </si>
  <si>
    <t>Midi? ITR ok sur mini</t>
  </si>
  <si>
    <t>08/09/2017 ?</t>
  </si>
  <si>
    <t>Katrin Franke</t>
  </si>
  <si>
    <t>GluSnFr</t>
  </si>
  <si>
    <t>Midi a faire; stock gly boite verte 4 empl 33</t>
  </si>
  <si>
    <t>22/09/2017 ?</t>
  </si>
  <si>
    <t>Tafficking</t>
  </si>
  <si>
    <t>Glaucoma</t>
  </si>
  <si>
    <t>SWO - WPRE</t>
  </si>
  <si>
    <t>pssAAV-pR1.7-CNGA3-hGHpA</t>
  </si>
  <si>
    <t>WIP</t>
  </si>
  <si>
    <t>Calcium imaging</t>
  </si>
  <si>
    <t>Syn.Flex.NES-jRGECO1a</t>
  </si>
  <si>
    <t>pAAV-Cag-Dio-Ace2N-4AA-mNeon</t>
  </si>
  <si>
    <t>Florian Sennlaub</t>
  </si>
  <si>
    <t>Decolement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</si>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</sst>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#,##0.###############"/>
    <numFmt numFmtId="165" formatCode="m/d/yyyy\ h:mm:ss"/>
    <numFmt numFmtId="166" formatCode="dd/mm/yyyy"/>
    <numFmt numFmtId="167" formatCode="m/d/yyyy"/>
    <numFmt numFmtId="168" formatCode="d/m/yyyy"/>
    <numFmt numFmtId="169" formatCode="yyyy\-mm\-dd"/>
    <numFmt numFmtId="170" formatCode="m\.yyyy"/>
    <numFmt numFmtId="171" formatCode="yyyy/mm/dd"/>
    <numFmt numFmtId="172" formatCode="#,##0.###############0"/>
    <numFmt numFmtId="173" formatCode="dd/mm/yyyy\."/>
    <numFmt numFmtId="174" formatCode="d/m/yy"/>
    <numFmt numFmtId="175" formatCode="d\.m"/>
    <numFmt numFmtId="176" formatCode="mm/yyyy"/>
    <numFmt numFmtId="177" formatCode="m/yyyy"/>
  </numFmts>
  <fonts count="91" x14ac:knownFonts="1">
    <font>
      <sz val="10"/>
      <color rgb="FF000000"/>
      <name val="Arial"/>
    </font>
    <font>
      <b/>
      <sz val="10"/>
      <name val="Arial"/>
    </font>
    <font>
      <b/>
      <sz val="11"/>
      <name val="Arial"/>
    </font>
    <font>
      <sz val="11"/>
      <name val="Arial"/>
    </font>
    <font>
      <sz val="10"/>
      <name val="Arial"/>
    </font>
    <font>
      <sz val="10"/>
      <name val="Arial"/>
    </font>
    <font>
      <sz val="11"/>
      <color rgb="FF000000"/>
      <name val="Arial"/>
    </font>
    <font>
      <b/>
      <sz val="11"/>
      <color rgb="FF000000"/>
      <name val="Arial"/>
    </font>
    <font>
      <sz val="11"/>
      <color rgb="FFFF0000"/>
      <name val="Arial"/>
    </font>
    <font>
      <i/>
      <sz val="10"/>
      <name val="Arial"/>
    </font>
    <font>
      <strike/>
      <sz val="10"/>
      <name val="Arial"/>
    </font>
    <font>
      <b/>
      <strike/>
      <sz val="10"/>
      <name val="Arial"/>
    </font>
    <font>
      <strike/>
      <sz val="10"/>
      <name val="Arial"/>
    </font>
    <font>
      <b/>
      <strike/>
      <sz val="10"/>
      <name val="Arial"/>
    </font>
    <font>
      <sz val="10"/>
      <color rgb="FF000000"/>
      <name val="Arial"/>
    </font>
    <font>
      <sz val="11"/>
      <color rgb="FF000000"/>
      <name val="Arial"/>
    </font>
    <font>
      <sz val="10"/>
      <name val="Arial"/>
    </font>
    <font>
      <b/>
      <sz val="11"/>
      <color rgb="FF000000"/>
      <name val="Arial"/>
    </font>
    <font>
      <sz val="11"/>
      <name val="Arial"/>
    </font>
    <font>
      <b/>
      <sz val="11"/>
      <name val="Arial"/>
    </font>
    <font>
      <b/>
      <sz val="10"/>
      <name val="Arial"/>
    </font>
    <font>
      <b/>
      <sz val="10"/>
      <color rgb="FFFF0000"/>
      <name val="Arial"/>
    </font>
    <font>
      <sz val="10"/>
      <color rgb="FFFF0000"/>
      <name val="Arial"/>
    </font>
    <font>
      <sz val="10"/>
      <color rgb="FF000000"/>
      <name val="Arial"/>
    </font>
    <font>
      <i/>
      <strike/>
      <sz val="10"/>
      <name val="Arial"/>
    </font>
    <font>
      <sz val="10"/>
      <color rgb="FF000000"/>
      <name val="Arial"/>
    </font>
    <font>
      <sz val="10"/>
      <color rgb="FF000000"/>
      <name val="'Arial'"/>
    </font>
    <font>
      <sz val="10"/>
      <color rgb="FF212121"/>
      <name val="Arial"/>
    </font>
    <font>
      <sz val="11"/>
      <color rgb="FF1F497D"/>
      <name val="Calibri"/>
    </font>
    <font>
      <sz val="10"/>
      <color rgb="FF212121"/>
      <name val="Sans-serif"/>
    </font>
    <font>
      <strike/>
      <sz val="10"/>
      <color rgb="FF000000"/>
      <name val="Arial"/>
    </font>
    <font>
      <sz val="11"/>
      <color rgb="FF000000"/>
      <name val="&quot;Courier New&quot;"/>
    </font>
    <font>
      <i/>
      <sz val="10"/>
      <color rgb="FF222222"/>
      <name val="Arial"/>
    </font>
    <font>
      <strike/>
      <sz val="11"/>
      <name val="Arial"/>
    </font>
    <font>
      <b/>
      <strike/>
      <sz val="10"/>
      <color rgb="FFFF0000"/>
      <name val="Arial"/>
    </font>
    <font>
      <b/>
      <strike/>
      <sz val="10"/>
      <color rgb="FFFF0000"/>
      <name val="Arial"/>
    </font>
    <font>
      <b/>
      <sz val="14"/>
      <name val="Arial"/>
    </font>
    <font>
      <b/>
      <strike/>
      <sz val="10"/>
      <color rgb="FFFF0000"/>
      <name val="Arial"/>
    </font>
    <font>
      <b/>
      <i/>
      <strike/>
      <sz val="10"/>
      <color rgb="FFFF0000"/>
      <name val="Arial"/>
    </font>
    <font>
      <strike/>
      <sz val="10"/>
      <color rgb="FFFF0000"/>
      <name val="Arial"/>
    </font>
    <font>
      <i/>
      <strike/>
      <sz val="10"/>
      <color rgb="FFFF0000"/>
      <name val="Arial"/>
    </font>
    <font>
      <sz val="10"/>
      <color rgb="FFFF0000"/>
      <name val="Arial"/>
    </font>
    <font>
      <b/>
      <i/>
      <strike/>
      <sz val="10"/>
      <name val="Arial"/>
    </font>
    <font>
      <sz val="8"/>
      <name val="Arial"/>
    </font>
    <font>
      <b/>
      <sz val="10"/>
      <name val="Arial"/>
    </font>
    <font>
      <b/>
      <sz val="10"/>
      <color rgb="FF000000"/>
      <name val="Arial"/>
    </font>
    <font>
      <b/>
      <sz val="10"/>
      <color rgb="FF000000"/>
      <name val="Arial"/>
    </font>
    <font>
      <b/>
      <sz val="10"/>
      <color rgb="FFFF0000"/>
      <name val="Arial"/>
    </font>
    <font>
      <b/>
      <sz val="10"/>
      <color rgb="FF93C47D"/>
      <name val="Arial"/>
    </font>
    <font>
      <b/>
      <sz val="10"/>
      <color rgb="FF6AA84F"/>
      <name val="Arial"/>
    </font>
    <font>
      <sz val="10"/>
      <color rgb="FF93C47D"/>
      <name val="Arial"/>
    </font>
    <font>
      <b/>
      <sz val="10"/>
      <color rgb="FF93C47D"/>
      <name val="Arial"/>
    </font>
    <font>
      <sz val="10"/>
      <color rgb="FF93C47D"/>
      <name val="Arial"/>
    </font>
    <font>
      <sz val="10"/>
      <color rgb="FF93C47D"/>
      <name val="Arial"/>
    </font>
    <font>
      <b/>
      <sz val="10"/>
      <color rgb="FF000000"/>
      <name val="Arial"/>
    </font>
    <font>
      <b/>
      <strike/>
      <sz val="10"/>
      <color rgb="FF000000"/>
      <name val="Arial"/>
    </font>
    <font>
      <b/>
      <sz val="12"/>
      <name val="Arial"/>
    </font>
    <font>
      <strike/>
      <sz val="10"/>
      <name val="Arial"/>
    </font>
    <font>
      <sz val="11"/>
      <color rgb="FF000000"/>
      <name val="&quot;Calibri&quot;"/>
    </font>
    <font>
      <strike/>
      <sz val="10"/>
      <color rgb="FF000000"/>
      <name val="'Arial'"/>
    </font>
    <font>
      <i/>
      <sz val="10"/>
      <color rgb="FF000000"/>
      <name val="Arial"/>
    </font>
    <font>
      <b/>
      <strike/>
      <sz val="10"/>
      <name val="Arial"/>
    </font>
    <font>
      <sz val="10"/>
      <name val="Arial"/>
    </font>
    <font>
      <b/>
      <sz val="10"/>
      <name val="Arial"/>
    </font>
    <font>
      <strike/>
      <sz val="10"/>
      <color rgb="FF000000"/>
      <name val="Arial"/>
    </font>
    <font>
      <strike/>
      <sz val="11"/>
      <color rgb="FF000000"/>
      <name val="Inconsolata"/>
    </font>
    <font>
      <strike/>
      <sz val="10"/>
      <color rgb="FF000000"/>
      <name val="Inconsolata"/>
    </font>
    <font>
      <strike/>
      <sz val="10"/>
      <name val="Arial"/>
    </font>
    <font>
      <b/>
      <strike/>
      <sz val="10"/>
      <name val="Arial"/>
    </font>
    <font>
      <b/>
      <sz val="14"/>
      <color rgb="FFFF0000"/>
      <name val="Arial"/>
    </font>
    <font>
      <b/>
      <strike/>
      <sz val="14"/>
      <color rgb="FFFF0000"/>
      <name val="Arial"/>
    </font>
    <font>
      <strike/>
      <sz val="10"/>
      <color rgb="FF000000"/>
      <name val="Arial"/>
    </font>
    <font>
      <b/>
      <strike/>
      <sz val="14"/>
      <color rgb="FFFF0000"/>
      <name val="Arial"/>
    </font>
    <font>
      <b/>
      <strike/>
      <sz val="14"/>
      <color rgb="FF0000FF"/>
      <name val="Arial"/>
    </font>
    <font>
      <b/>
      <sz val="10"/>
      <color rgb="FF980000"/>
      <name val="Arial"/>
    </font>
    <font>
      <sz val="10"/>
      <color rgb="FFFF0000"/>
      <name val="Arial"/>
    </font>
    <font>
      <sz val="10"/>
      <color rgb="FFFF0000"/>
      <name val="Arial"/>
    </font>
    <font>
      <b/>
      <sz val="10"/>
      <color rgb="FFFF0000"/>
      <name val="Arial"/>
    </font>
    <font>
      <b/>
      <strike/>
      <sz val="10"/>
      <color rgb="FF000000"/>
      <name val="Arial"/>
    </font>
    <font>
      <b/>
      <sz val="10"/>
      <color rgb="FF0000FF"/>
      <name val="Arial"/>
    </font>
    <font>
      <b/>
      <sz val="12"/>
      <color rgb="FFFF0000"/>
      <name val="Arial"/>
    </font>
    <font>
      <strike/>
      <sz val="10"/>
      <color rgb="FF000000"/>
      <name val="Arial"/>
    </font>
    <font>
      <sz val="10"/>
      <color rgb="FF9900FF"/>
      <name val="Arial"/>
    </font>
    <font>
      <b/>
      <sz val="10"/>
      <color rgb="FF9900FF"/>
      <name val="Arial"/>
    </font>
    <font>
      <sz val="10"/>
      <color rgb="FF9900FF"/>
      <name val="Arial"/>
    </font>
    <font>
      <b/>
      <strike/>
      <sz val="10"/>
      <color rgb="FF0000FF"/>
      <name val="Arial"/>
    </font>
    <font>
      <strike/>
      <sz val="10"/>
      <color rgb="FF222222"/>
      <name val="Arial"/>
    </font>
    <font>
      <sz val="10"/>
      <color rgb="FF990000"/>
      <name val="Arial"/>
    </font>
    <font>
      <sz val="10"/>
      <color rgb="FFFFFF0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87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CCCCCC"/>
        <bgColor rgb="FFCCCCCC"/>
      </patternFill>
    </fill>
    <fill>
      <patternFill patternType="solid">
        <fgColor rgb="FFFFD966"/>
        <bgColor rgb="FFFFD966"/>
      </patternFill>
    </fill>
    <fill>
      <patternFill patternType="solid">
        <fgColor rgb="FFC9DAF8"/>
        <bgColor rgb="FFC9DAF8"/>
      </patternFill>
    </fill>
    <fill>
      <patternFill patternType="solid">
        <fgColor rgb="FF9FC5E8"/>
        <bgColor rgb="FF9FC5E8"/>
      </patternFill>
    </fill>
    <fill>
      <patternFill patternType="solid">
        <fgColor rgb="FFEAD1DC"/>
        <bgColor rgb="FFEAD1DC"/>
      </patternFill>
    </fill>
    <fill>
      <patternFill patternType="solid">
        <fgColor rgb="FFF4CCCC"/>
        <bgColor rgb="FFF4CCCC"/>
      </patternFill>
    </fill>
    <fill>
      <patternFill patternType="solid">
        <fgColor rgb="FFE69138"/>
        <bgColor rgb="FFE69138"/>
      </patternFill>
    </fill>
    <fill>
      <patternFill patternType="solid">
        <fgColor rgb="FFFF4C17"/>
        <bgColor rgb="FFFF4C17"/>
      </patternFill>
    </fill>
    <fill>
      <patternFill patternType="solid">
        <fgColor rgb="FFBF9000"/>
        <bgColor rgb="FFBF9000"/>
      </patternFill>
    </fill>
    <fill>
      <patternFill patternType="solid">
        <fgColor rgb="FFD5A6BD"/>
        <bgColor rgb="FFD5A6BD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FF698C"/>
        <bgColor rgb="FFFF698C"/>
      </patternFill>
    </fill>
    <fill>
      <patternFill patternType="solid">
        <fgColor rgb="FFFF9900"/>
        <bgColor rgb="FFFF9900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11D4E8"/>
        <bgColor rgb="FF11D4E8"/>
      </patternFill>
    </fill>
    <fill>
      <patternFill patternType="solid">
        <fgColor rgb="FFF9CB9C"/>
        <bgColor rgb="FFF9CB9C"/>
      </patternFill>
    </fill>
    <fill>
      <patternFill patternType="solid">
        <fgColor rgb="FFFFFF00"/>
        <bgColor rgb="FFFFFF00"/>
      </patternFill>
    </fill>
    <fill>
      <patternFill patternType="solid">
        <fgColor rgb="FF9900FF"/>
        <bgColor rgb="FF9900FF"/>
      </patternFill>
    </fill>
    <fill>
      <patternFill patternType="solid">
        <fgColor rgb="FF4EE39E"/>
        <bgColor rgb="FF4EE39E"/>
      </patternFill>
    </fill>
    <fill>
      <patternFill patternType="solid">
        <fgColor rgb="FFFCE5CD"/>
        <bgColor rgb="FFFCE5CD"/>
      </patternFill>
    </fill>
    <fill>
      <patternFill patternType="solid">
        <fgColor rgb="FFE06666"/>
        <bgColor rgb="FFE06666"/>
      </patternFill>
    </fill>
    <fill>
      <patternFill patternType="solid">
        <fgColor rgb="FFF2FF37"/>
        <bgColor rgb="FFF2FF37"/>
      </patternFill>
    </fill>
    <fill>
      <patternFill patternType="solid">
        <fgColor rgb="FF9E7700"/>
        <bgColor rgb="FF9E7700"/>
      </patternFill>
    </fill>
    <fill>
      <patternFill patternType="solid">
        <fgColor rgb="FFDDB12D"/>
        <bgColor rgb="FFDDB12D"/>
      </patternFill>
    </fill>
    <fill>
      <patternFill patternType="solid">
        <fgColor rgb="FFC411FF"/>
        <bgColor rgb="FFC411FF"/>
      </patternFill>
    </fill>
    <fill>
      <patternFill patternType="solid">
        <fgColor rgb="FFA64D79"/>
        <bgColor rgb="FFA64D79"/>
      </patternFill>
    </fill>
    <fill>
      <patternFill patternType="solid">
        <fgColor rgb="FFC27BA0"/>
        <bgColor rgb="FFC27BA0"/>
      </patternFill>
    </fill>
    <fill>
      <patternFill patternType="solid">
        <fgColor rgb="FFEFEFEF"/>
        <bgColor rgb="FFEFEFEF"/>
      </patternFill>
    </fill>
    <fill>
      <patternFill patternType="solid">
        <fgColor rgb="FFB4A7D6"/>
        <bgColor rgb="FFB4A7D6"/>
      </patternFill>
    </fill>
    <fill>
      <patternFill patternType="solid">
        <fgColor rgb="FFD0E0E3"/>
        <bgColor rgb="FFD0E0E3"/>
      </patternFill>
    </fill>
    <fill>
      <patternFill patternType="solid">
        <fgColor rgb="FFFF0000"/>
        <bgColor rgb="FFFF0000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E6B8AF"/>
        <bgColor rgb="FFE6B8AF"/>
      </patternFill>
    </fill>
    <fill>
      <patternFill patternType="solid">
        <fgColor rgb="FF6FA8DC"/>
        <bgColor rgb="FF6FA8DC"/>
      </patternFill>
    </fill>
    <fill>
      <patternFill patternType="solid">
        <fgColor rgb="FF00FFFF"/>
        <bgColor rgb="FF00FFFF"/>
      </patternFill>
    </fill>
    <fill>
      <patternFill patternType="solid">
        <fgColor rgb="FF76A5AF"/>
        <bgColor rgb="FF76A5AF"/>
      </patternFill>
    </fill>
    <fill>
      <patternFill patternType="solid">
        <fgColor rgb="FFFF00FF"/>
        <bgColor rgb="FFFF00FF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rgb="FFDC4389"/>
        <bgColor rgb="FFDC4389"/>
      </patternFill>
    </fill>
    <fill>
      <patternFill patternType="solid">
        <fgColor rgb="FF6D9EEB"/>
        <bgColor rgb="FF6D9EEB"/>
      </patternFill>
    </fill>
    <fill>
      <patternFill patternType="solid">
        <fgColor rgb="FF8E7CC3"/>
        <bgColor rgb="FF8E7CC3"/>
      </patternFill>
    </fill>
    <fill>
      <patternFill patternType="solid">
        <fgColor rgb="FF3AA875"/>
        <bgColor rgb="FF3AA875"/>
      </patternFill>
    </fill>
    <fill>
      <patternFill patternType="solid">
        <fgColor rgb="FFF1C232"/>
        <bgColor rgb="FFF1C232"/>
      </patternFill>
    </fill>
    <fill>
      <patternFill patternType="solid">
        <fgColor rgb="FFEA9999"/>
        <bgColor rgb="FFEA9999"/>
      </patternFill>
    </fill>
    <fill>
      <patternFill patternType="solid">
        <fgColor rgb="FF6AA84F"/>
        <bgColor rgb="FF6AA84F"/>
      </patternFill>
    </fill>
    <fill>
      <patternFill patternType="solid">
        <fgColor rgb="FFDD7E6B"/>
        <bgColor rgb="FFDD7E6B"/>
      </patternFill>
    </fill>
    <fill>
      <patternFill patternType="solid">
        <fgColor rgb="FF00FF00"/>
        <bgColor rgb="FF00FF00"/>
      </patternFill>
    </fill>
    <fill>
      <patternFill patternType="solid">
        <fgColor rgb="FFDBEEF3"/>
        <bgColor rgb="FFDBEEF3"/>
      </patternFill>
    </fill>
    <fill>
      <patternFill patternType="solid">
        <fgColor rgb="FFEAF1DD"/>
        <bgColor rgb="FFEAF1DD"/>
      </patternFill>
    </fill>
    <fill>
      <patternFill patternType="solid">
        <fgColor rgb="FFD7E4BC"/>
        <bgColor rgb="FFD7E4BC"/>
      </patternFill>
    </fill>
    <fill>
      <patternFill patternType="solid">
        <fgColor rgb="FFC2D69A"/>
        <bgColor rgb="FFC2D69A"/>
      </patternFill>
    </fill>
    <fill>
      <patternFill patternType="solid">
        <fgColor rgb="FFB6DDE8"/>
        <bgColor rgb="FFB6DDE8"/>
      </patternFill>
    </fill>
    <fill>
      <patternFill patternType="solid">
        <fgColor rgb="FF93CDDD"/>
        <bgColor rgb="FF93CDDD"/>
      </patternFill>
    </fill>
    <fill>
      <patternFill patternType="solid">
        <fgColor rgb="FF31849B"/>
        <bgColor rgb="FF31849B"/>
      </patternFill>
    </fill>
    <fill>
      <patternFill patternType="solid">
        <fgColor rgb="FF38761D"/>
        <bgColor rgb="FF38761D"/>
      </patternFill>
    </fill>
    <fill>
      <patternFill patternType="solid">
        <fgColor rgb="FF4A86E8"/>
        <bgColor rgb="FF4A86E8"/>
      </patternFill>
    </fill>
    <fill>
      <patternFill patternType="solid">
        <fgColor rgb="FF1155CC"/>
        <bgColor rgb="FF1155CC"/>
      </patternFill>
    </fill>
    <fill>
      <patternFill patternType="solid">
        <fgColor rgb="FF3D85C6"/>
        <bgColor rgb="FF3D85C6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A2C4C9"/>
        <bgColor rgb="FFA2C4C9"/>
      </patternFill>
    </fill>
    <fill>
      <patternFill patternType="solid">
        <fgColor rgb="FF45818E"/>
        <bgColor rgb="FF45818E"/>
      </patternFill>
    </fill>
    <fill>
      <patternFill patternType="solid">
        <fgColor rgb="FFB45F06"/>
        <bgColor rgb="FFB45F06"/>
      </patternFill>
    </fill>
    <fill>
      <patternFill patternType="solid">
        <fgColor rgb="FF3C78D8"/>
        <bgColor rgb="FF3C78D8"/>
      </patternFill>
    </fill>
    <fill>
      <patternFill patternType="solid">
        <fgColor rgb="FF7F6000"/>
        <bgColor rgb="FF7F6000"/>
      </patternFill>
    </fill>
    <fill>
      <patternFill patternType="solid">
        <fgColor rgb="FF36A06F"/>
        <bgColor rgb="FF36A06F"/>
      </patternFill>
    </fill>
    <fill>
      <patternFill patternType="solid">
        <fgColor rgb="FF134F5C"/>
        <bgColor rgb="FF134F5C"/>
      </patternFill>
    </fill>
    <fill>
      <patternFill patternType="solid">
        <fgColor rgb="FF18D19E"/>
        <bgColor rgb="FF18D19E"/>
      </patternFill>
    </fill>
    <fill>
      <patternFill patternType="solid">
        <fgColor rgb="FF674EA7"/>
        <bgColor rgb="FF674EA7"/>
      </patternFill>
    </fill>
    <fill>
      <patternFill patternType="solid">
        <fgColor rgb="FF15BF90"/>
        <bgColor rgb="FF15BF90"/>
      </patternFill>
    </fill>
    <fill>
      <patternFill patternType="solid">
        <fgColor rgb="FF13A67D"/>
        <bgColor rgb="FF13A67D"/>
      </patternFill>
    </fill>
    <fill>
      <patternFill patternType="solid">
        <fgColor rgb="FF10926E"/>
        <bgColor rgb="FF10926E"/>
      </patternFill>
    </fill>
    <fill>
      <patternFill patternType="solid">
        <fgColor rgb="FFCC4125"/>
        <bgColor rgb="FFCC4125"/>
      </patternFill>
    </fill>
    <fill>
      <patternFill patternType="solid">
        <fgColor rgb="FFBDBDBD"/>
        <bgColor rgb="FFBDBDBD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B7E1CD"/>
        <bgColor rgb="FFB7E1CD"/>
      </patternFill>
    </fill>
  </fills>
  <borders count="29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E06666"/>
      </bottom>
      <diagonal/>
    </border>
    <border>
      <left style="thin">
        <color rgb="FFE06666"/>
      </left>
      <right style="thin">
        <color rgb="FFE06666"/>
      </right>
      <top style="thin">
        <color rgb="FFE06666"/>
      </top>
      <bottom style="thin">
        <color rgb="FFE06666"/>
      </bottom>
      <diagonal/>
    </border>
    <border>
      <left style="thin">
        <color rgb="FFE06666"/>
      </left>
      <right/>
      <top/>
      <bottom/>
      <diagonal/>
    </border>
    <border>
      <left/>
      <right style="thin">
        <color rgb="FFE06666"/>
      </right>
      <top/>
      <bottom/>
      <diagonal/>
    </border>
    <border>
      <left/>
      <right/>
      <top style="thin">
        <color rgb="FFE06666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FF"/>
      </left>
      <right/>
      <top style="thin">
        <color rgb="FFFF00FF"/>
      </top>
      <bottom style="thin">
        <color rgb="FFFF00FF"/>
      </bottom>
      <diagonal/>
    </border>
    <border>
      <left/>
      <right/>
      <top style="thin">
        <color rgb="FFFF00FF"/>
      </top>
      <bottom style="thin">
        <color rgb="FFFF00FF"/>
      </bottom>
      <diagonal/>
    </border>
    <border>
      <left/>
      <right style="thin">
        <color rgb="FFFF00FF"/>
      </right>
      <top style="thin">
        <color rgb="FFFF00FF"/>
      </top>
      <bottom style="thin">
        <color rgb="FFFF00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</cellStyleXfs>
  <cellXfs count="5331">
    <xf numFmtId="0" fontId="0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166" fontId="1" fillId="0" borderId="0" xfId="0" applyNumberFormat="1" applyFont="1" applyAlignment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 wrapText="1"/>
    </xf>
    <xf numFmtId="11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1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0" fontId="1" fillId="2" borderId="0" xfId="0" applyFont="1" applyFill="1" applyAlignment="1">
      <alignment wrapText="1"/>
    </xf>
    <xf numFmtId="165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4" fillId="3" borderId="0" xfId="0" applyFont="1" applyFill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164" fontId="4" fillId="3" borderId="0" xfId="0" applyNumberFormat="1" applyFont="1" applyFill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166" fontId="4" fillId="3" borderId="0" xfId="0" applyNumberFormat="1" applyFont="1" applyFill="1" applyAlignment="1">
      <alignment horizontal="center" wrapText="1"/>
    </xf>
    <xf numFmtId="165" fontId="4" fillId="3" borderId="0" xfId="0" applyNumberFormat="1" applyFont="1" applyFill="1" applyAlignment="1">
      <alignment horizontal="center" wrapText="1"/>
    </xf>
    <xf numFmtId="0" fontId="3" fillId="0" borderId="3" xfId="0" applyFont="1" applyBorder="1" applyAlignment="1">
      <alignment horizontal="center" vertical="center" wrapText="1"/>
    </xf>
    <xf numFmtId="166" fontId="4" fillId="3" borderId="0" xfId="0" applyNumberFormat="1" applyFont="1" applyFill="1" applyAlignment="1">
      <alignment horizontal="center" wrapText="1"/>
    </xf>
    <xf numFmtId="165" fontId="3" fillId="0" borderId="2" xfId="0" applyNumberFormat="1" applyFont="1" applyBorder="1" applyAlignment="1">
      <alignment horizontal="center" vertical="center" wrapText="1"/>
    </xf>
    <xf numFmtId="164" fontId="1" fillId="3" borderId="0" xfId="0" applyNumberFormat="1" applyFont="1" applyFill="1" applyAlignment="1">
      <alignment horizontal="center" wrapText="1"/>
    </xf>
    <xf numFmtId="0" fontId="3" fillId="0" borderId="4" xfId="0" applyFont="1" applyBorder="1" applyAlignment="1">
      <alignment horizontal="center" vertical="center" wrapText="1"/>
    </xf>
    <xf numFmtId="164" fontId="4" fillId="3" borderId="0" xfId="0" applyNumberFormat="1" applyFont="1" applyFill="1" applyAlignment="1">
      <alignment horizontal="center" wrapText="1"/>
    </xf>
    <xf numFmtId="0" fontId="3" fillId="4" borderId="4" xfId="0" applyFont="1" applyFill="1" applyBorder="1" applyAlignment="1">
      <alignment horizontal="center" vertical="center" wrapText="1"/>
    </xf>
    <xf numFmtId="11" fontId="4" fillId="3" borderId="0" xfId="0" applyNumberFormat="1" applyFont="1" applyFill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11" fontId="1" fillId="3" borderId="0" xfId="0" applyNumberFormat="1" applyFont="1" applyFill="1" applyAlignment="1">
      <alignment horizontal="center" wrapText="1"/>
    </xf>
    <xf numFmtId="164" fontId="3" fillId="0" borderId="0" xfId="0" applyNumberFormat="1" applyFont="1" applyAlignment="1">
      <alignment horizontal="center" vertical="center" wrapText="1"/>
    </xf>
    <xf numFmtId="11" fontId="4" fillId="3" borderId="0" xfId="0" applyNumberFormat="1" applyFont="1" applyFill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167" fontId="3" fillId="0" borderId="0" xfId="0" applyNumberFormat="1" applyFont="1" applyAlignment="1">
      <alignment horizontal="center" vertical="center" wrapText="1"/>
    </xf>
    <xf numFmtId="0" fontId="5" fillId="2" borderId="0" xfId="0" applyFont="1" applyFill="1" applyAlignment="1">
      <alignment wrapText="1"/>
    </xf>
    <xf numFmtId="165" fontId="3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wrapText="1"/>
    </xf>
    <xf numFmtId="11" fontId="4" fillId="3" borderId="0" xfId="0" applyNumberFormat="1" applyFont="1" applyFill="1" applyAlignment="1">
      <alignment horizontal="center" wrapText="1"/>
    </xf>
    <xf numFmtId="0" fontId="3" fillId="4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165" fontId="3" fillId="0" borderId="2" xfId="0" applyNumberFormat="1" applyFont="1" applyBorder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0" fontId="4" fillId="3" borderId="0" xfId="0" applyFont="1" applyFill="1" applyAlignment="1">
      <alignment horizontal="center" wrapText="1"/>
    </xf>
    <xf numFmtId="0" fontId="5" fillId="2" borderId="0" xfId="0" applyFont="1" applyFill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3" fillId="5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164" fontId="4" fillId="2" borderId="0" xfId="0" applyNumberFormat="1" applyFont="1" applyFill="1" applyAlignment="1">
      <alignment horizontal="center" wrapText="1"/>
    </xf>
    <xf numFmtId="166" fontId="4" fillId="2" borderId="0" xfId="0" applyNumberFormat="1" applyFont="1" applyFill="1" applyAlignment="1">
      <alignment horizontal="center" wrapText="1"/>
    </xf>
    <xf numFmtId="14" fontId="3" fillId="0" borderId="0" xfId="0" applyNumberFormat="1" applyFont="1" applyAlignment="1">
      <alignment horizontal="center" vertical="center" wrapText="1"/>
    </xf>
    <xf numFmtId="166" fontId="4" fillId="2" borderId="0" xfId="0" applyNumberFormat="1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164" fontId="4" fillId="2" borderId="0" xfId="0" applyNumberFormat="1" applyFont="1" applyFill="1" applyAlignment="1">
      <alignment horizontal="center" wrapText="1"/>
    </xf>
    <xf numFmtId="14" fontId="5" fillId="0" borderId="0" xfId="0" applyNumberFormat="1" applyFont="1" applyAlignment="1">
      <alignment wrapText="1"/>
    </xf>
    <xf numFmtId="11" fontId="4" fillId="2" borderId="0" xfId="0" applyNumberFormat="1" applyFont="1" applyFill="1" applyAlignment="1">
      <alignment horizontal="center" wrapText="1"/>
    </xf>
    <xf numFmtId="0" fontId="3" fillId="6" borderId="4" xfId="0" applyFont="1" applyFill="1" applyBorder="1" applyAlignment="1">
      <alignment horizontal="center" vertical="center" wrapText="1"/>
    </xf>
    <xf numFmtId="11" fontId="1" fillId="2" borderId="0" xfId="0" applyNumberFormat="1" applyFont="1" applyFill="1" applyAlignment="1">
      <alignment horizontal="center" wrapText="1"/>
    </xf>
    <xf numFmtId="0" fontId="1" fillId="7" borderId="0" xfId="0" applyFont="1" applyFill="1" applyAlignment="1">
      <alignment wrapText="1"/>
    </xf>
    <xf numFmtId="11" fontId="4" fillId="2" borderId="0" xfId="0" applyNumberFormat="1" applyFont="1" applyFill="1" applyAlignment="1">
      <alignment horizontal="center" wrapText="1"/>
    </xf>
    <xf numFmtId="0" fontId="5" fillId="7" borderId="0" xfId="0" applyFont="1" applyFill="1" applyAlignment="1">
      <alignment wrapText="1"/>
    </xf>
    <xf numFmtId="0" fontId="5" fillId="7" borderId="0" xfId="0" applyFont="1" applyFill="1" applyAlignment="1">
      <alignment wrapText="1"/>
    </xf>
    <xf numFmtId="0" fontId="3" fillId="6" borderId="0" xfId="0" applyFont="1" applyFill="1" applyAlignment="1">
      <alignment horizontal="center" vertical="center" wrapText="1"/>
    </xf>
    <xf numFmtId="11" fontId="4" fillId="2" borderId="0" xfId="0" applyNumberFormat="1" applyFont="1" applyFill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167" fontId="3" fillId="0" borderId="2" xfId="0" applyNumberFormat="1" applyFont="1" applyBorder="1" applyAlignment="1">
      <alignment horizontal="center" vertical="center" wrapText="1"/>
    </xf>
    <xf numFmtId="0" fontId="4" fillId="8" borderId="0" xfId="0" applyFont="1" applyFill="1" applyAlignment="1">
      <alignment horizontal="center" wrapText="1"/>
    </xf>
    <xf numFmtId="0" fontId="4" fillId="8" borderId="0" xfId="0" applyFont="1" applyFill="1" applyAlignment="1">
      <alignment horizontal="center" wrapText="1"/>
    </xf>
    <xf numFmtId="164" fontId="4" fillId="8" borderId="0" xfId="0" applyNumberFormat="1" applyFont="1" applyFill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165" fontId="4" fillId="8" borderId="0" xfId="0" applyNumberFormat="1" applyFont="1" applyFill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166" fontId="4" fillId="8" borderId="0" xfId="0" applyNumberFormat="1" applyFont="1" applyFill="1" applyAlignment="1">
      <alignment horizontal="center" wrapText="1"/>
    </xf>
    <xf numFmtId="164" fontId="6" fillId="0" borderId="0" xfId="0" applyNumberFormat="1" applyFont="1" applyAlignment="1">
      <alignment horizontal="center" vertical="center" wrapText="1"/>
    </xf>
    <xf numFmtId="166" fontId="4" fillId="8" borderId="0" xfId="0" applyNumberFormat="1" applyFont="1" applyFill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164" fontId="1" fillId="8" borderId="0" xfId="0" applyNumberFormat="1" applyFont="1" applyFill="1" applyAlignment="1">
      <alignment horizontal="center" wrapText="1"/>
    </xf>
    <xf numFmtId="0" fontId="6" fillId="0" borderId="2" xfId="0" applyFont="1" applyBorder="1" applyAlignment="1">
      <alignment horizontal="center" vertical="center" wrapText="1"/>
    </xf>
    <xf numFmtId="164" fontId="4" fillId="8" borderId="0" xfId="0" applyNumberFormat="1" applyFont="1" applyFill="1" applyAlignment="1">
      <alignment horizontal="center" wrapText="1"/>
    </xf>
    <xf numFmtId="167" fontId="6" fillId="0" borderId="2" xfId="0" applyNumberFormat="1" applyFont="1" applyBorder="1" applyAlignment="1">
      <alignment horizontal="center" vertical="center" wrapText="1"/>
    </xf>
    <xf numFmtId="11" fontId="4" fillId="8" borderId="0" xfId="0" applyNumberFormat="1" applyFont="1" applyFill="1" applyAlignment="1">
      <alignment horizontal="center" wrapText="1"/>
    </xf>
    <xf numFmtId="167" fontId="6" fillId="0" borderId="0" xfId="0" applyNumberFormat="1" applyFont="1" applyAlignment="1">
      <alignment horizontal="center" vertical="center" wrapText="1"/>
    </xf>
    <xf numFmtId="11" fontId="1" fillId="8" borderId="0" xfId="0" applyNumberFormat="1" applyFont="1" applyFill="1" applyAlignment="1">
      <alignment horizontal="center" wrapText="1"/>
    </xf>
    <xf numFmtId="11" fontId="4" fillId="8" borderId="0" xfId="0" applyNumberFormat="1" applyFont="1" applyFill="1" applyAlignment="1">
      <alignment horizontal="center" wrapText="1"/>
    </xf>
    <xf numFmtId="164" fontId="7" fillId="0" borderId="0" xfId="0" applyNumberFormat="1" applyFont="1" applyAlignment="1">
      <alignment horizontal="center" vertical="center" wrapText="1"/>
    </xf>
    <xf numFmtId="11" fontId="4" fillId="8" borderId="0" xfId="0" applyNumberFormat="1" applyFont="1" applyFill="1" applyAlignment="1">
      <alignment horizontal="center" wrapText="1"/>
    </xf>
    <xf numFmtId="165" fontId="6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4" fillId="8" borderId="0" xfId="0" applyFont="1" applyFill="1" applyAlignment="1">
      <alignment horizontal="center" wrapText="1"/>
    </xf>
    <xf numFmtId="0" fontId="8" fillId="4" borderId="0" xfId="0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wrapText="1"/>
    </xf>
    <xf numFmtId="0" fontId="4" fillId="8" borderId="0" xfId="0" applyFont="1" applyFill="1" applyAlignment="1">
      <alignment horizontal="center" wrapText="1"/>
    </xf>
    <xf numFmtId="14" fontId="6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4" fillId="6" borderId="0" xfId="0" applyFont="1" applyFill="1" applyAlignment="1">
      <alignment horizontal="center" wrapText="1"/>
    </xf>
    <xf numFmtId="14" fontId="3" fillId="0" borderId="2" xfId="0" applyNumberFormat="1" applyFont="1" applyBorder="1" applyAlignment="1">
      <alignment horizontal="center" vertical="center" wrapText="1"/>
    </xf>
    <xf numFmtId="0" fontId="4" fillId="6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vertical="center" wrapText="1"/>
    </xf>
    <xf numFmtId="164" fontId="4" fillId="6" borderId="0" xfId="0" applyNumberFormat="1" applyFont="1" applyFill="1" applyAlignment="1">
      <alignment horizontal="center" wrapText="1"/>
    </xf>
    <xf numFmtId="166" fontId="4" fillId="6" borderId="0" xfId="0" applyNumberFormat="1" applyFont="1" applyFill="1" applyAlignment="1">
      <alignment horizontal="center" wrapText="1"/>
    </xf>
    <xf numFmtId="166" fontId="4" fillId="6" borderId="0" xfId="0" applyNumberFormat="1" applyFont="1" applyFill="1" applyAlignment="1">
      <alignment horizontal="center" wrapText="1"/>
    </xf>
    <xf numFmtId="164" fontId="1" fillId="6" borderId="0" xfId="0" applyNumberFormat="1" applyFont="1" applyFill="1" applyAlignment="1">
      <alignment horizontal="center" wrapText="1"/>
    </xf>
    <xf numFmtId="164" fontId="4" fillId="6" borderId="0" xfId="0" applyNumberFormat="1" applyFont="1" applyFill="1" applyAlignment="1">
      <alignment horizontal="center" wrapText="1"/>
    </xf>
    <xf numFmtId="11" fontId="4" fillId="6" borderId="0" xfId="0" applyNumberFormat="1" applyFont="1" applyFill="1" applyAlignment="1">
      <alignment horizontal="center" wrapText="1"/>
    </xf>
    <xf numFmtId="11" fontId="1" fillId="6" borderId="0" xfId="0" applyNumberFormat="1" applyFont="1" applyFill="1" applyAlignment="1">
      <alignment horizontal="center" wrapText="1"/>
    </xf>
    <xf numFmtId="11" fontId="4" fillId="6" borderId="0" xfId="0" applyNumberFormat="1" applyFont="1" applyFill="1" applyAlignment="1">
      <alignment horizontal="center" wrapText="1"/>
    </xf>
    <xf numFmtId="14" fontId="6" fillId="0" borderId="2" xfId="0" applyNumberFormat="1" applyFont="1" applyBorder="1" applyAlignment="1">
      <alignment horizontal="center" vertical="center" wrapText="1"/>
    </xf>
    <xf numFmtId="11" fontId="4" fillId="6" borderId="0" xfId="0" applyNumberFormat="1" applyFont="1" applyFill="1" applyAlignment="1">
      <alignment horizontal="center" wrapText="1"/>
    </xf>
    <xf numFmtId="0" fontId="8" fillId="10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wrapText="1"/>
    </xf>
    <xf numFmtId="0" fontId="4" fillId="6" borderId="0" xfId="0" applyFont="1" applyFill="1" applyAlignment="1">
      <alignment horizontal="center" wrapText="1"/>
    </xf>
    <xf numFmtId="0" fontId="4" fillId="6" borderId="0" xfId="0" applyFont="1" applyFill="1" applyAlignment="1">
      <alignment horizontal="center" wrapText="1"/>
    </xf>
    <xf numFmtId="0" fontId="6" fillId="0" borderId="2" xfId="0" applyFont="1" applyBorder="1" applyAlignment="1">
      <alignment horizontal="center" vertical="center" wrapText="1"/>
    </xf>
    <xf numFmtId="0" fontId="4" fillId="11" borderId="0" xfId="0" applyFont="1" applyFill="1" applyAlignment="1">
      <alignment horizontal="center" wrapText="1"/>
    </xf>
    <xf numFmtId="0" fontId="8" fillId="12" borderId="0" xfId="0" applyFont="1" applyFill="1" applyAlignment="1">
      <alignment horizontal="center" vertical="center" wrapText="1"/>
    </xf>
    <xf numFmtId="0" fontId="4" fillId="11" borderId="0" xfId="0" applyFont="1" applyFill="1" applyAlignment="1">
      <alignment horizontal="center" wrapText="1"/>
    </xf>
    <xf numFmtId="0" fontId="3" fillId="12" borderId="0" xfId="0" applyFont="1" applyFill="1" applyAlignment="1">
      <alignment horizontal="center" vertical="center" wrapText="1"/>
    </xf>
    <xf numFmtId="164" fontId="4" fillId="11" borderId="0" xfId="0" applyNumberFormat="1" applyFont="1" applyFill="1" applyAlignment="1">
      <alignment horizontal="center" wrapText="1"/>
    </xf>
    <xf numFmtId="0" fontId="5" fillId="0" borderId="0" xfId="0" applyFont="1" applyAlignment="1">
      <alignment vertical="top" wrapText="1"/>
    </xf>
    <xf numFmtId="165" fontId="4" fillId="11" borderId="0" xfId="0" applyNumberFormat="1" applyFont="1" applyFill="1" applyAlignment="1">
      <alignment horizontal="center" wrapText="1"/>
    </xf>
    <xf numFmtId="0" fontId="5" fillId="13" borderId="0" xfId="0" applyFont="1" applyFill="1" applyAlignment="1">
      <alignment wrapText="1"/>
    </xf>
    <xf numFmtId="165" fontId="4" fillId="11" borderId="0" xfId="0" applyNumberFormat="1" applyFont="1" applyFill="1" applyAlignment="1">
      <alignment horizontal="center" wrapText="1"/>
    </xf>
    <xf numFmtId="166" fontId="4" fillId="11" borderId="0" xfId="0" applyNumberFormat="1" applyFont="1" applyFill="1" applyAlignment="1">
      <alignment horizontal="center" wrapText="1"/>
    </xf>
    <xf numFmtId="164" fontId="1" fillId="11" borderId="0" xfId="0" applyNumberFormat="1" applyFont="1" applyFill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164" fontId="4" fillId="11" borderId="0" xfId="0" applyNumberFormat="1" applyFont="1" applyFill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11" fontId="4" fillId="11" borderId="0" xfId="0" applyNumberFormat="1" applyFont="1" applyFill="1" applyAlignment="1">
      <alignment horizontal="center" wrapText="1"/>
    </xf>
    <xf numFmtId="11" fontId="1" fillId="11" borderId="0" xfId="0" applyNumberFormat="1" applyFont="1" applyFill="1" applyAlignment="1">
      <alignment horizontal="center" wrapText="1"/>
    </xf>
    <xf numFmtId="0" fontId="5" fillId="14" borderId="0" xfId="0" applyFont="1" applyFill="1" applyAlignment="1">
      <alignment wrapText="1"/>
    </xf>
    <xf numFmtId="0" fontId="6" fillId="0" borderId="0" xfId="0" applyFont="1" applyAlignment="1">
      <alignment horizontal="center" vertical="center" wrapText="1"/>
    </xf>
    <xf numFmtId="11" fontId="4" fillId="11" borderId="0" xfId="0" applyNumberFormat="1" applyFont="1" applyFill="1" applyAlignment="1">
      <alignment horizontal="center" wrapText="1"/>
    </xf>
    <xf numFmtId="0" fontId="3" fillId="15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11" borderId="0" xfId="0" applyFont="1" applyFill="1" applyAlignment="1">
      <alignment horizontal="center" wrapText="1"/>
    </xf>
    <xf numFmtId="0" fontId="8" fillId="15" borderId="0" xfId="0" applyFont="1" applyFill="1" applyAlignment="1">
      <alignment horizontal="center" vertical="center" wrapText="1"/>
    </xf>
    <xf numFmtId="0" fontId="4" fillId="11" borderId="0" xfId="0" applyFont="1" applyFill="1" applyAlignment="1">
      <alignment horizontal="center" wrapText="1"/>
    </xf>
    <xf numFmtId="0" fontId="1" fillId="16" borderId="0" xfId="0" applyFont="1" applyFill="1" applyAlignment="1">
      <alignment wrapText="1"/>
    </xf>
    <xf numFmtId="0" fontId="3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wrapText="1"/>
    </xf>
    <xf numFmtId="0" fontId="4" fillId="11" borderId="0" xfId="0" applyFont="1" applyFill="1" applyAlignment="1">
      <alignment horizontal="center" wrapText="1"/>
    </xf>
    <xf numFmtId="0" fontId="5" fillId="16" borderId="0" xfId="0" applyFont="1" applyFill="1" applyAlignment="1">
      <alignment wrapText="1"/>
    </xf>
    <xf numFmtId="0" fontId="4" fillId="11" borderId="0" xfId="0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0" fontId="5" fillId="16" borderId="0" xfId="0" applyFont="1" applyFill="1" applyAlignment="1">
      <alignment wrapText="1"/>
    </xf>
    <xf numFmtId="0" fontId="4" fillId="18" borderId="0" xfId="0" applyFont="1" applyFill="1" applyAlignment="1">
      <alignment horizontal="center" wrapText="1"/>
    </xf>
    <xf numFmtId="0" fontId="1" fillId="19" borderId="0" xfId="0" applyFont="1" applyFill="1" applyAlignment="1">
      <alignment wrapText="1"/>
    </xf>
    <xf numFmtId="164" fontId="4" fillId="18" borderId="0" xfId="0" applyNumberFormat="1" applyFont="1" applyFill="1" applyAlignment="1">
      <alignment horizontal="center" wrapText="1"/>
    </xf>
    <xf numFmtId="0" fontId="5" fillId="19" borderId="0" xfId="0" applyFont="1" applyFill="1" applyAlignment="1">
      <alignment wrapText="1"/>
    </xf>
    <xf numFmtId="165" fontId="4" fillId="18" borderId="0" xfId="0" applyNumberFormat="1" applyFont="1" applyFill="1" applyAlignment="1">
      <alignment horizontal="center" wrapText="1"/>
    </xf>
    <xf numFmtId="0" fontId="5" fillId="19" borderId="0" xfId="0" applyFont="1" applyFill="1" applyAlignment="1">
      <alignment wrapText="1"/>
    </xf>
    <xf numFmtId="166" fontId="4" fillId="18" borderId="0" xfId="0" applyNumberFormat="1" applyFont="1" applyFill="1" applyAlignment="1">
      <alignment horizontal="center" wrapText="1"/>
    </xf>
    <xf numFmtId="0" fontId="5" fillId="19" borderId="0" xfId="0" applyFont="1" applyFill="1" applyAlignment="1">
      <alignment wrapText="1"/>
    </xf>
    <xf numFmtId="164" fontId="1" fillId="18" borderId="0" xfId="0" applyNumberFormat="1" applyFont="1" applyFill="1" applyAlignment="1">
      <alignment horizontal="center" wrapText="1"/>
    </xf>
    <xf numFmtId="164" fontId="4" fillId="18" borderId="0" xfId="0" applyNumberFormat="1" applyFont="1" applyFill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11" fontId="4" fillId="18" borderId="0" xfId="0" applyNumberFormat="1" applyFont="1" applyFill="1" applyAlignment="1">
      <alignment horizontal="center" wrapText="1"/>
    </xf>
    <xf numFmtId="11" fontId="1" fillId="18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left" wrapText="1"/>
    </xf>
    <xf numFmtId="11" fontId="4" fillId="18" borderId="0" xfId="0" applyNumberFormat="1" applyFont="1" applyFill="1" applyAlignment="1">
      <alignment horizontal="center" wrapText="1"/>
    </xf>
    <xf numFmtId="11" fontId="4" fillId="18" borderId="0" xfId="0" applyNumberFormat="1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164" fontId="9" fillId="18" borderId="0" xfId="0" applyNumberFormat="1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164" fontId="4" fillId="20" borderId="0" xfId="0" applyNumberFormat="1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3" fillId="18" borderId="0" xfId="0" applyFont="1" applyFill="1" applyAlignment="1">
      <alignment horizontal="center" vertical="center" wrapText="1"/>
    </xf>
    <xf numFmtId="165" fontId="4" fillId="20" borderId="0" xfId="0" applyNumberFormat="1" applyFont="1" applyFill="1" applyAlignment="1">
      <alignment horizontal="center" wrapText="1"/>
    </xf>
    <xf numFmtId="0" fontId="3" fillId="21" borderId="0" xfId="0" applyFont="1" applyFill="1" applyAlignment="1">
      <alignment horizontal="center" vertical="center" wrapText="1"/>
    </xf>
    <xf numFmtId="166" fontId="4" fillId="20" borderId="0" xfId="0" applyNumberFormat="1" applyFont="1" applyFill="1" applyAlignment="1">
      <alignment horizontal="center" wrapText="1"/>
    </xf>
    <xf numFmtId="164" fontId="1" fillId="20" borderId="0" xfId="0" applyNumberFormat="1" applyFont="1" applyFill="1" applyAlignment="1">
      <alignment horizontal="center" wrapText="1"/>
    </xf>
    <xf numFmtId="164" fontId="4" fillId="20" borderId="0" xfId="0" applyNumberFormat="1" applyFont="1" applyFill="1" applyAlignment="1">
      <alignment horizontal="center" wrapText="1"/>
    </xf>
    <xf numFmtId="11" fontId="4" fillId="20" borderId="0" xfId="0" applyNumberFormat="1" applyFont="1" applyFill="1" applyAlignment="1">
      <alignment horizontal="center" wrapText="1"/>
    </xf>
    <xf numFmtId="0" fontId="6" fillId="0" borderId="0" xfId="0" applyFont="1" applyAlignment="1">
      <alignment horizontal="center" vertical="center"/>
    </xf>
    <xf numFmtId="11" fontId="1" fillId="20" borderId="0" xfId="0" applyNumberFormat="1" applyFont="1" applyFill="1" applyAlignment="1">
      <alignment horizontal="center" wrapText="1"/>
    </xf>
    <xf numFmtId="11" fontId="4" fillId="20" borderId="0" xfId="0" applyNumberFormat="1" applyFont="1" applyFill="1" applyAlignment="1">
      <alignment horizontal="center" wrapText="1"/>
    </xf>
    <xf numFmtId="11" fontId="4" fillId="20" borderId="0" xfId="0" applyNumberFormat="1" applyFont="1" applyFill="1" applyAlignment="1">
      <alignment horizontal="center" wrapText="1"/>
    </xf>
    <xf numFmtId="14" fontId="4" fillId="20" borderId="0" xfId="0" applyNumberFormat="1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10" fillId="8" borderId="0" xfId="0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164" fontId="10" fillId="8" borderId="0" xfId="0" applyNumberFormat="1" applyFont="1" applyFill="1" applyAlignment="1">
      <alignment horizontal="center" wrapText="1"/>
    </xf>
    <xf numFmtId="0" fontId="3" fillId="16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center" wrapText="1"/>
    </xf>
    <xf numFmtId="165" fontId="10" fillId="8" borderId="0" xfId="0" applyNumberFormat="1" applyFont="1" applyFill="1" applyAlignment="1">
      <alignment horizontal="center" wrapText="1"/>
    </xf>
    <xf numFmtId="166" fontId="10" fillId="8" borderId="0" xfId="0" applyNumberFormat="1" applyFont="1" applyFill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164" fontId="11" fillId="8" borderId="0" xfId="0" applyNumberFormat="1" applyFont="1" applyFill="1" applyAlignment="1">
      <alignment horizontal="center" wrapText="1"/>
    </xf>
    <xf numFmtId="164" fontId="10" fillId="8" borderId="0" xfId="0" applyNumberFormat="1" applyFont="1" applyFill="1" applyAlignment="1">
      <alignment horizontal="center" wrapText="1"/>
    </xf>
    <xf numFmtId="11" fontId="10" fillId="8" borderId="0" xfId="0" applyNumberFormat="1" applyFont="1" applyFill="1" applyAlignment="1">
      <alignment horizontal="center" wrapText="1"/>
    </xf>
    <xf numFmtId="11" fontId="11" fillId="8" borderId="0" xfId="0" applyNumberFormat="1" applyFont="1" applyFill="1" applyAlignment="1">
      <alignment horizontal="center" wrapText="1"/>
    </xf>
    <xf numFmtId="0" fontId="3" fillId="22" borderId="0" xfId="0" applyFont="1" applyFill="1" applyAlignment="1">
      <alignment horizontal="center" vertical="center" wrapText="1"/>
    </xf>
    <xf numFmtId="11" fontId="10" fillId="8" borderId="0" xfId="0" applyNumberFormat="1" applyFont="1" applyFill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11" fontId="10" fillId="8" borderId="0" xfId="0" applyNumberFormat="1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10" fillId="8" borderId="0" xfId="0" applyFont="1" applyFill="1" applyAlignment="1">
      <alignment horizontal="center" wrapText="1"/>
    </xf>
    <xf numFmtId="0" fontId="1" fillId="23" borderId="0" xfId="0" applyFont="1" applyFill="1" applyAlignment="1">
      <alignment wrapText="1"/>
    </xf>
    <xf numFmtId="0" fontId="3" fillId="0" borderId="0" xfId="0" applyFont="1" applyAlignment="1">
      <alignment horizontal="center" vertical="center" wrapText="1"/>
    </xf>
    <xf numFmtId="0" fontId="5" fillId="23" borderId="0" xfId="0" applyFont="1" applyFill="1" applyAlignment="1">
      <alignment wrapText="1"/>
    </xf>
    <xf numFmtId="0" fontId="5" fillId="23" borderId="0" xfId="0" applyFont="1" applyFill="1" applyAlignment="1">
      <alignment wrapText="1"/>
    </xf>
    <xf numFmtId="0" fontId="7" fillId="0" borderId="0" xfId="0" applyFont="1" applyAlignment="1">
      <alignment horizontal="center" vertical="center" wrapText="1"/>
    </xf>
    <xf numFmtId="0" fontId="5" fillId="23" borderId="0" xfId="0" applyFont="1" applyFill="1" applyAlignment="1">
      <alignment wrapText="1"/>
    </xf>
    <xf numFmtId="0" fontId="10" fillId="8" borderId="0" xfId="0" applyFont="1" applyFill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164" fontId="10" fillId="2" borderId="0" xfId="0" applyNumberFormat="1" applyFont="1" applyFill="1" applyAlignment="1">
      <alignment horizontal="center" wrapText="1"/>
    </xf>
    <xf numFmtId="166" fontId="10" fillId="2" borderId="0" xfId="0" applyNumberFormat="1" applyFont="1" applyFill="1" applyAlignment="1">
      <alignment horizontal="center" wrapText="1"/>
    </xf>
    <xf numFmtId="0" fontId="3" fillId="24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6" fontId="10" fillId="2" borderId="0" xfId="0" applyNumberFormat="1" applyFont="1" applyFill="1" applyAlignment="1">
      <alignment horizontal="center" wrapText="1"/>
    </xf>
    <xf numFmtId="164" fontId="11" fillId="2" borderId="0" xfId="0" applyNumberFormat="1" applyFont="1" applyFill="1" applyAlignment="1">
      <alignment horizontal="center" wrapText="1"/>
    </xf>
    <xf numFmtId="0" fontId="12" fillId="0" borderId="0" xfId="0" applyFont="1" applyAlignment="1">
      <alignment wrapText="1"/>
    </xf>
    <xf numFmtId="164" fontId="10" fillId="2" borderId="0" xfId="0" applyNumberFormat="1" applyFont="1" applyFill="1" applyAlignment="1">
      <alignment horizontal="center" wrapText="1"/>
    </xf>
    <xf numFmtId="11" fontId="10" fillId="2" borderId="0" xfId="0" applyNumberFormat="1" applyFont="1" applyFill="1" applyAlignment="1">
      <alignment horizontal="center" wrapText="1"/>
    </xf>
    <xf numFmtId="11" fontId="11" fillId="2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11" fontId="10" fillId="2" borderId="0" xfId="0" applyNumberFormat="1" applyFont="1" applyFill="1" applyAlignment="1">
      <alignment horizontal="center" wrapText="1"/>
    </xf>
    <xf numFmtId="14" fontId="5" fillId="0" borderId="0" xfId="0" applyNumberFormat="1" applyFont="1" applyAlignment="1">
      <alignment horizontal="center" vertical="center" wrapText="1"/>
    </xf>
    <xf numFmtId="11" fontId="10" fillId="2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10" fillId="2" borderId="0" xfId="0" applyFont="1" applyFill="1" applyAlignment="1">
      <alignment horizontal="center" wrapText="1"/>
    </xf>
    <xf numFmtId="0" fontId="8" fillId="6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3" fillId="25" borderId="0" xfId="0" applyFont="1" applyFill="1" applyAlignment="1">
      <alignment horizontal="center" vertical="center" wrapText="1"/>
    </xf>
    <xf numFmtId="0" fontId="13" fillId="0" borderId="0" xfId="0" applyFont="1" applyAlignment="1">
      <alignment wrapText="1"/>
    </xf>
    <xf numFmtId="0" fontId="3" fillId="26" borderId="0" xfId="0" applyFont="1" applyFill="1" applyAlignment="1">
      <alignment horizontal="center" vertical="center" wrapText="1"/>
    </xf>
    <xf numFmtId="0" fontId="12" fillId="2" borderId="0" xfId="0" applyFont="1" applyFill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12" fillId="0" borderId="0" xfId="0" applyFont="1" applyAlignment="1">
      <alignment wrapText="1"/>
    </xf>
    <xf numFmtId="0" fontId="3" fillId="27" borderId="0" xfId="0" applyFont="1" applyFill="1" applyAlignment="1">
      <alignment horizontal="center" vertical="center" wrapText="1"/>
    </xf>
    <xf numFmtId="0" fontId="4" fillId="17" borderId="0" xfId="0" applyFont="1" applyFill="1" applyAlignment="1">
      <alignment horizontal="center" wrapText="1"/>
    </xf>
    <xf numFmtId="0" fontId="6" fillId="0" borderId="2" xfId="0" applyFont="1" applyBorder="1" applyAlignment="1">
      <alignment horizontal="center" vertical="center" wrapText="1"/>
    </xf>
    <xf numFmtId="0" fontId="4" fillId="17" borderId="0" xfId="0" applyFont="1" applyFill="1" applyAlignment="1">
      <alignment horizontal="center" wrapText="1"/>
    </xf>
    <xf numFmtId="0" fontId="1" fillId="28" borderId="0" xfId="0" applyFont="1" applyFill="1" applyAlignment="1">
      <alignment wrapText="1"/>
    </xf>
    <xf numFmtId="0" fontId="3" fillId="29" borderId="0" xfId="0" applyFont="1" applyFill="1" applyAlignment="1">
      <alignment horizontal="center" vertical="center" wrapText="1"/>
    </xf>
    <xf numFmtId="0" fontId="5" fillId="28" borderId="0" xfId="0" applyFont="1" applyFill="1" applyAlignment="1">
      <alignment wrapText="1"/>
    </xf>
    <xf numFmtId="164" fontId="4" fillId="17" borderId="0" xfId="0" applyNumberFormat="1" applyFont="1" applyFill="1" applyAlignment="1">
      <alignment horizontal="center" wrapText="1"/>
    </xf>
    <xf numFmtId="0" fontId="3" fillId="30" borderId="0" xfId="0" applyFont="1" applyFill="1" applyAlignment="1">
      <alignment horizontal="center" vertical="center" wrapText="1"/>
    </xf>
    <xf numFmtId="0" fontId="4" fillId="17" borderId="0" xfId="0" applyFont="1" applyFill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5" fillId="28" borderId="0" xfId="0" applyFont="1" applyFill="1" applyAlignment="1">
      <alignment wrapText="1"/>
    </xf>
    <xf numFmtId="166" fontId="4" fillId="17" borderId="0" xfId="0" applyNumberFormat="1" applyFont="1" applyFill="1" applyAlignment="1">
      <alignment horizontal="center" wrapText="1"/>
    </xf>
    <xf numFmtId="165" fontId="4" fillId="17" borderId="0" xfId="0" applyNumberFormat="1" applyFont="1" applyFill="1" applyAlignment="1">
      <alignment horizontal="center" wrapText="1"/>
    </xf>
    <xf numFmtId="0" fontId="3" fillId="31" borderId="0" xfId="0" applyFont="1" applyFill="1" applyAlignment="1">
      <alignment horizontal="center" vertical="center" wrapText="1"/>
    </xf>
    <xf numFmtId="166" fontId="4" fillId="17" borderId="0" xfId="0" applyNumberFormat="1" applyFont="1" applyFill="1" applyAlignment="1">
      <alignment horizontal="center" wrapText="1"/>
    </xf>
    <xf numFmtId="164" fontId="1" fillId="17" borderId="0" xfId="0" applyNumberFormat="1" applyFont="1" applyFill="1" applyAlignment="1">
      <alignment horizontal="center" wrapText="1"/>
    </xf>
    <xf numFmtId="0" fontId="5" fillId="23" borderId="0" xfId="0" applyFont="1" applyFill="1" applyAlignment="1">
      <alignment horizontal="center" vertical="center" wrapText="1"/>
    </xf>
    <xf numFmtId="164" fontId="4" fillId="17" borderId="0" xfId="0" applyNumberFormat="1" applyFont="1" applyFill="1" applyAlignment="1">
      <alignment horizontal="center" wrapText="1"/>
    </xf>
    <xf numFmtId="11" fontId="4" fillId="17" borderId="0" xfId="0" applyNumberFormat="1" applyFont="1" applyFill="1" applyAlignment="1">
      <alignment horizontal="center" wrapText="1"/>
    </xf>
    <xf numFmtId="11" fontId="1" fillId="17" borderId="0" xfId="0" applyNumberFormat="1" applyFont="1" applyFill="1" applyAlignment="1">
      <alignment horizontal="center" wrapText="1"/>
    </xf>
    <xf numFmtId="0" fontId="1" fillId="8" borderId="0" xfId="0" applyFont="1" applyFill="1" applyAlignment="1">
      <alignment wrapText="1"/>
    </xf>
    <xf numFmtId="0" fontId="3" fillId="32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wrapText="1"/>
    </xf>
    <xf numFmtId="166" fontId="3" fillId="0" borderId="0" xfId="0" applyNumberFormat="1" applyFont="1" applyAlignment="1">
      <alignment horizontal="center" vertical="center" wrapText="1"/>
    </xf>
    <xf numFmtId="0" fontId="5" fillId="8" borderId="0" xfId="0" applyFont="1" applyFill="1" applyAlignment="1">
      <alignment wrapText="1"/>
    </xf>
    <xf numFmtId="0" fontId="3" fillId="10" borderId="0" xfId="0" applyFont="1" applyFill="1" applyAlignment="1">
      <alignment horizontal="center" vertical="center" wrapText="1"/>
    </xf>
    <xf numFmtId="14" fontId="5" fillId="8" borderId="0" xfId="0" applyNumberFormat="1" applyFont="1" applyFill="1" applyAlignment="1">
      <alignment horizontal="left" wrapText="1"/>
    </xf>
    <xf numFmtId="0" fontId="3" fillId="33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left" wrapText="1"/>
    </xf>
    <xf numFmtId="11" fontId="4" fillId="17" borderId="0" xfId="0" applyNumberFormat="1" applyFont="1" applyFill="1" applyAlignment="1">
      <alignment horizontal="center" wrapText="1"/>
    </xf>
    <xf numFmtId="11" fontId="4" fillId="17" borderId="0" xfId="0" applyNumberFormat="1" applyFont="1" applyFill="1" applyAlignment="1">
      <alignment horizontal="center" wrapText="1"/>
    </xf>
    <xf numFmtId="0" fontId="4" fillId="17" borderId="0" xfId="0" applyFont="1" applyFill="1" applyAlignment="1">
      <alignment horizontal="center" wrapText="1"/>
    </xf>
    <xf numFmtId="0" fontId="4" fillId="17" borderId="0" xfId="0" applyFont="1" applyFill="1" applyAlignment="1">
      <alignment horizontal="center" wrapText="1"/>
    </xf>
    <xf numFmtId="0" fontId="3" fillId="34" borderId="0" xfId="0" applyFont="1" applyFill="1" applyAlignment="1">
      <alignment horizontal="center" vertical="center" wrapText="1"/>
    </xf>
    <xf numFmtId="0" fontId="12" fillId="0" borderId="1" xfId="0" applyFont="1" applyBorder="1" applyAlignment="1">
      <alignment wrapText="1"/>
    </xf>
    <xf numFmtId="14" fontId="12" fillId="0" borderId="0" xfId="0" applyNumberFormat="1" applyFont="1" applyAlignment="1">
      <alignment wrapText="1"/>
    </xf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wrapText="1"/>
    </xf>
    <xf numFmtId="0" fontId="10" fillId="11" borderId="0" xfId="0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0" fontId="12" fillId="2" borderId="0" xfId="0" applyFont="1" applyFill="1" applyAlignment="1">
      <alignment wrapText="1"/>
    </xf>
    <xf numFmtId="0" fontId="10" fillId="11" borderId="0" xfId="0" applyFont="1" applyFill="1" applyAlignment="1">
      <alignment horizontal="center" wrapText="1"/>
    </xf>
    <xf numFmtId="164" fontId="10" fillId="11" borderId="0" xfId="0" applyNumberFormat="1" applyFont="1" applyFill="1" applyAlignment="1">
      <alignment horizontal="center" wrapText="1"/>
    </xf>
    <xf numFmtId="0" fontId="14" fillId="13" borderId="0" xfId="0" applyFont="1" applyFill="1" applyAlignment="1">
      <alignment horizontal="left" wrapText="1"/>
    </xf>
    <xf numFmtId="165" fontId="10" fillId="11" borderId="0" xfId="0" applyNumberFormat="1" applyFont="1" applyFill="1" applyAlignment="1">
      <alignment horizontal="center" wrapText="1"/>
    </xf>
    <xf numFmtId="166" fontId="10" fillId="11" borderId="0" xfId="0" applyNumberFormat="1" applyFont="1" applyFill="1" applyAlignment="1">
      <alignment horizontal="center" wrapText="1"/>
    </xf>
    <xf numFmtId="164" fontId="11" fillId="11" borderId="0" xfId="0" applyNumberFormat="1" applyFont="1" applyFill="1" applyAlignment="1">
      <alignment horizontal="center" wrapText="1"/>
    </xf>
    <xf numFmtId="0" fontId="14" fillId="0" borderId="0" xfId="0" applyFont="1" applyAlignment="1">
      <alignment horizontal="left" wrapText="1"/>
    </xf>
    <xf numFmtId="164" fontId="10" fillId="11" borderId="0" xfId="0" applyNumberFormat="1" applyFont="1" applyFill="1" applyAlignment="1">
      <alignment horizontal="center" wrapText="1"/>
    </xf>
    <xf numFmtId="11" fontId="10" fillId="11" borderId="0" xfId="0" applyNumberFormat="1" applyFont="1" applyFill="1" applyAlignment="1">
      <alignment horizontal="center" wrapText="1"/>
    </xf>
    <xf numFmtId="11" fontId="11" fillId="11" borderId="0" xfId="0" applyNumberFormat="1" applyFont="1" applyFill="1" applyAlignment="1">
      <alignment horizontal="center" wrapText="1"/>
    </xf>
    <xf numFmtId="166" fontId="6" fillId="0" borderId="2" xfId="0" applyNumberFormat="1" applyFont="1" applyBorder="1" applyAlignment="1">
      <alignment horizontal="center" vertical="center" wrapText="1"/>
    </xf>
    <xf numFmtId="11" fontId="10" fillId="11" borderId="0" xfId="0" applyNumberFormat="1" applyFont="1" applyFill="1" applyAlignment="1">
      <alignment horizontal="center" wrapText="1"/>
    </xf>
    <xf numFmtId="168" fontId="6" fillId="0" borderId="0" xfId="0" applyNumberFormat="1" applyFont="1" applyAlignment="1">
      <alignment horizontal="center" vertical="center" wrapText="1"/>
    </xf>
    <xf numFmtId="11" fontId="10" fillId="11" borderId="0" xfId="0" applyNumberFormat="1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11" fontId="1" fillId="18" borderId="0" xfId="0" applyNumberFormat="1" applyFont="1" applyFill="1" applyAlignment="1">
      <alignment horizontal="center" wrapText="1"/>
    </xf>
    <xf numFmtId="0" fontId="16" fillId="0" borderId="0" xfId="0" applyFont="1" applyAlignment="1">
      <alignment horizontal="center" vertical="center" wrapText="1"/>
    </xf>
    <xf numFmtId="11" fontId="4" fillId="18" borderId="0" xfId="0" applyNumberFormat="1" applyFont="1" applyFill="1" applyAlignment="1">
      <alignment horizontal="center" wrapText="1"/>
    </xf>
    <xf numFmtId="0" fontId="15" fillId="0" borderId="0" xfId="0" applyFont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wrapText="1"/>
    </xf>
    <xf numFmtId="166" fontId="15" fillId="35" borderId="0" xfId="0" applyNumberFormat="1" applyFont="1" applyFill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0" fontId="17" fillId="35" borderId="0" xfId="0" applyFont="1" applyFill="1" applyAlignment="1">
      <alignment horizontal="center" vertical="center" wrapText="1"/>
    </xf>
    <xf numFmtId="0" fontId="11" fillId="0" borderId="0" xfId="0" applyFont="1" applyAlignment="1">
      <alignment wrapText="1"/>
    </xf>
    <xf numFmtId="0" fontId="15" fillId="35" borderId="0" xfId="0" applyFont="1" applyFill="1" applyAlignment="1">
      <alignment horizontal="center" vertical="center" wrapText="1"/>
    </xf>
    <xf numFmtId="0" fontId="10" fillId="0" borderId="0" xfId="0" applyFont="1" applyAlignment="1">
      <alignment wrapText="1"/>
    </xf>
    <xf numFmtId="0" fontId="3" fillId="35" borderId="0" xfId="0" applyFont="1" applyFill="1" applyAlignment="1">
      <alignment horizontal="center" vertical="center" wrapText="1"/>
    </xf>
    <xf numFmtId="0" fontId="10" fillId="0" borderId="0" xfId="0" applyFont="1" applyAlignment="1">
      <alignment wrapText="1"/>
    </xf>
    <xf numFmtId="0" fontId="3" fillId="35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17" borderId="0" xfId="0" applyFont="1" applyFill="1" applyAlignment="1">
      <alignment horizontal="center" wrapText="1"/>
    </xf>
    <xf numFmtId="166" fontId="15" fillId="0" borderId="0" xfId="0" applyNumberFormat="1" applyFont="1" applyAlignment="1">
      <alignment horizontal="center" vertical="center" wrapText="1"/>
    </xf>
    <xf numFmtId="0" fontId="10" fillId="17" borderId="0" xfId="0" applyFont="1" applyFill="1" applyAlignment="1">
      <alignment horizontal="center" wrapText="1"/>
    </xf>
    <xf numFmtId="0" fontId="15" fillId="0" borderId="0" xfId="0" applyFont="1" applyAlignment="1">
      <alignment horizontal="center" vertical="center" wrapText="1"/>
    </xf>
    <xf numFmtId="164" fontId="10" fillId="17" borderId="0" xfId="0" applyNumberFormat="1" applyFont="1" applyFill="1" applyAlignment="1">
      <alignment horizontal="center" wrapText="1"/>
    </xf>
    <xf numFmtId="0" fontId="18" fillId="0" borderId="0" xfId="0" applyFont="1" applyAlignment="1">
      <alignment horizontal="center" vertical="center" wrapText="1"/>
    </xf>
    <xf numFmtId="166" fontId="10" fillId="17" borderId="0" xfId="0" applyNumberFormat="1" applyFont="1" applyFill="1" applyAlignment="1">
      <alignment horizontal="center" wrapText="1"/>
    </xf>
    <xf numFmtId="165" fontId="10" fillId="17" borderId="0" xfId="0" applyNumberFormat="1" applyFont="1" applyFill="1" applyAlignment="1">
      <alignment horizontal="center" wrapText="1"/>
    </xf>
    <xf numFmtId="0" fontId="18" fillId="0" borderId="0" xfId="0" applyFont="1" applyAlignment="1">
      <alignment horizontal="center" vertical="center" wrapText="1"/>
    </xf>
    <xf numFmtId="166" fontId="10" fillId="17" borderId="0" xfId="0" applyNumberFormat="1" applyFont="1" applyFill="1" applyAlignment="1">
      <alignment horizontal="center" wrapText="1"/>
    </xf>
    <xf numFmtId="166" fontId="15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wrapText="1"/>
    </xf>
    <xf numFmtId="166" fontId="18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164" fontId="11" fillId="17" borderId="0" xfId="0" applyNumberFormat="1" applyFont="1" applyFill="1" applyAlignment="1">
      <alignment horizontal="center" wrapText="1"/>
    </xf>
    <xf numFmtId="0" fontId="15" fillId="35" borderId="0" xfId="0" applyFont="1" applyFill="1" applyAlignment="1">
      <alignment horizontal="center" vertical="center" wrapText="1"/>
    </xf>
    <xf numFmtId="164" fontId="10" fillId="17" borderId="0" xfId="0" applyNumberFormat="1" applyFont="1" applyFill="1" applyAlignment="1">
      <alignment horizontal="center" wrapText="1"/>
    </xf>
    <xf numFmtId="0" fontId="18" fillId="35" borderId="0" xfId="0" applyFont="1" applyFill="1" applyAlignment="1">
      <alignment horizontal="center" vertical="center" wrapText="1"/>
    </xf>
    <xf numFmtId="11" fontId="10" fillId="17" borderId="0" xfId="0" applyNumberFormat="1" applyFont="1" applyFill="1" applyAlignment="1">
      <alignment horizontal="center" wrapText="1"/>
    </xf>
    <xf numFmtId="0" fontId="18" fillId="35" borderId="0" xfId="0" applyFont="1" applyFill="1" applyAlignment="1">
      <alignment horizontal="center" vertical="center" wrapText="1"/>
    </xf>
    <xf numFmtId="11" fontId="11" fillId="17" borderId="0" xfId="0" applyNumberFormat="1" applyFont="1" applyFill="1" applyAlignment="1">
      <alignment horizontal="center" wrapText="1"/>
    </xf>
    <xf numFmtId="0" fontId="15" fillId="35" borderId="2" xfId="0" applyFont="1" applyFill="1" applyBorder="1" applyAlignment="1">
      <alignment horizontal="center" vertical="center" wrapText="1"/>
    </xf>
    <xf numFmtId="11" fontId="10" fillId="17" borderId="0" xfId="0" applyNumberFormat="1" applyFont="1" applyFill="1" applyAlignment="1">
      <alignment horizontal="center" wrapText="1"/>
    </xf>
    <xf numFmtId="0" fontId="15" fillId="35" borderId="1" xfId="0" applyFont="1" applyFill="1" applyBorder="1" applyAlignment="1">
      <alignment horizontal="center" vertical="center" wrapText="1"/>
    </xf>
    <xf numFmtId="11" fontId="10" fillId="17" borderId="0" xfId="0" applyNumberFormat="1" applyFont="1" applyFill="1" applyAlignment="1">
      <alignment horizontal="center" wrapText="1"/>
    </xf>
    <xf numFmtId="0" fontId="3" fillId="14" borderId="0" xfId="0" applyFont="1" applyFill="1" applyAlignment="1">
      <alignment horizontal="center" vertical="center" wrapText="1"/>
    </xf>
    <xf numFmtId="0" fontId="10" fillId="17" borderId="0" xfId="0" applyFont="1" applyFill="1" applyAlignment="1">
      <alignment horizontal="center" wrapText="1"/>
    </xf>
    <xf numFmtId="0" fontId="3" fillId="14" borderId="0" xfId="0" applyFont="1" applyFill="1" applyAlignment="1">
      <alignment horizontal="center" vertical="center" wrapText="1"/>
    </xf>
    <xf numFmtId="0" fontId="10" fillId="17" borderId="0" xfId="0" applyFont="1" applyFill="1" applyAlignment="1">
      <alignment horizontal="center" wrapText="1"/>
    </xf>
    <xf numFmtId="0" fontId="3" fillId="14" borderId="0" xfId="0" applyFont="1" applyFill="1" applyAlignment="1">
      <alignment horizontal="center" vertical="center" wrapText="1"/>
    </xf>
    <xf numFmtId="0" fontId="10" fillId="17" borderId="0" xfId="0" applyFont="1" applyFill="1" applyAlignment="1">
      <alignment horizontal="center" wrapText="1"/>
    </xf>
    <xf numFmtId="0" fontId="15" fillId="14" borderId="2" xfId="0" applyFont="1" applyFill="1" applyBorder="1" applyAlignment="1">
      <alignment horizontal="center" vertical="center" wrapText="1"/>
    </xf>
    <xf numFmtId="0" fontId="10" fillId="17" borderId="0" xfId="0" applyFont="1" applyFill="1" applyAlignment="1">
      <alignment horizontal="center" wrapText="1"/>
    </xf>
    <xf numFmtId="0" fontId="3" fillId="14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wrapText="1"/>
    </xf>
    <xf numFmtId="166" fontId="15" fillId="14" borderId="2" xfId="0" applyNumberFormat="1" applyFont="1" applyFill="1" applyBorder="1" applyAlignment="1">
      <alignment horizontal="center" vertical="center" wrapText="1"/>
    </xf>
    <xf numFmtId="166" fontId="10" fillId="11" borderId="0" xfId="0" applyNumberFormat="1" applyFont="1" applyFill="1" applyAlignment="1">
      <alignment horizontal="center" wrapText="1"/>
    </xf>
    <xf numFmtId="0" fontId="5" fillId="0" borderId="2" xfId="0" applyFont="1" applyBorder="1" applyAlignment="1">
      <alignment wrapText="1"/>
    </xf>
    <xf numFmtId="0" fontId="10" fillId="11" borderId="0" xfId="0" applyFont="1" applyFill="1" applyAlignment="1">
      <alignment horizontal="center" wrapText="1"/>
    </xf>
    <xf numFmtId="0" fontId="15" fillId="14" borderId="0" xfId="0" applyFont="1" applyFill="1" applyAlignment="1">
      <alignment horizontal="center" vertical="center" wrapText="1"/>
    </xf>
    <xf numFmtId="0" fontId="4" fillId="36" borderId="0" xfId="0" applyFont="1" applyFill="1" applyAlignment="1">
      <alignment horizontal="center" wrapText="1"/>
    </xf>
    <xf numFmtId="0" fontId="17" fillId="14" borderId="0" xfId="0" applyFont="1" applyFill="1" applyAlignment="1">
      <alignment horizontal="center" vertical="center" wrapText="1"/>
    </xf>
    <xf numFmtId="0" fontId="4" fillId="36" borderId="0" xfId="0" applyFont="1" applyFill="1" applyAlignment="1">
      <alignment horizontal="center" wrapText="1"/>
    </xf>
    <xf numFmtId="0" fontId="15" fillId="14" borderId="0" xfId="0" applyFont="1" applyFill="1" applyAlignment="1">
      <alignment horizontal="center" vertical="center" wrapText="1"/>
    </xf>
    <xf numFmtId="164" fontId="4" fillId="36" borderId="0" xfId="0" applyNumberFormat="1" applyFont="1" applyFill="1" applyAlignment="1">
      <alignment horizontal="center" wrapText="1"/>
    </xf>
    <xf numFmtId="0" fontId="3" fillId="35" borderId="0" xfId="0" applyFont="1" applyFill="1" applyAlignment="1">
      <alignment horizontal="center" vertical="center" wrapText="1"/>
    </xf>
    <xf numFmtId="0" fontId="4" fillId="36" borderId="0" xfId="0" applyFont="1" applyFill="1" applyAlignment="1">
      <alignment horizontal="center" wrapText="1"/>
    </xf>
    <xf numFmtId="0" fontId="3" fillId="35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wrapText="1"/>
    </xf>
    <xf numFmtId="166" fontId="15" fillId="35" borderId="2" xfId="0" applyNumberFormat="1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left" wrapText="1"/>
    </xf>
    <xf numFmtId="0" fontId="15" fillId="3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wrapText="1"/>
    </xf>
    <xf numFmtId="0" fontId="17" fillId="35" borderId="0" xfId="0" applyFont="1" applyFill="1" applyAlignment="1">
      <alignment horizontal="center" vertical="center" wrapText="1"/>
    </xf>
    <xf numFmtId="166" fontId="4" fillId="36" borderId="0" xfId="0" applyNumberFormat="1" applyFont="1" applyFill="1" applyAlignment="1">
      <alignment horizontal="center" wrapText="1"/>
    </xf>
    <xf numFmtId="0" fontId="17" fillId="14" borderId="0" xfId="0" applyFont="1" applyFill="1" applyAlignment="1">
      <alignment horizontal="center" vertical="center" wrapText="1"/>
    </xf>
    <xf numFmtId="166" fontId="4" fillId="36" borderId="0" xfId="0" applyNumberFormat="1" applyFont="1" applyFill="1" applyAlignment="1">
      <alignment horizontal="center" wrapText="1"/>
    </xf>
    <xf numFmtId="0" fontId="5" fillId="35" borderId="0" xfId="0" applyFont="1" applyFill="1" applyAlignment="1">
      <alignment horizontal="center" vertical="center" wrapText="1"/>
    </xf>
    <xf numFmtId="164" fontId="1" fillId="36" borderId="0" xfId="0" applyNumberFormat="1" applyFont="1" applyFill="1" applyAlignment="1">
      <alignment horizontal="center" wrapText="1"/>
    </xf>
    <xf numFmtId="0" fontId="5" fillId="35" borderId="0" xfId="0" applyFont="1" applyFill="1" applyAlignment="1">
      <alignment horizontal="center" vertical="center" wrapText="1"/>
    </xf>
    <xf numFmtId="164" fontId="4" fillId="36" borderId="0" xfId="0" applyNumberFormat="1" applyFont="1" applyFill="1" applyAlignment="1">
      <alignment horizontal="center" wrapText="1"/>
    </xf>
    <xf numFmtId="14" fontId="15" fillId="35" borderId="0" xfId="0" applyNumberFormat="1" applyFont="1" applyFill="1" applyAlignment="1">
      <alignment horizontal="center" vertical="center" wrapText="1"/>
    </xf>
    <xf numFmtId="11" fontId="4" fillId="36" borderId="0" xfId="0" applyNumberFormat="1" applyFont="1" applyFill="1" applyAlignment="1">
      <alignment horizontal="center" wrapText="1"/>
    </xf>
    <xf numFmtId="0" fontId="5" fillId="14" borderId="0" xfId="0" applyFont="1" applyFill="1" applyAlignment="1">
      <alignment horizontal="center" vertical="center" wrapText="1"/>
    </xf>
    <xf numFmtId="11" fontId="1" fillId="36" borderId="0" xfId="0" applyNumberFormat="1" applyFont="1" applyFill="1" applyAlignment="1">
      <alignment horizontal="center" wrapText="1"/>
    </xf>
    <xf numFmtId="0" fontId="5" fillId="14" borderId="0" xfId="0" applyFont="1" applyFill="1" applyAlignment="1">
      <alignment horizontal="center" vertical="center" wrapText="1"/>
    </xf>
    <xf numFmtId="11" fontId="4" fillId="36" borderId="0" xfId="0" applyNumberFormat="1" applyFont="1" applyFill="1" applyAlignment="1">
      <alignment horizontal="center" wrapText="1"/>
    </xf>
    <xf numFmtId="0" fontId="15" fillId="14" borderId="2" xfId="0" applyFont="1" applyFill="1" applyBorder="1" applyAlignment="1">
      <alignment horizontal="center" vertical="center" wrapText="1"/>
    </xf>
    <xf numFmtId="11" fontId="4" fillId="36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right" wrapText="1"/>
    </xf>
    <xf numFmtId="0" fontId="4" fillId="36" borderId="0" xfId="0" applyFont="1" applyFill="1" applyAlignment="1">
      <alignment horizontal="center" wrapText="1"/>
    </xf>
    <xf numFmtId="14" fontId="15" fillId="14" borderId="0" xfId="0" applyNumberFormat="1" applyFont="1" applyFill="1" applyAlignment="1">
      <alignment horizontal="center" vertical="center" wrapText="1"/>
    </xf>
    <xf numFmtId="0" fontId="4" fillId="36" borderId="0" xfId="0" applyFont="1" applyFill="1" applyAlignment="1">
      <alignment horizontal="center" wrapText="1"/>
    </xf>
    <xf numFmtId="0" fontId="4" fillId="36" borderId="0" xfId="0" applyFont="1" applyFill="1" applyAlignment="1">
      <alignment horizontal="center" wrapText="1"/>
    </xf>
    <xf numFmtId="0" fontId="5" fillId="35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5" fillId="0" borderId="0" xfId="0" applyNumberFormat="1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4" fillId="17" borderId="0" xfId="0" applyFont="1" applyFill="1" applyAlignment="1">
      <alignment horizontal="center" wrapText="1"/>
    </xf>
    <xf numFmtId="0" fontId="5" fillId="35" borderId="2" xfId="0" applyFont="1" applyFill="1" applyBorder="1" applyAlignment="1">
      <alignment horizontal="center" vertical="center" wrapText="1"/>
    </xf>
    <xf numFmtId="14" fontId="5" fillId="35" borderId="0" xfId="0" applyNumberFormat="1" applyFont="1" applyFill="1" applyAlignment="1">
      <alignment horizontal="center" vertical="center" wrapText="1"/>
    </xf>
    <xf numFmtId="0" fontId="20" fillId="35" borderId="0" xfId="0" applyFont="1" applyFill="1" applyAlignment="1">
      <alignment horizontal="center" vertical="center" wrapText="1"/>
    </xf>
    <xf numFmtId="0" fontId="3" fillId="14" borderId="1" xfId="0" applyFont="1" applyFill="1" applyBorder="1" applyAlignment="1">
      <alignment horizontal="left" wrapText="1"/>
    </xf>
    <xf numFmtId="165" fontId="4" fillId="2" borderId="0" xfId="0" applyNumberFormat="1" applyFont="1" applyFill="1" applyAlignment="1">
      <alignment horizontal="center" wrapText="1"/>
    </xf>
    <xf numFmtId="14" fontId="15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14" fontId="15" fillId="0" borderId="0" xfId="0" applyNumberFormat="1" applyFont="1" applyAlignment="1">
      <alignment horizontal="center" vertical="center" wrapText="1"/>
    </xf>
    <xf numFmtId="0" fontId="10" fillId="36" borderId="0" xfId="0" applyFont="1" applyFill="1" applyAlignment="1">
      <alignment horizontal="center" wrapText="1"/>
    </xf>
    <xf numFmtId="0" fontId="17" fillId="0" borderId="0" xfId="0" applyFont="1" applyAlignment="1">
      <alignment horizontal="center" vertical="center" wrapText="1"/>
    </xf>
    <xf numFmtId="0" fontId="10" fillId="36" borderId="0" xfId="0" applyFont="1" applyFill="1" applyAlignment="1">
      <alignment horizontal="center" wrapText="1"/>
    </xf>
    <xf numFmtId="0" fontId="21" fillId="0" borderId="0" xfId="0" applyFont="1" applyAlignment="1">
      <alignment wrapText="1"/>
    </xf>
    <xf numFmtId="164" fontId="10" fillId="36" borderId="0" xfId="0" applyNumberFormat="1" applyFont="1" applyFill="1" applyAlignment="1">
      <alignment horizontal="center" wrapText="1"/>
    </xf>
    <xf numFmtId="0" fontId="22" fillId="0" borderId="0" xfId="0" applyFont="1" applyAlignment="1">
      <alignment wrapText="1"/>
    </xf>
    <xf numFmtId="0" fontId="10" fillId="36" borderId="0" xfId="0" applyFont="1" applyFill="1" applyAlignment="1">
      <alignment horizontal="center" wrapText="1"/>
    </xf>
    <xf numFmtId="0" fontId="15" fillId="0" borderId="0" xfId="0" applyFont="1" applyAlignment="1">
      <alignment horizontal="center" vertical="center" wrapText="1"/>
    </xf>
    <xf numFmtId="166" fontId="10" fillId="36" borderId="0" xfId="0" applyNumberFormat="1" applyFont="1" applyFill="1" applyAlignment="1">
      <alignment horizontal="center" wrapText="1"/>
    </xf>
    <xf numFmtId="0" fontId="5" fillId="0" borderId="2" xfId="0" applyFont="1" applyBorder="1" applyAlignment="1">
      <alignment horizontal="center" vertical="center" wrapText="1"/>
    </xf>
    <xf numFmtId="165" fontId="10" fillId="36" borderId="0" xfId="0" applyNumberFormat="1" applyFont="1" applyFill="1" applyAlignment="1">
      <alignment horizontal="center" wrapText="1"/>
    </xf>
    <xf numFmtId="14" fontId="5" fillId="0" borderId="0" xfId="0" applyNumberFormat="1" applyFont="1" applyAlignment="1">
      <alignment horizontal="center" vertical="center" wrapText="1"/>
    </xf>
    <xf numFmtId="166" fontId="10" fillId="36" borderId="0" xfId="0" applyNumberFormat="1" applyFont="1" applyFill="1" applyAlignment="1">
      <alignment horizontal="center" wrapText="1"/>
    </xf>
    <xf numFmtId="164" fontId="11" fillId="36" borderId="0" xfId="0" applyNumberFormat="1" applyFont="1" applyFill="1" applyAlignment="1">
      <alignment horizontal="center" wrapText="1"/>
    </xf>
    <xf numFmtId="0" fontId="22" fillId="0" borderId="0" xfId="0" applyFont="1" applyAlignment="1">
      <alignment wrapText="1"/>
    </xf>
    <xf numFmtId="164" fontId="10" fillId="36" borderId="0" xfId="0" applyNumberFormat="1" applyFont="1" applyFill="1" applyAlignment="1">
      <alignment horizontal="center" wrapText="1"/>
    </xf>
    <xf numFmtId="0" fontId="22" fillId="2" borderId="0" xfId="0" applyFont="1" applyFill="1" applyAlignment="1">
      <alignment wrapText="1"/>
    </xf>
    <xf numFmtId="11" fontId="10" fillId="36" borderId="0" xfId="0" applyNumberFormat="1" applyFont="1" applyFill="1" applyAlignment="1">
      <alignment horizontal="center" wrapText="1"/>
    </xf>
    <xf numFmtId="11" fontId="11" fillId="36" borderId="0" xfId="0" applyNumberFormat="1" applyFont="1" applyFill="1" applyAlignment="1">
      <alignment horizontal="center" wrapText="1"/>
    </xf>
    <xf numFmtId="11" fontId="10" fillId="36" borderId="0" xfId="0" applyNumberFormat="1" applyFont="1" applyFill="1" applyAlignment="1">
      <alignment horizontal="center" wrapText="1"/>
    </xf>
    <xf numFmtId="166" fontId="15" fillId="14" borderId="0" xfId="0" applyNumberFormat="1" applyFont="1" applyFill="1" applyAlignment="1">
      <alignment horizontal="center" vertical="center" wrapText="1"/>
    </xf>
    <xf numFmtId="11" fontId="10" fillId="36" borderId="0" xfId="0" applyNumberFormat="1" applyFont="1" applyFill="1" applyAlignment="1">
      <alignment horizontal="center" wrapText="1"/>
    </xf>
    <xf numFmtId="0" fontId="15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0" fillId="36" borderId="0" xfId="0" applyFont="1" applyFill="1" applyAlignment="1">
      <alignment horizontal="center" wrapText="1"/>
    </xf>
    <xf numFmtId="0" fontId="17" fillId="0" borderId="0" xfId="0" applyFont="1" applyAlignment="1">
      <alignment horizontal="center" vertical="center" wrapText="1"/>
    </xf>
    <xf numFmtId="0" fontId="10" fillId="36" borderId="0" xfId="0" applyFont="1" applyFill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10" fillId="36" borderId="0" xfId="0" applyFont="1" applyFill="1" applyAlignment="1">
      <alignment horizontal="center" wrapText="1"/>
    </xf>
    <xf numFmtId="0" fontId="3" fillId="5" borderId="0" xfId="0" applyFont="1" applyFill="1" applyAlignment="1">
      <alignment horizontal="center" vertical="center" wrapText="1"/>
    </xf>
    <xf numFmtId="11" fontId="4" fillId="37" borderId="0" xfId="0" applyNumberFormat="1" applyFont="1" applyFill="1" applyAlignment="1">
      <alignment horizontal="center" wrapText="1"/>
    </xf>
    <xf numFmtId="0" fontId="3" fillId="5" borderId="0" xfId="0" applyFont="1" applyFill="1" applyAlignment="1">
      <alignment horizontal="center" vertical="center" wrapText="1"/>
    </xf>
    <xf numFmtId="11" fontId="1" fillId="37" borderId="0" xfId="0" applyNumberFormat="1" applyFont="1" applyFill="1" applyAlignment="1">
      <alignment horizontal="center" wrapText="1"/>
    </xf>
    <xf numFmtId="164" fontId="3" fillId="5" borderId="0" xfId="0" applyNumberFormat="1" applyFont="1" applyFill="1" applyAlignment="1">
      <alignment horizontal="center" vertical="center" wrapText="1"/>
    </xf>
    <xf numFmtId="11" fontId="4" fillId="37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right" wrapText="1"/>
    </xf>
    <xf numFmtId="11" fontId="4" fillId="37" borderId="0" xfId="0" applyNumberFormat="1" applyFont="1" applyFill="1" applyAlignment="1">
      <alignment horizontal="center" wrapText="1"/>
    </xf>
    <xf numFmtId="0" fontId="23" fillId="0" borderId="0" xfId="0" applyFont="1" applyAlignment="1">
      <alignment wrapText="1"/>
    </xf>
    <xf numFmtId="0" fontId="4" fillId="37" borderId="0" xfId="0" applyFont="1" applyFill="1" applyAlignment="1">
      <alignment horizontal="center" wrapText="1"/>
    </xf>
    <xf numFmtId="0" fontId="4" fillId="37" borderId="0" xfId="0" applyFont="1" applyFill="1" applyAlignment="1">
      <alignment horizont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14" fontId="4" fillId="2" borderId="0" xfId="0" applyNumberFormat="1" applyFont="1" applyFill="1" applyAlignment="1">
      <alignment horizont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67" fontId="3" fillId="5" borderId="0" xfId="0" applyNumberFormat="1" applyFont="1" applyFill="1" applyAlignment="1">
      <alignment horizontal="center" vertical="center" wrapText="1"/>
    </xf>
    <xf numFmtId="0" fontId="3" fillId="14" borderId="0" xfId="0" applyFont="1" applyFill="1" applyAlignment="1">
      <alignment horizontal="left" wrapText="1"/>
    </xf>
    <xf numFmtId="0" fontId="4" fillId="2" borderId="0" xfId="0" applyFont="1" applyFill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165" fontId="3" fillId="5" borderId="0" xfId="0" applyNumberFormat="1" applyFont="1" applyFill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10" fillId="3" borderId="0" xfId="0" applyFont="1" applyFill="1" applyAlignment="1">
      <alignment horizontal="center" wrapText="1"/>
    </xf>
    <xf numFmtId="164" fontId="2" fillId="5" borderId="0" xfId="0" applyNumberFormat="1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wrapText="1"/>
    </xf>
    <xf numFmtId="165" fontId="3" fillId="5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horizontal="left" wrapText="1"/>
    </xf>
    <xf numFmtId="0" fontId="6" fillId="6" borderId="0" xfId="0" applyFont="1" applyFill="1" applyAlignment="1">
      <alignment horizontal="center" vertical="center" wrapText="1"/>
    </xf>
    <xf numFmtId="0" fontId="6" fillId="6" borderId="0" xfId="0" applyFont="1" applyFill="1" applyAlignment="1">
      <alignment horizontal="center" vertical="center" wrapText="1"/>
    </xf>
    <xf numFmtId="164" fontId="10" fillId="3" borderId="0" xfId="0" applyNumberFormat="1" applyFont="1" applyFill="1" applyAlignment="1">
      <alignment horizontal="center" wrapText="1"/>
    </xf>
    <xf numFmtId="0" fontId="6" fillId="6" borderId="0" xfId="0" applyFont="1" applyFill="1" applyAlignment="1">
      <alignment horizontal="center" vertical="center" wrapText="1"/>
    </xf>
    <xf numFmtId="166" fontId="10" fillId="3" borderId="0" xfId="0" applyNumberFormat="1" applyFont="1" applyFill="1" applyAlignment="1">
      <alignment horizontal="center" wrapText="1"/>
    </xf>
    <xf numFmtId="0" fontId="6" fillId="6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6" fillId="6" borderId="1" xfId="0" applyFont="1" applyFill="1" applyBorder="1" applyAlignment="1">
      <alignment horizontal="center" vertical="center" wrapText="1"/>
    </xf>
    <xf numFmtId="166" fontId="10" fillId="3" borderId="0" xfId="0" applyNumberFormat="1" applyFont="1" applyFill="1" applyAlignment="1">
      <alignment horizontal="center" wrapText="1"/>
    </xf>
    <xf numFmtId="0" fontId="5" fillId="0" borderId="0" xfId="0" applyFont="1" applyAlignment="1">
      <alignment wrapText="1"/>
    </xf>
    <xf numFmtId="164" fontId="11" fillId="3" borderId="0" xfId="0" applyNumberFormat="1" applyFont="1" applyFill="1" applyAlignment="1">
      <alignment horizontal="center" wrapText="1"/>
    </xf>
    <xf numFmtId="164" fontId="10" fillId="3" borderId="0" xfId="0" applyNumberFormat="1" applyFont="1" applyFill="1" applyAlignment="1">
      <alignment horizontal="center" wrapText="1"/>
    </xf>
    <xf numFmtId="0" fontId="12" fillId="0" borderId="0" xfId="0" applyFont="1" applyAlignment="1">
      <alignment wrapText="1"/>
    </xf>
    <xf numFmtId="11" fontId="10" fillId="3" borderId="0" xfId="0" applyNumberFormat="1" applyFont="1" applyFill="1" applyAlignment="1">
      <alignment horizontal="center" wrapText="1"/>
    </xf>
    <xf numFmtId="11" fontId="11" fillId="3" borderId="0" xfId="0" applyNumberFormat="1" applyFont="1" applyFill="1" applyAlignment="1">
      <alignment horizontal="center" wrapText="1"/>
    </xf>
    <xf numFmtId="0" fontId="7" fillId="6" borderId="0" xfId="0" applyFont="1" applyFill="1" applyAlignment="1">
      <alignment horizontal="center" vertical="center" wrapText="1"/>
    </xf>
    <xf numFmtId="11" fontId="10" fillId="3" borderId="0" xfId="0" applyNumberFormat="1" applyFont="1" applyFill="1" applyAlignment="1">
      <alignment horizontal="center" wrapText="1"/>
    </xf>
    <xf numFmtId="0" fontId="3" fillId="4" borderId="0" xfId="0" applyFont="1" applyFill="1" applyAlignment="1">
      <alignment horizontal="center" vertical="center" wrapText="1"/>
    </xf>
    <xf numFmtId="11" fontId="10" fillId="3" borderId="0" xfId="0" applyNumberFormat="1" applyFont="1" applyFill="1" applyAlignment="1">
      <alignment horizontal="center" wrapText="1"/>
    </xf>
    <xf numFmtId="0" fontId="3" fillId="4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wrapText="1"/>
    </xf>
    <xf numFmtId="0" fontId="3" fillId="4" borderId="1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wrapText="1"/>
    </xf>
    <xf numFmtId="0" fontId="3" fillId="4" borderId="2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wrapText="1"/>
    </xf>
    <xf numFmtId="0" fontId="3" fillId="4" borderId="1" xfId="0" applyFont="1" applyFill="1" applyBorder="1" applyAlignment="1">
      <alignment horizontal="center" vertical="center" wrapText="1"/>
    </xf>
    <xf numFmtId="165" fontId="3" fillId="4" borderId="2" xfId="0" applyNumberFormat="1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16" fillId="0" borderId="0" xfId="0" applyFont="1" applyAlignment="1">
      <alignment wrapText="1"/>
    </xf>
    <xf numFmtId="165" fontId="3" fillId="4" borderId="0" xfId="0" applyNumberFormat="1" applyFont="1" applyFill="1" applyAlignment="1">
      <alignment horizontal="center" vertical="center" wrapText="1"/>
    </xf>
    <xf numFmtId="164" fontId="24" fillId="3" borderId="0" xfId="0" applyNumberFormat="1" applyFont="1" applyFill="1" applyAlignment="1">
      <alignment horizontal="center" wrapText="1"/>
    </xf>
    <xf numFmtId="0" fontId="25" fillId="14" borderId="0" xfId="0" applyFont="1" applyFill="1" applyAlignment="1">
      <alignment wrapText="1"/>
    </xf>
    <xf numFmtId="0" fontId="10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164" fontId="10" fillId="2" borderId="0" xfId="0" applyNumberFormat="1" applyFont="1" applyFill="1" applyAlignment="1">
      <alignment horizontal="center" wrapText="1"/>
    </xf>
    <xf numFmtId="165" fontId="10" fillId="2" borderId="0" xfId="0" applyNumberFormat="1" applyFont="1" applyFill="1" applyAlignment="1">
      <alignment horizontal="center" wrapText="1"/>
    </xf>
    <xf numFmtId="166" fontId="10" fillId="2" borderId="0" xfId="0" applyNumberFormat="1" applyFont="1" applyFill="1" applyAlignment="1">
      <alignment horizontal="center" wrapText="1"/>
    </xf>
    <xf numFmtId="164" fontId="11" fillId="2" borderId="0" xfId="0" applyNumberFormat="1" applyFont="1" applyFill="1" applyAlignment="1">
      <alignment horizontal="center" wrapText="1"/>
    </xf>
    <xf numFmtId="164" fontId="10" fillId="2" borderId="0" xfId="0" applyNumberFormat="1" applyFont="1" applyFill="1" applyAlignment="1">
      <alignment horizontal="center" wrapText="1"/>
    </xf>
    <xf numFmtId="11" fontId="10" fillId="2" borderId="0" xfId="0" applyNumberFormat="1" applyFont="1" applyFill="1" applyAlignment="1">
      <alignment horizontal="center" wrapText="1"/>
    </xf>
    <xf numFmtId="0" fontId="26" fillId="0" borderId="0" xfId="0" applyFont="1" applyAlignment="1">
      <alignment wrapText="1"/>
    </xf>
    <xf numFmtId="11" fontId="11" fillId="2" borderId="0" xfId="0" applyNumberFormat="1" applyFont="1" applyFill="1" applyAlignment="1">
      <alignment horizontal="center" wrapText="1"/>
    </xf>
    <xf numFmtId="11" fontId="10" fillId="2" borderId="0" xfId="0" applyNumberFormat="1" applyFont="1" applyFill="1" applyAlignment="1">
      <alignment horizontal="center" wrapText="1"/>
    </xf>
    <xf numFmtId="11" fontId="10" fillId="2" borderId="0" xfId="0" applyNumberFormat="1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164" fontId="24" fillId="2" borderId="0" xfId="0" applyNumberFormat="1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vertical="center" wrapText="1"/>
    </xf>
    <xf numFmtId="164" fontId="9" fillId="2" borderId="0" xfId="0" applyNumberFormat="1" applyFont="1" applyFill="1" applyAlignment="1">
      <alignment horizontal="center" wrapText="1"/>
    </xf>
    <xf numFmtId="0" fontId="4" fillId="2" borderId="0" xfId="0" applyFont="1" applyFill="1" applyAlignment="1">
      <alignment horizontal="center" vertical="center" wrapText="1"/>
    </xf>
    <xf numFmtId="164" fontId="9" fillId="2" borderId="0" xfId="0" applyNumberFormat="1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165" fontId="10" fillId="23" borderId="0" xfId="0" applyNumberFormat="1" applyFont="1" applyFill="1" applyAlignment="1">
      <alignment horizontal="center" wrapText="1"/>
    </xf>
    <xf numFmtId="0" fontId="27" fillId="14" borderId="0" xfId="0" applyFont="1" applyFill="1" applyAlignment="1">
      <alignment wrapText="1"/>
    </xf>
    <xf numFmtId="166" fontId="10" fillId="23" borderId="0" xfId="0" applyNumberFormat="1" applyFont="1" applyFill="1" applyAlignment="1">
      <alignment horizontal="center" wrapText="1"/>
    </xf>
    <xf numFmtId="0" fontId="27" fillId="14" borderId="0" xfId="0" applyFont="1" applyFill="1" applyAlignment="1">
      <alignment wrapText="1"/>
    </xf>
    <xf numFmtId="164" fontId="11" fillId="23" borderId="0" xfId="0" applyNumberFormat="1" applyFont="1" applyFill="1" applyAlignment="1">
      <alignment horizontal="center" wrapText="1"/>
    </xf>
    <xf numFmtId="164" fontId="10" fillId="23" borderId="0" xfId="0" applyNumberFormat="1" applyFont="1" applyFill="1" applyAlignment="1">
      <alignment horizontal="center" wrapText="1"/>
    </xf>
    <xf numFmtId="11" fontId="10" fillId="23" borderId="0" xfId="0" applyNumberFormat="1" applyFont="1" applyFill="1" applyAlignment="1">
      <alignment horizontal="center" wrapText="1"/>
    </xf>
    <xf numFmtId="11" fontId="11" fillId="23" borderId="0" xfId="0" applyNumberFormat="1" applyFont="1" applyFill="1" applyAlignment="1">
      <alignment horizontal="center" wrapText="1"/>
    </xf>
    <xf numFmtId="11" fontId="10" fillId="23" borderId="0" xfId="0" applyNumberFormat="1" applyFont="1" applyFill="1" applyAlignment="1">
      <alignment horizontal="center" wrapText="1"/>
    </xf>
    <xf numFmtId="11" fontId="10" fillId="23" borderId="0" xfId="0" applyNumberFormat="1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164" fontId="24" fillId="23" borderId="0" xfId="0" applyNumberFormat="1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0" fontId="3" fillId="14" borderId="0" xfId="0" applyFont="1" applyFill="1" applyAlignment="1">
      <alignment horizontal="left" wrapText="1"/>
    </xf>
    <xf numFmtId="0" fontId="28" fillId="14" borderId="0" xfId="0" applyFont="1" applyFill="1" applyAlignment="1">
      <alignment wrapText="1"/>
    </xf>
    <xf numFmtId="0" fontId="29" fillId="14" borderId="0" xfId="0" applyFont="1" applyFill="1" applyAlignment="1">
      <alignment wrapText="1"/>
    </xf>
    <xf numFmtId="165" fontId="4" fillId="23" borderId="0" xfId="0" applyNumberFormat="1" applyFont="1" applyFill="1" applyAlignment="1">
      <alignment horizontal="center" wrapText="1"/>
    </xf>
    <xf numFmtId="166" fontId="4" fillId="23" borderId="0" xfId="0" applyNumberFormat="1" applyFont="1" applyFill="1" applyAlignment="1">
      <alignment horizontal="center" wrapText="1"/>
    </xf>
    <xf numFmtId="164" fontId="1" fillId="23" borderId="0" xfId="0" applyNumberFormat="1" applyFont="1" applyFill="1" applyAlignment="1">
      <alignment horizontal="center" wrapText="1"/>
    </xf>
    <xf numFmtId="164" fontId="4" fillId="23" borderId="0" xfId="0" applyNumberFormat="1" applyFont="1" applyFill="1" applyAlignment="1">
      <alignment horizontal="center" wrapText="1"/>
    </xf>
    <xf numFmtId="11" fontId="4" fillId="23" borderId="0" xfId="0" applyNumberFormat="1" applyFont="1" applyFill="1" applyAlignment="1">
      <alignment horizontal="center" wrapText="1"/>
    </xf>
    <xf numFmtId="11" fontId="1" fillId="23" borderId="0" xfId="0" applyNumberFormat="1" applyFont="1" applyFill="1" applyAlignment="1">
      <alignment horizontal="center" wrapText="1"/>
    </xf>
    <xf numFmtId="11" fontId="4" fillId="23" borderId="0" xfId="0" applyNumberFormat="1" applyFont="1" applyFill="1" applyAlignment="1">
      <alignment horizontal="center" wrapText="1"/>
    </xf>
    <xf numFmtId="11" fontId="4" fillId="23" borderId="0" xfId="0" applyNumberFormat="1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164" fontId="9" fillId="23" borderId="0" xfId="0" applyNumberFormat="1" applyFont="1" applyFill="1" applyAlignment="1">
      <alignment horizontal="center" wrapText="1"/>
    </xf>
    <xf numFmtId="0" fontId="30" fillId="14" borderId="0" xfId="0" applyFont="1" applyFill="1" applyAlignment="1">
      <alignment wrapText="1"/>
    </xf>
    <xf numFmtId="0" fontId="4" fillId="23" borderId="0" xfId="0" applyFont="1" applyFill="1" applyAlignment="1">
      <alignment horizontal="center" wrapText="1"/>
    </xf>
    <xf numFmtId="0" fontId="5" fillId="38" borderId="0" xfId="0" applyFont="1" applyFill="1" applyAlignment="1">
      <alignment wrapText="1"/>
    </xf>
    <xf numFmtId="0" fontId="4" fillId="23" borderId="0" xfId="0" applyFont="1" applyFill="1" applyAlignment="1">
      <alignment horizontal="center" wrapText="1"/>
    </xf>
    <xf numFmtId="0" fontId="31" fillId="14" borderId="0" xfId="0" applyFont="1" applyFill="1" applyAlignment="1">
      <alignment horizontal="left" wrapText="1"/>
    </xf>
    <xf numFmtId="0" fontId="10" fillId="3" borderId="0" xfId="0" applyFont="1" applyFill="1" applyAlignment="1">
      <alignment horizontal="center" wrapText="1"/>
    </xf>
    <xf numFmtId="0" fontId="10" fillId="3" borderId="0" xfId="0" applyFont="1" applyFill="1" applyAlignment="1">
      <alignment horizontal="center" wrapText="1"/>
    </xf>
    <xf numFmtId="165" fontId="10" fillId="3" borderId="0" xfId="0" applyNumberFormat="1" applyFont="1" applyFill="1" applyAlignment="1">
      <alignment horizontal="center" wrapText="1"/>
    </xf>
    <xf numFmtId="166" fontId="10" fillId="3" borderId="0" xfId="0" applyNumberFormat="1" applyFont="1" applyFill="1" applyAlignment="1">
      <alignment horizontal="center" wrapText="1"/>
    </xf>
    <xf numFmtId="164" fontId="11" fillId="3" borderId="0" xfId="0" applyNumberFormat="1" applyFont="1" applyFill="1" applyAlignment="1">
      <alignment horizontal="center" wrapText="1"/>
    </xf>
    <xf numFmtId="164" fontId="10" fillId="3" borderId="0" xfId="0" applyNumberFormat="1" applyFont="1" applyFill="1" applyAlignment="1">
      <alignment horizontal="center" wrapText="1"/>
    </xf>
    <xf numFmtId="11" fontId="10" fillId="3" borderId="0" xfId="0" applyNumberFormat="1" applyFont="1" applyFill="1" applyAlignment="1">
      <alignment horizontal="center" wrapText="1"/>
    </xf>
    <xf numFmtId="11" fontId="11" fillId="3" borderId="0" xfId="0" applyNumberFormat="1" applyFont="1" applyFill="1" applyAlignment="1">
      <alignment horizontal="center" wrapText="1"/>
    </xf>
    <xf numFmtId="0" fontId="4" fillId="0" borderId="0" xfId="0" applyFont="1" applyAlignment="1">
      <alignment horizontal="left" wrapText="1"/>
    </xf>
    <xf numFmtId="11" fontId="10" fillId="3" borderId="0" xfId="0" applyNumberFormat="1" applyFont="1" applyFill="1" applyAlignment="1">
      <alignment horizontal="center" wrapText="1"/>
    </xf>
    <xf numFmtId="0" fontId="4" fillId="0" borderId="0" xfId="0" applyFont="1" applyAlignment="1">
      <alignment horizontal="left" wrapText="1"/>
    </xf>
    <xf numFmtId="11" fontId="10" fillId="3" borderId="0" xfId="0" applyNumberFormat="1" applyFont="1" applyFill="1" applyAlignment="1">
      <alignment horizontal="center" wrapText="1"/>
    </xf>
    <xf numFmtId="0" fontId="10" fillId="3" borderId="0" xfId="0" applyFont="1" applyFill="1" applyAlignment="1">
      <alignment horizontal="center" wrapText="1"/>
    </xf>
    <xf numFmtId="164" fontId="24" fillId="3" borderId="0" xfId="0" applyNumberFormat="1" applyFont="1" applyFill="1" applyAlignment="1">
      <alignment horizontal="center" wrapText="1"/>
    </xf>
    <xf numFmtId="0" fontId="10" fillId="3" borderId="0" xfId="0" applyFont="1" applyFill="1" applyAlignment="1">
      <alignment horizontal="center" wrapText="1"/>
    </xf>
    <xf numFmtId="0" fontId="25" fillId="0" borderId="0" xfId="0" applyFont="1" applyAlignment="1">
      <alignment horizontal="left" wrapText="1"/>
    </xf>
    <xf numFmtId="0" fontId="10" fillId="3" borderId="0" xfId="0" applyFont="1" applyFill="1" applyAlignment="1">
      <alignment horizontal="center" wrapText="1"/>
    </xf>
    <xf numFmtId="0" fontId="32" fillId="14" borderId="0" xfId="0" applyFont="1" applyFill="1" applyAlignment="1">
      <alignment wrapText="1"/>
    </xf>
    <xf numFmtId="0" fontId="10" fillId="3" borderId="0" xfId="0" applyFont="1" applyFill="1" applyAlignment="1">
      <alignment horizontal="center" wrapText="1"/>
    </xf>
    <xf numFmtId="0" fontId="25" fillId="0" borderId="0" xfId="0" applyFont="1" applyAlignment="1">
      <alignment horizontal="left" wrapText="1"/>
    </xf>
    <xf numFmtId="165" fontId="10" fillId="3" borderId="0" xfId="0" applyNumberFormat="1" applyFont="1" applyFill="1" applyAlignment="1">
      <alignment horizontal="center" wrapText="1"/>
    </xf>
    <xf numFmtId="0" fontId="5" fillId="0" borderId="0" xfId="0" applyFont="1" applyAlignment="1">
      <alignment wrapText="1"/>
    </xf>
    <xf numFmtId="164" fontId="9" fillId="3" borderId="0" xfId="0" applyNumberFormat="1" applyFont="1" applyFill="1" applyAlignment="1">
      <alignment horizontal="center" wrapText="1"/>
    </xf>
    <xf numFmtId="164" fontId="9" fillId="3" borderId="0" xfId="0" applyNumberFormat="1" applyFont="1" applyFill="1" applyAlignment="1">
      <alignment horizontal="center" wrapText="1"/>
    </xf>
    <xf numFmtId="164" fontId="24" fillId="23" borderId="0" xfId="0" applyNumberFormat="1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164" fontId="24" fillId="17" borderId="0" xfId="0" applyNumberFormat="1" applyFont="1" applyFill="1" applyAlignment="1">
      <alignment horizontal="center" wrapText="1"/>
    </xf>
    <xf numFmtId="0" fontId="10" fillId="17" borderId="0" xfId="0" applyFont="1" applyFill="1" applyAlignment="1">
      <alignment horizontal="center" wrapText="1"/>
    </xf>
    <xf numFmtId="0" fontId="10" fillId="17" borderId="0" xfId="0" applyFont="1" applyFill="1" applyAlignment="1">
      <alignment horizontal="center" wrapText="1"/>
    </xf>
    <xf numFmtId="164" fontId="10" fillId="17" borderId="0" xfId="0" applyNumberFormat="1" applyFont="1" applyFill="1" applyAlignment="1">
      <alignment horizontal="center" wrapText="1"/>
    </xf>
    <xf numFmtId="166" fontId="10" fillId="17" borderId="0" xfId="0" applyNumberFormat="1" applyFont="1" applyFill="1" applyAlignment="1">
      <alignment horizontal="center" wrapText="1"/>
    </xf>
    <xf numFmtId="166" fontId="10" fillId="17" borderId="0" xfId="0" applyNumberFormat="1" applyFont="1" applyFill="1" applyAlignment="1">
      <alignment horizontal="center" wrapText="1"/>
    </xf>
    <xf numFmtId="164" fontId="11" fillId="17" borderId="0" xfId="0" applyNumberFormat="1" applyFont="1" applyFill="1" applyAlignment="1">
      <alignment horizontal="center" wrapText="1"/>
    </xf>
    <xf numFmtId="164" fontId="10" fillId="17" borderId="0" xfId="0" applyNumberFormat="1" applyFont="1" applyFill="1" applyAlignment="1">
      <alignment horizontal="center" wrapText="1"/>
    </xf>
    <xf numFmtId="11" fontId="10" fillId="17" borderId="0" xfId="0" applyNumberFormat="1" applyFont="1" applyFill="1" applyAlignment="1">
      <alignment horizontal="center" wrapText="1"/>
    </xf>
    <xf numFmtId="11" fontId="11" fillId="17" borderId="0" xfId="0" applyNumberFormat="1" applyFont="1" applyFill="1" applyAlignment="1">
      <alignment horizontal="center" wrapText="1"/>
    </xf>
    <xf numFmtId="11" fontId="10" fillId="17" borderId="0" xfId="0" applyNumberFormat="1" applyFont="1" applyFill="1" applyAlignment="1">
      <alignment horizontal="center" wrapText="1"/>
    </xf>
    <xf numFmtId="11" fontId="10" fillId="17" borderId="0" xfId="0" applyNumberFormat="1" applyFont="1" applyFill="1" applyAlignment="1">
      <alignment horizontal="center" wrapText="1"/>
    </xf>
    <xf numFmtId="0" fontId="10" fillId="17" borderId="0" xfId="0" applyFont="1" applyFill="1" applyAlignment="1">
      <alignment horizontal="center" wrapText="1"/>
    </xf>
    <xf numFmtId="164" fontId="24" fillId="17" borderId="0" xfId="0" applyNumberFormat="1" applyFont="1" applyFill="1" applyAlignment="1">
      <alignment horizontal="center" wrapText="1"/>
    </xf>
    <xf numFmtId="0" fontId="10" fillId="17" borderId="0" xfId="0" applyFont="1" applyFill="1" applyAlignment="1">
      <alignment horizontal="center" wrapText="1"/>
    </xf>
    <xf numFmtId="164" fontId="9" fillId="17" borderId="0" xfId="0" applyNumberFormat="1" applyFont="1" applyFill="1" applyAlignment="1">
      <alignment horizontal="center" wrapText="1"/>
    </xf>
    <xf numFmtId="0" fontId="1" fillId="0" borderId="0" xfId="0" applyFont="1" applyAlignment="1">
      <alignment horizontal="left" wrapText="1"/>
    </xf>
    <xf numFmtId="0" fontId="10" fillId="23" borderId="0" xfId="0" applyFont="1" applyFill="1" applyAlignment="1">
      <alignment horizontal="center" wrapText="1"/>
    </xf>
    <xf numFmtId="166" fontId="10" fillId="23" borderId="0" xfId="0" applyNumberFormat="1" applyFont="1" applyFill="1" applyAlignment="1">
      <alignment horizontal="center" wrapText="1"/>
    </xf>
    <xf numFmtId="164" fontId="10" fillId="23" borderId="0" xfId="0" applyNumberFormat="1" applyFont="1" applyFill="1" applyAlignment="1">
      <alignment horizontal="center" wrapText="1"/>
    </xf>
    <xf numFmtId="0" fontId="5" fillId="39" borderId="0" xfId="0" applyFont="1" applyFill="1" applyAlignment="1">
      <alignment wrapText="1"/>
    </xf>
    <xf numFmtId="164" fontId="9" fillId="20" borderId="0" xfId="0" applyNumberFormat="1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165" fontId="4" fillId="4" borderId="0" xfId="0" applyNumberFormat="1" applyFont="1" applyFill="1" applyAlignment="1">
      <alignment horizontal="center" wrapText="1"/>
    </xf>
    <xf numFmtId="166" fontId="4" fillId="4" borderId="0" xfId="0" applyNumberFormat="1" applyFont="1" applyFill="1" applyAlignment="1">
      <alignment horizontal="center" wrapText="1"/>
    </xf>
    <xf numFmtId="0" fontId="5" fillId="39" borderId="0" xfId="0" applyFont="1" applyFill="1" applyAlignment="1">
      <alignment horizontal="left" wrapText="1"/>
    </xf>
    <xf numFmtId="164" fontId="1" fillId="4" borderId="0" xfId="0" applyNumberFormat="1" applyFont="1" applyFill="1" applyAlignment="1">
      <alignment horizontal="center" wrapText="1"/>
    </xf>
    <xf numFmtId="164" fontId="4" fillId="4" borderId="0" xfId="0" applyNumberFormat="1" applyFont="1" applyFill="1" applyAlignment="1">
      <alignment horizontal="center" wrapText="1"/>
    </xf>
    <xf numFmtId="11" fontId="4" fillId="4" borderId="0" xfId="0" applyNumberFormat="1" applyFont="1" applyFill="1" applyAlignment="1">
      <alignment horizontal="center" wrapText="1"/>
    </xf>
    <xf numFmtId="11" fontId="1" fillId="4" borderId="0" xfId="0" applyNumberFormat="1" applyFont="1" applyFill="1" applyAlignment="1">
      <alignment horizontal="center" wrapText="1"/>
    </xf>
    <xf numFmtId="0" fontId="5" fillId="39" borderId="0" xfId="0" applyFont="1" applyFill="1" applyAlignment="1">
      <alignment horizontal="center" wrapText="1"/>
    </xf>
    <xf numFmtId="11" fontId="4" fillId="4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11" fontId="4" fillId="4" borderId="0" xfId="0" applyNumberFormat="1" applyFont="1" applyFill="1" applyAlignment="1">
      <alignment horizontal="center" wrapText="1"/>
    </xf>
    <xf numFmtId="0" fontId="20" fillId="0" borderId="0" xfId="0" applyFont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164" fontId="9" fillId="4" borderId="0" xfId="0" applyNumberFormat="1" applyFont="1" applyFill="1" applyAlignment="1">
      <alignment horizontal="center" wrapText="1"/>
    </xf>
    <xf numFmtId="0" fontId="20" fillId="0" borderId="0" xfId="0" applyFont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5" fillId="18" borderId="0" xfId="0" applyFont="1" applyFill="1" applyAlignment="1">
      <alignment wrapText="1"/>
    </xf>
    <xf numFmtId="0" fontId="5" fillId="39" borderId="0" xfId="0" applyFont="1" applyFill="1" applyAlignment="1">
      <alignment wrapText="1"/>
    </xf>
    <xf numFmtId="0" fontId="4" fillId="4" borderId="0" xfId="0" applyFont="1" applyFill="1" applyAlignment="1">
      <alignment horizontal="center" wrapText="1"/>
    </xf>
    <xf numFmtId="165" fontId="10" fillId="2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right" wrapText="1"/>
    </xf>
    <xf numFmtId="0" fontId="6" fillId="0" borderId="0" xfId="0" applyFont="1" applyAlignment="1">
      <alignment horizontal="left" wrapText="1"/>
    </xf>
    <xf numFmtId="164" fontId="24" fillId="2" borderId="0" xfId="0" applyNumberFormat="1" applyFont="1" applyFill="1" applyAlignment="1">
      <alignment horizontal="center" wrapText="1"/>
    </xf>
    <xf numFmtId="0" fontId="5" fillId="6" borderId="0" xfId="0" applyFont="1" applyFill="1" applyAlignment="1">
      <alignment wrapText="1"/>
    </xf>
    <xf numFmtId="0" fontId="10" fillId="2" borderId="0" xfId="0" applyFont="1" applyFill="1" applyAlignment="1">
      <alignment horizontal="center" wrapText="1"/>
    </xf>
    <xf numFmtId="0" fontId="5" fillId="6" borderId="0" xfId="0" applyFont="1" applyFill="1" applyAlignment="1">
      <alignment wrapText="1"/>
    </xf>
    <xf numFmtId="0" fontId="10" fillId="2" borderId="0" xfId="0" applyFont="1" applyFill="1" applyAlignment="1">
      <alignment horizontal="center" vertical="center" wrapText="1"/>
    </xf>
    <xf numFmtId="0" fontId="3" fillId="39" borderId="0" xfId="0" applyFont="1" applyFill="1" applyAlignment="1">
      <alignment horizontal="left" wrapText="1"/>
    </xf>
    <xf numFmtId="0" fontId="5" fillId="0" borderId="0" xfId="0" applyFont="1" applyAlignment="1">
      <alignment horizontal="center" wrapText="1"/>
    </xf>
    <xf numFmtId="0" fontId="5" fillId="40" borderId="0" xfId="0" applyFont="1" applyFill="1" applyAlignment="1">
      <alignment wrapText="1"/>
    </xf>
    <xf numFmtId="11" fontId="1" fillId="4" borderId="0" xfId="0" applyNumberFormat="1" applyFont="1" applyFill="1" applyAlignment="1">
      <alignment horizontal="center" wrapText="1"/>
    </xf>
    <xf numFmtId="0" fontId="5" fillId="40" borderId="0" xfId="0" applyFont="1" applyFill="1" applyAlignment="1">
      <alignment horizontal="left" wrapText="1"/>
    </xf>
    <xf numFmtId="0" fontId="5" fillId="40" borderId="0" xfId="0" applyFont="1" applyFill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164" fontId="10" fillId="8" borderId="0" xfId="0" applyNumberFormat="1" applyFont="1" applyFill="1" applyAlignment="1">
      <alignment horizontal="center" wrapText="1"/>
    </xf>
    <xf numFmtId="0" fontId="3" fillId="39" borderId="1" xfId="0" applyFont="1" applyFill="1" applyBorder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5" fillId="39" borderId="2" xfId="0" applyFont="1" applyFill="1" applyBorder="1" applyAlignment="1">
      <alignment horizontal="center" wrapText="1"/>
    </xf>
    <xf numFmtId="0" fontId="5" fillId="5" borderId="0" xfId="0" applyFont="1" applyFill="1" applyAlignment="1">
      <alignment wrapText="1"/>
    </xf>
    <xf numFmtId="165" fontId="10" fillId="8" borderId="0" xfId="0" applyNumberFormat="1" applyFont="1" applyFill="1" applyAlignment="1">
      <alignment horizontal="center" wrapText="1"/>
    </xf>
    <xf numFmtId="166" fontId="10" fillId="8" borderId="0" xfId="0" applyNumberFormat="1" applyFont="1" applyFill="1" applyAlignment="1">
      <alignment horizontal="center" wrapText="1"/>
    </xf>
    <xf numFmtId="164" fontId="11" fillId="8" borderId="0" xfId="0" applyNumberFormat="1" applyFont="1" applyFill="1" applyAlignment="1">
      <alignment horizontal="center" wrapText="1"/>
    </xf>
    <xf numFmtId="11" fontId="10" fillId="8" borderId="0" xfId="0" applyNumberFormat="1" applyFont="1" applyFill="1" applyAlignment="1">
      <alignment horizontal="center" wrapText="1"/>
    </xf>
    <xf numFmtId="11" fontId="11" fillId="8" borderId="0" xfId="0" applyNumberFormat="1" applyFont="1" applyFill="1" applyAlignment="1">
      <alignment horizontal="center" wrapText="1"/>
    </xf>
    <xf numFmtId="0" fontId="5" fillId="14" borderId="0" xfId="0" applyFont="1" applyFill="1" applyAlignment="1">
      <alignment horizontal="left" wrapText="1"/>
    </xf>
    <xf numFmtId="11" fontId="10" fillId="8" borderId="0" xfId="0" applyNumberFormat="1" applyFont="1" applyFill="1" applyAlignment="1">
      <alignment horizontal="center" wrapText="1"/>
    </xf>
    <xf numFmtId="0" fontId="5" fillId="14" borderId="0" xfId="0" applyFont="1" applyFill="1" applyAlignment="1">
      <alignment horizontal="center" wrapText="1"/>
    </xf>
    <xf numFmtId="11" fontId="10" fillId="8" borderId="0" xfId="0" applyNumberFormat="1" applyFont="1" applyFill="1" applyAlignment="1">
      <alignment horizontal="center" wrapText="1"/>
    </xf>
    <xf numFmtId="0" fontId="5" fillId="14" borderId="0" xfId="0" applyFont="1" applyFill="1" applyAlignment="1">
      <alignment wrapText="1"/>
    </xf>
    <xf numFmtId="0" fontId="10" fillId="8" borderId="0" xfId="0" applyFont="1" applyFill="1" applyAlignment="1">
      <alignment horizontal="center" wrapText="1"/>
    </xf>
    <xf numFmtId="0" fontId="5" fillId="0" borderId="0" xfId="0" applyFont="1" applyAlignment="1">
      <alignment horizontal="center"/>
    </xf>
    <xf numFmtId="164" fontId="24" fillId="8" borderId="0" xfId="0" applyNumberFormat="1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4" fillId="41" borderId="0" xfId="0" applyFont="1" applyFill="1" applyAlignment="1">
      <alignment horizontal="center" wrapText="1"/>
    </xf>
    <xf numFmtId="0" fontId="5" fillId="42" borderId="0" xfId="0" applyFont="1" applyFill="1" applyAlignment="1">
      <alignment wrapText="1"/>
    </xf>
    <xf numFmtId="0" fontId="4" fillId="41" borderId="0" xfId="0" applyFont="1" applyFill="1" applyAlignment="1">
      <alignment horizontal="center" wrapText="1"/>
    </xf>
    <xf numFmtId="0" fontId="5" fillId="42" borderId="0" xfId="0" applyFont="1" applyFill="1" applyAlignment="1">
      <alignment horizontal="left" wrapText="1"/>
    </xf>
    <xf numFmtId="165" fontId="4" fillId="41" borderId="0" xfId="0" applyNumberFormat="1" applyFont="1" applyFill="1" applyAlignment="1">
      <alignment horizontal="center" wrapText="1"/>
    </xf>
    <xf numFmtId="0" fontId="5" fillId="42" borderId="0" xfId="0" applyFont="1" applyFill="1" applyAlignment="1">
      <alignment horizontal="center" wrapText="1"/>
    </xf>
    <xf numFmtId="166" fontId="4" fillId="41" borderId="0" xfId="0" applyNumberFormat="1" applyFont="1" applyFill="1" applyAlignment="1">
      <alignment horizontal="center" wrapText="1"/>
    </xf>
    <xf numFmtId="164" fontId="1" fillId="41" borderId="0" xfId="0" applyNumberFormat="1" applyFont="1" applyFill="1" applyAlignment="1">
      <alignment horizontal="center" wrapText="1"/>
    </xf>
    <xf numFmtId="0" fontId="5" fillId="4" borderId="0" xfId="0" applyFont="1" applyFill="1" applyAlignment="1">
      <alignment wrapText="1"/>
    </xf>
    <xf numFmtId="164" fontId="4" fillId="41" borderId="0" xfId="0" applyNumberFormat="1" applyFont="1" applyFill="1" applyAlignment="1">
      <alignment horizontal="center" wrapText="1"/>
    </xf>
    <xf numFmtId="0" fontId="5" fillId="4" borderId="0" xfId="0" applyFont="1" applyFill="1" applyAlignment="1">
      <alignment horizontal="left" wrapText="1"/>
    </xf>
    <xf numFmtId="11" fontId="4" fillId="41" borderId="0" xfId="0" applyNumberFormat="1" applyFont="1" applyFill="1" applyAlignment="1">
      <alignment horizontal="center" wrapText="1"/>
    </xf>
    <xf numFmtId="0" fontId="5" fillId="4" borderId="0" xfId="0" applyFont="1" applyFill="1" applyAlignment="1">
      <alignment horizontal="center" wrapText="1"/>
    </xf>
    <xf numFmtId="11" fontId="1" fillId="41" borderId="0" xfId="0" applyNumberFormat="1" applyFont="1" applyFill="1" applyAlignment="1">
      <alignment horizontal="center" wrapText="1"/>
    </xf>
    <xf numFmtId="0" fontId="5" fillId="5" borderId="0" xfId="0" applyFont="1" applyFill="1" applyAlignment="1">
      <alignment wrapText="1"/>
    </xf>
    <xf numFmtId="11" fontId="4" fillId="41" borderId="0" xfId="0" applyNumberFormat="1" applyFont="1" applyFill="1" applyAlignment="1">
      <alignment horizontal="center" wrapText="1"/>
    </xf>
    <xf numFmtId="0" fontId="5" fillId="5" borderId="0" xfId="0" applyFont="1" applyFill="1" applyAlignment="1">
      <alignment horizontal="left" wrapText="1"/>
    </xf>
    <xf numFmtId="11" fontId="4" fillId="41" borderId="0" xfId="0" applyNumberFormat="1" applyFont="1" applyFill="1" applyAlignment="1">
      <alignment horizontal="center" wrapText="1"/>
    </xf>
    <xf numFmtId="0" fontId="5" fillId="5" borderId="0" xfId="0" applyFont="1" applyFill="1" applyAlignment="1">
      <alignment horizontal="center" wrapText="1"/>
    </xf>
    <xf numFmtId="0" fontId="4" fillId="41" borderId="0" xfId="0" applyFont="1" applyFill="1" applyAlignment="1">
      <alignment horizontal="center" wrapText="1"/>
    </xf>
    <xf numFmtId="0" fontId="16" fillId="0" borderId="0" xfId="0" applyFont="1" applyAlignment="1">
      <alignment horizontal="right" wrapText="1"/>
    </xf>
    <xf numFmtId="164" fontId="9" fillId="41" borderId="0" xfId="0" applyNumberFormat="1" applyFont="1" applyFill="1" applyAlignment="1">
      <alignment horizontal="center" wrapText="1"/>
    </xf>
    <xf numFmtId="0" fontId="4" fillId="41" borderId="0" xfId="0" applyFont="1" applyFill="1" applyAlignment="1">
      <alignment horizontal="center" wrapText="1"/>
    </xf>
    <xf numFmtId="0" fontId="4" fillId="41" borderId="0" xfId="0" applyFont="1" applyFill="1" applyAlignment="1">
      <alignment horizontal="center" vertical="center" wrapText="1"/>
    </xf>
    <xf numFmtId="0" fontId="10" fillId="43" borderId="0" xfId="0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12" fillId="0" borderId="0" xfId="0" applyFont="1" applyAlignment="1">
      <alignment horizontal="left" wrapText="1"/>
    </xf>
    <xf numFmtId="0" fontId="3" fillId="14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0" fontId="10" fillId="43" borderId="0" xfId="0" applyFont="1" applyFill="1" applyAlignment="1">
      <alignment horizontal="center" wrapText="1"/>
    </xf>
    <xf numFmtId="0" fontId="3" fillId="0" borderId="0" xfId="0" applyFont="1" applyAlignment="1">
      <alignment horizontal="left" vertical="center" wrapText="1"/>
    </xf>
    <xf numFmtId="165" fontId="10" fillId="43" borderId="0" xfId="0" applyNumberFormat="1" applyFont="1" applyFill="1" applyAlignment="1">
      <alignment horizontal="center" wrapText="1"/>
    </xf>
    <xf numFmtId="0" fontId="5" fillId="0" borderId="0" xfId="0" applyFont="1" applyAlignment="1"/>
    <xf numFmtId="166" fontId="10" fillId="43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left" wrapText="1"/>
    </xf>
    <xf numFmtId="164" fontId="11" fillId="43" borderId="0" xfId="0" applyNumberFormat="1" applyFont="1" applyFill="1" applyAlignment="1">
      <alignment horizontal="center" wrapText="1"/>
    </xf>
    <xf numFmtId="164" fontId="10" fillId="43" borderId="0" xfId="0" applyNumberFormat="1" applyFont="1" applyFill="1" applyAlignment="1">
      <alignment horizontal="center" wrapText="1"/>
    </xf>
    <xf numFmtId="11" fontId="10" fillId="43" borderId="0" xfId="0" applyNumberFormat="1" applyFont="1" applyFill="1" applyAlignment="1">
      <alignment horizontal="center" wrapText="1"/>
    </xf>
    <xf numFmtId="11" fontId="11" fillId="43" borderId="0" xfId="0" applyNumberFormat="1" applyFont="1" applyFill="1" applyAlignment="1">
      <alignment horizontal="center" wrapText="1"/>
    </xf>
    <xf numFmtId="11" fontId="10" fillId="43" borderId="0" xfId="0" applyNumberFormat="1" applyFont="1" applyFill="1" applyAlignment="1">
      <alignment horizontal="center" wrapText="1"/>
    </xf>
    <xf numFmtId="11" fontId="10" fillId="43" borderId="0" xfId="0" applyNumberFormat="1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164" fontId="24" fillId="43" borderId="0" xfId="0" applyNumberFormat="1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vertical="center" wrapText="1"/>
    </xf>
    <xf numFmtId="0" fontId="4" fillId="43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165" fontId="4" fillId="43" borderId="0" xfId="0" applyNumberFormat="1" applyFont="1" applyFill="1" applyAlignment="1">
      <alignment horizontal="center" wrapText="1"/>
    </xf>
    <xf numFmtId="166" fontId="4" fillId="43" borderId="0" xfId="0" applyNumberFormat="1" applyFont="1" applyFill="1" applyAlignment="1">
      <alignment horizontal="center" wrapText="1"/>
    </xf>
    <xf numFmtId="164" fontId="1" fillId="43" borderId="0" xfId="0" applyNumberFormat="1" applyFont="1" applyFill="1" applyAlignment="1">
      <alignment horizontal="center" wrapText="1"/>
    </xf>
    <xf numFmtId="164" fontId="4" fillId="43" borderId="0" xfId="0" applyNumberFormat="1" applyFont="1" applyFill="1" applyAlignment="1">
      <alignment horizontal="center" wrapText="1"/>
    </xf>
    <xf numFmtId="11" fontId="4" fillId="43" borderId="0" xfId="0" applyNumberFormat="1" applyFont="1" applyFill="1" applyAlignment="1">
      <alignment horizontal="center" wrapText="1"/>
    </xf>
    <xf numFmtId="11" fontId="1" fillId="43" borderId="0" xfId="0" applyNumberFormat="1" applyFont="1" applyFill="1" applyAlignment="1">
      <alignment horizontal="center" wrapText="1"/>
    </xf>
    <xf numFmtId="11" fontId="4" fillId="43" borderId="0" xfId="0" applyNumberFormat="1" applyFont="1" applyFill="1" applyAlignment="1">
      <alignment horizontal="center" wrapText="1"/>
    </xf>
    <xf numFmtId="11" fontId="4" fillId="43" borderId="0" xfId="0" applyNumberFormat="1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0" fontId="3" fillId="0" borderId="0" xfId="0" applyFont="1" applyAlignment="1">
      <alignment horizontal="left" wrapText="1"/>
    </xf>
    <xf numFmtId="164" fontId="9" fillId="43" borderId="0" xfId="0" applyNumberFormat="1" applyFont="1" applyFill="1" applyAlignment="1">
      <alignment horizontal="center" wrapText="1"/>
    </xf>
    <xf numFmtId="0" fontId="2" fillId="0" borderId="0" xfId="0" applyFont="1" applyAlignment="1">
      <alignment wrapText="1"/>
    </xf>
    <xf numFmtId="0" fontId="4" fillId="43" borderId="0" xfId="0" applyFont="1" applyFill="1" applyAlignment="1">
      <alignment horizontal="center" wrapText="1"/>
    </xf>
    <xf numFmtId="0" fontId="2" fillId="0" borderId="0" xfId="0" applyFont="1" applyAlignment="1">
      <alignment horizontal="center" wrapText="1"/>
    </xf>
    <xf numFmtId="165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left" wrapText="1"/>
    </xf>
    <xf numFmtId="0" fontId="2" fillId="0" borderId="0" xfId="0" applyFont="1" applyAlignment="1">
      <alignment wrapText="1"/>
    </xf>
    <xf numFmtId="169" fontId="5" fillId="0" borderId="0" xfId="0" applyNumberFormat="1" applyFont="1" applyAlignment="1">
      <alignment horizontal="center" wrapText="1"/>
    </xf>
    <xf numFmtId="164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165" fontId="5" fillId="0" borderId="0" xfId="0" applyNumberFormat="1" applyFont="1" applyAlignment="1">
      <alignment horizontal="center" wrapText="1"/>
    </xf>
    <xf numFmtId="165" fontId="5" fillId="0" borderId="0" xfId="0" applyNumberFormat="1" applyFont="1" applyAlignment="1">
      <alignment horizontal="center" wrapText="1"/>
    </xf>
    <xf numFmtId="166" fontId="10" fillId="43" borderId="0" xfId="0" applyNumberFormat="1" applyFont="1" applyFill="1" applyAlignment="1">
      <alignment horizontal="center" wrapText="1"/>
    </xf>
    <xf numFmtId="11" fontId="11" fillId="43" borderId="0" xfId="0" applyNumberFormat="1" applyFont="1" applyFill="1" applyAlignment="1">
      <alignment horizontal="center" wrapText="1"/>
    </xf>
    <xf numFmtId="0" fontId="11" fillId="20" borderId="0" xfId="0" applyFont="1" applyFill="1" applyAlignment="1">
      <alignment horizontal="left" wrapText="1"/>
    </xf>
    <xf numFmtId="0" fontId="10" fillId="20" borderId="0" xfId="0" applyFont="1" applyFill="1" applyAlignment="1">
      <alignment wrapText="1"/>
    </xf>
    <xf numFmtId="0" fontId="11" fillId="20" borderId="0" xfId="0" applyFont="1" applyFill="1" applyAlignment="1">
      <alignment horizontal="center" wrapText="1"/>
    </xf>
    <xf numFmtId="164" fontId="24" fillId="43" borderId="0" xfId="0" applyNumberFormat="1" applyFont="1" applyFill="1" applyAlignment="1">
      <alignment horizontal="center" wrapText="1"/>
    </xf>
    <xf numFmtId="0" fontId="10" fillId="43" borderId="0" xfId="0" applyFont="1" applyFill="1" applyAlignment="1">
      <alignment horizontal="center" vertical="center" wrapText="1"/>
    </xf>
    <xf numFmtId="169" fontId="10" fillId="20" borderId="0" xfId="0" applyNumberFormat="1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164" fontId="10" fillId="20" borderId="0" xfId="0" applyNumberFormat="1" applyFont="1" applyFill="1" applyAlignment="1">
      <alignment horizontal="left" wrapText="1"/>
    </xf>
    <xf numFmtId="0" fontId="10" fillId="20" borderId="0" xfId="0" applyFont="1" applyFill="1" applyAlignment="1">
      <alignment wrapText="1"/>
    </xf>
    <xf numFmtId="0" fontId="11" fillId="20" borderId="0" xfId="0" applyFont="1" applyFill="1" applyAlignment="1">
      <alignment wrapText="1"/>
    </xf>
    <xf numFmtId="0" fontId="1" fillId="20" borderId="0" xfId="0" applyFont="1" applyFill="1" applyAlignment="1">
      <alignment horizontal="left" wrapText="1"/>
    </xf>
    <xf numFmtId="0" fontId="5" fillId="20" borderId="0" xfId="0" applyFont="1" applyFill="1" applyAlignment="1">
      <alignment wrapText="1"/>
    </xf>
    <xf numFmtId="0" fontId="1" fillId="20" borderId="0" xfId="0" applyFont="1" applyFill="1" applyAlignment="1">
      <alignment horizontal="center" wrapText="1"/>
    </xf>
    <xf numFmtId="169" fontId="5" fillId="20" borderId="0" xfId="0" applyNumberFormat="1" applyFont="1" applyFill="1" applyAlignment="1">
      <alignment horizontal="center" wrapText="1"/>
    </xf>
    <xf numFmtId="164" fontId="5" fillId="20" borderId="0" xfId="0" applyNumberFormat="1" applyFont="1" applyFill="1" applyAlignment="1">
      <alignment horizontal="left" wrapText="1"/>
    </xf>
    <xf numFmtId="0" fontId="5" fillId="20" borderId="0" xfId="0" applyFont="1" applyFill="1" applyAlignment="1">
      <alignment wrapText="1"/>
    </xf>
    <xf numFmtId="0" fontId="10" fillId="43" borderId="0" xfId="0" applyFont="1" applyFill="1" applyAlignment="1">
      <alignment horizontal="center" wrapText="1"/>
    </xf>
    <xf numFmtId="0" fontId="1" fillId="37" borderId="0" xfId="0" applyFont="1" applyFill="1" applyAlignment="1">
      <alignment horizontal="left" wrapText="1"/>
    </xf>
    <xf numFmtId="0" fontId="5" fillId="37" borderId="0" xfId="0" applyFont="1" applyFill="1" applyAlignment="1">
      <alignment wrapText="1"/>
    </xf>
    <xf numFmtId="0" fontId="1" fillId="37" borderId="0" xfId="0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165" fontId="5" fillId="37" borderId="0" xfId="0" applyNumberFormat="1" applyFont="1" applyFill="1" applyAlignment="1">
      <alignment horizontal="center" wrapText="1"/>
    </xf>
    <xf numFmtId="166" fontId="10" fillId="43" borderId="0" xfId="0" applyNumberFormat="1" applyFont="1" applyFill="1" applyAlignment="1">
      <alignment horizontal="center" wrapText="1"/>
    </xf>
    <xf numFmtId="0" fontId="5" fillId="37" borderId="0" xfId="0" applyFont="1" applyFill="1" applyAlignment="1">
      <alignment wrapText="1"/>
    </xf>
    <xf numFmtId="166" fontId="10" fillId="43" borderId="0" xfId="0" applyNumberFormat="1" applyFont="1" applyFill="1" applyAlignment="1">
      <alignment horizontal="center" wrapText="1"/>
    </xf>
    <xf numFmtId="164" fontId="5" fillId="37" borderId="0" xfId="0" applyNumberFormat="1" applyFont="1" applyFill="1" applyAlignment="1">
      <alignment horizontal="left" wrapText="1"/>
    </xf>
    <xf numFmtId="164" fontId="11" fillId="43" borderId="0" xfId="0" applyNumberFormat="1" applyFont="1" applyFill="1" applyAlignment="1">
      <alignment horizontal="center" wrapText="1"/>
    </xf>
    <xf numFmtId="0" fontId="5" fillId="37" borderId="0" xfId="0" applyFont="1" applyFill="1" applyAlignment="1">
      <alignment wrapText="1"/>
    </xf>
    <xf numFmtId="164" fontId="10" fillId="43" borderId="0" xfId="0" applyNumberFormat="1" applyFont="1" applyFill="1" applyAlignment="1">
      <alignment horizontal="center" wrapText="1"/>
    </xf>
    <xf numFmtId="0" fontId="1" fillId="37" borderId="0" xfId="0" applyFont="1" applyFill="1" applyAlignment="1">
      <alignment horizontal="center" wrapText="1"/>
    </xf>
    <xf numFmtId="11" fontId="10" fillId="43" borderId="0" xfId="0" applyNumberFormat="1" applyFont="1" applyFill="1" applyAlignment="1">
      <alignment horizontal="center" wrapText="1"/>
    </xf>
    <xf numFmtId="14" fontId="5" fillId="37" borderId="0" xfId="0" applyNumberFormat="1" applyFont="1" applyFill="1" applyAlignment="1">
      <alignment horizontal="center" wrapText="1"/>
    </xf>
    <xf numFmtId="11" fontId="34" fillId="43" borderId="1" xfId="0" applyNumberFormat="1" applyFont="1" applyFill="1" applyBorder="1" applyAlignment="1">
      <alignment horizontal="center"/>
    </xf>
    <xf numFmtId="11" fontId="35" fillId="43" borderId="0" xfId="0" applyNumberFormat="1" applyFont="1" applyFill="1" applyAlignment="1">
      <alignment horizontal="center" wrapText="1"/>
    </xf>
    <xf numFmtId="0" fontId="1" fillId="44" borderId="0" xfId="0" applyFont="1" applyFill="1" applyAlignment="1">
      <alignment horizontal="left" wrapText="1"/>
    </xf>
    <xf numFmtId="11" fontId="10" fillId="43" borderId="0" xfId="0" applyNumberFormat="1" applyFont="1" applyFill="1" applyAlignment="1">
      <alignment horizontal="center" wrapText="1"/>
    </xf>
    <xf numFmtId="0" fontId="5" fillId="44" borderId="0" xfId="0" applyFont="1" applyFill="1" applyAlignment="1">
      <alignment wrapText="1"/>
    </xf>
    <xf numFmtId="0" fontId="10" fillId="43" borderId="0" xfId="0" applyFont="1" applyFill="1" applyAlignment="1">
      <alignment horizontal="center" wrapText="1"/>
    </xf>
    <xf numFmtId="0" fontId="1" fillId="44" borderId="0" xfId="0" applyFont="1" applyFill="1" applyAlignment="1">
      <alignment horizontal="center" wrapText="1"/>
    </xf>
    <xf numFmtId="165" fontId="5" fillId="44" borderId="0" xfId="0" applyNumberFormat="1" applyFont="1" applyFill="1" applyAlignment="1">
      <alignment horizontal="center" wrapText="1"/>
    </xf>
    <xf numFmtId="0" fontId="5" fillId="44" borderId="0" xfId="0" applyFont="1" applyFill="1" applyAlignment="1">
      <alignment wrapText="1"/>
    </xf>
    <xf numFmtId="164" fontId="24" fillId="43" borderId="0" xfId="0" applyNumberFormat="1" applyFont="1" applyFill="1" applyAlignment="1">
      <alignment horizontal="center" wrapText="1"/>
    </xf>
    <xf numFmtId="164" fontId="5" fillId="44" borderId="0" xfId="0" applyNumberFormat="1" applyFont="1" applyFill="1" applyAlignment="1">
      <alignment horizontal="left" wrapText="1"/>
    </xf>
    <xf numFmtId="0" fontId="10" fillId="43" borderId="0" xfId="0" applyFont="1" applyFill="1" applyAlignment="1">
      <alignment horizontal="center" wrapText="1"/>
    </xf>
    <xf numFmtId="0" fontId="1" fillId="44" borderId="0" xfId="0" applyFont="1" applyFill="1" applyAlignment="1">
      <alignment horizontal="center" wrapText="1"/>
    </xf>
    <xf numFmtId="0" fontId="10" fillId="43" borderId="0" xfId="0" applyFont="1" applyFill="1" applyAlignment="1">
      <alignment horizontal="center" vertical="center" wrapText="1"/>
    </xf>
    <xf numFmtId="0" fontId="5" fillId="44" borderId="0" xfId="0" applyFont="1" applyFill="1" applyAlignment="1">
      <alignment wrapText="1"/>
    </xf>
    <xf numFmtId="0" fontId="10" fillId="43" borderId="0" xfId="0" applyFont="1" applyFill="1" applyAlignment="1">
      <alignment horizontal="center" wrapText="1"/>
    </xf>
    <xf numFmtId="14" fontId="5" fillId="44" borderId="0" xfId="0" applyNumberFormat="1" applyFont="1" applyFill="1" applyAlignment="1">
      <alignment horizontal="center" wrapText="1"/>
    </xf>
    <xf numFmtId="166" fontId="4" fillId="43" borderId="0" xfId="0" applyNumberFormat="1" applyFont="1" applyFill="1" applyAlignment="1">
      <alignment horizontal="center" wrapText="1"/>
    </xf>
    <xf numFmtId="0" fontId="11" fillId="37" borderId="0" xfId="0" applyFont="1" applyFill="1" applyAlignment="1">
      <alignment horizontal="left" wrapText="1"/>
    </xf>
    <xf numFmtId="0" fontId="12" fillId="37" borderId="0" xfId="0" applyFont="1" applyFill="1" applyAlignment="1">
      <alignment wrapText="1"/>
    </xf>
    <xf numFmtId="0" fontId="11" fillId="37" borderId="0" xfId="0" applyFont="1" applyFill="1" applyAlignment="1">
      <alignment horizontal="center" wrapText="1"/>
    </xf>
    <xf numFmtId="164" fontId="9" fillId="43" borderId="0" xfId="0" applyNumberFormat="1" applyFont="1" applyFill="1" applyAlignment="1">
      <alignment horizontal="center" wrapText="1"/>
    </xf>
    <xf numFmtId="165" fontId="12" fillId="37" borderId="0" xfId="0" applyNumberFormat="1" applyFont="1" applyFill="1" applyAlignment="1">
      <alignment horizontal="center" wrapText="1"/>
    </xf>
    <xf numFmtId="0" fontId="12" fillId="37" borderId="0" xfId="0" applyFont="1" applyFill="1" applyAlignment="1">
      <alignment wrapText="1"/>
    </xf>
    <xf numFmtId="0" fontId="10" fillId="4" borderId="0" xfId="0" applyFont="1" applyFill="1" applyAlignment="1">
      <alignment horizontal="center" wrapText="1"/>
    </xf>
    <xf numFmtId="164" fontId="12" fillId="37" borderId="0" xfId="0" applyNumberFormat="1" applyFont="1" applyFill="1" applyAlignment="1">
      <alignment horizontal="left" wrapText="1"/>
    </xf>
    <xf numFmtId="0" fontId="10" fillId="4" borderId="0" xfId="0" applyFont="1" applyFill="1" applyAlignment="1">
      <alignment horizontal="center" wrapText="1"/>
    </xf>
    <xf numFmtId="0" fontId="1" fillId="21" borderId="0" xfId="0" applyFont="1" applyFill="1" applyAlignment="1">
      <alignment horizontal="left" wrapText="1"/>
    </xf>
    <xf numFmtId="165" fontId="10" fillId="4" borderId="0" xfId="0" applyNumberFormat="1" applyFont="1" applyFill="1" applyAlignment="1">
      <alignment horizontal="center" wrapText="1"/>
    </xf>
    <xf numFmtId="0" fontId="5" fillId="21" borderId="0" xfId="0" applyFont="1" applyFill="1" applyAlignment="1">
      <alignment wrapText="1"/>
    </xf>
    <xf numFmtId="166" fontId="10" fillId="4" borderId="0" xfId="0" applyNumberFormat="1" applyFont="1" applyFill="1" applyAlignment="1">
      <alignment horizontal="center" wrapText="1"/>
    </xf>
    <xf numFmtId="0" fontId="1" fillId="21" borderId="0" xfId="0" applyFont="1" applyFill="1" applyAlignment="1">
      <alignment horizontal="center" wrapText="1"/>
    </xf>
    <xf numFmtId="164" fontId="11" fillId="4" borderId="0" xfId="0" applyNumberFormat="1" applyFont="1" applyFill="1" applyAlignment="1">
      <alignment horizontal="center" wrapText="1"/>
    </xf>
    <xf numFmtId="165" fontId="5" fillId="21" borderId="0" xfId="0" applyNumberFormat="1" applyFont="1" applyFill="1" applyAlignment="1">
      <alignment horizontal="center" wrapText="1"/>
    </xf>
    <xf numFmtId="164" fontId="10" fillId="4" borderId="0" xfId="0" applyNumberFormat="1" applyFont="1" applyFill="1" applyAlignment="1">
      <alignment horizontal="center" wrapText="1"/>
    </xf>
    <xf numFmtId="0" fontId="5" fillId="21" borderId="0" xfId="0" applyFont="1" applyFill="1" applyAlignment="1">
      <alignment wrapText="1"/>
    </xf>
    <xf numFmtId="11" fontId="10" fillId="4" borderId="0" xfId="0" applyNumberFormat="1" applyFont="1" applyFill="1" applyAlignment="1">
      <alignment horizontal="center" wrapText="1"/>
    </xf>
    <xf numFmtId="164" fontId="5" fillId="21" borderId="0" xfId="0" applyNumberFormat="1" applyFont="1" applyFill="1" applyAlignment="1">
      <alignment horizontal="left" wrapText="1"/>
    </xf>
    <xf numFmtId="164" fontId="9" fillId="4" borderId="0" xfId="0" applyNumberFormat="1" applyFont="1" applyFill="1" applyAlignment="1">
      <alignment horizontal="center" wrapText="1"/>
    </xf>
    <xf numFmtId="0" fontId="1" fillId="21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5" fillId="21" borderId="0" xfId="0" applyFont="1" applyFill="1" applyAlignment="1">
      <alignment wrapText="1"/>
    </xf>
    <xf numFmtId="14" fontId="5" fillId="21" borderId="0" xfId="0" applyNumberFormat="1" applyFont="1" applyFill="1" applyAlignment="1">
      <alignment horizontal="center" wrapText="1"/>
    </xf>
    <xf numFmtId="0" fontId="1" fillId="45" borderId="0" xfId="0" applyFont="1" applyFill="1" applyAlignment="1">
      <alignment horizontal="left" wrapText="1"/>
    </xf>
    <xf numFmtId="0" fontId="5" fillId="45" borderId="0" xfId="0" applyFont="1" applyFill="1" applyAlignment="1">
      <alignment wrapText="1"/>
    </xf>
    <xf numFmtId="0" fontId="1" fillId="45" borderId="0" xfId="0" applyFont="1" applyFill="1" applyAlignment="1">
      <alignment horizontal="center" wrapText="1"/>
    </xf>
    <xf numFmtId="11" fontId="4" fillId="4" borderId="0" xfId="0" applyNumberFormat="1" applyFont="1" applyFill="1" applyAlignment="1">
      <alignment horizontal="center" wrapText="1"/>
    </xf>
    <xf numFmtId="169" fontId="5" fillId="45" borderId="0" xfId="0" applyNumberFormat="1" applyFont="1" applyFill="1" applyAlignment="1">
      <alignment horizontal="center" wrapText="1"/>
    </xf>
    <xf numFmtId="0" fontId="5" fillId="45" borderId="0" xfId="0" applyFont="1" applyFill="1" applyAlignment="1">
      <alignment wrapText="1"/>
    </xf>
    <xf numFmtId="164" fontId="5" fillId="45" borderId="0" xfId="0" applyNumberFormat="1" applyFont="1" applyFill="1" applyAlignment="1">
      <alignment horizontal="left" wrapText="1"/>
    </xf>
    <xf numFmtId="0" fontId="1" fillId="45" borderId="0" xfId="0" applyFont="1" applyFill="1" applyAlignment="1">
      <alignment horizontal="left" wrapText="1"/>
    </xf>
    <xf numFmtId="0" fontId="1" fillId="45" borderId="0" xfId="0" applyFont="1" applyFill="1" applyAlignment="1">
      <alignment horizontal="center" wrapText="1"/>
    </xf>
    <xf numFmtId="11" fontId="11" fillId="4" borderId="0" xfId="0" applyNumberFormat="1" applyFont="1" applyFill="1" applyAlignment="1">
      <alignment horizontal="center" wrapText="1"/>
    </xf>
    <xf numFmtId="11" fontId="10" fillId="4" borderId="0" xfId="0" applyNumberFormat="1" applyFont="1" applyFill="1" applyAlignment="1">
      <alignment horizontal="center" wrapText="1"/>
    </xf>
    <xf numFmtId="0" fontId="5" fillId="45" borderId="0" xfId="0" applyFont="1" applyFill="1" applyAlignment="1">
      <alignment wrapText="1"/>
    </xf>
    <xf numFmtId="11" fontId="10" fillId="4" borderId="0" xfId="0" applyNumberFormat="1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" fillId="46" borderId="0" xfId="0" applyFont="1" applyFill="1" applyAlignment="1">
      <alignment horizontal="left" wrapText="1"/>
    </xf>
    <xf numFmtId="164" fontId="24" fillId="4" borderId="0" xfId="0" applyNumberFormat="1" applyFont="1" applyFill="1" applyAlignment="1">
      <alignment horizontal="center" wrapText="1"/>
    </xf>
    <xf numFmtId="0" fontId="5" fillId="46" borderId="0" xfId="0" applyFont="1" applyFill="1" applyAlignment="1">
      <alignment wrapText="1"/>
    </xf>
    <xf numFmtId="0" fontId="10" fillId="4" borderId="0" xfId="0" applyFont="1" applyFill="1" applyAlignment="1">
      <alignment horizontal="center" wrapText="1"/>
    </xf>
    <xf numFmtId="0" fontId="1" fillId="46" borderId="0" xfId="0" applyFont="1" applyFill="1" applyAlignment="1">
      <alignment horizontal="center" wrapText="1"/>
    </xf>
    <xf numFmtId="11" fontId="10" fillId="4" borderId="0" xfId="0" applyNumberFormat="1" applyFont="1" applyFill="1" applyAlignment="1">
      <alignment horizontal="center" wrapText="1"/>
    </xf>
    <xf numFmtId="0" fontId="5" fillId="46" borderId="0" xfId="0" applyFont="1" applyFill="1" applyAlignment="1">
      <alignment wrapText="1"/>
    </xf>
    <xf numFmtId="165" fontId="5" fillId="46" borderId="0" xfId="0" applyNumberFormat="1" applyFont="1" applyFill="1" applyAlignment="1">
      <alignment horizontal="center" wrapText="1"/>
    </xf>
    <xf numFmtId="0" fontId="5" fillId="46" borderId="0" xfId="0" applyFont="1" applyFill="1" applyAlignment="1">
      <alignment wrapText="1"/>
    </xf>
    <xf numFmtId="164" fontId="5" fillId="46" borderId="0" xfId="0" applyNumberFormat="1" applyFont="1" applyFill="1" applyAlignment="1">
      <alignment horizontal="left" wrapText="1"/>
    </xf>
    <xf numFmtId="0" fontId="10" fillId="4" borderId="0" xfId="0" applyFont="1" applyFill="1" applyAlignment="1">
      <alignment horizontal="center" wrapText="1"/>
    </xf>
    <xf numFmtId="0" fontId="1" fillId="46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" fillId="4" borderId="0" xfId="0" applyFont="1" applyFill="1" applyAlignment="1">
      <alignment horizontal="left" wrapText="1"/>
    </xf>
    <xf numFmtId="0" fontId="5" fillId="4" borderId="0" xfId="0" applyFont="1" applyFill="1" applyAlignment="1">
      <alignment wrapText="1"/>
    </xf>
    <xf numFmtId="0" fontId="1" fillId="4" borderId="0" xfId="0" applyFont="1" applyFill="1" applyAlignment="1">
      <alignment horizontal="center" wrapText="1"/>
    </xf>
    <xf numFmtId="165" fontId="5" fillId="4" borderId="0" xfId="0" applyNumberFormat="1" applyFont="1" applyFill="1" applyAlignment="1">
      <alignment horizontal="center" wrapText="1"/>
    </xf>
    <xf numFmtId="0" fontId="5" fillId="4" borderId="0" xfId="0" applyFont="1" applyFill="1" applyAlignment="1">
      <alignment wrapText="1"/>
    </xf>
    <xf numFmtId="164" fontId="5" fillId="4" borderId="0" xfId="0" applyNumberFormat="1" applyFont="1" applyFill="1" applyAlignment="1">
      <alignment horizontal="left" wrapText="1"/>
    </xf>
    <xf numFmtId="0" fontId="1" fillId="4" borderId="0" xfId="0" applyFont="1" applyFill="1" applyAlignment="1">
      <alignment horizontal="center" wrapText="1"/>
    </xf>
    <xf numFmtId="14" fontId="5" fillId="4" borderId="0" xfId="0" applyNumberFormat="1" applyFont="1" applyFill="1" applyAlignment="1">
      <alignment horizontal="center" wrapText="1"/>
    </xf>
    <xf numFmtId="0" fontId="1" fillId="12" borderId="0" xfId="0" applyFont="1" applyFill="1" applyAlignment="1">
      <alignment horizontal="left" wrapText="1"/>
    </xf>
    <xf numFmtId="0" fontId="5" fillId="12" borderId="0" xfId="0" applyFont="1" applyFill="1" applyAlignment="1">
      <alignment wrapText="1"/>
    </xf>
    <xf numFmtId="0" fontId="1" fillId="12" borderId="0" xfId="0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166" fontId="10" fillId="5" borderId="0" xfId="0" applyNumberFormat="1" applyFont="1" applyFill="1" applyAlignment="1">
      <alignment horizontal="center" wrapText="1"/>
    </xf>
    <xf numFmtId="165" fontId="5" fillId="12" borderId="0" xfId="0" applyNumberFormat="1" applyFont="1" applyFill="1" applyAlignment="1">
      <alignment horizontal="center" wrapText="1"/>
    </xf>
    <xf numFmtId="0" fontId="5" fillId="12" borderId="0" xfId="0" applyFont="1" applyFill="1" applyAlignment="1">
      <alignment wrapText="1"/>
    </xf>
    <xf numFmtId="165" fontId="10" fillId="5" borderId="0" xfId="0" applyNumberFormat="1" applyFont="1" applyFill="1" applyAlignment="1">
      <alignment horizontal="center" wrapText="1"/>
    </xf>
    <xf numFmtId="164" fontId="5" fillId="12" borderId="0" xfId="0" applyNumberFormat="1" applyFont="1" applyFill="1" applyAlignment="1">
      <alignment horizontal="left" wrapText="1"/>
    </xf>
    <xf numFmtId="166" fontId="10" fillId="5" borderId="0" xfId="0" applyNumberFormat="1" applyFont="1" applyFill="1" applyAlignment="1">
      <alignment horizontal="center" wrapText="1"/>
    </xf>
    <xf numFmtId="164" fontId="11" fillId="5" borderId="0" xfId="0" applyNumberFormat="1" applyFont="1" applyFill="1" applyAlignment="1">
      <alignment horizontal="center" wrapText="1"/>
    </xf>
    <xf numFmtId="0" fontId="1" fillId="12" borderId="0" xfId="0" applyFont="1" applyFill="1" applyAlignment="1">
      <alignment horizontal="center" wrapText="1"/>
    </xf>
    <xf numFmtId="164" fontId="10" fillId="5" borderId="0" xfId="0" applyNumberFormat="1" applyFont="1" applyFill="1" applyAlignment="1">
      <alignment horizontal="center" wrapText="1"/>
    </xf>
    <xf numFmtId="0" fontId="5" fillId="12" borderId="0" xfId="0" applyFont="1" applyFill="1" applyAlignment="1">
      <alignment wrapText="1"/>
    </xf>
    <xf numFmtId="11" fontId="10" fillId="5" borderId="0" xfId="0" applyNumberFormat="1" applyFont="1" applyFill="1" applyAlignment="1">
      <alignment horizontal="center" wrapText="1"/>
    </xf>
    <xf numFmtId="11" fontId="11" fillId="5" borderId="0" xfId="0" applyNumberFormat="1" applyFont="1" applyFill="1" applyAlignment="1">
      <alignment horizontal="center" wrapText="1"/>
    </xf>
    <xf numFmtId="0" fontId="1" fillId="38" borderId="0" xfId="0" applyFont="1" applyFill="1" applyAlignment="1">
      <alignment horizontal="left" wrapText="1"/>
    </xf>
    <xf numFmtId="11" fontId="10" fillId="5" borderId="0" xfId="0" applyNumberFormat="1" applyFont="1" applyFill="1" applyAlignment="1">
      <alignment horizontal="center" wrapText="1"/>
    </xf>
    <xf numFmtId="0" fontId="5" fillId="38" borderId="0" xfId="0" applyFont="1" applyFill="1" applyAlignment="1">
      <alignment wrapText="1"/>
    </xf>
    <xf numFmtId="11" fontId="10" fillId="5" borderId="0" xfId="0" applyNumberFormat="1" applyFont="1" applyFill="1" applyAlignment="1">
      <alignment horizontal="center" wrapText="1"/>
    </xf>
    <xf numFmtId="0" fontId="1" fillId="38" borderId="0" xfId="0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165" fontId="5" fillId="38" borderId="0" xfId="0" applyNumberFormat="1" applyFont="1" applyFill="1" applyAlignment="1">
      <alignment horizontal="center" wrapText="1"/>
    </xf>
    <xf numFmtId="164" fontId="24" fillId="5" borderId="0" xfId="0" applyNumberFormat="1" applyFont="1" applyFill="1" applyAlignment="1">
      <alignment horizontal="center" wrapText="1"/>
    </xf>
    <xf numFmtId="164" fontId="5" fillId="38" borderId="0" xfId="0" applyNumberFormat="1" applyFont="1" applyFill="1" applyAlignment="1">
      <alignment horizontal="left" wrapText="1"/>
    </xf>
    <xf numFmtId="0" fontId="10" fillId="5" borderId="0" xfId="0" applyFont="1" applyFill="1" applyAlignment="1">
      <alignment horizontal="center" wrapText="1"/>
    </xf>
    <xf numFmtId="0" fontId="1" fillId="38" borderId="0" xfId="0" applyFont="1" applyFill="1" applyAlignment="1">
      <alignment wrapText="1"/>
    </xf>
    <xf numFmtId="0" fontId="10" fillId="5" borderId="0" xfId="0" applyFont="1" applyFill="1" applyAlignment="1">
      <alignment horizontal="center" wrapText="1"/>
    </xf>
    <xf numFmtId="0" fontId="5" fillId="38" borderId="0" xfId="0" applyFont="1" applyFill="1" applyAlignment="1">
      <alignment wrapText="1"/>
    </xf>
    <xf numFmtId="0" fontId="1" fillId="9" borderId="0" xfId="0" applyFont="1" applyFill="1" applyAlignment="1">
      <alignment horizontal="left" wrapText="1"/>
    </xf>
    <xf numFmtId="0" fontId="5" fillId="9" borderId="0" xfId="0" applyFont="1" applyFill="1" applyAlignment="1">
      <alignment wrapText="1"/>
    </xf>
    <xf numFmtId="0" fontId="1" fillId="9" borderId="0" xfId="0" applyFont="1" applyFill="1" applyAlignment="1">
      <alignment horizontal="center" wrapText="1"/>
    </xf>
    <xf numFmtId="165" fontId="5" fillId="9" borderId="0" xfId="0" applyNumberFormat="1" applyFont="1" applyFill="1" applyAlignment="1">
      <alignment horizontal="center" wrapText="1"/>
    </xf>
    <xf numFmtId="0" fontId="4" fillId="47" borderId="0" xfId="0" applyFont="1" applyFill="1" applyAlignment="1">
      <alignment horizontal="center" wrapText="1"/>
    </xf>
    <xf numFmtId="0" fontId="5" fillId="9" borderId="0" xfId="0" applyFont="1" applyFill="1" applyAlignment="1">
      <alignment wrapText="1"/>
    </xf>
    <xf numFmtId="0" fontId="4" fillId="47" borderId="0" xfId="0" applyFont="1" applyFill="1" applyAlignment="1">
      <alignment horizontal="center" wrapText="1"/>
    </xf>
    <xf numFmtId="164" fontId="5" fillId="9" borderId="0" xfId="0" applyNumberFormat="1" applyFont="1" applyFill="1" applyAlignment="1">
      <alignment horizontal="left" wrapText="1"/>
    </xf>
    <xf numFmtId="165" fontId="4" fillId="47" borderId="0" xfId="0" applyNumberFormat="1" applyFont="1" applyFill="1" applyAlignment="1">
      <alignment horizontal="center" wrapText="1"/>
    </xf>
    <xf numFmtId="0" fontId="1" fillId="9" borderId="0" xfId="0" applyFont="1" applyFill="1" applyAlignment="1">
      <alignment horizontal="center" wrapText="1"/>
    </xf>
    <xf numFmtId="166" fontId="4" fillId="47" borderId="0" xfId="0" applyNumberFormat="1" applyFont="1" applyFill="1" applyAlignment="1">
      <alignment horizontal="center" wrapText="1"/>
    </xf>
    <xf numFmtId="0" fontId="5" fillId="9" borderId="0" xfId="0" applyFont="1" applyFill="1" applyAlignment="1">
      <alignment wrapText="1"/>
    </xf>
    <xf numFmtId="164" fontId="1" fillId="47" borderId="0" xfId="0" applyNumberFormat="1" applyFont="1" applyFill="1" applyAlignment="1">
      <alignment horizontal="center" wrapText="1"/>
    </xf>
    <xf numFmtId="14" fontId="5" fillId="9" borderId="0" xfId="0" applyNumberFormat="1" applyFont="1" applyFill="1" applyAlignment="1">
      <alignment horizontal="center" wrapText="1"/>
    </xf>
    <xf numFmtId="164" fontId="4" fillId="47" borderId="0" xfId="0" applyNumberFormat="1" applyFont="1" applyFill="1" applyAlignment="1">
      <alignment horizontal="center" wrapText="1"/>
    </xf>
    <xf numFmtId="11" fontId="4" fillId="47" borderId="0" xfId="0" applyNumberFormat="1" applyFont="1" applyFill="1" applyAlignment="1">
      <alignment horizontal="center" wrapText="1"/>
    </xf>
    <xf numFmtId="11" fontId="1" fillId="47" borderId="0" xfId="0" applyNumberFormat="1" applyFont="1" applyFill="1" applyAlignment="1">
      <alignment horizontal="center" wrapText="1"/>
    </xf>
    <xf numFmtId="11" fontId="4" fillId="47" borderId="0" xfId="0" applyNumberFormat="1" applyFont="1" applyFill="1" applyAlignment="1">
      <alignment horizontal="center" wrapText="1"/>
    </xf>
    <xf numFmtId="11" fontId="4" fillId="47" borderId="0" xfId="0" applyNumberFormat="1" applyFont="1" applyFill="1" applyAlignment="1">
      <alignment horizontal="center" wrapText="1"/>
    </xf>
    <xf numFmtId="0" fontId="1" fillId="40" borderId="0" xfId="0" applyFont="1" applyFill="1" applyAlignment="1">
      <alignment horizontal="left" wrapText="1"/>
    </xf>
    <xf numFmtId="0" fontId="4" fillId="47" borderId="0" xfId="0" applyFont="1" applyFill="1" applyAlignment="1">
      <alignment horizontal="center" wrapText="1"/>
    </xf>
    <xf numFmtId="0" fontId="1" fillId="40" borderId="0" xfId="0" applyFont="1" applyFill="1" applyAlignment="1">
      <alignment horizontal="center" wrapText="1"/>
    </xf>
    <xf numFmtId="169" fontId="5" fillId="40" borderId="0" xfId="0" applyNumberFormat="1" applyFont="1" applyFill="1" applyAlignment="1">
      <alignment horizontal="center" wrapText="1"/>
    </xf>
    <xf numFmtId="164" fontId="9" fillId="47" borderId="0" xfId="0" applyNumberFormat="1" applyFont="1" applyFill="1" applyAlignment="1">
      <alignment horizontal="center" wrapText="1"/>
    </xf>
    <xf numFmtId="0" fontId="5" fillId="40" borderId="0" xfId="0" applyFont="1" applyFill="1" applyAlignment="1">
      <alignment wrapText="1"/>
    </xf>
    <xf numFmtId="164" fontId="5" fillId="40" borderId="0" xfId="0" applyNumberFormat="1" applyFont="1" applyFill="1" applyAlignment="1">
      <alignment horizontal="left" wrapText="1"/>
    </xf>
    <xf numFmtId="0" fontId="1" fillId="40" borderId="0" xfId="0" applyFont="1" applyFill="1" applyAlignment="1">
      <alignment horizontal="center" wrapText="1"/>
    </xf>
    <xf numFmtId="0" fontId="5" fillId="40" borderId="0" xfId="0" applyFont="1" applyFill="1" applyAlignment="1">
      <alignment wrapText="1"/>
    </xf>
    <xf numFmtId="0" fontId="4" fillId="47" borderId="0" xfId="0" applyFont="1" applyFill="1" applyAlignment="1">
      <alignment horizontal="center" wrapText="1"/>
    </xf>
    <xf numFmtId="0" fontId="1" fillId="23" borderId="0" xfId="0" applyFont="1" applyFill="1" applyAlignment="1">
      <alignment horizontal="left" wrapText="1"/>
    </xf>
    <xf numFmtId="0" fontId="4" fillId="5" borderId="0" xfId="0" applyFont="1" applyFill="1" applyAlignment="1">
      <alignment horizontal="center" wrapText="1"/>
    </xf>
    <xf numFmtId="0" fontId="1" fillId="23" borderId="0" xfId="0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5" fontId="5" fillId="23" borderId="0" xfId="0" applyNumberFormat="1" applyFont="1" applyFill="1" applyAlignment="1">
      <alignment horizontal="center" wrapText="1"/>
    </xf>
    <xf numFmtId="0" fontId="1" fillId="0" borderId="5" xfId="0" applyFont="1" applyBorder="1" applyAlignment="1">
      <alignment wrapText="1"/>
    </xf>
    <xf numFmtId="0" fontId="10" fillId="46" borderId="0" xfId="0" applyFont="1" applyFill="1" applyAlignment="1">
      <alignment horizontal="center" wrapText="1"/>
    </xf>
    <xf numFmtId="0" fontId="1" fillId="0" borderId="5" xfId="0" applyFont="1" applyBorder="1" applyAlignment="1">
      <alignment wrapText="1"/>
    </xf>
    <xf numFmtId="164" fontId="10" fillId="46" borderId="0" xfId="0" applyNumberFormat="1" applyFont="1" applyFill="1" applyAlignment="1">
      <alignment horizontal="center" wrapText="1"/>
    </xf>
    <xf numFmtId="0" fontId="36" fillId="0" borderId="6" xfId="0" applyFont="1" applyBorder="1" applyAlignment="1">
      <alignment wrapText="1"/>
    </xf>
    <xf numFmtId="166" fontId="10" fillId="46" borderId="0" xfId="0" applyNumberFormat="1" applyFont="1" applyFill="1" applyAlignment="1">
      <alignment horizontal="center" wrapText="1"/>
    </xf>
    <xf numFmtId="0" fontId="1" fillId="0" borderId="7" xfId="0" applyFont="1" applyBorder="1" applyAlignment="1">
      <alignment wrapText="1"/>
    </xf>
    <xf numFmtId="166" fontId="10" fillId="46" borderId="0" xfId="0" applyNumberFormat="1" applyFont="1" applyFill="1" applyAlignment="1">
      <alignment horizontal="center" wrapText="1"/>
    </xf>
    <xf numFmtId="0" fontId="5" fillId="0" borderId="8" xfId="0" applyFont="1" applyBorder="1" applyAlignment="1">
      <alignment wrapText="1"/>
    </xf>
    <xf numFmtId="164" fontId="11" fillId="46" borderId="0" xfId="0" applyNumberFormat="1" applyFont="1" applyFill="1" applyAlignment="1">
      <alignment horizontal="center" wrapText="1"/>
    </xf>
    <xf numFmtId="0" fontId="5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5" fillId="0" borderId="9" xfId="0" applyFont="1" applyBorder="1" applyAlignment="1">
      <alignment wrapText="1"/>
    </xf>
    <xf numFmtId="0" fontId="1" fillId="12" borderId="0" xfId="0" applyFont="1" applyFill="1" applyAlignment="1">
      <alignment wrapText="1"/>
    </xf>
    <xf numFmtId="11" fontId="10" fillId="46" borderId="0" xfId="0" applyNumberFormat="1" applyFont="1" applyFill="1" applyAlignment="1">
      <alignment horizontal="center" wrapText="1"/>
    </xf>
    <xf numFmtId="0" fontId="14" fillId="12" borderId="0" xfId="0" applyFont="1" applyFill="1" applyAlignment="1">
      <alignment horizontal="left" wrapText="1"/>
    </xf>
    <xf numFmtId="11" fontId="11" fillId="46" borderId="0" xfId="0" applyNumberFormat="1" applyFont="1" applyFill="1" applyAlignment="1">
      <alignment horizontal="center" wrapText="1"/>
    </xf>
    <xf numFmtId="0" fontId="5" fillId="12" borderId="0" xfId="0" applyFont="1" applyFill="1" applyAlignment="1">
      <alignment horizontal="left" wrapText="1"/>
    </xf>
    <xf numFmtId="11" fontId="10" fillId="46" borderId="0" xfId="0" applyNumberFormat="1" applyFont="1" applyFill="1" applyAlignment="1">
      <alignment horizontal="center" wrapText="1"/>
    </xf>
    <xf numFmtId="14" fontId="5" fillId="12" borderId="0" xfId="0" applyNumberFormat="1" applyFont="1" applyFill="1" applyAlignment="1">
      <alignment wrapText="1"/>
    </xf>
    <xf numFmtId="11" fontId="10" fillId="46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4" fontId="24" fillId="46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0" fontId="5" fillId="17" borderId="0" xfId="0" applyFont="1" applyFill="1" applyAlignment="1">
      <alignment wrapText="1"/>
    </xf>
    <xf numFmtId="0" fontId="4" fillId="46" borderId="0" xfId="0" applyFont="1" applyFill="1" applyAlignment="1">
      <alignment horizontal="center" wrapText="1"/>
    </xf>
    <xf numFmtId="0" fontId="1" fillId="17" borderId="0" xfId="0" applyFont="1" applyFill="1" applyAlignment="1">
      <alignment wrapText="1"/>
    </xf>
    <xf numFmtId="0" fontId="5" fillId="17" borderId="0" xfId="0" applyFont="1" applyFill="1" applyAlignment="1">
      <alignment wrapText="1"/>
    </xf>
    <xf numFmtId="0" fontId="14" fillId="17" borderId="0" xfId="0" applyFont="1" applyFill="1" applyAlignment="1">
      <alignment horizontal="left" wrapText="1"/>
    </xf>
    <xf numFmtId="0" fontId="5" fillId="17" borderId="0" xfId="0" applyFont="1" applyFill="1" applyAlignment="1">
      <alignment horizontal="left" wrapText="1"/>
    </xf>
    <xf numFmtId="0" fontId="4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5" fillId="17" borderId="0" xfId="0" applyFont="1" applyFill="1" applyAlignment="1">
      <alignment wrapText="1"/>
    </xf>
    <xf numFmtId="165" fontId="4" fillId="5" borderId="0" xfId="0" applyNumberFormat="1" applyFont="1" applyFill="1" applyAlignment="1">
      <alignment horizontal="center" wrapText="1"/>
    </xf>
    <xf numFmtId="0" fontId="1" fillId="20" borderId="0" xfId="0" applyFont="1" applyFill="1" applyAlignment="1">
      <alignment wrapText="1"/>
    </xf>
    <xf numFmtId="166" fontId="4" fillId="5" borderId="0" xfId="0" applyNumberFormat="1" applyFont="1" applyFill="1" applyAlignment="1">
      <alignment horizontal="center" wrapText="1"/>
    </xf>
    <xf numFmtId="164" fontId="1" fillId="5" borderId="0" xfId="0" applyNumberFormat="1" applyFont="1" applyFill="1" applyAlignment="1">
      <alignment horizontal="center" wrapText="1"/>
    </xf>
    <xf numFmtId="164" fontId="4" fillId="5" borderId="0" xfId="0" applyNumberFormat="1" applyFont="1" applyFill="1" applyAlignment="1">
      <alignment horizontal="center" wrapText="1"/>
    </xf>
    <xf numFmtId="11" fontId="4" fillId="5" borderId="0" xfId="0" applyNumberFormat="1" applyFont="1" applyFill="1" applyAlignment="1">
      <alignment horizontal="center" wrapText="1"/>
    </xf>
    <xf numFmtId="11" fontId="1" fillId="5" borderId="0" xfId="0" applyNumberFormat="1" applyFont="1" applyFill="1" applyAlignment="1">
      <alignment horizontal="center" wrapText="1"/>
    </xf>
    <xf numFmtId="11" fontId="4" fillId="5" borderId="0" xfId="0" applyNumberFormat="1" applyFont="1" applyFill="1" applyAlignment="1">
      <alignment horizontal="center" wrapText="1"/>
    </xf>
    <xf numFmtId="11" fontId="4" fillId="5" borderId="0" xfId="0" applyNumberFormat="1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164" fontId="9" fillId="5" borderId="0" xfId="0" applyNumberFormat="1" applyFont="1" applyFill="1" applyAlignment="1">
      <alignment horizontal="center" wrapText="1"/>
    </xf>
    <xf numFmtId="0" fontId="1" fillId="20" borderId="0" xfId="0" applyFont="1" applyFill="1" applyAlignment="1">
      <alignment wrapText="1"/>
    </xf>
    <xf numFmtId="0" fontId="10" fillId="46" borderId="0" xfId="0" applyFont="1" applyFill="1" applyAlignment="1">
      <alignment horizontal="center" wrapText="1"/>
    </xf>
    <xf numFmtId="0" fontId="5" fillId="20" borderId="0" xfId="0" applyFont="1" applyFill="1" applyAlignment="1">
      <alignment wrapText="1"/>
    </xf>
    <xf numFmtId="0" fontId="10" fillId="46" borderId="0" xfId="0" applyFont="1" applyFill="1" applyAlignment="1">
      <alignment horizontal="center" wrapText="1"/>
    </xf>
    <xf numFmtId="164" fontId="10" fillId="46" borderId="0" xfId="0" applyNumberFormat="1" applyFont="1" applyFill="1" applyAlignment="1">
      <alignment horizontal="center" wrapText="1"/>
    </xf>
    <xf numFmtId="0" fontId="5" fillId="20" borderId="0" xfId="0" applyFont="1" applyFill="1" applyAlignment="1">
      <alignment horizontal="left" wrapText="1"/>
    </xf>
    <xf numFmtId="166" fontId="10" fillId="46" borderId="0" xfId="0" applyNumberFormat="1" applyFont="1" applyFill="1" applyAlignment="1">
      <alignment horizontal="center" wrapText="1"/>
    </xf>
    <xf numFmtId="165" fontId="10" fillId="46" borderId="0" xfId="0" applyNumberFormat="1" applyFont="1" applyFill="1" applyAlignment="1">
      <alignment horizontal="center" wrapText="1"/>
    </xf>
    <xf numFmtId="166" fontId="10" fillId="46" borderId="0" xfId="0" applyNumberFormat="1" applyFont="1" applyFill="1" applyAlignment="1">
      <alignment horizontal="center" wrapText="1"/>
    </xf>
    <xf numFmtId="164" fontId="11" fillId="46" borderId="0" xfId="0" applyNumberFormat="1" applyFont="1" applyFill="1" applyAlignment="1">
      <alignment horizontal="center" wrapText="1"/>
    </xf>
    <xf numFmtId="11" fontId="10" fillId="46" borderId="0" xfId="0" applyNumberFormat="1" applyFont="1" applyFill="1" applyAlignment="1">
      <alignment horizontal="center" wrapText="1"/>
    </xf>
    <xf numFmtId="11" fontId="11" fillId="46" borderId="0" xfId="0" applyNumberFormat="1" applyFont="1" applyFill="1" applyAlignment="1">
      <alignment horizontal="center" wrapText="1"/>
    </xf>
    <xf numFmtId="11" fontId="10" fillId="46" borderId="0" xfId="0" applyNumberFormat="1" applyFont="1" applyFill="1" applyAlignment="1">
      <alignment horizontal="center" wrapText="1"/>
    </xf>
    <xf numFmtId="14" fontId="5" fillId="20" borderId="0" xfId="0" applyNumberFormat="1" applyFont="1" applyFill="1" applyAlignment="1">
      <alignment horizontal="left" wrapText="1"/>
    </xf>
    <xf numFmtId="11" fontId="10" fillId="46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4" fontId="24" fillId="46" borderId="0" xfId="0" applyNumberFormat="1" applyFont="1" applyFill="1" applyAlignment="1">
      <alignment horizontal="center" wrapText="1"/>
    </xf>
    <xf numFmtId="0" fontId="4" fillId="46" borderId="0" xfId="0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5" fontId="10" fillId="8" borderId="0" xfId="0" applyNumberFormat="1" applyFont="1" applyFill="1" applyAlignment="1">
      <alignment horizontal="center" wrapText="1"/>
    </xf>
    <xf numFmtId="164" fontId="24" fillId="8" borderId="0" xfId="0" applyNumberFormat="1" applyFont="1" applyFill="1" applyAlignment="1">
      <alignment horizontal="center" wrapText="1"/>
    </xf>
    <xf numFmtId="0" fontId="4" fillId="37" borderId="0" xfId="0" applyFont="1" applyFill="1" applyAlignment="1">
      <alignment horizontal="center" wrapText="1"/>
    </xf>
    <xf numFmtId="14" fontId="5" fillId="20" borderId="0" xfId="0" applyNumberFormat="1" applyFont="1" applyFill="1" applyAlignment="1">
      <alignment wrapText="1"/>
    </xf>
    <xf numFmtId="166" fontId="4" fillId="37" borderId="0" xfId="0" applyNumberFormat="1" applyFont="1" applyFill="1" applyAlignment="1">
      <alignment horizontal="center" wrapText="1"/>
    </xf>
    <xf numFmtId="165" fontId="4" fillId="37" borderId="0" xfId="0" applyNumberFormat="1" applyFont="1" applyFill="1" applyAlignment="1">
      <alignment horizontal="center" wrapText="1"/>
    </xf>
    <xf numFmtId="166" fontId="4" fillId="37" borderId="0" xfId="0" applyNumberFormat="1" applyFont="1" applyFill="1" applyAlignment="1">
      <alignment horizontal="center" wrapText="1"/>
    </xf>
    <xf numFmtId="164" fontId="1" fillId="37" borderId="0" xfId="0" applyNumberFormat="1" applyFont="1" applyFill="1" applyAlignment="1">
      <alignment horizontal="center" wrapText="1"/>
    </xf>
    <xf numFmtId="0" fontId="5" fillId="20" borderId="1" xfId="0" applyFont="1" applyFill="1" applyBorder="1" applyAlignment="1">
      <alignment horizontal="left" wrapText="1"/>
    </xf>
    <xf numFmtId="164" fontId="4" fillId="37" borderId="0" xfId="0" applyNumberFormat="1" applyFont="1" applyFill="1" applyAlignment="1">
      <alignment horizontal="center" wrapText="1"/>
    </xf>
    <xf numFmtId="0" fontId="1" fillId="20" borderId="2" xfId="0" applyFont="1" applyFill="1" applyBorder="1" applyAlignment="1">
      <alignment wrapText="1"/>
    </xf>
    <xf numFmtId="164" fontId="9" fillId="37" borderId="0" xfId="0" applyNumberFormat="1" applyFont="1" applyFill="1" applyAlignment="1">
      <alignment horizontal="center" wrapText="1"/>
    </xf>
    <xf numFmtId="0" fontId="4" fillId="37" borderId="0" xfId="0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164" fontId="5" fillId="23" borderId="0" xfId="0" applyNumberFormat="1" applyFont="1" applyFill="1" applyAlignment="1">
      <alignment horizontal="left" wrapText="1"/>
    </xf>
    <xf numFmtId="0" fontId="10" fillId="11" borderId="0" xfId="0" applyFont="1" applyFill="1" applyAlignment="1">
      <alignment horizontal="center" wrapText="1"/>
    </xf>
    <xf numFmtId="0" fontId="1" fillId="23" borderId="0" xfId="0" applyFont="1" applyFill="1" applyAlignment="1">
      <alignment horizontal="center" wrapText="1"/>
    </xf>
    <xf numFmtId="0" fontId="3" fillId="20" borderId="0" xfId="0" applyFont="1" applyFill="1" applyAlignment="1">
      <alignment horizontal="left" wrapText="1"/>
    </xf>
    <xf numFmtId="0" fontId="1" fillId="31" borderId="0" xfId="0" applyFont="1" applyFill="1" applyAlignment="1">
      <alignment horizontal="left" wrapText="1"/>
    </xf>
    <xf numFmtId="0" fontId="5" fillId="31" borderId="0" xfId="0" applyFont="1" applyFill="1" applyAlignment="1">
      <alignment wrapText="1"/>
    </xf>
    <xf numFmtId="164" fontId="10" fillId="11" borderId="0" xfId="0" applyNumberFormat="1" applyFont="1" applyFill="1" applyAlignment="1">
      <alignment horizontal="center" wrapText="1"/>
    </xf>
    <xf numFmtId="165" fontId="10" fillId="11" borderId="0" xfId="0" applyNumberFormat="1" applyFont="1" applyFill="1" applyAlignment="1">
      <alignment horizontal="center" wrapText="1"/>
    </xf>
    <xf numFmtId="166" fontId="10" fillId="11" borderId="0" xfId="0" applyNumberFormat="1" applyFont="1" applyFill="1" applyAlignment="1">
      <alignment horizontal="center" wrapText="1"/>
    </xf>
    <xf numFmtId="0" fontId="1" fillId="21" borderId="0" xfId="0" applyFont="1" applyFill="1" applyAlignment="1">
      <alignment wrapText="1"/>
    </xf>
    <xf numFmtId="0" fontId="5" fillId="48" borderId="0" xfId="0" applyFont="1" applyFill="1" applyAlignment="1">
      <alignment wrapText="1"/>
    </xf>
    <xf numFmtId="0" fontId="1" fillId="48" borderId="0" xfId="0" applyFont="1" applyFill="1" applyAlignment="1">
      <alignment wrapText="1"/>
    </xf>
    <xf numFmtId="0" fontId="5" fillId="48" borderId="0" xfId="0" applyFont="1" applyFill="1" applyAlignment="1">
      <alignment wrapText="1"/>
    </xf>
    <xf numFmtId="0" fontId="1" fillId="31" borderId="0" xfId="0" applyFont="1" applyFill="1" applyAlignment="1">
      <alignment horizontal="center" wrapText="1"/>
    </xf>
    <xf numFmtId="165" fontId="5" fillId="31" borderId="0" xfId="0" applyNumberFormat="1" applyFont="1" applyFill="1" applyAlignment="1">
      <alignment horizontal="center" wrapText="1"/>
    </xf>
    <xf numFmtId="0" fontId="5" fillId="31" borderId="0" xfId="0" applyFont="1" applyFill="1" applyAlignment="1">
      <alignment wrapText="1"/>
    </xf>
    <xf numFmtId="164" fontId="5" fillId="31" borderId="0" xfId="0" applyNumberFormat="1" applyFont="1" applyFill="1" applyAlignment="1">
      <alignment horizontal="left" wrapText="1"/>
    </xf>
    <xf numFmtId="0" fontId="1" fillId="31" borderId="0" xfId="0" applyFont="1" applyFill="1" applyAlignment="1">
      <alignment horizontal="center" wrapText="1"/>
    </xf>
    <xf numFmtId="14" fontId="5" fillId="0" borderId="0" xfId="0" applyNumberFormat="1" applyFont="1" applyAlignment="1">
      <alignment horizontal="center" wrapText="1"/>
    </xf>
    <xf numFmtId="0" fontId="5" fillId="27" borderId="0" xfId="0" applyFont="1" applyFill="1" applyAlignment="1">
      <alignment wrapText="1"/>
    </xf>
    <xf numFmtId="0" fontId="5" fillId="27" borderId="0" xfId="0" applyFont="1" applyFill="1" applyAlignment="1">
      <alignment wrapText="1"/>
    </xf>
    <xf numFmtId="169" fontId="5" fillId="46" borderId="0" xfId="0" applyNumberFormat="1" applyFont="1" applyFill="1" applyAlignment="1">
      <alignment horizontal="center" wrapText="1"/>
    </xf>
    <xf numFmtId="0" fontId="1" fillId="36" borderId="0" xfId="0" applyFont="1" applyFill="1" applyAlignment="1">
      <alignment horizontal="left" wrapText="1"/>
    </xf>
    <xf numFmtId="0" fontId="5" fillId="36" borderId="0" xfId="0" applyFont="1" applyFill="1" applyAlignment="1">
      <alignment wrapText="1"/>
    </xf>
    <xf numFmtId="0" fontId="5" fillId="18" borderId="0" xfId="0" applyFont="1" applyFill="1" applyAlignment="1">
      <alignment wrapText="1"/>
    </xf>
    <xf numFmtId="0" fontId="1" fillId="36" borderId="0" xfId="0" applyFont="1" applyFill="1" applyAlignment="1">
      <alignment horizontal="center" wrapText="1"/>
    </xf>
    <xf numFmtId="165" fontId="5" fillId="36" borderId="0" xfId="0" applyNumberFormat="1" applyFont="1" applyFill="1" applyAlignment="1">
      <alignment horizontal="center" wrapText="1"/>
    </xf>
    <xf numFmtId="0" fontId="5" fillId="36" borderId="0" xfId="0" applyFont="1" applyFill="1" applyAlignment="1">
      <alignment wrapText="1"/>
    </xf>
    <xf numFmtId="164" fontId="5" fillId="36" borderId="0" xfId="0" applyNumberFormat="1" applyFont="1" applyFill="1" applyAlignment="1">
      <alignment horizontal="left" wrapText="1"/>
    </xf>
    <xf numFmtId="0" fontId="1" fillId="36" borderId="0" xfId="0" applyFont="1" applyFill="1" applyAlignment="1">
      <alignment horizontal="center" wrapText="1"/>
    </xf>
    <xf numFmtId="14" fontId="5" fillId="36" borderId="0" xfId="0" applyNumberFormat="1" applyFont="1" applyFill="1" applyAlignment="1">
      <alignment horizontal="center" wrapText="1"/>
    </xf>
    <xf numFmtId="0" fontId="1" fillId="49" borderId="0" xfId="0" applyFont="1" applyFill="1" applyAlignment="1">
      <alignment horizontal="left" wrapText="1"/>
    </xf>
    <xf numFmtId="0" fontId="5" fillId="49" borderId="0" xfId="0" applyFont="1" applyFill="1" applyAlignment="1">
      <alignment wrapText="1"/>
    </xf>
    <xf numFmtId="0" fontId="1" fillId="49" borderId="0" xfId="0" applyFont="1" applyFill="1" applyAlignment="1">
      <alignment horizontal="center" wrapText="1"/>
    </xf>
    <xf numFmtId="165" fontId="5" fillId="49" borderId="0" xfId="0" applyNumberFormat="1" applyFont="1" applyFill="1" applyAlignment="1">
      <alignment horizontal="center" wrapText="1"/>
    </xf>
    <xf numFmtId="0" fontId="5" fillId="49" borderId="0" xfId="0" applyFont="1" applyFill="1" applyAlignment="1">
      <alignment wrapText="1"/>
    </xf>
    <xf numFmtId="164" fontId="5" fillId="49" borderId="0" xfId="0" applyNumberFormat="1" applyFont="1" applyFill="1" applyAlignment="1">
      <alignment horizontal="left" wrapText="1"/>
    </xf>
    <xf numFmtId="0" fontId="1" fillId="49" borderId="0" xfId="0" applyFont="1" applyFill="1" applyAlignment="1">
      <alignment horizontal="center" wrapText="1"/>
    </xf>
    <xf numFmtId="0" fontId="5" fillId="49" borderId="0" xfId="0" applyFont="1" applyFill="1" applyAlignment="1">
      <alignment wrapText="1"/>
    </xf>
    <xf numFmtId="14" fontId="5" fillId="49" borderId="0" xfId="0" applyNumberFormat="1" applyFont="1" applyFill="1" applyAlignment="1">
      <alignment horizontal="center" wrapText="1"/>
    </xf>
    <xf numFmtId="0" fontId="1" fillId="5" borderId="0" xfId="0" applyFont="1" applyFill="1" applyAlignment="1">
      <alignment horizontal="left" wrapText="1"/>
    </xf>
    <xf numFmtId="0" fontId="1" fillId="5" borderId="0" xfId="0" applyFont="1" applyFill="1" applyAlignment="1">
      <alignment horizontal="center" wrapText="1"/>
    </xf>
    <xf numFmtId="169" fontId="5" fillId="5" borderId="0" xfId="0" applyNumberFormat="1" applyFont="1" applyFill="1" applyAlignment="1">
      <alignment horizontal="center" wrapText="1"/>
    </xf>
    <xf numFmtId="0" fontId="5" fillId="5" borderId="0" xfId="0" applyFont="1" applyFill="1" applyAlignment="1">
      <alignment wrapText="1"/>
    </xf>
    <xf numFmtId="164" fontId="5" fillId="5" borderId="0" xfId="0" applyNumberFormat="1" applyFont="1" applyFill="1" applyAlignment="1">
      <alignment horizontal="left" wrapText="1"/>
    </xf>
    <xf numFmtId="0" fontId="1" fillId="5" borderId="0" xfId="0" applyFont="1" applyFill="1" applyAlignment="1">
      <alignment horizontal="center" wrapText="1"/>
    </xf>
    <xf numFmtId="0" fontId="1" fillId="28" borderId="0" xfId="0" applyFont="1" applyFill="1" applyAlignment="1">
      <alignment horizontal="left" wrapText="1"/>
    </xf>
    <xf numFmtId="0" fontId="1" fillId="28" borderId="0" xfId="0" applyFont="1" applyFill="1" applyAlignment="1">
      <alignment horizontal="center" wrapText="1"/>
    </xf>
    <xf numFmtId="165" fontId="5" fillId="28" borderId="0" xfId="0" applyNumberFormat="1" applyFont="1" applyFill="1" applyAlignment="1">
      <alignment horizontal="center" wrapText="1"/>
    </xf>
    <xf numFmtId="164" fontId="5" fillId="28" borderId="0" xfId="0" applyNumberFormat="1" applyFont="1" applyFill="1" applyAlignment="1">
      <alignment horizontal="left" wrapText="1"/>
    </xf>
    <xf numFmtId="0" fontId="1" fillId="28" borderId="0" xfId="0" applyFont="1" applyFill="1" applyAlignment="1">
      <alignment horizontal="center" wrapText="1"/>
    </xf>
    <xf numFmtId="0" fontId="5" fillId="28" borderId="0" xfId="0" applyFont="1" applyFill="1" applyAlignment="1">
      <alignment wrapText="1"/>
    </xf>
    <xf numFmtId="0" fontId="5" fillId="28" borderId="0" xfId="0" applyFont="1" applyFill="1" applyAlignment="1">
      <alignment horizontal="left" wrapText="1"/>
    </xf>
    <xf numFmtId="0" fontId="1" fillId="7" borderId="0" xfId="0" applyFont="1" applyFill="1" applyAlignment="1">
      <alignment horizontal="left" wrapText="1"/>
    </xf>
    <xf numFmtId="0" fontId="1" fillId="7" borderId="0" xfId="0" applyFont="1" applyFill="1" applyAlignment="1">
      <alignment horizontal="center" wrapText="1"/>
    </xf>
    <xf numFmtId="169" fontId="5" fillId="7" borderId="0" xfId="0" applyNumberFormat="1" applyFont="1" applyFill="1" applyAlignment="1">
      <alignment horizontal="center" wrapText="1"/>
    </xf>
    <xf numFmtId="164" fontId="11" fillId="11" borderId="0" xfId="0" applyNumberFormat="1" applyFont="1" applyFill="1" applyAlignment="1">
      <alignment horizontal="center" wrapText="1"/>
    </xf>
    <xf numFmtId="164" fontId="5" fillId="7" borderId="0" xfId="0" applyNumberFormat="1" applyFont="1" applyFill="1" applyAlignment="1">
      <alignment horizontal="left" wrapText="1"/>
    </xf>
    <xf numFmtId="11" fontId="10" fillId="11" borderId="0" xfId="0" applyNumberFormat="1" applyFont="1" applyFill="1" applyAlignment="1">
      <alignment horizontal="center" wrapText="1"/>
    </xf>
    <xf numFmtId="165" fontId="5" fillId="7" borderId="0" xfId="0" applyNumberFormat="1" applyFont="1" applyFill="1" applyAlignment="1">
      <alignment horizontal="center" wrapText="1"/>
    </xf>
    <xf numFmtId="165" fontId="5" fillId="7" borderId="0" xfId="0" applyNumberFormat="1" applyFont="1" applyFill="1" applyAlignment="1">
      <alignment horizontal="center" wrapText="1"/>
    </xf>
    <xf numFmtId="164" fontId="5" fillId="7" borderId="0" xfId="0" applyNumberFormat="1" applyFont="1" applyFill="1" applyAlignment="1">
      <alignment horizontal="left" wrapText="1"/>
    </xf>
    <xf numFmtId="0" fontId="1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center" wrapText="1"/>
    </xf>
    <xf numFmtId="165" fontId="5" fillId="2" borderId="0" xfId="0" applyNumberFormat="1" applyFont="1" applyFill="1" applyAlignment="1">
      <alignment horizontal="center" wrapText="1"/>
    </xf>
    <xf numFmtId="164" fontId="5" fillId="2" borderId="0" xfId="0" applyNumberFormat="1" applyFont="1" applyFill="1" applyAlignment="1">
      <alignment horizontal="left" wrapText="1"/>
    </xf>
    <xf numFmtId="165" fontId="5" fillId="2" borderId="0" xfId="0" applyNumberFormat="1" applyFont="1" applyFill="1" applyAlignment="1">
      <alignment horizontal="center" wrapText="1"/>
    </xf>
    <xf numFmtId="11" fontId="11" fillId="11" borderId="0" xfId="0" applyNumberFormat="1" applyFont="1" applyFill="1" applyAlignment="1">
      <alignment horizontal="center" wrapText="1"/>
    </xf>
    <xf numFmtId="11" fontId="10" fillId="11" borderId="0" xfId="0" applyNumberFormat="1" applyFont="1" applyFill="1" applyAlignment="1">
      <alignment horizontal="center" wrapText="1"/>
    </xf>
    <xf numFmtId="11" fontId="10" fillId="11" borderId="0" xfId="0" applyNumberFormat="1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164" fontId="24" fillId="11" borderId="0" xfId="0" applyNumberFormat="1" applyFont="1" applyFill="1" applyAlignment="1">
      <alignment horizontal="center" wrapText="1"/>
    </xf>
    <xf numFmtId="166" fontId="4" fillId="11" borderId="0" xfId="0" applyNumberFormat="1" applyFont="1" applyFill="1" applyAlignment="1">
      <alignment horizontal="center" wrapText="1"/>
    </xf>
    <xf numFmtId="166" fontId="4" fillId="11" borderId="0" xfId="0" applyNumberFormat="1" applyFont="1" applyFill="1" applyAlignment="1">
      <alignment horizontal="center" wrapText="1"/>
    </xf>
    <xf numFmtId="0" fontId="5" fillId="18" borderId="0" xfId="0" applyFont="1" applyFill="1" applyAlignment="1">
      <alignment wrapText="1"/>
    </xf>
    <xf numFmtId="11" fontId="1" fillId="11" borderId="0" xfId="0" applyNumberFormat="1" applyFont="1" applyFill="1" applyAlignment="1">
      <alignment horizontal="center" wrapText="1"/>
    </xf>
    <xf numFmtId="11" fontId="4" fillId="11" borderId="0" xfId="0" applyNumberFormat="1" applyFont="1" applyFill="1" applyAlignment="1">
      <alignment horizontal="center" wrapText="1"/>
    </xf>
    <xf numFmtId="0" fontId="5" fillId="15" borderId="0" xfId="0" applyFont="1" applyFill="1" applyAlignment="1">
      <alignment wrapText="1"/>
    </xf>
    <xf numFmtId="0" fontId="1" fillId="15" borderId="0" xfId="0" applyFont="1" applyFill="1" applyAlignment="1">
      <alignment wrapText="1"/>
    </xf>
    <xf numFmtId="164" fontId="9" fillId="11" borderId="0" xfId="0" applyNumberFormat="1" applyFont="1" applyFill="1" applyAlignment="1">
      <alignment horizontal="center" wrapText="1"/>
    </xf>
    <xf numFmtId="0" fontId="5" fillId="15" borderId="0" xfId="0" applyFont="1" applyFill="1" applyAlignment="1">
      <alignment wrapText="1"/>
    </xf>
    <xf numFmtId="0" fontId="37" fillId="8" borderId="0" xfId="0" applyFont="1" applyFill="1" applyAlignment="1">
      <alignment horizontal="center" wrapText="1"/>
    </xf>
    <xf numFmtId="0" fontId="5" fillId="6" borderId="0" xfId="0" applyFont="1" applyFill="1" applyAlignment="1">
      <alignment wrapText="1"/>
    </xf>
    <xf numFmtId="0" fontId="37" fillId="8" borderId="0" xfId="0" applyFont="1" applyFill="1" applyAlignment="1">
      <alignment horizontal="center" wrapText="1"/>
    </xf>
    <xf numFmtId="164" fontId="37" fillId="8" borderId="0" xfId="0" applyNumberFormat="1" applyFont="1" applyFill="1" applyAlignment="1">
      <alignment horizontal="center" wrapText="1"/>
    </xf>
    <xf numFmtId="165" fontId="37" fillId="8" borderId="0" xfId="0" applyNumberFormat="1" applyFont="1" applyFill="1" applyAlignment="1">
      <alignment horizontal="center" wrapText="1"/>
    </xf>
    <xf numFmtId="165" fontId="37" fillId="8" borderId="0" xfId="0" applyNumberFormat="1" applyFont="1" applyFill="1" applyAlignment="1">
      <alignment horizontal="center" wrapText="1"/>
    </xf>
    <xf numFmtId="166" fontId="37" fillId="8" borderId="0" xfId="0" applyNumberFormat="1" applyFont="1" applyFill="1" applyAlignment="1">
      <alignment horizontal="center" wrapText="1"/>
    </xf>
    <xf numFmtId="0" fontId="1" fillId="6" borderId="0" xfId="0" applyFont="1" applyFill="1" applyAlignment="1">
      <alignment wrapText="1"/>
    </xf>
    <xf numFmtId="11" fontId="37" fillId="8" borderId="0" xfId="0" applyNumberFormat="1" applyFont="1" applyFill="1" applyAlignment="1">
      <alignment horizontal="center" wrapText="1"/>
    </xf>
    <xf numFmtId="11" fontId="37" fillId="8" borderId="0" xfId="0" applyNumberFormat="1" applyFont="1" applyFill="1" applyAlignment="1">
      <alignment horizontal="center" wrapText="1"/>
    </xf>
    <xf numFmtId="0" fontId="5" fillId="2" borderId="0" xfId="0" applyFont="1" applyFill="1" applyAlignment="1">
      <alignment wrapText="1"/>
    </xf>
    <xf numFmtId="0" fontId="1" fillId="22" borderId="0" xfId="0" applyFont="1" applyFill="1" applyAlignment="1">
      <alignment horizontal="left" wrapText="1"/>
    </xf>
    <xf numFmtId="0" fontId="5" fillId="22" borderId="0" xfId="0" applyFont="1" applyFill="1" applyAlignment="1">
      <alignment wrapText="1"/>
    </xf>
    <xf numFmtId="0" fontId="1" fillId="22" borderId="0" xfId="0" applyFont="1" applyFill="1" applyAlignment="1">
      <alignment horizontal="center" wrapText="1"/>
    </xf>
    <xf numFmtId="165" fontId="5" fillId="22" borderId="0" xfId="0" applyNumberFormat="1" applyFont="1" applyFill="1" applyAlignment="1">
      <alignment horizontal="center" wrapText="1"/>
    </xf>
    <xf numFmtId="0" fontId="5" fillId="22" borderId="0" xfId="0" applyFont="1" applyFill="1" applyAlignment="1">
      <alignment wrapText="1"/>
    </xf>
    <xf numFmtId="164" fontId="5" fillId="22" borderId="0" xfId="0" applyNumberFormat="1" applyFont="1" applyFill="1" applyAlignment="1">
      <alignment horizontal="left" wrapText="1"/>
    </xf>
    <xf numFmtId="0" fontId="5" fillId="22" borderId="0" xfId="0" applyFont="1" applyFill="1" applyAlignment="1">
      <alignment wrapText="1"/>
    </xf>
    <xf numFmtId="0" fontId="1" fillId="22" borderId="0" xfId="0" applyFont="1" applyFill="1" applyAlignment="1">
      <alignment horizontal="center" wrapText="1"/>
    </xf>
    <xf numFmtId="14" fontId="5" fillId="22" borderId="0" xfId="0" applyNumberFormat="1" applyFont="1" applyFill="1" applyAlignment="1">
      <alignment horizontal="center" wrapText="1"/>
    </xf>
    <xf numFmtId="14" fontId="5" fillId="23" borderId="0" xfId="0" applyNumberFormat="1" applyFont="1" applyFill="1" applyAlignment="1">
      <alignment horizontal="center" wrapText="1"/>
    </xf>
    <xf numFmtId="0" fontId="1" fillId="20" borderId="0" xfId="0" applyFont="1" applyFill="1" applyAlignment="1">
      <alignment horizontal="center" wrapText="1"/>
    </xf>
    <xf numFmtId="11" fontId="37" fillId="8" borderId="0" xfId="0" applyNumberFormat="1" applyFont="1" applyFill="1" applyAlignment="1">
      <alignment horizontal="center" wrapText="1"/>
    </xf>
    <xf numFmtId="0" fontId="5" fillId="6" borderId="0" xfId="0" applyFont="1" applyFill="1" applyAlignment="1">
      <alignment horizontal="center" wrapText="1"/>
    </xf>
    <xf numFmtId="0" fontId="37" fillId="8" borderId="0" xfId="0" applyFont="1" applyFill="1" applyAlignment="1">
      <alignment horizontal="center" wrapText="1"/>
    </xf>
    <xf numFmtId="164" fontId="38" fillId="8" borderId="0" xfId="0" applyNumberFormat="1" applyFont="1" applyFill="1" applyAlignment="1">
      <alignment horizontal="center" wrapText="1"/>
    </xf>
    <xf numFmtId="14" fontId="37" fillId="8" borderId="0" xfId="0" applyNumberFormat="1" applyFont="1" applyFill="1" applyAlignment="1">
      <alignment horizontal="center" wrapText="1"/>
    </xf>
    <xf numFmtId="0" fontId="37" fillId="8" borderId="0" xfId="0" applyFont="1" applyFill="1" applyAlignment="1">
      <alignment horizontal="center" wrapText="1"/>
    </xf>
    <xf numFmtId="0" fontId="21" fillId="8" borderId="0" xfId="0" applyFont="1" applyFill="1" applyAlignment="1">
      <alignment horizontal="center" wrapText="1"/>
    </xf>
    <xf numFmtId="0" fontId="1" fillId="6" borderId="3" xfId="0" applyFont="1" applyFill="1" applyBorder="1" applyAlignment="1">
      <alignment wrapText="1"/>
    </xf>
    <xf numFmtId="0" fontId="21" fillId="0" borderId="0" xfId="0" applyFont="1" applyAlignment="1">
      <alignment horizontal="center" wrapText="1"/>
    </xf>
    <xf numFmtId="166" fontId="4" fillId="18" borderId="0" xfId="0" applyNumberFormat="1" applyFont="1" applyFill="1" applyAlignment="1">
      <alignment horizontal="center" wrapText="1"/>
    </xf>
    <xf numFmtId="165" fontId="4" fillId="20" borderId="0" xfId="0" applyNumberFormat="1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164" fontId="10" fillId="20" borderId="0" xfId="0" applyNumberFormat="1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165" fontId="10" fillId="20" borderId="0" xfId="0" applyNumberFormat="1" applyFont="1" applyFill="1" applyAlignment="1">
      <alignment horizontal="center" wrapText="1"/>
    </xf>
    <xf numFmtId="165" fontId="10" fillId="20" borderId="0" xfId="0" applyNumberFormat="1" applyFont="1" applyFill="1" applyAlignment="1">
      <alignment horizontal="center" wrapText="1"/>
    </xf>
    <xf numFmtId="166" fontId="10" fillId="20" borderId="0" xfId="0" applyNumberFormat="1" applyFont="1" applyFill="1" applyAlignment="1">
      <alignment horizontal="center" wrapText="1"/>
    </xf>
    <xf numFmtId="164" fontId="11" fillId="20" borderId="0" xfId="0" applyNumberFormat="1" applyFont="1" applyFill="1" applyAlignment="1">
      <alignment horizontal="center" wrapText="1"/>
    </xf>
    <xf numFmtId="11" fontId="10" fillId="20" borderId="0" xfId="0" applyNumberFormat="1" applyFont="1" applyFill="1" applyAlignment="1">
      <alignment horizontal="center" wrapText="1"/>
    </xf>
    <xf numFmtId="11" fontId="11" fillId="20" borderId="0" xfId="0" applyNumberFormat="1" applyFont="1" applyFill="1" applyAlignment="1">
      <alignment horizontal="center" wrapText="1"/>
    </xf>
    <xf numFmtId="11" fontId="10" fillId="20" borderId="0" xfId="0" applyNumberFormat="1" applyFont="1" applyFill="1" applyAlignment="1">
      <alignment horizontal="center" wrapText="1"/>
    </xf>
    <xf numFmtId="11" fontId="10" fillId="20" borderId="0" xfId="0" applyNumberFormat="1" applyFont="1" applyFill="1" applyAlignment="1">
      <alignment horizontal="center" wrapText="1"/>
    </xf>
    <xf numFmtId="164" fontId="24" fillId="20" borderId="0" xfId="0" applyNumberFormat="1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169" fontId="5" fillId="23" borderId="0" xfId="0" applyNumberFormat="1" applyFont="1" applyFill="1" applyAlignment="1">
      <alignment horizontal="center" wrapText="1"/>
    </xf>
    <xf numFmtId="165" fontId="5" fillId="23" borderId="0" xfId="0" applyNumberFormat="1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0" fontId="1" fillId="7" borderId="0" xfId="0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0" fontId="5" fillId="7" borderId="0" xfId="0" applyFont="1" applyFill="1" applyAlignment="1">
      <alignment wrapText="1"/>
    </xf>
    <xf numFmtId="166" fontId="10" fillId="37" borderId="0" xfId="0" applyNumberFormat="1" applyFont="1" applyFill="1" applyAlignment="1">
      <alignment horizontal="center" wrapText="1"/>
    </xf>
    <xf numFmtId="165" fontId="10" fillId="37" borderId="0" xfId="0" applyNumberFormat="1" applyFont="1" applyFill="1" applyAlignment="1">
      <alignment horizontal="center" wrapText="1"/>
    </xf>
    <xf numFmtId="166" fontId="10" fillId="37" borderId="0" xfId="0" applyNumberFormat="1" applyFont="1" applyFill="1" applyAlignment="1">
      <alignment horizontal="center" wrapText="1"/>
    </xf>
    <xf numFmtId="164" fontId="11" fillId="37" borderId="0" xfId="0" applyNumberFormat="1" applyFont="1" applyFill="1" applyAlignment="1">
      <alignment horizontal="center" wrapText="1"/>
    </xf>
    <xf numFmtId="164" fontId="10" fillId="37" borderId="0" xfId="0" applyNumberFormat="1" applyFont="1" applyFill="1" applyAlignment="1">
      <alignment horizontal="center" wrapText="1"/>
    </xf>
    <xf numFmtId="169" fontId="5" fillId="36" borderId="0" xfId="0" applyNumberFormat="1" applyFont="1" applyFill="1" applyAlignment="1">
      <alignment horizontal="center" wrapText="1"/>
    </xf>
    <xf numFmtId="11" fontId="10" fillId="37" borderId="0" xfId="0" applyNumberFormat="1" applyFont="1" applyFill="1" applyAlignment="1">
      <alignment horizontal="center" wrapText="1"/>
    </xf>
    <xf numFmtId="164" fontId="5" fillId="36" borderId="0" xfId="0" applyNumberFormat="1" applyFont="1" applyFill="1" applyAlignment="1">
      <alignment horizontal="left" wrapText="1"/>
    </xf>
    <xf numFmtId="11" fontId="11" fillId="37" borderId="0" xfId="0" applyNumberFormat="1" applyFont="1" applyFill="1" applyAlignment="1">
      <alignment horizontal="center" wrapText="1"/>
    </xf>
    <xf numFmtId="11" fontId="10" fillId="37" borderId="0" xfId="0" applyNumberFormat="1" applyFont="1" applyFill="1" applyAlignment="1">
      <alignment horizontal="center" wrapText="1"/>
    </xf>
    <xf numFmtId="0" fontId="5" fillId="6" borderId="3" xfId="0" applyFont="1" applyFill="1" applyBorder="1" applyAlignment="1">
      <alignment wrapText="1"/>
    </xf>
    <xf numFmtId="11" fontId="10" fillId="37" borderId="0" xfId="0" applyNumberFormat="1" applyFont="1" applyFill="1" applyAlignment="1">
      <alignment horizontal="center" wrapText="1"/>
    </xf>
    <xf numFmtId="0" fontId="5" fillId="0" borderId="3" xfId="0" applyFont="1" applyBorder="1" applyAlignment="1">
      <alignment wrapText="1"/>
    </xf>
    <xf numFmtId="0" fontId="5" fillId="19" borderId="2" xfId="0" applyFont="1" applyFill="1" applyBorder="1" applyAlignment="1">
      <alignment wrapText="1"/>
    </xf>
    <xf numFmtId="0" fontId="1" fillId="19" borderId="4" xfId="0" applyFont="1" applyFill="1" applyBorder="1" applyAlignment="1">
      <alignment wrapText="1"/>
    </xf>
    <xf numFmtId="0" fontId="5" fillId="19" borderId="4" xfId="0" applyFont="1" applyFill="1" applyBorder="1" applyAlignment="1">
      <alignment wrapText="1"/>
    </xf>
    <xf numFmtId="0" fontId="5" fillId="19" borderId="4" xfId="0" applyFont="1" applyFill="1" applyBorder="1" applyAlignment="1">
      <alignment wrapText="1"/>
    </xf>
    <xf numFmtId="0" fontId="10" fillId="37" borderId="0" xfId="0" applyFont="1" applyFill="1" applyAlignment="1">
      <alignment horizontal="center" wrapText="1"/>
    </xf>
    <xf numFmtId="0" fontId="5" fillId="0" borderId="4" xfId="0" applyFont="1" applyBorder="1" applyAlignment="1">
      <alignment wrapText="1"/>
    </xf>
    <xf numFmtId="164" fontId="24" fillId="37" borderId="0" xfId="0" applyNumberFormat="1" applyFont="1" applyFill="1" applyAlignment="1">
      <alignment horizontal="center" wrapText="1"/>
    </xf>
    <xf numFmtId="0" fontId="5" fillId="0" borderId="4" xfId="0" applyFont="1" applyBorder="1" applyAlignment="1">
      <alignment wrapText="1"/>
    </xf>
    <xf numFmtId="0" fontId="1" fillId="0" borderId="10" xfId="0" applyFont="1" applyBorder="1" applyAlignment="1">
      <alignment vertical="center" wrapText="1"/>
    </xf>
    <xf numFmtId="164" fontId="5" fillId="20" borderId="0" xfId="0" applyNumberFormat="1" applyFont="1" applyFill="1" applyAlignment="1">
      <alignment horizontal="left" wrapText="1"/>
    </xf>
    <xf numFmtId="0" fontId="1" fillId="0" borderId="11" xfId="0" applyFont="1" applyBorder="1" applyAlignment="1">
      <alignment vertical="center" wrapText="1"/>
    </xf>
    <xf numFmtId="0" fontId="10" fillId="37" borderId="0" xfId="0" applyFont="1" applyFill="1" applyAlignment="1">
      <alignment horizontal="center" wrapText="1"/>
    </xf>
    <xf numFmtId="0" fontId="1" fillId="0" borderId="1" xfId="0" applyFont="1" applyBorder="1" applyAlignment="1">
      <alignment vertical="center" wrapText="1"/>
    </xf>
    <xf numFmtId="0" fontId="4" fillId="16" borderId="0" xfId="0" applyFont="1" applyFill="1" applyAlignment="1">
      <alignment horizontal="center" wrapText="1"/>
    </xf>
    <xf numFmtId="0" fontId="5" fillId="19" borderId="12" xfId="0" applyFont="1" applyFill="1" applyBorder="1" applyAlignment="1">
      <alignment wrapText="1"/>
    </xf>
    <xf numFmtId="0" fontId="4" fillId="16" borderId="0" xfId="0" applyFont="1" applyFill="1" applyAlignment="1">
      <alignment horizontal="center" wrapText="1"/>
    </xf>
    <xf numFmtId="0" fontId="1" fillId="19" borderId="3" xfId="0" applyFont="1" applyFill="1" applyBorder="1" applyAlignment="1">
      <alignment wrapText="1"/>
    </xf>
    <xf numFmtId="0" fontId="4" fillId="16" borderId="0" xfId="0" applyFont="1" applyFill="1" applyAlignment="1">
      <alignment horizontal="center" wrapText="1"/>
    </xf>
    <xf numFmtId="0" fontId="5" fillId="19" borderId="3" xfId="0" applyFont="1" applyFill="1" applyBorder="1" applyAlignment="1">
      <alignment wrapText="1"/>
    </xf>
    <xf numFmtId="0" fontId="3" fillId="38" borderId="0" xfId="0" applyFont="1" applyFill="1" applyAlignment="1">
      <alignment horizontal="left" wrapText="1"/>
    </xf>
    <xf numFmtId="0" fontId="1" fillId="38" borderId="0" xfId="0" applyFont="1" applyFill="1" applyAlignment="1">
      <alignment horizontal="center" wrapText="1"/>
    </xf>
    <xf numFmtId="166" fontId="4" fillId="16" borderId="0" xfId="0" applyNumberFormat="1" applyFont="1" applyFill="1" applyAlignment="1">
      <alignment horizontal="center" wrapText="1"/>
    </xf>
    <xf numFmtId="165" fontId="4" fillId="16" borderId="0" xfId="0" applyNumberFormat="1" applyFont="1" applyFill="1" applyAlignment="1">
      <alignment horizontal="center" wrapText="1"/>
    </xf>
    <xf numFmtId="169" fontId="5" fillId="38" borderId="0" xfId="0" applyNumberFormat="1" applyFont="1" applyFill="1" applyAlignment="1">
      <alignment horizontal="center" wrapText="1"/>
    </xf>
    <xf numFmtId="0" fontId="5" fillId="19" borderId="3" xfId="0" applyFont="1" applyFill="1" applyBorder="1" applyAlignment="1">
      <alignment wrapText="1"/>
    </xf>
    <xf numFmtId="0" fontId="5" fillId="0" borderId="3" xfId="0" applyFont="1" applyBorder="1" applyAlignment="1">
      <alignment wrapText="1"/>
    </xf>
    <xf numFmtId="0" fontId="1" fillId="0" borderId="13" xfId="0" applyFont="1" applyBorder="1" applyAlignment="1">
      <alignment vertical="center" wrapText="1"/>
    </xf>
    <xf numFmtId="0" fontId="1" fillId="0" borderId="4" xfId="0" applyFont="1" applyBorder="1" applyAlignment="1">
      <alignment wrapText="1"/>
    </xf>
    <xf numFmtId="0" fontId="5" fillId="41" borderId="0" xfId="0" applyFont="1" applyFill="1" applyAlignment="1">
      <alignment wrapText="1"/>
    </xf>
    <xf numFmtId="0" fontId="1" fillId="41" borderId="0" xfId="0" applyFont="1" applyFill="1" applyAlignment="1">
      <alignment wrapText="1"/>
    </xf>
    <xf numFmtId="0" fontId="3" fillId="20" borderId="0" xfId="0" applyFont="1" applyFill="1" applyAlignment="1">
      <alignment horizontal="left" wrapText="1"/>
    </xf>
    <xf numFmtId="0" fontId="5" fillId="41" borderId="0" xfId="0" applyFont="1" applyFill="1" applyAlignment="1">
      <alignment wrapText="1"/>
    </xf>
    <xf numFmtId="165" fontId="5" fillId="20" borderId="0" xfId="0" applyNumberFormat="1" applyFont="1" applyFill="1" applyAlignment="1">
      <alignment horizontal="center" wrapText="1"/>
    </xf>
    <xf numFmtId="0" fontId="1" fillId="39" borderId="0" xfId="0" applyFont="1" applyFill="1" applyAlignment="1">
      <alignment horizontal="left" wrapText="1"/>
    </xf>
    <xf numFmtId="0" fontId="1" fillId="39" borderId="0" xfId="0" applyFont="1" applyFill="1" applyAlignment="1">
      <alignment horizontal="center" wrapText="1"/>
    </xf>
    <xf numFmtId="169" fontId="5" fillId="39" borderId="0" xfId="0" applyNumberFormat="1" applyFont="1" applyFill="1" applyAlignment="1">
      <alignment horizontal="center" wrapText="1"/>
    </xf>
    <xf numFmtId="0" fontId="5" fillId="50" borderId="0" xfId="0" applyFont="1" applyFill="1" applyAlignment="1">
      <alignment wrapText="1"/>
    </xf>
    <xf numFmtId="164" fontId="5" fillId="39" borderId="0" xfId="0" applyNumberFormat="1" applyFont="1" applyFill="1" applyAlignment="1">
      <alignment horizontal="left" wrapText="1"/>
    </xf>
    <xf numFmtId="0" fontId="1" fillId="50" borderId="0" xfId="0" applyFont="1" applyFill="1" applyAlignment="1">
      <alignment wrapText="1"/>
    </xf>
    <xf numFmtId="165" fontId="5" fillId="39" borderId="0" xfId="0" applyNumberFormat="1" applyFont="1" applyFill="1" applyAlignment="1">
      <alignment horizontal="center" wrapText="1"/>
    </xf>
    <xf numFmtId="0" fontId="5" fillId="50" borderId="0" xfId="0" applyFont="1" applyFill="1" applyAlignment="1">
      <alignment wrapText="1"/>
    </xf>
    <xf numFmtId="164" fontId="5" fillId="39" borderId="0" xfId="0" applyNumberFormat="1" applyFont="1" applyFill="1" applyAlignment="1">
      <alignment horizontal="left" wrapText="1"/>
    </xf>
    <xf numFmtId="0" fontId="1" fillId="39" borderId="0" xfId="0" applyFont="1" applyFill="1" applyAlignment="1">
      <alignment horizontal="center" wrapText="1"/>
    </xf>
    <xf numFmtId="0" fontId="5" fillId="51" borderId="0" xfId="0" applyFont="1" applyFill="1" applyAlignment="1">
      <alignment wrapText="1"/>
    </xf>
    <xf numFmtId="14" fontId="5" fillId="39" borderId="0" xfId="0" applyNumberFormat="1" applyFont="1" applyFill="1" applyAlignment="1">
      <alignment horizontal="center" wrapText="1"/>
    </xf>
    <xf numFmtId="0" fontId="1" fillId="51" borderId="0" xfId="0" applyFont="1" applyFill="1" applyAlignment="1">
      <alignment wrapText="1"/>
    </xf>
    <xf numFmtId="0" fontId="5" fillId="51" borderId="0" xfId="0" applyFont="1" applyFill="1" applyAlignment="1">
      <alignment wrapText="1"/>
    </xf>
    <xf numFmtId="0" fontId="5" fillId="51" borderId="0" xfId="0" applyFont="1" applyFill="1" applyAlignment="1">
      <alignment wrapText="1"/>
    </xf>
    <xf numFmtId="0" fontId="6" fillId="51" borderId="0" xfId="0" applyFont="1" applyFill="1" applyAlignment="1">
      <alignment horizontal="left" wrapText="1"/>
    </xf>
    <xf numFmtId="0" fontId="5" fillId="52" borderId="0" xfId="0" applyFont="1" applyFill="1" applyAlignment="1">
      <alignment wrapText="1"/>
    </xf>
    <xf numFmtId="0" fontId="1" fillId="52" borderId="0" xfId="0" applyFont="1" applyFill="1" applyAlignment="1">
      <alignment wrapText="1"/>
    </xf>
    <xf numFmtId="0" fontId="5" fillId="52" borderId="0" xfId="0" applyFont="1" applyFill="1" applyAlignment="1">
      <alignment wrapText="1"/>
    </xf>
    <xf numFmtId="0" fontId="5" fillId="52" borderId="0" xfId="0" applyFont="1" applyFill="1" applyAlignment="1">
      <alignment wrapText="1"/>
    </xf>
    <xf numFmtId="0" fontId="5" fillId="52" borderId="0" xfId="0" applyFont="1" applyFill="1" applyAlignment="1">
      <alignment horizontal="right" wrapText="1"/>
    </xf>
    <xf numFmtId="0" fontId="6" fillId="52" borderId="0" xfId="0" applyFont="1" applyFill="1" applyAlignment="1">
      <alignment horizontal="left" wrapText="1"/>
    </xf>
    <xf numFmtId="0" fontId="5" fillId="52" borderId="0" xfId="0" applyFont="1" applyFill="1" applyAlignment="1">
      <alignment horizontal="left" wrapText="1"/>
    </xf>
    <xf numFmtId="0" fontId="3" fillId="52" borderId="1" xfId="0" applyFont="1" applyFill="1" applyBorder="1" applyAlignment="1">
      <alignment horizontal="left" wrapText="1"/>
    </xf>
    <xf numFmtId="0" fontId="1" fillId="52" borderId="2" xfId="0" applyFont="1" applyFill="1" applyBorder="1" applyAlignment="1">
      <alignment wrapText="1"/>
    </xf>
    <xf numFmtId="166" fontId="4" fillId="16" borderId="0" xfId="0" applyNumberFormat="1" applyFont="1" applyFill="1" applyAlignment="1">
      <alignment horizontal="center" wrapText="1"/>
    </xf>
    <xf numFmtId="0" fontId="14" fillId="52" borderId="0" xfId="0" applyFont="1" applyFill="1" applyAlignment="1">
      <alignment horizontal="left" wrapText="1"/>
    </xf>
    <xf numFmtId="164" fontId="1" fillId="16" borderId="0" xfId="0" applyNumberFormat="1" applyFont="1" applyFill="1" applyAlignment="1">
      <alignment horizontal="center" wrapText="1"/>
    </xf>
    <xf numFmtId="164" fontId="4" fillId="16" borderId="0" xfId="0" applyNumberFormat="1" applyFont="1" applyFill="1" applyAlignment="1">
      <alignment horizontal="center" wrapText="1"/>
    </xf>
    <xf numFmtId="0" fontId="1" fillId="52" borderId="0" xfId="0" applyFont="1" applyFill="1" applyAlignment="1">
      <alignment horizontal="left" wrapText="1"/>
    </xf>
    <xf numFmtId="0" fontId="1" fillId="52" borderId="0" xfId="0" applyFont="1" applyFill="1" applyAlignment="1">
      <alignment horizontal="center" wrapText="1"/>
    </xf>
    <xf numFmtId="169" fontId="5" fillId="52" borderId="0" xfId="0" applyNumberFormat="1" applyFont="1" applyFill="1" applyAlignment="1">
      <alignment horizontal="center" wrapText="1"/>
    </xf>
    <xf numFmtId="164" fontId="5" fillId="52" borderId="0" xfId="0" applyNumberFormat="1" applyFont="1" applyFill="1" applyAlignment="1">
      <alignment horizontal="left" wrapText="1"/>
    </xf>
    <xf numFmtId="0" fontId="1" fillId="52" borderId="0" xfId="0" applyFont="1" applyFill="1" applyAlignment="1">
      <alignment horizontal="center" wrapText="1"/>
    </xf>
    <xf numFmtId="0" fontId="1" fillId="52" borderId="0" xfId="0" applyFont="1" applyFill="1" applyAlignment="1">
      <alignment horizontal="left" wrapText="1"/>
    </xf>
    <xf numFmtId="0" fontId="1" fillId="32" borderId="0" xfId="0" applyFont="1" applyFill="1" applyAlignment="1">
      <alignment horizontal="left" wrapText="1"/>
    </xf>
    <xf numFmtId="0" fontId="5" fillId="32" borderId="0" xfId="0" applyFont="1" applyFill="1" applyAlignment="1">
      <alignment wrapText="1"/>
    </xf>
    <xf numFmtId="0" fontId="1" fillId="32" borderId="0" xfId="0" applyFont="1" applyFill="1" applyAlignment="1">
      <alignment horizontal="center" wrapText="1"/>
    </xf>
    <xf numFmtId="169" fontId="5" fillId="32" borderId="0" xfId="0" applyNumberFormat="1" applyFont="1" applyFill="1" applyAlignment="1">
      <alignment horizontal="center" wrapText="1"/>
    </xf>
    <xf numFmtId="0" fontId="5" fillId="32" borderId="0" xfId="0" applyFont="1" applyFill="1" applyAlignment="1">
      <alignment wrapText="1"/>
    </xf>
    <xf numFmtId="164" fontId="5" fillId="32" borderId="0" xfId="0" applyNumberFormat="1" applyFont="1" applyFill="1" applyAlignment="1">
      <alignment horizontal="left" wrapText="1"/>
    </xf>
    <xf numFmtId="0" fontId="1" fillId="32" borderId="0" xfId="0" applyFont="1" applyFill="1" applyAlignment="1">
      <alignment horizontal="center" wrapText="1"/>
    </xf>
    <xf numFmtId="0" fontId="5" fillId="32" borderId="0" xfId="0" applyFont="1" applyFill="1" applyAlignment="1">
      <alignment wrapText="1"/>
    </xf>
    <xf numFmtId="0" fontId="5" fillId="32" borderId="0" xfId="0" applyFont="1" applyFill="1" applyAlignment="1">
      <alignment horizontal="left" wrapText="1"/>
    </xf>
    <xf numFmtId="0" fontId="1" fillId="34" borderId="0" xfId="0" applyFont="1" applyFill="1" applyAlignment="1">
      <alignment horizontal="left" wrapText="1"/>
    </xf>
    <xf numFmtId="11" fontId="4" fillId="16" borderId="0" xfId="0" applyNumberFormat="1" applyFont="1" applyFill="1" applyAlignment="1">
      <alignment horizontal="center" wrapText="1"/>
    </xf>
    <xf numFmtId="11" fontId="1" fillId="16" borderId="0" xfId="0" applyNumberFormat="1" applyFont="1" applyFill="1" applyAlignment="1">
      <alignment horizontal="center" wrapText="1"/>
    </xf>
    <xf numFmtId="11" fontId="4" fillId="16" borderId="0" xfId="0" applyNumberFormat="1" applyFont="1" applyFill="1" applyAlignment="1">
      <alignment horizontal="center" wrapText="1"/>
    </xf>
    <xf numFmtId="0" fontId="1" fillId="45" borderId="0" xfId="0" applyFont="1" applyFill="1" applyAlignment="1">
      <alignment wrapText="1"/>
    </xf>
    <xf numFmtId="11" fontId="4" fillId="16" borderId="0" xfId="0" applyNumberFormat="1" applyFont="1" applyFill="1" applyAlignment="1">
      <alignment horizontal="center" wrapText="1"/>
    </xf>
    <xf numFmtId="0" fontId="5" fillId="34" borderId="0" xfId="0" applyFont="1" applyFill="1" applyAlignment="1">
      <alignment wrapText="1"/>
    </xf>
    <xf numFmtId="0" fontId="1" fillId="34" borderId="0" xfId="0" applyFont="1" applyFill="1" applyAlignment="1">
      <alignment horizontal="center" wrapText="1"/>
    </xf>
    <xf numFmtId="169" fontId="5" fillId="34" borderId="0" xfId="0" applyNumberFormat="1" applyFont="1" applyFill="1" applyAlignment="1">
      <alignment horizontal="center" wrapText="1"/>
    </xf>
    <xf numFmtId="0" fontId="5" fillId="34" borderId="0" xfId="0" applyFont="1" applyFill="1" applyAlignment="1">
      <alignment wrapText="1"/>
    </xf>
    <xf numFmtId="164" fontId="5" fillId="34" borderId="0" xfId="0" applyNumberFormat="1" applyFont="1" applyFill="1" applyAlignment="1">
      <alignment horizontal="left" wrapText="1"/>
    </xf>
    <xf numFmtId="0" fontId="1" fillId="34" borderId="0" xfId="0" applyFont="1" applyFill="1" applyAlignment="1">
      <alignment horizontal="center" wrapText="1"/>
    </xf>
    <xf numFmtId="0" fontId="5" fillId="34" borderId="0" xfId="0" applyFont="1" applyFill="1" applyAlignment="1">
      <alignment wrapText="1"/>
    </xf>
    <xf numFmtId="165" fontId="5" fillId="5" borderId="0" xfId="0" applyNumberFormat="1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0" fontId="1" fillId="17" borderId="0" xfId="0" applyFont="1" applyFill="1" applyAlignment="1">
      <alignment horizontal="left" wrapText="1"/>
    </xf>
    <xf numFmtId="0" fontId="1" fillId="17" borderId="0" xfId="0" applyFont="1" applyFill="1" applyAlignment="1">
      <alignment horizontal="center" wrapText="1"/>
    </xf>
    <xf numFmtId="169" fontId="5" fillId="17" borderId="0" xfId="0" applyNumberFormat="1" applyFont="1" applyFill="1" applyAlignment="1">
      <alignment horizontal="center" wrapText="1"/>
    </xf>
    <xf numFmtId="164" fontId="9" fillId="16" borderId="0" xfId="0" applyNumberFormat="1" applyFont="1" applyFill="1" applyAlignment="1">
      <alignment horizontal="center" wrapText="1"/>
    </xf>
    <xf numFmtId="164" fontId="5" fillId="17" borderId="0" xfId="0" applyNumberFormat="1" applyFont="1" applyFill="1" applyAlignment="1">
      <alignment horizontal="left" wrapText="1"/>
    </xf>
    <xf numFmtId="0" fontId="4" fillId="16" borderId="0" xfId="0" applyFont="1" applyFill="1" applyAlignment="1">
      <alignment horizontal="center" wrapText="1"/>
    </xf>
    <xf numFmtId="0" fontId="1" fillId="17" borderId="0" xfId="0" applyFont="1" applyFill="1" applyAlignment="1">
      <alignment horizontal="center" wrapText="1"/>
    </xf>
    <xf numFmtId="164" fontId="5" fillId="17" borderId="0" xfId="0" applyNumberFormat="1" applyFont="1" applyFill="1" applyAlignment="1">
      <alignment horizontal="left" wrapText="1"/>
    </xf>
    <xf numFmtId="0" fontId="5" fillId="45" borderId="0" xfId="0" applyFont="1" applyFill="1" applyAlignment="1">
      <alignment horizontal="left" wrapText="1"/>
    </xf>
    <xf numFmtId="165" fontId="5" fillId="17" borderId="0" xfId="0" applyNumberFormat="1" applyFont="1" applyFill="1" applyAlignment="1">
      <alignment horizontal="center" wrapText="1"/>
    </xf>
    <xf numFmtId="0" fontId="1" fillId="17" borderId="0" xfId="0" applyFont="1" applyFill="1" applyAlignment="1">
      <alignment horizontal="left" wrapText="1"/>
    </xf>
    <xf numFmtId="0" fontId="5" fillId="43" borderId="0" xfId="0" applyFont="1" applyFill="1" applyAlignment="1">
      <alignment wrapText="1"/>
    </xf>
    <xf numFmtId="164" fontId="10" fillId="3" borderId="0" xfId="0" applyNumberFormat="1" applyFont="1" applyFill="1" applyAlignment="1">
      <alignment horizontal="center" wrapText="1"/>
    </xf>
    <xf numFmtId="0" fontId="1" fillId="43" borderId="0" xfId="0" applyFont="1" applyFill="1" applyAlignment="1">
      <alignment wrapText="1"/>
    </xf>
    <xf numFmtId="0" fontId="5" fillId="43" borderId="0" xfId="0" applyFont="1" applyFill="1" applyAlignment="1">
      <alignment wrapText="1"/>
    </xf>
    <xf numFmtId="0" fontId="1" fillId="43" borderId="0" xfId="0" applyFont="1" applyFill="1" applyAlignment="1">
      <alignment wrapText="1"/>
    </xf>
    <xf numFmtId="0" fontId="5" fillId="11" borderId="0" xfId="0" applyFont="1" applyFill="1" applyAlignment="1">
      <alignment wrapText="1"/>
    </xf>
    <xf numFmtId="0" fontId="39" fillId="8" borderId="0" xfId="0" applyFont="1" applyFill="1" applyAlignment="1">
      <alignment horizontal="center" wrapText="1"/>
    </xf>
    <xf numFmtId="0" fontId="1" fillId="11" borderId="0" xfId="0" applyFont="1" applyFill="1" applyAlignment="1">
      <alignment wrapText="1"/>
    </xf>
    <xf numFmtId="0" fontId="39" fillId="8" borderId="0" xfId="0" applyFont="1" applyFill="1" applyAlignment="1">
      <alignment horizontal="center" wrapText="1"/>
    </xf>
    <xf numFmtId="0" fontId="5" fillId="11" borderId="0" xfId="0" applyFont="1" applyFill="1" applyAlignment="1">
      <alignment wrapText="1"/>
    </xf>
    <xf numFmtId="164" fontId="39" fillId="8" borderId="0" xfId="0" applyNumberFormat="1" applyFont="1" applyFill="1" applyAlignment="1">
      <alignment horizontal="center" wrapText="1"/>
    </xf>
    <xf numFmtId="165" fontId="39" fillId="8" borderId="0" xfId="0" applyNumberFormat="1" applyFont="1" applyFill="1" applyAlignment="1">
      <alignment horizontal="center" wrapText="1"/>
    </xf>
    <xf numFmtId="165" fontId="39" fillId="8" borderId="0" xfId="0" applyNumberFormat="1" applyFont="1" applyFill="1" applyAlignment="1">
      <alignment horizontal="center" wrapText="1"/>
    </xf>
    <xf numFmtId="166" fontId="39" fillId="8" borderId="0" xfId="0" applyNumberFormat="1" applyFont="1" applyFill="1" applyAlignment="1">
      <alignment horizontal="center" wrapText="1"/>
    </xf>
    <xf numFmtId="0" fontId="5" fillId="11" borderId="1" xfId="0" applyFont="1" applyFill="1" applyBorder="1" applyAlignment="1">
      <alignment horizontal="left" wrapText="1"/>
    </xf>
    <xf numFmtId="11" fontId="39" fillId="8" borderId="0" xfId="0" applyNumberFormat="1" applyFont="1" applyFill="1" applyAlignment="1">
      <alignment horizontal="center" wrapText="1"/>
    </xf>
    <xf numFmtId="0" fontId="1" fillId="11" borderId="14" xfId="0" applyFont="1" applyFill="1" applyBorder="1" applyAlignment="1">
      <alignment wrapText="1"/>
    </xf>
    <xf numFmtId="11" fontId="39" fillId="8" borderId="0" xfId="0" applyNumberFormat="1" applyFont="1" applyFill="1" applyAlignment="1">
      <alignment horizontal="center" wrapText="1"/>
    </xf>
    <xf numFmtId="0" fontId="5" fillId="11" borderId="2" xfId="0" applyFont="1" applyFill="1" applyBorder="1" applyAlignment="1">
      <alignment wrapText="1"/>
    </xf>
    <xf numFmtId="11" fontId="39" fillId="8" borderId="0" xfId="0" applyNumberFormat="1" applyFont="1" applyFill="1" applyAlignment="1">
      <alignment horizontal="center" wrapText="1"/>
    </xf>
    <xf numFmtId="0" fontId="5" fillId="0" borderId="1" xfId="0" applyFont="1" applyBorder="1" applyAlignment="1">
      <alignment wrapText="1"/>
    </xf>
    <xf numFmtId="0" fontId="39" fillId="8" borderId="0" xfId="0" applyFont="1" applyFill="1" applyAlignment="1">
      <alignment horizontal="center" wrapText="1"/>
    </xf>
    <xf numFmtId="0" fontId="5" fillId="0" borderId="14" xfId="0" applyFont="1" applyBorder="1" applyAlignment="1">
      <alignment wrapText="1"/>
    </xf>
    <xf numFmtId="164" fontId="40" fillId="8" borderId="0" xfId="0" applyNumberFormat="1" applyFont="1" applyFill="1" applyAlignment="1">
      <alignment horizontal="center" wrapText="1"/>
    </xf>
    <xf numFmtId="0" fontId="39" fillId="8" borderId="0" xfId="0" applyFont="1" applyFill="1" applyAlignment="1">
      <alignment horizontal="center" wrapText="1"/>
    </xf>
    <xf numFmtId="0" fontId="41" fillId="8" borderId="0" xfId="0" applyFont="1" applyFill="1" applyAlignment="1">
      <alignment horizontal="center" wrapText="1"/>
    </xf>
    <xf numFmtId="0" fontId="41" fillId="0" borderId="0" xfId="0" applyFont="1" applyAlignment="1">
      <alignment horizontal="center" wrapText="1"/>
    </xf>
    <xf numFmtId="14" fontId="5" fillId="17" borderId="0" xfId="0" applyNumberFormat="1" applyFont="1" applyFill="1" applyAlignment="1">
      <alignment wrapText="1"/>
    </xf>
    <xf numFmtId="14" fontId="5" fillId="17" borderId="0" xfId="0" applyNumberFormat="1" applyFont="1" applyFill="1" applyAlignment="1">
      <alignment horizontal="center" wrapText="1"/>
    </xf>
    <xf numFmtId="0" fontId="1" fillId="8" borderId="0" xfId="0" applyFont="1" applyFill="1" applyAlignment="1">
      <alignment horizontal="left" wrapText="1"/>
    </xf>
    <xf numFmtId="0" fontId="1" fillId="8" borderId="0" xfId="0" applyFont="1" applyFill="1" applyAlignment="1">
      <alignment horizontal="center" wrapText="1"/>
    </xf>
    <xf numFmtId="169" fontId="5" fillId="8" borderId="0" xfId="0" applyNumberFormat="1" applyFont="1" applyFill="1" applyAlignment="1">
      <alignment horizontal="center" wrapText="1"/>
    </xf>
    <xf numFmtId="0" fontId="1" fillId="0" borderId="3" xfId="0" applyFont="1" applyBorder="1" applyAlignment="1">
      <alignment wrapText="1"/>
    </xf>
    <xf numFmtId="164" fontId="5" fillId="8" borderId="0" xfId="0" applyNumberFormat="1" applyFont="1" applyFill="1" applyAlignment="1">
      <alignment horizontal="left" wrapText="1"/>
    </xf>
    <xf numFmtId="0" fontId="11" fillId="8" borderId="0" xfId="0" applyFont="1" applyFill="1" applyAlignment="1">
      <alignment horizontal="left" wrapText="1"/>
    </xf>
    <xf numFmtId="0" fontId="5" fillId="19" borderId="15" xfId="0" applyFont="1" applyFill="1" applyBorder="1" applyAlignment="1">
      <alignment wrapText="1"/>
    </xf>
    <xf numFmtId="0" fontId="4" fillId="37" borderId="0" xfId="0" applyFont="1" applyFill="1" applyAlignment="1">
      <alignment horizontal="center" wrapText="1"/>
    </xf>
    <xf numFmtId="0" fontId="1" fillId="0" borderId="10" xfId="0" applyFont="1" applyBorder="1" applyAlignment="1">
      <alignment vertical="center" wrapText="1"/>
    </xf>
    <xf numFmtId="0" fontId="5" fillId="53" borderId="15" xfId="0" applyFont="1" applyFill="1" applyBorder="1" applyAlignment="1">
      <alignment wrapText="1"/>
    </xf>
    <xf numFmtId="164" fontId="9" fillId="37" borderId="0" xfId="0" applyNumberFormat="1" applyFont="1" applyFill="1" applyAlignment="1">
      <alignment horizontal="center" wrapText="1"/>
    </xf>
    <xf numFmtId="0" fontId="1" fillId="53" borderId="4" xfId="0" applyFont="1" applyFill="1" applyBorder="1" applyAlignment="1">
      <alignment wrapText="1"/>
    </xf>
    <xf numFmtId="0" fontId="5" fillId="53" borderId="4" xfId="0" applyFont="1" applyFill="1" applyBorder="1" applyAlignment="1">
      <alignment wrapText="1"/>
    </xf>
    <xf numFmtId="0" fontId="5" fillId="53" borderId="4" xfId="0" applyFont="1" applyFill="1" applyBorder="1" applyAlignment="1">
      <alignment wrapText="1"/>
    </xf>
    <xf numFmtId="14" fontId="5" fillId="0" borderId="4" xfId="0" applyNumberFormat="1" applyFont="1" applyBorder="1" applyAlignment="1">
      <alignment wrapText="1"/>
    </xf>
    <xf numFmtId="0" fontId="12" fillId="8" borderId="0" xfId="0" applyFont="1" applyFill="1" applyAlignment="1">
      <alignment wrapText="1"/>
    </xf>
    <xf numFmtId="0" fontId="11" fillId="8" borderId="0" xfId="0" applyFont="1" applyFill="1" applyAlignment="1">
      <alignment horizontal="center" wrapText="1"/>
    </xf>
    <xf numFmtId="169" fontId="12" fillId="8" borderId="0" xfId="0" applyNumberFormat="1" applyFont="1" applyFill="1" applyAlignment="1">
      <alignment horizontal="center" wrapText="1"/>
    </xf>
    <xf numFmtId="164" fontId="12" fillId="8" borderId="0" xfId="0" applyNumberFormat="1" applyFont="1" applyFill="1" applyAlignment="1">
      <alignment horizontal="left" wrapText="1"/>
    </xf>
    <xf numFmtId="164" fontId="5" fillId="8" borderId="0" xfId="0" applyNumberFormat="1" applyFont="1" applyFill="1" applyAlignment="1">
      <alignment horizontal="left" wrapText="1"/>
    </xf>
    <xf numFmtId="165" fontId="12" fillId="8" borderId="0" xfId="0" applyNumberFormat="1" applyFont="1" applyFill="1" applyAlignment="1">
      <alignment horizontal="center" wrapText="1"/>
    </xf>
    <xf numFmtId="0" fontId="12" fillId="8" borderId="0" xfId="0" applyFont="1" applyFill="1" applyAlignment="1">
      <alignment wrapText="1"/>
    </xf>
    <xf numFmtId="0" fontId="1" fillId="8" borderId="0" xfId="0" applyFont="1" applyFill="1" applyAlignment="1">
      <alignment horizontal="center" wrapText="1"/>
    </xf>
    <xf numFmtId="0" fontId="5" fillId="8" borderId="0" xfId="0" applyFont="1" applyFill="1" applyAlignment="1">
      <alignment wrapText="1"/>
    </xf>
    <xf numFmtId="14" fontId="5" fillId="8" borderId="0" xfId="0" applyNumberFormat="1" applyFont="1" applyFill="1" applyAlignment="1">
      <alignment horizontal="center" wrapText="1"/>
    </xf>
    <xf numFmtId="0" fontId="1" fillId="6" borderId="0" xfId="0" applyFont="1" applyFill="1" applyAlignment="1">
      <alignment horizontal="left" wrapText="1"/>
    </xf>
    <xf numFmtId="0" fontId="1" fillId="6" borderId="0" xfId="0" applyFont="1" applyFill="1" applyAlignment="1">
      <alignment horizontal="center" wrapText="1"/>
    </xf>
    <xf numFmtId="169" fontId="5" fillId="6" borderId="0" xfId="0" applyNumberFormat="1" applyFont="1" applyFill="1" applyAlignment="1">
      <alignment horizontal="center" wrapText="1"/>
    </xf>
    <xf numFmtId="0" fontId="5" fillId="6" borderId="0" xfId="0" applyFont="1" applyFill="1" applyAlignment="1">
      <alignment horizontal="left" wrapText="1"/>
    </xf>
    <xf numFmtId="165" fontId="5" fillId="20" borderId="0" xfId="0" applyNumberFormat="1" applyFont="1" applyFill="1" applyAlignment="1">
      <alignment horizontal="center" wrapText="1"/>
    </xf>
    <xf numFmtId="14" fontId="5" fillId="20" borderId="0" xfId="0" applyNumberFormat="1" applyFont="1" applyFill="1" applyAlignment="1">
      <alignment horizontal="center" wrapText="1"/>
    </xf>
    <xf numFmtId="0" fontId="1" fillId="20" borderId="0" xfId="0" applyFont="1" applyFill="1" applyAlignment="1">
      <alignment horizontal="left" wrapText="1"/>
    </xf>
    <xf numFmtId="14" fontId="5" fillId="20" borderId="0" xfId="0" applyNumberFormat="1" applyFont="1" applyFill="1" applyAlignment="1">
      <alignment horizontal="center" wrapText="1"/>
    </xf>
    <xf numFmtId="0" fontId="1" fillId="16" borderId="0" xfId="0" applyFont="1" applyFill="1" applyAlignment="1">
      <alignment horizontal="left" wrapText="1"/>
    </xf>
    <xf numFmtId="0" fontId="1" fillId="16" borderId="0" xfId="0" applyFont="1" applyFill="1" applyAlignment="1">
      <alignment horizontal="center" wrapText="1"/>
    </xf>
    <xf numFmtId="165" fontId="5" fillId="16" borderId="0" xfId="0" applyNumberFormat="1" applyFont="1" applyFill="1" applyAlignment="1">
      <alignment horizontal="center" wrapText="1"/>
    </xf>
    <xf numFmtId="164" fontId="5" fillId="16" borderId="0" xfId="0" applyNumberFormat="1" applyFont="1" applyFill="1" applyAlignment="1">
      <alignment horizontal="left" wrapText="1"/>
    </xf>
    <xf numFmtId="164" fontId="5" fillId="16" borderId="0" xfId="0" applyNumberFormat="1" applyFont="1" applyFill="1" applyAlignment="1">
      <alignment horizontal="left" wrapText="1"/>
    </xf>
    <xf numFmtId="169" fontId="5" fillId="12" borderId="0" xfId="0" applyNumberFormat="1" applyFont="1" applyFill="1" applyAlignment="1">
      <alignment horizontal="center" wrapText="1"/>
    </xf>
    <xf numFmtId="164" fontId="5" fillId="12" borderId="0" xfId="0" applyNumberFormat="1" applyFont="1" applyFill="1" applyAlignment="1">
      <alignment horizontal="left" wrapText="1"/>
    </xf>
    <xf numFmtId="0" fontId="5" fillId="53" borderId="2" xfId="0" applyFont="1" applyFill="1" applyBorder="1" applyAlignment="1">
      <alignment wrapText="1"/>
    </xf>
    <xf numFmtId="0" fontId="1" fillId="53" borderId="0" xfId="0" applyFont="1" applyFill="1" applyAlignment="1">
      <alignment wrapText="1"/>
    </xf>
    <xf numFmtId="164" fontId="4" fillId="24" borderId="0" xfId="0" applyNumberFormat="1" applyFont="1" applyFill="1" applyAlignment="1">
      <alignment horizontal="center" wrapText="1"/>
    </xf>
    <xf numFmtId="0" fontId="3" fillId="12" borderId="0" xfId="0" applyFont="1" applyFill="1" applyAlignment="1">
      <alignment horizontal="left" wrapText="1"/>
    </xf>
    <xf numFmtId="0" fontId="5" fillId="53" borderId="0" xfId="0" applyFont="1" applyFill="1" applyAlignment="1">
      <alignment wrapText="1"/>
    </xf>
    <xf numFmtId="0" fontId="5" fillId="53" borderId="0" xfId="0" applyFont="1" applyFill="1" applyAlignment="1">
      <alignment wrapText="1"/>
    </xf>
    <xf numFmtId="0" fontId="5" fillId="53" borderId="12" xfId="0" applyFont="1" applyFill="1" applyBorder="1" applyAlignment="1">
      <alignment wrapText="1"/>
    </xf>
    <xf numFmtId="164" fontId="5" fillId="34" borderId="0" xfId="0" applyNumberFormat="1" applyFont="1" applyFill="1" applyAlignment="1">
      <alignment horizontal="left" wrapText="1"/>
    </xf>
    <xf numFmtId="166" fontId="10" fillId="4" borderId="0" xfId="0" applyNumberFormat="1" applyFont="1" applyFill="1" applyAlignment="1">
      <alignment horizontal="center" wrapText="1"/>
    </xf>
    <xf numFmtId="165" fontId="5" fillId="34" borderId="0" xfId="0" applyNumberFormat="1" applyFont="1" applyFill="1" applyAlignment="1">
      <alignment horizontal="center" wrapText="1"/>
    </xf>
    <xf numFmtId="14" fontId="5" fillId="34" borderId="0" xfId="0" applyNumberFormat="1" applyFont="1" applyFill="1" applyAlignment="1">
      <alignment horizontal="center" wrapText="1"/>
    </xf>
    <xf numFmtId="166" fontId="4" fillId="4" borderId="0" xfId="0" applyNumberFormat="1" applyFont="1" applyFill="1" applyAlignment="1">
      <alignment horizontal="center" wrapText="1"/>
    </xf>
    <xf numFmtId="168" fontId="5" fillId="0" borderId="0" xfId="0" applyNumberFormat="1" applyFont="1" applyAlignment="1">
      <alignment horizontal="center" wrapText="1"/>
    </xf>
    <xf numFmtId="168" fontId="5" fillId="7" borderId="0" xfId="0" applyNumberFormat="1" applyFont="1" applyFill="1" applyAlignment="1">
      <alignment horizontal="center" wrapText="1"/>
    </xf>
    <xf numFmtId="170" fontId="5" fillId="7" borderId="0" xfId="0" applyNumberFormat="1" applyFont="1" applyFill="1" applyAlignment="1">
      <alignment horizontal="left" wrapText="1"/>
    </xf>
    <xf numFmtId="0" fontId="11" fillId="2" borderId="0" xfId="0" applyFont="1" applyFill="1" applyAlignment="1">
      <alignment horizontal="left" wrapText="1"/>
    </xf>
    <xf numFmtId="0" fontId="10" fillId="27" borderId="0" xfId="0" applyFont="1" applyFill="1" applyAlignment="1">
      <alignment horizontal="center" wrapText="1"/>
    </xf>
    <xf numFmtId="0" fontId="10" fillId="27" borderId="0" xfId="0" applyFont="1" applyFill="1" applyAlignment="1">
      <alignment horizontal="center" wrapText="1"/>
    </xf>
    <xf numFmtId="0" fontId="33" fillId="2" borderId="0" xfId="0" applyFont="1" applyFill="1" applyAlignment="1">
      <alignment horizontal="left" wrapText="1"/>
    </xf>
    <xf numFmtId="165" fontId="10" fillId="27" borderId="0" xfId="0" applyNumberFormat="1" applyFont="1" applyFill="1" applyAlignment="1">
      <alignment horizontal="center" wrapText="1"/>
    </xf>
    <xf numFmtId="0" fontId="11" fillId="2" borderId="0" xfId="0" applyFont="1" applyFill="1" applyAlignment="1">
      <alignment horizontal="center" wrapText="1"/>
    </xf>
    <xf numFmtId="166" fontId="10" fillId="27" borderId="0" xfId="0" applyNumberFormat="1" applyFont="1" applyFill="1" applyAlignment="1">
      <alignment horizontal="center" wrapText="1"/>
    </xf>
    <xf numFmtId="0" fontId="10" fillId="2" borderId="0" xfId="0" applyFont="1" applyFill="1" applyAlignment="1">
      <alignment wrapText="1"/>
    </xf>
    <xf numFmtId="164" fontId="11" fillId="27" borderId="0" xfId="0" applyNumberFormat="1" applyFont="1" applyFill="1" applyAlignment="1">
      <alignment horizontal="center" wrapText="1"/>
    </xf>
    <xf numFmtId="169" fontId="10" fillId="2" borderId="0" xfId="0" applyNumberFormat="1" applyFont="1" applyFill="1" applyAlignment="1">
      <alignment horizontal="center" wrapText="1"/>
    </xf>
    <xf numFmtId="164" fontId="10" fillId="27" borderId="0" xfId="0" applyNumberFormat="1" applyFont="1" applyFill="1" applyAlignment="1">
      <alignment horizontal="center" wrapText="1"/>
    </xf>
    <xf numFmtId="164" fontId="10" fillId="2" borderId="0" xfId="0" applyNumberFormat="1" applyFont="1" applyFill="1" applyAlignment="1">
      <alignment horizontal="left" wrapText="1"/>
    </xf>
    <xf numFmtId="11" fontId="10" fillId="27" borderId="0" xfId="0" applyNumberFormat="1" applyFont="1" applyFill="1" applyAlignment="1">
      <alignment horizontal="center" wrapText="1"/>
    </xf>
    <xf numFmtId="11" fontId="11" fillId="27" borderId="0" xfId="0" applyNumberFormat="1" applyFont="1" applyFill="1" applyAlignment="1">
      <alignment horizontal="center" wrapText="1"/>
    </xf>
    <xf numFmtId="11" fontId="10" fillId="27" borderId="0" xfId="0" applyNumberFormat="1" applyFont="1" applyFill="1" applyAlignment="1">
      <alignment horizontal="center" wrapText="1"/>
    </xf>
    <xf numFmtId="0" fontId="11" fillId="2" borderId="0" xfId="0" applyFont="1" applyFill="1" applyAlignment="1">
      <alignment horizontal="center" wrapText="1"/>
    </xf>
    <xf numFmtId="11" fontId="10" fillId="27" borderId="0" xfId="0" applyNumberFormat="1" applyFont="1" applyFill="1" applyAlignment="1">
      <alignment horizontal="center" wrapText="1"/>
    </xf>
    <xf numFmtId="164" fontId="10" fillId="2" borderId="0" xfId="0" applyNumberFormat="1" applyFont="1" applyFill="1" applyAlignment="1">
      <alignment horizontal="left" wrapText="1"/>
    </xf>
    <xf numFmtId="0" fontId="10" fillId="27" borderId="0" xfId="0" applyFont="1" applyFill="1" applyAlignment="1">
      <alignment horizontal="center" wrapText="1"/>
    </xf>
    <xf numFmtId="164" fontId="24" fillId="27" borderId="0" xfId="0" applyNumberFormat="1" applyFont="1" applyFill="1" applyAlignment="1">
      <alignment horizontal="center" wrapText="1"/>
    </xf>
    <xf numFmtId="0" fontId="10" fillId="27" borderId="0" xfId="0" applyFont="1" applyFill="1" applyAlignment="1">
      <alignment horizontal="center" wrapText="1"/>
    </xf>
    <xf numFmtId="0" fontId="4" fillId="27" borderId="0" xfId="0" applyFont="1" applyFill="1" applyAlignment="1">
      <alignment horizontal="center" wrapText="1"/>
    </xf>
    <xf numFmtId="0" fontId="3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center" wrapText="1"/>
    </xf>
    <xf numFmtId="169" fontId="5" fillId="2" borderId="0" xfId="0" applyNumberFormat="1" applyFont="1" applyFill="1" applyAlignment="1">
      <alignment horizontal="center" wrapText="1"/>
    </xf>
    <xf numFmtId="0" fontId="11" fillId="2" borderId="0" xfId="0" applyFont="1" applyFill="1" applyAlignment="1">
      <alignment horizontal="left" wrapText="1"/>
    </xf>
    <xf numFmtId="0" fontId="10" fillId="18" borderId="0" xfId="0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165" fontId="10" fillId="18" borderId="0" xfId="0" applyNumberFormat="1" applyFont="1" applyFill="1" applyAlignment="1">
      <alignment horizontal="center" wrapText="1"/>
    </xf>
    <xf numFmtId="0" fontId="33" fillId="2" borderId="0" xfId="0" applyFont="1" applyFill="1" applyAlignment="1">
      <alignment horizontal="left" wrapText="1"/>
    </xf>
    <xf numFmtId="0" fontId="11" fillId="2" borderId="0" xfId="0" applyFont="1" applyFill="1" applyAlignment="1">
      <alignment horizontal="center" wrapText="1"/>
    </xf>
    <xf numFmtId="169" fontId="12" fillId="2" borderId="0" xfId="0" applyNumberFormat="1" applyFont="1" applyFill="1" applyAlignment="1">
      <alignment horizontal="center" wrapText="1"/>
    </xf>
    <xf numFmtId="164" fontId="12" fillId="2" borderId="0" xfId="0" applyNumberFormat="1" applyFont="1" applyFill="1" applyAlignment="1">
      <alignment horizontal="left" wrapText="1"/>
    </xf>
    <xf numFmtId="170" fontId="5" fillId="2" borderId="0" xfId="0" applyNumberFormat="1" applyFont="1" applyFill="1" applyAlignment="1">
      <alignment horizontal="left" wrapText="1"/>
    </xf>
    <xf numFmtId="0" fontId="1" fillId="53" borderId="3" xfId="0" applyFont="1" applyFill="1" applyBorder="1" applyAlignment="1">
      <alignment wrapText="1"/>
    </xf>
    <xf numFmtId="166" fontId="10" fillId="18" borderId="0" xfId="0" applyNumberFormat="1" applyFont="1" applyFill="1" applyAlignment="1">
      <alignment horizontal="center" wrapText="1"/>
    </xf>
    <xf numFmtId="0" fontId="5" fillId="2" borderId="0" xfId="0" applyFont="1" applyFill="1" applyAlignment="1">
      <alignment horizontal="left" wrapText="1"/>
    </xf>
    <xf numFmtId="164" fontId="11" fillId="18" borderId="0" xfId="0" applyNumberFormat="1" applyFont="1" applyFill="1" applyAlignment="1">
      <alignment horizontal="center" wrapText="1"/>
    </xf>
    <xf numFmtId="0" fontId="11" fillId="39" borderId="0" xfId="0" applyFont="1" applyFill="1" applyAlignment="1">
      <alignment horizontal="left" wrapText="1"/>
    </xf>
    <xf numFmtId="164" fontId="10" fillId="18" borderId="0" xfId="0" applyNumberFormat="1" applyFont="1" applyFill="1" applyAlignment="1">
      <alignment horizontal="center" wrapText="1"/>
    </xf>
    <xf numFmtId="0" fontId="10" fillId="39" borderId="0" xfId="0" applyFont="1" applyFill="1" applyAlignment="1">
      <alignment wrapText="1"/>
    </xf>
    <xf numFmtId="11" fontId="10" fillId="18" borderId="0" xfId="0" applyNumberFormat="1" applyFont="1" applyFill="1" applyAlignment="1">
      <alignment horizontal="center" wrapText="1"/>
    </xf>
    <xf numFmtId="0" fontId="11" fillId="39" borderId="0" xfId="0" applyFont="1" applyFill="1" applyAlignment="1">
      <alignment horizontal="center" wrapText="1"/>
    </xf>
    <xf numFmtId="11" fontId="11" fillId="18" borderId="0" xfId="0" applyNumberFormat="1" applyFont="1" applyFill="1" applyAlignment="1">
      <alignment horizontal="center" wrapText="1"/>
    </xf>
    <xf numFmtId="165" fontId="10" fillId="39" borderId="0" xfId="0" applyNumberFormat="1" applyFont="1" applyFill="1" applyAlignment="1">
      <alignment horizontal="center" wrapText="1"/>
    </xf>
    <xf numFmtId="11" fontId="10" fillId="18" borderId="0" xfId="0" applyNumberFormat="1" applyFont="1" applyFill="1" applyAlignment="1">
      <alignment horizontal="center" wrapText="1"/>
    </xf>
    <xf numFmtId="0" fontId="11" fillId="39" borderId="0" xfId="0" applyFont="1" applyFill="1" applyAlignment="1">
      <alignment horizontal="center" wrapText="1"/>
    </xf>
    <xf numFmtId="0" fontId="5" fillId="53" borderId="3" xfId="0" applyFont="1" applyFill="1" applyBorder="1" applyAlignment="1">
      <alignment wrapText="1"/>
    </xf>
    <xf numFmtId="0" fontId="5" fillId="53" borderId="3" xfId="0" applyFont="1" applyFill="1" applyBorder="1" applyAlignment="1">
      <alignment wrapText="1"/>
    </xf>
    <xf numFmtId="0" fontId="2" fillId="0" borderId="16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11" fontId="2" fillId="0" borderId="4" xfId="0" applyNumberFormat="1" applyFont="1" applyBorder="1" applyAlignment="1">
      <alignment horizontal="center" wrapText="1"/>
    </xf>
    <xf numFmtId="11" fontId="2" fillId="0" borderId="11" xfId="0" applyNumberFormat="1" applyFont="1" applyBorder="1" applyAlignment="1">
      <alignment horizontal="center" wrapText="1"/>
    </xf>
    <xf numFmtId="11" fontId="3" fillId="0" borderId="15" xfId="0" applyNumberFormat="1" applyFont="1" applyBorder="1" applyAlignment="1">
      <alignment horizontal="center" wrapText="1"/>
    </xf>
    <xf numFmtId="11" fontId="3" fillId="0" borderId="11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11" fontId="20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5" fillId="0" borderId="16" xfId="0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11" fontId="4" fillId="0" borderId="0" xfId="0" applyNumberFormat="1" applyFont="1" applyAlignment="1">
      <alignment horizontal="center" wrapText="1"/>
    </xf>
    <xf numFmtId="11" fontId="1" fillId="0" borderId="1" xfId="0" applyNumberFormat="1" applyFont="1" applyBorder="1" applyAlignment="1">
      <alignment horizontal="center" wrapText="1"/>
    </xf>
    <xf numFmtId="11" fontId="4" fillId="46" borderId="2" xfId="0" applyNumberFormat="1" applyFont="1" applyFill="1" applyBorder="1" applyAlignment="1">
      <alignment horizontal="center" wrapText="1"/>
    </xf>
    <xf numFmtId="11" fontId="4" fillId="21" borderId="1" xfId="0" applyNumberFormat="1" applyFont="1" applyFill="1" applyBorder="1" applyAlignment="1">
      <alignment horizontal="center" wrapText="1"/>
    </xf>
    <xf numFmtId="11" fontId="20" fillId="54" borderId="0" xfId="0" applyNumberFormat="1" applyFont="1" applyFill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20" fillId="0" borderId="0" xfId="0" applyFont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1" fontId="4" fillId="0" borderId="3" xfId="0" applyNumberFormat="1" applyFont="1" applyBorder="1" applyAlignment="1">
      <alignment horizontal="center" wrapText="1"/>
    </xf>
    <xf numFmtId="11" fontId="1" fillId="0" borderId="13" xfId="0" applyNumberFormat="1" applyFont="1" applyBorder="1" applyAlignment="1">
      <alignment horizontal="center" wrapText="1"/>
    </xf>
    <xf numFmtId="11" fontId="4" fillId="46" borderId="12" xfId="0" applyNumberFormat="1" applyFont="1" applyFill="1" applyBorder="1" applyAlignment="1">
      <alignment horizontal="center" wrapText="1"/>
    </xf>
    <xf numFmtId="11" fontId="4" fillId="21" borderId="13" xfId="0" applyNumberFormat="1" applyFont="1" applyFill="1" applyBorder="1" applyAlignment="1">
      <alignment horizontal="center" wrapText="1"/>
    </xf>
    <xf numFmtId="0" fontId="5" fillId="0" borderId="16" xfId="0" applyFont="1" applyBorder="1" applyAlignment="1">
      <alignment horizontal="center" wrapText="1"/>
    </xf>
    <xf numFmtId="14" fontId="5" fillId="0" borderId="16" xfId="0" applyNumberFormat="1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11" fontId="4" fillId="0" borderId="4" xfId="0" applyNumberFormat="1" applyFont="1" applyBorder="1" applyAlignment="1">
      <alignment horizontal="center" wrapText="1"/>
    </xf>
    <xf numFmtId="11" fontId="1" fillId="0" borderId="4" xfId="0" applyNumberFormat="1" applyFont="1" applyBorder="1" applyAlignment="1">
      <alignment horizontal="center" wrapText="1"/>
    </xf>
    <xf numFmtId="11" fontId="5" fillId="0" borderId="4" xfId="0" applyNumberFormat="1" applyFont="1" applyBorder="1" applyAlignment="1">
      <alignment horizontal="center" wrapText="1"/>
    </xf>
    <xf numFmtId="11" fontId="5" fillId="0" borderId="0" xfId="0" applyNumberFormat="1" applyFont="1" applyAlignment="1">
      <alignment horizontal="center" wrapText="1"/>
    </xf>
    <xf numFmtId="164" fontId="10" fillId="39" borderId="0" xfId="0" applyNumberFormat="1" applyFont="1" applyFill="1" applyAlignment="1">
      <alignment horizontal="left" wrapText="1"/>
    </xf>
    <xf numFmtId="11" fontId="10" fillId="18" borderId="0" xfId="0" applyNumberFormat="1" applyFont="1" applyFill="1" applyAlignment="1">
      <alignment horizontal="center" wrapText="1"/>
    </xf>
    <xf numFmtId="11" fontId="20" fillId="0" borderId="0" xfId="0" applyNumberFormat="1" applyFont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0" fontId="1" fillId="0" borderId="0" xfId="0" applyFont="1" applyAlignment="1">
      <alignment horizontal="center" wrapText="1"/>
    </xf>
    <xf numFmtId="164" fontId="24" fillId="18" borderId="0" xfId="0" applyNumberFormat="1" applyFont="1" applyFill="1" applyAlignment="1">
      <alignment horizontal="center" wrapText="1"/>
    </xf>
    <xf numFmtId="11" fontId="4" fillId="0" borderId="0" xfId="0" applyNumberFormat="1" applyFont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11" fontId="1" fillId="0" borderId="0" xfId="0" applyNumberFormat="1" applyFont="1" applyAlignment="1">
      <alignment horizontal="center" wrapText="1"/>
    </xf>
    <xf numFmtId="11" fontId="5" fillId="0" borderId="0" xfId="0" applyNumberFormat="1" applyFont="1" applyAlignment="1">
      <alignment horizontal="center" wrapText="1"/>
    </xf>
    <xf numFmtId="164" fontId="24" fillId="18" borderId="0" xfId="0" applyNumberFormat="1" applyFont="1" applyFill="1" applyAlignment="1">
      <alignment horizontal="center" wrapText="1"/>
    </xf>
    <xf numFmtId="11" fontId="5" fillId="0" borderId="3" xfId="0" applyNumberFormat="1" applyFont="1" applyBorder="1" applyAlignment="1">
      <alignment horizontal="center" wrapText="1"/>
    </xf>
    <xf numFmtId="11" fontId="5" fillId="0" borderId="16" xfId="0" applyNumberFormat="1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1" fontId="4" fillId="0" borderId="3" xfId="0" applyNumberFormat="1" applyFont="1" applyBorder="1" applyAlignment="1">
      <alignment horizontal="center" wrapText="1"/>
    </xf>
    <xf numFmtId="11" fontId="1" fillId="0" borderId="3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11" fontId="4" fillId="0" borderId="16" xfId="0" applyNumberFormat="1" applyFont="1" applyBorder="1" applyAlignment="1">
      <alignment horizontal="center" wrapText="1"/>
    </xf>
    <xf numFmtId="11" fontId="1" fillId="0" borderId="16" xfId="0" applyNumberFormat="1" applyFont="1" applyBorder="1" applyAlignment="1">
      <alignment horizontal="center" wrapText="1"/>
    </xf>
    <xf numFmtId="11" fontId="5" fillId="0" borderId="16" xfId="0" applyNumberFormat="1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11" fillId="39" borderId="0" xfId="0" applyFont="1" applyFill="1" applyAlignment="1">
      <alignment horizontal="left" wrapText="1"/>
    </xf>
    <xf numFmtId="0" fontId="10" fillId="18" borderId="0" xfId="0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12" fillId="39" borderId="0" xfId="0" applyFont="1" applyFill="1" applyAlignment="1">
      <alignment wrapText="1"/>
    </xf>
    <xf numFmtId="0" fontId="11" fillId="39" borderId="0" xfId="0" applyFont="1" applyFill="1" applyAlignment="1">
      <alignment horizontal="center" wrapText="1"/>
    </xf>
    <xf numFmtId="169" fontId="12" fillId="39" borderId="0" xfId="0" applyNumberFormat="1" applyFont="1" applyFill="1" applyAlignment="1">
      <alignment horizontal="center" wrapText="1"/>
    </xf>
    <xf numFmtId="0" fontId="12" fillId="39" borderId="0" xfId="0" applyFont="1" applyFill="1" applyAlignment="1">
      <alignment horizontal="left" wrapText="1"/>
    </xf>
    <xf numFmtId="0" fontId="5" fillId="39" borderId="0" xfId="0" applyFont="1" applyFill="1" applyAlignment="1">
      <alignment wrapText="1"/>
    </xf>
    <xf numFmtId="0" fontId="5" fillId="39" borderId="0" xfId="0" applyFont="1" applyFill="1" applyAlignment="1">
      <alignment horizontal="left" wrapText="1"/>
    </xf>
    <xf numFmtId="0" fontId="1" fillId="55" borderId="0" xfId="0" applyFont="1" applyFill="1" applyAlignment="1">
      <alignment horizontal="left" wrapText="1"/>
    </xf>
    <xf numFmtId="0" fontId="5" fillId="55" borderId="0" xfId="0" applyFont="1" applyFill="1" applyAlignment="1">
      <alignment wrapText="1"/>
    </xf>
    <xf numFmtId="0" fontId="1" fillId="55" borderId="0" xfId="0" applyFont="1" applyFill="1" applyAlignment="1">
      <alignment horizontal="center" wrapText="1"/>
    </xf>
    <xf numFmtId="165" fontId="10" fillId="43" borderId="0" xfId="0" applyNumberFormat="1" applyFont="1" applyFill="1" applyAlignment="1">
      <alignment horizontal="center" wrapText="1"/>
    </xf>
    <xf numFmtId="169" fontId="5" fillId="55" borderId="0" xfId="0" applyNumberFormat="1" applyFont="1" applyFill="1" applyAlignment="1">
      <alignment horizontal="center" wrapText="1"/>
    </xf>
    <xf numFmtId="11" fontId="11" fillId="43" borderId="0" xfId="0" applyNumberFormat="1" applyFont="1" applyFill="1" applyAlignment="1">
      <alignment horizontal="center" wrapText="1"/>
    </xf>
    <xf numFmtId="164" fontId="5" fillId="55" borderId="0" xfId="0" applyNumberFormat="1" applyFont="1" applyFill="1" applyAlignment="1">
      <alignment horizontal="left" wrapText="1"/>
    </xf>
    <xf numFmtId="11" fontId="10" fillId="43" borderId="0" xfId="0" applyNumberFormat="1" applyFont="1" applyFill="1" applyAlignment="1">
      <alignment horizontal="center" wrapText="1"/>
    </xf>
    <xf numFmtId="0" fontId="5" fillId="55" borderId="0" xfId="0" applyFont="1" applyFill="1" applyAlignment="1">
      <alignment wrapText="1"/>
    </xf>
    <xf numFmtId="0" fontId="5" fillId="0" borderId="3" xfId="0" applyFont="1" applyBorder="1" applyAlignment="1">
      <alignment horizontal="center" wrapText="1"/>
    </xf>
    <xf numFmtId="164" fontId="42" fillId="43" borderId="0" xfId="0" applyNumberFormat="1" applyFont="1" applyFill="1" applyAlignment="1">
      <alignment horizontal="center" wrapText="1"/>
    </xf>
    <xf numFmtId="0" fontId="3" fillId="55" borderId="0" xfId="0" applyFont="1" applyFill="1" applyAlignment="1">
      <alignment horizontal="left" wrapText="1"/>
    </xf>
    <xf numFmtId="11" fontId="5" fillId="0" borderId="3" xfId="0" applyNumberFormat="1" applyFont="1" applyBorder="1" applyAlignment="1">
      <alignment horizontal="center" wrapText="1"/>
    </xf>
    <xf numFmtId="0" fontId="1" fillId="55" borderId="0" xfId="0" applyFont="1" applyFill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164" fontId="9" fillId="11" borderId="0" xfId="0" applyNumberFormat="1" applyFont="1" applyFill="1" applyAlignment="1">
      <alignment horizontal="center" wrapText="1"/>
    </xf>
    <xf numFmtId="165" fontId="5" fillId="55" borderId="0" xfId="0" applyNumberFormat="1" applyFont="1" applyFill="1" applyAlignment="1">
      <alignment horizontal="center" wrapText="1"/>
    </xf>
    <xf numFmtId="14" fontId="5" fillId="0" borderId="4" xfId="0" applyNumberFormat="1" applyFont="1" applyBorder="1" applyAlignment="1">
      <alignment horizontal="center" wrapText="1"/>
    </xf>
    <xf numFmtId="0" fontId="1" fillId="55" borderId="0" xfId="0" applyFont="1" applyFill="1" applyAlignment="1">
      <alignment wrapText="1"/>
    </xf>
    <xf numFmtId="11" fontId="5" fillId="0" borderId="4" xfId="0" applyNumberFormat="1" applyFont="1" applyBorder="1" applyAlignment="1">
      <alignment horizontal="center" wrapText="1"/>
    </xf>
    <xf numFmtId="0" fontId="5" fillId="55" borderId="0" xfId="0" applyFont="1" applyFill="1" applyAlignment="1">
      <alignment horizontal="left" wrapText="1"/>
    </xf>
    <xf numFmtId="0" fontId="5" fillId="0" borderId="4" xfId="0" applyFont="1" applyBorder="1" applyAlignment="1">
      <alignment horizontal="center" wrapText="1"/>
    </xf>
    <xf numFmtId="0" fontId="5" fillId="55" borderId="0" xfId="0" applyFont="1" applyFill="1" applyAlignment="1">
      <alignment wrapText="1"/>
    </xf>
    <xf numFmtId="0" fontId="1" fillId="55" borderId="0" xfId="0" applyFont="1" applyFill="1" applyAlignment="1">
      <alignment horizontal="left" wrapText="1"/>
    </xf>
    <xf numFmtId="14" fontId="5" fillId="0" borderId="0" xfId="0" applyNumberFormat="1" applyFont="1" applyAlignment="1">
      <alignment horizontal="center" wrapText="1"/>
    </xf>
    <xf numFmtId="166" fontId="4" fillId="20" borderId="0" xfId="0" applyNumberFormat="1" applyFont="1" applyFill="1" applyAlignment="1">
      <alignment horizontal="center" wrapText="1"/>
    </xf>
    <xf numFmtId="14" fontId="5" fillId="0" borderId="3" xfId="0" applyNumberFormat="1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11" fontId="4" fillId="0" borderId="4" xfId="0" applyNumberFormat="1" applyFont="1" applyBorder="1" applyAlignment="1">
      <alignment horizontal="center" wrapText="1"/>
    </xf>
    <xf numFmtId="11" fontId="1" fillId="0" borderId="4" xfId="0" applyNumberFormat="1" applyFont="1" applyBorder="1" applyAlignment="1">
      <alignment horizontal="center" wrapText="1"/>
    </xf>
    <xf numFmtId="0" fontId="9" fillId="20" borderId="0" xfId="0" applyFont="1" applyFill="1" applyAlignment="1">
      <alignment horizontal="center" wrapText="1"/>
    </xf>
    <xf numFmtId="0" fontId="5" fillId="55" borderId="0" xfId="0" applyFont="1" applyFill="1" applyAlignment="1">
      <alignment horizontal="center" wrapText="1"/>
    </xf>
    <xf numFmtId="166" fontId="10" fillId="8" borderId="0" xfId="0" applyNumberFormat="1" applyFont="1" applyFill="1" applyAlignment="1">
      <alignment horizontal="center" wrapText="1"/>
    </xf>
    <xf numFmtId="11" fontId="5" fillId="0" borderId="4" xfId="0" applyNumberFormat="1" applyFont="1" applyBorder="1" applyAlignment="1">
      <alignment horizontal="center" wrapText="1"/>
    </xf>
    <xf numFmtId="11" fontId="11" fillId="8" borderId="0" xfId="0" applyNumberFormat="1" applyFont="1" applyFill="1" applyAlignment="1">
      <alignment horizontal="center" wrapText="1"/>
    </xf>
    <xf numFmtId="14" fontId="10" fillId="8" borderId="0" xfId="0" applyNumberFormat="1" applyFont="1" applyFill="1" applyAlignment="1">
      <alignment horizontal="center" wrapText="1"/>
    </xf>
    <xf numFmtId="11" fontId="1" fillId="0" borderId="0" xfId="0" applyNumberFormat="1" applyFont="1" applyAlignment="1">
      <alignment horizontal="center" wrapText="1"/>
    </xf>
    <xf numFmtId="166" fontId="4" fillId="5" borderId="0" xfId="0" applyNumberFormat="1" applyFont="1" applyFill="1" applyAlignment="1">
      <alignment horizontal="center" wrapText="1"/>
    </xf>
    <xf numFmtId="0" fontId="1" fillId="33" borderId="0" xfId="0" applyFont="1" applyFill="1" applyAlignment="1">
      <alignment horizontal="left" wrapText="1"/>
    </xf>
    <xf numFmtId="0" fontId="5" fillId="33" borderId="0" xfId="0" applyFont="1" applyFill="1" applyAlignment="1">
      <alignment wrapText="1"/>
    </xf>
    <xf numFmtId="0" fontId="1" fillId="33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169" fontId="5" fillId="33" borderId="0" xfId="0" applyNumberFormat="1" applyFont="1" applyFill="1" applyAlignment="1">
      <alignment horizontal="center" wrapText="1"/>
    </xf>
    <xf numFmtId="164" fontId="5" fillId="33" borderId="0" xfId="0" applyNumberFormat="1" applyFont="1" applyFill="1" applyAlignment="1">
      <alignment horizontal="left" wrapText="1"/>
    </xf>
    <xf numFmtId="0" fontId="1" fillId="33" borderId="0" xfId="0" applyFont="1" applyFill="1" applyAlignment="1">
      <alignment horizontal="center" wrapText="1"/>
    </xf>
    <xf numFmtId="0" fontId="1" fillId="33" borderId="0" xfId="0" applyFont="1" applyFill="1" applyAlignment="1">
      <alignment horizontal="left" wrapText="1"/>
    </xf>
    <xf numFmtId="0" fontId="5" fillId="33" borderId="0" xfId="0" applyFont="1" applyFill="1" applyAlignment="1">
      <alignment wrapText="1"/>
    </xf>
    <xf numFmtId="0" fontId="5" fillId="7" borderId="0" xfId="0" applyFont="1" applyFill="1" applyAlignment="1">
      <alignment horizontal="left" wrapText="1"/>
    </xf>
    <xf numFmtId="14" fontId="5" fillId="7" borderId="0" xfId="0" applyNumberFormat="1" applyFont="1" applyFill="1" applyAlignment="1">
      <alignment horizontal="center" wrapText="1"/>
    </xf>
    <xf numFmtId="0" fontId="11" fillId="23" borderId="0" xfId="0" applyFont="1" applyFill="1" applyAlignment="1">
      <alignment horizontal="left" wrapText="1"/>
    </xf>
    <xf numFmtId="0" fontId="12" fillId="23" borderId="0" xfId="0" applyFont="1" applyFill="1" applyAlignment="1">
      <alignment wrapText="1"/>
    </xf>
    <xf numFmtId="0" fontId="11" fillId="23" borderId="0" xfId="0" applyFont="1" applyFill="1" applyAlignment="1">
      <alignment horizontal="center" wrapText="1"/>
    </xf>
    <xf numFmtId="0" fontId="12" fillId="23" borderId="0" xfId="0" applyFont="1" applyFill="1" applyAlignment="1">
      <alignment wrapText="1"/>
    </xf>
    <xf numFmtId="169" fontId="12" fillId="23" borderId="0" xfId="0" applyNumberFormat="1" applyFont="1" applyFill="1" applyAlignment="1">
      <alignment horizontal="center" wrapText="1"/>
    </xf>
    <xf numFmtId="164" fontId="12" fillId="23" borderId="0" xfId="0" applyNumberFormat="1" applyFont="1" applyFill="1" applyAlignment="1">
      <alignment horizontal="left" wrapText="1"/>
    </xf>
    <xf numFmtId="165" fontId="12" fillId="23" borderId="0" xfId="0" applyNumberFormat="1" applyFont="1" applyFill="1" applyAlignment="1">
      <alignment horizontal="center" wrapText="1"/>
    </xf>
    <xf numFmtId="0" fontId="12" fillId="23" borderId="0" xfId="0" applyFont="1" applyFill="1" applyAlignment="1">
      <alignment horizontal="left" wrapText="1"/>
    </xf>
    <xf numFmtId="0" fontId="12" fillId="23" borderId="0" xfId="0" applyFont="1" applyFill="1" applyAlignment="1">
      <alignment wrapText="1"/>
    </xf>
    <xf numFmtId="164" fontId="12" fillId="23" borderId="0" xfId="0" applyNumberFormat="1" applyFont="1" applyFill="1" applyAlignment="1">
      <alignment horizontal="left" wrapText="1"/>
    </xf>
    <xf numFmtId="0" fontId="1" fillId="23" borderId="0" xfId="0" applyFont="1" applyFill="1" applyAlignment="1">
      <alignment horizontal="left" wrapText="1"/>
    </xf>
    <xf numFmtId="166" fontId="5" fillId="23" borderId="0" xfId="0" applyNumberFormat="1" applyFont="1" applyFill="1" applyAlignment="1">
      <alignment horizontal="center" wrapText="1"/>
    </xf>
    <xf numFmtId="0" fontId="5" fillId="2" borderId="0" xfId="0" applyFont="1" applyFill="1" applyAlignment="1">
      <alignment horizontal="left" wrapText="1"/>
    </xf>
    <xf numFmtId="0" fontId="1" fillId="11" borderId="0" xfId="0" applyFont="1" applyFill="1" applyAlignment="1">
      <alignment horizontal="left" wrapText="1"/>
    </xf>
    <xf numFmtId="0" fontId="1" fillId="11" borderId="0" xfId="0" applyFont="1" applyFill="1" applyAlignment="1">
      <alignment horizontal="center" wrapText="1"/>
    </xf>
    <xf numFmtId="169" fontId="5" fillId="11" borderId="0" xfId="0" applyNumberFormat="1" applyFont="1" applyFill="1" applyAlignment="1">
      <alignment horizontal="center" wrapText="1"/>
    </xf>
    <xf numFmtId="164" fontId="5" fillId="11" borderId="0" xfId="0" applyNumberFormat="1" applyFont="1" applyFill="1" applyAlignment="1">
      <alignment horizontal="left" wrapText="1"/>
    </xf>
    <xf numFmtId="165" fontId="5" fillId="11" borderId="0" xfId="0" applyNumberFormat="1" applyFont="1" applyFill="1" applyAlignment="1">
      <alignment horizontal="center" wrapText="1"/>
    </xf>
    <xf numFmtId="0" fontId="1" fillId="27" borderId="0" xfId="0" applyFont="1" applyFill="1" applyAlignment="1">
      <alignment horizontal="left" wrapText="1"/>
    </xf>
    <xf numFmtId="0" fontId="1" fillId="27" borderId="0" xfId="0" applyFont="1" applyFill="1" applyAlignment="1">
      <alignment horizontal="center" wrapText="1"/>
    </xf>
    <xf numFmtId="169" fontId="5" fillId="27" borderId="0" xfId="0" applyNumberFormat="1" applyFont="1" applyFill="1" applyAlignment="1">
      <alignment horizontal="center" wrapText="1"/>
    </xf>
    <xf numFmtId="164" fontId="5" fillId="27" borderId="0" xfId="0" applyNumberFormat="1" applyFont="1" applyFill="1" applyAlignment="1">
      <alignment horizontal="left" wrapText="1"/>
    </xf>
    <xf numFmtId="0" fontId="3" fillId="27" borderId="0" xfId="0" applyFont="1" applyFill="1" applyAlignment="1">
      <alignment horizontal="left" wrapText="1"/>
    </xf>
    <xf numFmtId="0" fontId="1" fillId="27" borderId="0" xfId="0" applyFont="1" applyFill="1" applyAlignment="1">
      <alignment horizontal="center" wrapText="1"/>
    </xf>
    <xf numFmtId="164" fontId="5" fillId="27" borderId="0" xfId="0" applyNumberFormat="1" applyFont="1" applyFill="1" applyAlignment="1">
      <alignment horizontal="left" wrapText="1"/>
    </xf>
    <xf numFmtId="165" fontId="5" fillId="27" borderId="0" xfId="0" applyNumberFormat="1" applyFont="1" applyFill="1" applyAlignment="1">
      <alignment horizontal="center" wrapText="1"/>
    </xf>
    <xf numFmtId="11" fontId="5" fillId="0" borderId="0" xfId="0" applyNumberFormat="1" applyFont="1" applyAlignment="1">
      <alignment horizontal="center" wrapText="1"/>
    </xf>
    <xf numFmtId="164" fontId="5" fillId="37" borderId="0" xfId="0" applyNumberFormat="1" applyFont="1" applyFill="1" applyAlignment="1">
      <alignment horizontal="left" wrapText="1"/>
    </xf>
    <xf numFmtId="165" fontId="5" fillId="17" borderId="0" xfId="0" applyNumberFormat="1" applyFont="1" applyFill="1" applyAlignment="1">
      <alignment horizontal="center" wrapText="1"/>
    </xf>
    <xf numFmtId="164" fontId="5" fillId="46" borderId="0" xfId="0" applyNumberFormat="1" applyFont="1" applyFill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19" borderId="0" xfId="0" applyFont="1" applyFill="1" applyAlignment="1">
      <alignment horizontal="left" wrapText="1"/>
    </xf>
    <xf numFmtId="0" fontId="1" fillId="19" borderId="0" xfId="0" applyFont="1" applyFill="1" applyAlignment="1">
      <alignment horizontal="center" wrapText="1"/>
    </xf>
    <xf numFmtId="169" fontId="5" fillId="19" borderId="0" xfId="0" applyNumberFormat="1" applyFont="1" applyFill="1" applyAlignment="1">
      <alignment horizontal="center" wrapText="1"/>
    </xf>
    <xf numFmtId="164" fontId="5" fillId="19" borderId="0" xfId="0" applyNumberFormat="1" applyFont="1" applyFill="1" applyAlignment="1">
      <alignment horizontal="left" wrapText="1"/>
    </xf>
    <xf numFmtId="165" fontId="5" fillId="19" borderId="0" xfId="0" applyNumberFormat="1" applyFont="1" applyFill="1" applyAlignment="1">
      <alignment horizontal="center" wrapText="1"/>
    </xf>
    <xf numFmtId="164" fontId="5" fillId="2" borderId="0" xfId="0" applyNumberFormat="1" applyFont="1" applyFill="1" applyAlignment="1">
      <alignment horizontal="left" wrapText="1"/>
    </xf>
    <xf numFmtId="0" fontId="5" fillId="36" borderId="0" xfId="0" applyFont="1" applyFill="1" applyAlignment="1">
      <alignment wrapText="1"/>
    </xf>
    <xf numFmtId="14" fontId="5" fillId="36" borderId="0" xfId="0" applyNumberFormat="1" applyFont="1" applyFill="1" applyAlignment="1">
      <alignment horizontal="center" wrapText="1"/>
    </xf>
    <xf numFmtId="11" fontId="4" fillId="56" borderId="0" xfId="0" applyNumberFormat="1" applyFont="1" applyFill="1" applyAlignment="1">
      <alignment horizontal="center" wrapText="1"/>
    </xf>
    <xf numFmtId="11" fontId="1" fillId="56" borderId="0" xfId="0" applyNumberFormat="1" applyFont="1" applyFill="1" applyAlignment="1">
      <alignment horizontal="center" wrapText="1"/>
    </xf>
    <xf numFmtId="11" fontId="5" fillId="56" borderId="0" xfId="0" applyNumberFormat="1" applyFont="1" applyFill="1" applyAlignment="1">
      <alignment horizontal="center" wrapText="1"/>
    </xf>
    <xf numFmtId="0" fontId="3" fillId="52" borderId="0" xfId="0" applyFont="1" applyFill="1" applyAlignment="1">
      <alignment horizontal="left" wrapText="1"/>
    </xf>
    <xf numFmtId="165" fontId="5" fillId="52" borderId="0" xfId="0" applyNumberFormat="1" applyFont="1" applyFill="1" applyAlignment="1">
      <alignment horizontal="center" wrapText="1"/>
    </xf>
    <xf numFmtId="164" fontId="5" fillId="52" borderId="0" xfId="0" applyNumberFormat="1" applyFont="1" applyFill="1" applyAlignment="1">
      <alignment horizontal="left" wrapText="1"/>
    </xf>
    <xf numFmtId="166" fontId="5" fillId="0" borderId="0" xfId="0" applyNumberFormat="1" applyFont="1" applyAlignment="1">
      <alignment horizontal="center" wrapText="1"/>
    </xf>
    <xf numFmtId="169" fontId="5" fillId="31" borderId="0" xfId="0" applyNumberFormat="1" applyFont="1" applyFill="1" applyAlignment="1">
      <alignment horizontal="center" wrapText="1"/>
    </xf>
    <xf numFmtId="164" fontId="5" fillId="31" borderId="0" xfId="0" applyNumberFormat="1" applyFont="1" applyFill="1" applyAlignment="1">
      <alignment horizontal="left" wrapText="1"/>
    </xf>
    <xf numFmtId="0" fontId="5" fillId="31" borderId="0" xfId="0" applyFont="1" applyFill="1" applyAlignment="1">
      <alignment wrapText="1"/>
    </xf>
    <xf numFmtId="0" fontId="5" fillId="31" borderId="0" xfId="0" applyFont="1" applyFill="1" applyAlignment="1">
      <alignment horizontal="left" wrapText="1"/>
    </xf>
    <xf numFmtId="0" fontId="1" fillId="6" borderId="0" xfId="0" applyFont="1" applyFill="1" applyAlignment="1">
      <alignment horizontal="left" wrapText="1"/>
    </xf>
    <xf numFmtId="0" fontId="1" fillId="6" borderId="0" xfId="0" applyFont="1" applyFill="1" applyAlignment="1">
      <alignment horizontal="center" wrapText="1"/>
    </xf>
    <xf numFmtId="164" fontId="5" fillId="6" borderId="0" xfId="0" applyNumberFormat="1" applyFont="1" applyFill="1" applyAlignment="1">
      <alignment horizontal="left" wrapText="1"/>
    </xf>
    <xf numFmtId="0" fontId="1" fillId="18" borderId="0" xfId="0" applyFont="1" applyFill="1" applyAlignment="1">
      <alignment horizontal="left" wrapText="1"/>
    </xf>
    <xf numFmtId="0" fontId="1" fillId="18" borderId="0" xfId="0" applyFont="1" applyFill="1" applyAlignment="1">
      <alignment horizontal="center" wrapText="1"/>
    </xf>
    <xf numFmtId="169" fontId="5" fillId="18" borderId="0" xfId="0" applyNumberFormat="1" applyFont="1" applyFill="1" applyAlignment="1">
      <alignment horizontal="center" wrapText="1"/>
    </xf>
    <xf numFmtId="164" fontId="5" fillId="18" borderId="0" xfId="0" applyNumberFormat="1" applyFont="1" applyFill="1" applyAlignment="1">
      <alignment horizontal="left" wrapText="1"/>
    </xf>
    <xf numFmtId="165" fontId="5" fillId="18" borderId="0" xfId="0" applyNumberFormat="1" applyFont="1" applyFill="1" applyAlignment="1">
      <alignment horizontal="center" wrapText="1"/>
    </xf>
    <xf numFmtId="164" fontId="5" fillId="18" borderId="0" xfId="0" applyNumberFormat="1" applyFont="1" applyFill="1" applyAlignment="1">
      <alignment horizontal="left" wrapText="1"/>
    </xf>
    <xf numFmtId="0" fontId="1" fillId="39" borderId="0" xfId="0" applyFont="1" applyFill="1" applyAlignment="1">
      <alignment horizontal="left" wrapText="1"/>
    </xf>
    <xf numFmtId="164" fontId="5" fillId="19" borderId="0" xfId="0" applyNumberFormat="1" applyFont="1" applyFill="1" applyAlignment="1">
      <alignment horizontal="left" wrapText="1"/>
    </xf>
    <xf numFmtId="0" fontId="1" fillId="19" borderId="0" xfId="0" applyFont="1" applyFill="1" applyAlignment="1">
      <alignment horizontal="center" wrapText="1"/>
    </xf>
    <xf numFmtId="0" fontId="1" fillId="20" borderId="3" xfId="0" applyFont="1" applyFill="1" applyBorder="1" applyAlignment="1">
      <alignment horizontal="left" wrapText="1"/>
    </xf>
    <xf numFmtId="0" fontId="5" fillId="20" borderId="3" xfId="0" applyFont="1" applyFill="1" applyBorder="1" applyAlignment="1">
      <alignment wrapText="1"/>
    </xf>
    <xf numFmtId="0" fontId="1" fillId="20" borderId="3" xfId="0" applyFont="1" applyFill="1" applyBorder="1" applyAlignment="1">
      <alignment horizontal="center" wrapText="1"/>
    </xf>
    <xf numFmtId="165" fontId="5" fillId="20" borderId="3" xfId="0" applyNumberFormat="1" applyFont="1" applyFill="1" applyBorder="1" applyAlignment="1">
      <alignment horizontal="center" wrapText="1"/>
    </xf>
    <xf numFmtId="164" fontId="5" fillId="20" borderId="3" xfId="0" applyNumberFormat="1" applyFont="1" applyFill="1" applyBorder="1" applyAlignment="1">
      <alignment horizontal="left" wrapText="1"/>
    </xf>
    <xf numFmtId="0" fontId="5" fillId="20" borderId="3" xfId="0" applyFont="1" applyFill="1" applyBorder="1" applyAlignment="1">
      <alignment wrapText="1"/>
    </xf>
    <xf numFmtId="0" fontId="1" fillId="8" borderId="15" xfId="0" applyFont="1" applyFill="1" applyBorder="1" applyAlignment="1">
      <alignment horizontal="left" wrapText="1"/>
    </xf>
    <xf numFmtId="0" fontId="5" fillId="8" borderId="4" xfId="0" applyFont="1" applyFill="1" applyBorder="1" applyAlignment="1">
      <alignment wrapText="1"/>
    </xf>
    <xf numFmtId="0" fontId="1" fillId="8" borderId="4" xfId="0" applyFont="1" applyFill="1" applyBorder="1" applyAlignment="1">
      <alignment horizontal="center" wrapText="1"/>
    </xf>
    <xf numFmtId="165" fontId="5" fillId="8" borderId="4" xfId="0" applyNumberFormat="1" applyFont="1" applyFill="1" applyBorder="1" applyAlignment="1">
      <alignment horizontal="center" wrapText="1"/>
    </xf>
    <xf numFmtId="164" fontId="5" fillId="8" borderId="4" xfId="0" applyNumberFormat="1" applyFont="1" applyFill="1" applyBorder="1" applyAlignment="1">
      <alignment horizontal="left" wrapText="1"/>
    </xf>
    <xf numFmtId="0" fontId="1" fillId="8" borderId="11" xfId="0" applyFont="1" applyFill="1" applyBorder="1" applyAlignment="1">
      <alignment wrapText="1"/>
    </xf>
    <xf numFmtId="0" fontId="1" fillId="38" borderId="2" xfId="0" applyFont="1" applyFill="1" applyBorder="1" applyAlignment="1">
      <alignment horizontal="left" wrapText="1"/>
    </xf>
    <xf numFmtId="0" fontId="5" fillId="38" borderId="1" xfId="0" applyFont="1" applyFill="1" applyBorder="1" applyAlignment="1">
      <alignment wrapText="1"/>
    </xf>
    <xf numFmtId="0" fontId="5" fillId="38" borderId="1" xfId="0" applyFont="1" applyFill="1" applyBorder="1" applyAlignment="1">
      <alignment wrapText="1"/>
    </xf>
    <xf numFmtId="0" fontId="1" fillId="0" borderId="12" xfId="0" applyFont="1" applyBorder="1" applyAlignment="1">
      <alignment horizontal="left" wrapText="1"/>
    </xf>
    <xf numFmtId="0" fontId="1" fillId="0" borderId="3" xfId="0" applyFont="1" applyBorder="1" applyAlignment="1">
      <alignment horizontal="center" wrapText="1"/>
    </xf>
    <xf numFmtId="171" fontId="5" fillId="0" borderId="3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left" wrapText="1"/>
    </xf>
    <xf numFmtId="11" fontId="4" fillId="0" borderId="0" xfId="0" applyNumberFormat="1" applyFont="1" applyAlignment="1">
      <alignment horizontal="center" wrapText="1"/>
    </xf>
    <xf numFmtId="11" fontId="5" fillId="0" borderId="0" xfId="0" applyNumberFormat="1" applyFont="1" applyAlignment="1">
      <alignment horizontal="center" wrapText="1"/>
    </xf>
    <xf numFmtId="11" fontId="5" fillId="8" borderId="0" xfId="0" applyNumberFormat="1" applyFont="1" applyFill="1" applyAlignment="1">
      <alignment horizontal="center" wrapText="1"/>
    </xf>
    <xf numFmtId="0" fontId="41" fillId="5" borderId="0" xfId="0" applyFont="1" applyFill="1" applyAlignment="1">
      <alignment horizontal="center" wrapText="1"/>
    </xf>
    <xf numFmtId="0" fontId="5" fillId="0" borderId="1" xfId="0" applyFont="1" applyBorder="1" applyAlignment="1">
      <alignment wrapText="1"/>
    </xf>
    <xf numFmtId="0" fontId="4" fillId="5" borderId="0" xfId="0" applyFont="1" applyFill="1" applyAlignment="1">
      <alignment horizontal="center" wrapText="1"/>
    </xf>
    <xf numFmtId="0" fontId="1" fillId="38" borderId="15" xfId="0" applyFont="1" applyFill="1" applyBorder="1" applyAlignment="1">
      <alignment horizontal="left" wrapText="1"/>
    </xf>
    <xf numFmtId="0" fontId="1" fillId="38" borderId="4" xfId="0" applyFont="1" applyFill="1" applyBorder="1" applyAlignment="1">
      <alignment horizontal="center" wrapText="1"/>
    </xf>
    <xf numFmtId="169" fontId="5" fillId="38" borderId="4" xfId="0" applyNumberFormat="1" applyFont="1" applyFill="1" applyBorder="1" applyAlignment="1">
      <alignment horizontal="center" wrapText="1"/>
    </xf>
    <xf numFmtId="164" fontId="5" fillId="38" borderId="4" xfId="0" applyNumberFormat="1" applyFont="1" applyFill="1" applyBorder="1" applyAlignment="1">
      <alignment horizontal="left" wrapText="1"/>
    </xf>
    <xf numFmtId="11" fontId="1" fillId="5" borderId="0" xfId="0" applyNumberFormat="1" applyFont="1" applyFill="1" applyAlignment="1">
      <alignment horizontal="center" wrapText="1"/>
    </xf>
    <xf numFmtId="11" fontId="4" fillId="24" borderId="0" xfId="0" applyNumberFormat="1" applyFont="1" applyFill="1" applyAlignment="1">
      <alignment horizontal="center" wrapText="1"/>
    </xf>
    <xf numFmtId="11" fontId="1" fillId="24" borderId="0" xfId="0" applyNumberFormat="1" applyFont="1" applyFill="1" applyAlignment="1">
      <alignment horizontal="center" wrapText="1"/>
    </xf>
    <xf numFmtId="164" fontId="9" fillId="24" borderId="0" xfId="0" applyNumberFormat="1" applyFont="1" applyFill="1" applyAlignment="1">
      <alignment horizontal="center" wrapText="1"/>
    </xf>
    <xf numFmtId="11" fontId="5" fillId="24" borderId="0" xfId="0" applyNumberFormat="1" applyFont="1" applyFill="1" applyAlignment="1">
      <alignment horizontal="center" wrapText="1"/>
    </xf>
    <xf numFmtId="11" fontId="1" fillId="37" borderId="0" xfId="0" applyNumberFormat="1" applyFont="1" applyFill="1" applyAlignment="1">
      <alignment horizontal="center" wrapText="1"/>
    </xf>
    <xf numFmtId="14" fontId="4" fillId="4" borderId="0" xfId="0" applyNumberFormat="1" applyFont="1" applyFill="1" applyAlignment="1">
      <alignment horizontal="center" wrapText="1"/>
    </xf>
    <xf numFmtId="0" fontId="9" fillId="4" borderId="0" xfId="0" applyFont="1" applyFill="1" applyAlignment="1">
      <alignment horizontal="center" wrapText="1"/>
    </xf>
    <xf numFmtId="0" fontId="1" fillId="24" borderId="0" xfId="0" applyFont="1" applyFill="1" applyAlignment="1">
      <alignment horizontal="center" wrapText="1"/>
    </xf>
    <xf numFmtId="0" fontId="9" fillId="24" borderId="0" xfId="0" applyFont="1" applyFill="1" applyAlignment="1">
      <alignment horizontal="center" wrapText="1"/>
    </xf>
    <xf numFmtId="0" fontId="1" fillId="46" borderId="0" xfId="0" applyFont="1" applyFill="1" applyAlignment="1">
      <alignment horizontal="center" wrapText="1"/>
    </xf>
    <xf numFmtId="11" fontId="4" fillId="46" borderId="0" xfId="0" applyNumberFormat="1" applyFont="1" applyFill="1" applyAlignment="1">
      <alignment horizontal="center" wrapText="1"/>
    </xf>
    <xf numFmtId="11" fontId="1" fillId="46" borderId="0" xfId="0" applyNumberFormat="1" applyFont="1" applyFill="1" applyAlignment="1">
      <alignment horizontal="center" wrapText="1"/>
    </xf>
    <xf numFmtId="0" fontId="9" fillId="37" borderId="0" xfId="0" applyFont="1" applyFill="1" applyAlignment="1">
      <alignment horizontal="center" wrapText="1"/>
    </xf>
    <xf numFmtId="11" fontId="1" fillId="43" borderId="0" xfId="0" applyNumberFormat="1" applyFont="1" applyFill="1" applyAlignment="1">
      <alignment horizontal="center" wrapText="1"/>
    </xf>
    <xf numFmtId="165" fontId="4" fillId="5" borderId="0" xfId="0" applyNumberFormat="1" applyFont="1" applyFill="1" applyAlignment="1">
      <alignment horizontal="center" wrapText="1"/>
    </xf>
    <xf numFmtId="11" fontId="11" fillId="37" borderId="0" xfId="0" applyNumberFormat="1" applyFont="1" applyFill="1" applyAlignment="1">
      <alignment horizontal="center" wrapText="1"/>
    </xf>
    <xf numFmtId="0" fontId="24" fillId="37" borderId="0" xfId="0" applyFont="1" applyFill="1" applyAlignment="1">
      <alignment horizontal="center" wrapText="1"/>
    </xf>
    <xf numFmtId="14" fontId="10" fillId="37" borderId="0" xfId="0" applyNumberFormat="1" applyFont="1" applyFill="1" applyAlignment="1">
      <alignment horizontal="center" wrapText="1"/>
    </xf>
    <xf numFmtId="11" fontId="11" fillId="46" borderId="0" xfId="0" applyNumberFormat="1" applyFont="1" applyFill="1" applyAlignment="1">
      <alignment horizontal="center" wrapText="1"/>
    </xf>
    <xf numFmtId="165" fontId="10" fillId="43" borderId="0" xfId="0" applyNumberFormat="1" applyFont="1" applyFill="1" applyAlignment="1">
      <alignment horizontal="center" wrapText="1"/>
    </xf>
    <xf numFmtId="166" fontId="10" fillId="43" borderId="0" xfId="0" applyNumberFormat="1" applyFont="1" applyFill="1" applyAlignment="1">
      <alignment horizontal="center" wrapText="1"/>
    </xf>
    <xf numFmtId="165" fontId="4" fillId="3" borderId="0" xfId="0" applyNumberFormat="1" applyFont="1" applyFill="1" applyAlignment="1">
      <alignment horizontal="center" wrapText="1"/>
    </xf>
    <xf numFmtId="11" fontId="1" fillId="3" borderId="0" xfId="0" applyNumberFormat="1" applyFont="1" applyFill="1" applyAlignment="1">
      <alignment horizontal="center" wrapText="1"/>
    </xf>
    <xf numFmtId="14" fontId="4" fillId="3" borderId="0" xfId="0" applyNumberFormat="1" applyFont="1" applyFill="1" applyAlignment="1">
      <alignment horizontal="center" wrapText="1"/>
    </xf>
    <xf numFmtId="11" fontId="4" fillId="0" borderId="0" xfId="0" applyNumberFormat="1" applyFont="1" applyAlignment="1">
      <alignment horizontal="center" wrapText="1"/>
    </xf>
    <xf numFmtId="11" fontId="1" fillId="0" borderId="0" xfId="0" applyNumberFormat="1" applyFont="1" applyAlignment="1">
      <alignment horizontal="center" wrapText="1"/>
    </xf>
    <xf numFmtId="11" fontId="5" fillId="0" borderId="0" xfId="0" applyNumberFormat="1" applyFont="1" applyAlignment="1">
      <alignment horizontal="center" wrapText="1"/>
    </xf>
    <xf numFmtId="11" fontId="11" fillId="46" borderId="0" xfId="0" applyNumberFormat="1" applyFont="1" applyFill="1" applyAlignment="1">
      <alignment horizontal="center" wrapText="1"/>
    </xf>
    <xf numFmtId="14" fontId="10" fillId="46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4" fontId="24" fillId="46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5" fontId="10" fillId="37" borderId="0" xfId="0" applyNumberFormat="1" applyFont="1" applyFill="1" applyAlignment="1">
      <alignment horizontal="center" wrapText="1"/>
    </xf>
    <xf numFmtId="14" fontId="10" fillId="37" borderId="0" xfId="0" applyNumberFormat="1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11" fontId="1" fillId="17" borderId="0" xfId="0" applyNumberFormat="1" applyFont="1" applyFill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11" fontId="4" fillId="0" borderId="0" xfId="0" applyNumberFormat="1" applyFont="1" applyAlignment="1">
      <alignment horizontal="center" vertical="center" wrapText="1"/>
    </xf>
    <xf numFmtId="11" fontId="1" fillId="0" borderId="0" xfId="0" applyNumberFormat="1" applyFont="1" applyAlignment="1">
      <alignment horizontal="center" vertical="center" wrapText="1"/>
    </xf>
    <xf numFmtId="11" fontId="5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166" fontId="10" fillId="0" borderId="0" xfId="0" applyNumberFormat="1" applyFont="1" applyAlignment="1">
      <alignment horizontal="center" wrapText="1"/>
    </xf>
    <xf numFmtId="166" fontId="10" fillId="0" borderId="0" xfId="0" applyNumberFormat="1" applyFont="1" applyAlignment="1">
      <alignment horizontal="center" wrapText="1"/>
    </xf>
    <xf numFmtId="164" fontId="11" fillId="0" borderId="0" xfId="0" applyNumberFormat="1" applyFont="1" applyAlignment="1">
      <alignment horizontal="center" wrapText="1"/>
    </xf>
    <xf numFmtId="164" fontId="10" fillId="0" borderId="0" xfId="0" applyNumberFormat="1" applyFont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11" fontId="11" fillId="0" borderId="0" xfId="0" applyNumberFormat="1" applyFont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164" fontId="24" fillId="0" borderId="0" xfId="0" applyNumberFormat="1" applyFont="1" applyAlignment="1">
      <alignment horizontal="center" wrapText="1"/>
    </xf>
    <xf numFmtId="164" fontId="24" fillId="0" borderId="0" xfId="0" applyNumberFormat="1" applyFont="1" applyAlignment="1">
      <alignment horizontal="center" wrapText="1"/>
    </xf>
    <xf numFmtId="11" fontId="11" fillId="3" borderId="0" xfId="0" applyNumberFormat="1" applyFont="1" applyFill="1" applyAlignment="1">
      <alignment horizontal="center" wrapText="1"/>
    </xf>
    <xf numFmtId="165" fontId="4" fillId="8" borderId="0" xfId="0" applyNumberFormat="1" applyFont="1" applyFill="1" applyAlignment="1">
      <alignment horizontal="center" wrapText="1"/>
    </xf>
    <xf numFmtId="11" fontId="1" fillId="8" borderId="0" xfId="0" applyNumberFormat="1" applyFont="1" applyFill="1" applyAlignment="1">
      <alignment horizontal="center" wrapText="1"/>
    </xf>
    <xf numFmtId="14" fontId="4" fillId="8" borderId="0" xfId="0" applyNumberFormat="1" applyFont="1" applyFill="1" applyAlignment="1">
      <alignment horizontal="center" wrapText="1"/>
    </xf>
    <xf numFmtId="164" fontId="9" fillId="8" borderId="0" xfId="0" applyNumberFormat="1" applyFont="1" applyFill="1" applyAlignment="1">
      <alignment horizontal="center" wrapText="1"/>
    </xf>
    <xf numFmtId="165" fontId="4" fillId="37" borderId="0" xfId="0" applyNumberFormat="1" applyFont="1" applyFill="1" applyAlignment="1">
      <alignment horizontal="center" wrapText="1"/>
    </xf>
    <xf numFmtId="164" fontId="4" fillId="37" borderId="0" xfId="0" applyNumberFormat="1" applyFont="1" applyFill="1" applyAlignment="1">
      <alignment horizontal="center" wrapText="1"/>
    </xf>
    <xf numFmtId="0" fontId="5" fillId="0" borderId="3" xfId="0" applyFont="1" applyBorder="1" applyAlignment="1">
      <alignment wrapText="1"/>
    </xf>
    <xf numFmtId="0" fontId="5" fillId="0" borderId="3" xfId="0" applyFont="1" applyBorder="1" applyAlignment="1">
      <alignment horizontal="center" wrapText="1"/>
    </xf>
    <xf numFmtId="0" fontId="43" fillId="0" borderId="0" xfId="0" applyFont="1" applyAlignment="1">
      <alignment horizontal="center" vertical="center" wrapText="1"/>
    </xf>
    <xf numFmtId="0" fontId="1" fillId="0" borderId="3" xfId="0" applyFont="1" applyBorder="1" applyAlignment="1">
      <alignment wrapText="1"/>
    </xf>
    <xf numFmtId="0" fontId="5" fillId="0" borderId="13" xfId="0" applyFont="1" applyBorder="1" applyAlignment="1">
      <alignment wrapText="1"/>
    </xf>
    <xf numFmtId="0" fontId="1" fillId="38" borderId="4" xfId="0" applyFont="1" applyFill="1" applyBorder="1" applyAlignment="1">
      <alignment horizontal="left" wrapText="1"/>
    </xf>
    <xf numFmtId="0" fontId="4" fillId="43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165" fontId="4" fillId="43" borderId="0" xfId="0" applyNumberFormat="1" applyFont="1" applyFill="1" applyAlignment="1">
      <alignment horizontal="center" wrapText="1"/>
    </xf>
    <xf numFmtId="0" fontId="5" fillId="38" borderId="4" xfId="0" applyFont="1" applyFill="1" applyBorder="1" applyAlignment="1">
      <alignment wrapText="1"/>
    </xf>
    <xf numFmtId="0" fontId="2" fillId="0" borderId="0" xfId="0" applyFont="1" applyAlignment="1">
      <alignment horizontal="center" wrapText="1"/>
    </xf>
    <xf numFmtId="0" fontId="1" fillId="38" borderId="4" xfId="0" applyFont="1" applyFill="1" applyBorder="1" applyAlignment="1">
      <alignment horizontal="center" wrapText="1"/>
    </xf>
    <xf numFmtId="0" fontId="10" fillId="17" borderId="0" xfId="0" applyFont="1" applyFill="1" applyAlignment="1">
      <alignment horizontal="center" wrapText="1"/>
    </xf>
    <xf numFmtId="0" fontId="1" fillId="38" borderId="4" xfId="0" applyFont="1" applyFill="1" applyBorder="1" applyAlignment="1">
      <alignment wrapText="1"/>
    </xf>
    <xf numFmtId="0" fontId="5" fillId="38" borderId="4" xfId="0" applyFont="1" applyFill="1" applyBorder="1" applyAlignment="1">
      <alignment wrapText="1"/>
    </xf>
    <xf numFmtId="0" fontId="10" fillId="17" borderId="0" xfId="0" applyFont="1" applyFill="1" applyAlignment="1">
      <alignment horizontal="center" wrapText="1"/>
    </xf>
    <xf numFmtId="165" fontId="5" fillId="6" borderId="0" xfId="0" applyNumberFormat="1" applyFont="1" applyFill="1" applyAlignment="1">
      <alignment horizontal="center" wrapText="1"/>
    </xf>
    <xf numFmtId="11" fontId="11" fillId="17" borderId="0" xfId="0" applyNumberFormat="1" applyFont="1" applyFill="1" applyAlignment="1">
      <alignment horizontal="center" wrapText="1"/>
    </xf>
    <xf numFmtId="164" fontId="24" fillId="17" borderId="0" xfId="0" applyNumberFormat="1" applyFont="1" applyFill="1" applyAlignment="1">
      <alignment horizontal="center" wrapText="1"/>
    </xf>
    <xf numFmtId="169" fontId="5" fillId="37" borderId="0" xfId="0" applyNumberFormat="1" applyFont="1" applyFill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165" fontId="5" fillId="8" borderId="0" xfId="0" applyNumberFormat="1" applyFont="1" applyFill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3" fillId="2" borderId="0" xfId="0" applyFont="1" applyFill="1" applyAlignment="1">
      <alignment horizontal="left" wrapText="1"/>
    </xf>
    <xf numFmtId="166" fontId="4" fillId="20" borderId="0" xfId="0" applyNumberFormat="1" applyFont="1" applyFill="1" applyBorder="1" applyAlignment="1">
      <alignment horizontal="center" wrapText="1"/>
    </xf>
    <xf numFmtId="166" fontId="4" fillId="20" borderId="0" xfId="0" applyNumberFormat="1" applyFont="1" applyFill="1" applyBorder="1" applyAlignment="1">
      <alignment horizontal="center" wrapText="1"/>
    </xf>
    <xf numFmtId="164" fontId="1" fillId="20" borderId="0" xfId="0" applyNumberFormat="1" applyFont="1" applyFill="1" applyBorder="1" applyAlignment="1">
      <alignment horizontal="center" wrapText="1"/>
    </xf>
    <xf numFmtId="164" fontId="4" fillId="20" borderId="0" xfId="0" applyNumberFormat="1" applyFont="1" applyFill="1" applyBorder="1" applyAlignment="1">
      <alignment horizontal="center" wrapText="1"/>
    </xf>
    <xf numFmtId="0" fontId="1" fillId="15" borderId="0" xfId="0" applyFont="1" applyFill="1" applyAlignment="1">
      <alignment horizontal="left" wrapText="1"/>
    </xf>
    <xf numFmtId="11" fontId="4" fillId="20" borderId="0" xfId="0" applyNumberFormat="1" applyFont="1" applyFill="1" applyBorder="1" applyAlignment="1">
      <alignment horizontal="center" wrapText="1"/>
    </xf>
    <xf numFmtId="11" fontId="1" fillId="20" borderId="0" xfId="0" applyNumberFormat="1" applyFont="1" applyFill="1" applyBorder="1" applyAlignment="1">
      <alignment horizontal="center" wrapText="1"/>
    </xf>
    <xf numFmtId="0" fontId="1" fillId="15" borderId="0" xfId="0" applyFont="1" applyFill="1" applyAlignment="1">
      <alignment horizontal="center" wrapText="1"/>
    </xf>
    <xf numFmtId="11" fontId="4" fillId="20" borderId="0" xfId="0" applyNumberFormat="1" applyFont="1" applyFill="1" applyBorder="1" applyAlignment="1">
      <alignment horizontal="center" wrapText="1"/>
    </xf>
    <xf numFmtId="165" fontId="5" fillId="15" borderId="0" xfId="0" applyNumberFormat="1" applyFont="1" applyFill="1" applyAlignment="1">
      <alignment horizontal="center" wrapText="1"/>
    </xf>
    <xf numFmtId="11" fontId="4" fillId="20" borderId="0" xfId="0" applyNumberFormat="1" applyFont="1" applyFill="1" applyBorder="1" applyAlignment="1">
      <alignment horizontal="center" wrapText="1"/>
    </xf>
    <xf numFmtId="164" fontId="5" fillId="15" borderId="0" xfId="0" applyNumberFormat="1" applyFont="1" applyFill="1" applyAlignment="1">
      <alignment horizontal="left" wrapText="1"/>
    </xf>
    <xf numFmtId="0" fontId="5" fillId="15" borderId="0" xfId="0" applyFont="1" applyFill="1" applyAlignment="1">
      <alignment horizontal="left" wrapText="1"/>
    </xf>
    <xf numFmtId="164" fontId="9" fillId="20" borderId="0" xfId="0" applyNumberFormat="1" applyFont="1" applyFill="1" applyBorder="1" applyAlignment="1">
      <alignment horizontal="center" wrapText="1"/>
    </xf>
    <xf numFmtId="0" fontId="1" fillId="15" borderId="0" xfId="0" applyFont="1" applyFill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169" fontId="5" fillId="15" borderId="0" xfId="0" applyNumberFormat="1" applyFont="1" applyFill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164" fontId="5" fillId="15" borderId="0" xfId="0" applyNumberFormat="1" applyFont="1" applyFill="1" applyAlignment="1">
      <alignment horizontal="left" wrapText="1"/>
    </xf>
    <xf numFmtId="0" fontId="4" fillId="20" borderId="0" xfId="0" applyFont="1" applyFill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11" fillId="12" borderId="0" xfId="0" applyFont="1" applyFill="1" applyAlignment="1">
      <alignment horizontal="left" wrapText="1"/>
    </xf>
    <xf numFmtId="0" fontId="12" fillId="12" borderId="0" xfId="0" applyFont="1" applyFill="1" applyAlignment="1">
      <alignment wrapText="1"/>
    </xf>
    <xf numFmtId="0" fontId="11" fillId="12" borderId="0" xfId="0" applyFont="1" applyFill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169" fontId="12" fillId="12" borderId="0" xfId="0" applyNumberFormat="1" applyFont="1" applyFill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164" fontId="12" fillId="12" borderId="0" xfId="0" applyNumberFormat="1" applyFont="1" applyFill="1" applyAlignment="1">
      <alignment horizontal="left" wrapText="1"/>
    </xf>
    <xf numFmtId="11" fontId="20" fillId="0" borderId="4" xfId="0" applyNumberFormat="1" applyFont="1" applyBorder="1" applyAlignment="1">
      <alignment horizontal="center" wrapText="1"/>
    </xf>
    <xf numFmtId="165" fontId="5" fillId="12" borderId="0" xfId="0" applyNumberFormat="1" applyFont="1" applyFill="1" applyAlignment="1">
      <alignment horizontal="center" wrapText="1"/>
    </xf>
    <xf numFmtId="166" fontId="4" fillId="20" borderId="0" xfId="0" applyNumberFormat="1" applyFont="1" applyFill="1" applyBorder="1" applyAlignment="1">
      <alignment horizontal="center" wrapText="1"/>
    </xf>
    <xf numFmtId="0" fontId="5" fillId="12" borderId="0" xfId="0" applyFont="1" applyFill="1" applyAlignment="1">
      <alignment horizontal="center" wrapText="1"/>
    </xf>
    <xf numFmtId="166" fontId="4" fillId="20" borderId="0" xfId="0" applyNumberFormat="1" applyFont="1" applyFill="1" applyBorder="1" applyAlignment="1">
      <alignment horizontal="center" wrapText="1"/>
    </xf>
    <xf numFmtId="164" fontId="1" fillId="20" borderId="0" xfId="0" applyNumberFormat="1" applyFont="1" applyFill="1" applyBorder="1" applyAlignment="1">
      <alignment horizontal="center" wrapText="1"/>
    </xf>
    <xf numFmtId="164" fontId="4" fillId="20" borderId="0" xfId="0" applyNumberFormat="1" applyFont="1" applyFill="1" applyBorder="1" applyAlignment="1">
      <alignment horizontal="center" wrapText="1"/>
    </xf>
    <xf numFmtId="164" fontId="5" fillId="38" borderId="0" xfId="0" applyNumberFormat="1" applyFont="1" applyFill="1" applyAlignment="1">
      <alignment horizontal="left" wrapText="1"/>
    </xf>
    <xf numFmtId="11" fontId="4" fillId="20" borderId="0" xfId="0" applyNumberFormat="1" applyFont="1" applyFill="1" applyBorder="1" applyAlignment="1">
      <alignment horizontal="center" wrapText="1"/>
    </xf>
    <xf numFmtId="11" fontId="1" fillId="20" borderId="0" xfId="0" applyNumberFormat="1" applyFont="1" applyFill="1" applyBorder="1" applyAlignment="1">
      <alignment horizontal="center" wrapText="1"/>
    </xf>
    <xf numFmtId="11" fontId="4" fillId="20" borderId="0" xfId="0" applyNumberFormat="1" applyFont="1" applyFill="1" applyBorder="1" applyAlignment="1">
      <alignment horizontal="center" wrapText="1"/>
    </xf>
    <xf numFmtId="165" fontId="5" fillId="39" borderId="0" xfId="0" applyNumberFormat="1" applyFont="1" applyFill="1" applyAlignment="1">
      <alignment horizontal="center" wrapText="1"/>
    </xf>
    <xf numFmtId="11" fontId="5" fillId="0" borderId="0" xfId="0" applyNumberFormat="1" applyFont="1" applyAlignment="1">
      <alignment horizontal="center" wrapText="1"/>
    </xf>
    <xf numFmtId="11" fontId="4" fillId="20" borderId="0" xfId="0" applyNumberFormat="1" applyFont="1" applyFill="1" applyBorder="1" applyAlignment="1">
      <alignment horizontal="center" wrapText="1"/>
    </xf>
    <xf numFmtId="164" fontId="9" fillId="20" borderId="0" xfId="0" applyNumberFormat="1" applyFont="1" applyFill="1" applyBorder="1" applyAlignment="1">
      <alignment horizontal="center" wrapText="1"/>
    </xf>
    <xf numFmtId="0" fontId="4" fillId="20" borderId="0" xfId="0" applyFont="1" applyFill="1" applyBorder="1" applyAlignment="1">
      <alignment horizontal="center" wrapText="1"/>
    </xf>
    <xf numFmtId="0" fontId="11" fillId="8" borderId="0" xfId="0" applyFont="1" applyFill="1" applyAlignment="1">
      <alignment horizontal="left" wrapText="1"/>
    </xf>
    <xf numFmtId="0" fontId="4" fillId="0" borderId="0" xfId="0" applyFont="1" applyBorder="1" applyAlignment="1">
      <alignment horizontal="center" wrapText="1"/>
    </xf>
    <xf numFmtId="0" fontId="10" fillId="8" borderId="0" xfId="0" applyFont="1" applyFill="1" applyAlignment="1">
      <alignment wrapText="1"/>
    </xf>
    <xf numFmtId="0" fontId="11" fillId="8" borderId="0" xfId="0" applyFont="1" applyFill="1" applyAlignment="1">
      <alignment horizontal="center" wrapText="1"/>
    </xf>
    <xf numFmtId="169" fontId="10" fillId="8" borderId="0" xfId="0" applyNumberFormat="1" applyFont="1" applyFill="1" applyAlignment="1">
      <alignment horizontal="center" wrapText="1"/>
    </xf>
    <xf numFmtId="11" fontId="3" fillId="0" borderId="0" xfId="0" applyNumberFormat="1" applyFont="1" applyAlignment="1">
      <alignment horizontal="center" wrapText="1"/>
    </xf>
    <xf numFmtId="164" fontId="10" fillId="8" borderId="0" xfId="0" applyNumberFormat="1" applyFont="1" applyFill="1" applyAlignment="1">
      <alignment horizontal="left" wrapText="1"/>
    </xf>
    <xf numFmtId="0" fontId="10" fillId="8" borderId="0" xfId="0" applyFont="1" applyFill="1" applyAlignment="1">
      <alignment wrapText="1"/>
    </xf>
    <xf numFmtId="0" fontId="4" fillId="20" borderId="0" xfId="0" applyFont="1" applyFill="1" applyAlignment="1">
      <alignment horizontal="center" wrapText="1"/>
    </xf>
    <xf numFmtId="0" fontId="1" fillId="8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11" fillId="56" borderId="0" xfId="0" applyFont="1" applyFill="1" applyAlignment="1">
      <alignment horizontal="left" wrapText="1"/>
    </xf>
    <xf numFmtId="0" fontId="10" fillId="56" borderId="0" xfId="0" applyFont="1" applyFill="1" applyAlignment="1">
      <alignment wrapText="1"/>
    </xf>
    <xf numFmtId="0" fontId="11" fillId="56" borderId="0" xfId="0" applyFont="1" applyFill="1" applyAlignment="1">
      <alignment horizontal="center" wrapText="1"/>
    </xf>
    <xf numFmtId="11" fontId="1" fillId="20" borderId="0" xfId="0" applyNumberFormat="1" applyFont="1" applyFill="1" applyAlignment="1">
      <alignment horizontal="center" wrapText="1"/>
    </xf>
    <xf numFmtId="169" fontId="10" fillId="56" borderId="0" xfId="0" applyNumberFormat="1" applyFont="1" applyFill="1" applyAlignment="1">
      <alignment horizontal="center" wrapText="1"/>
    </xf>
    <xf numFmtId="164" fontId="10" fillId="56" borderId="0" xfId="0" applyNumberFormat="1" applyFont="1" applyFill="1" applyAlignment="1">
      <alignment horizontal="left" wrapText="1"/>
    </xf>
    <xf numFmtId="0" fontId="10" fillId="56" borderId="0" xfId="0" applyFont="1" applyFill="1" applyAlignment="1">
      <alignment wrapText="1"/>
    </xf>
    <xf numFmtId="0" fontId="5" fillId="56" borderId="0" xfId="0" applyFont="1" applyFill="1" applyAlignment="1">
      <alignment wrapText="1"/>
    </xf>
    <xf numFmtId="0" fontId="10" fillId="0" borderId="0" xfId="0" applyFont="1" applyAlignment="1">
      <alignment horizontal="center" wrapText="1"/>
    </xf>
    <xf numFmtId="0" fontId="11" fillId="56" borderId="0" xfId="0" applyFont="1" applyFill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38" borderId="0" xfId="0" applyFont="1" applyFill="1" applyAlignment="1">
      <alignment horizontal="left" wrapText="1"/>
    </xf>
    <xf numFmtId="0" fontId="10" fillId="0" borderId="0" xfId="0" applyFont="1" applyAlignment="1">
      <alignment horizontal="center" wrapText="1"/>
    </xf>
    <xf numFmtId="0" fontId="10" fillId="38" borderId="0" xfId="0" applyFont="1" applyFill="1" applyAlignment="1">
      <alignment wrapText="1"/>
    </xf>
    <xf numFmtId="0" fontId="11" fillId="38" borderId="0" xfId="0" applyFont="1" applyFill="1" applyAlignment="1">
      <alignment horizontal="center" wrapText="1"/>
    </xf>
    <xf numFmtId="0" fontId="10" fillId="0" borderId="0" xfId="0" applyFont="1" applyAlignment="1">
      <alignment horizontal="center" wrapText="1"/>
    </xf>
    <xf numFmtId="169" fontId="10" fillId="38" borderId="0" xfId="0" applyNumberFormat="1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164" fontId="10" fillId="38" borderId="0" xfId="0" applyNumberFormat="1" applyFont="1" applyFill="1" applyAlignment="1">
      <alignment horizontal="left" wrapText="1"/>
    </xf>
    <xf numFmtId="0" fontId="11" fillId="38" borderId="0" xfId="0" applyFont="1" applyFill="1" applyAlignment="1">
      <alignment wrapText="1"/>
    </xf>
    <xf numFmtId="0" fontId="10" fillId="0" borderId="0" xfId="0" applyFont="1" applyAlignment="1">
      <alignment horizontal="center" wrapText="1"/>
    </xf>
    <xf numFmtId="165" fontId="10" fillId="0" borderId="0" xfId="0" applyNumberFormat="1" applyFont="1" applyAlignment="1">
      <alignment horizontal="center" wrapText="1"/>
    </xf>
    <xf numFmtId="166" fontId="10" fillId="0" borderId="0" xfId="0" applyNumberFormat="1" applyFont="1" applyAlignment="1">
      <alignment horizontal="center" wrapText="1"/>
    </xf>
    <xf numFmtId="0" fontId="10" fillId="38" borderId="0" xfId="0" applyFont="1" applyFill="1" applyAlignment="1">
      <alignment wrapText="1"/>
    </xf>
    <xf numFmtId="166" fontId="10" fillId="0" borderId="0" xfId="0" applyNumberFormat="1" applyFont="1" applyAlignment="1">
      <alignment horizontal="center" wrapText="1"/>
    </xf>
    <xf numFmtId="0" fontId="11" fillId="0" borderId="0" xfId="0" applyFont="1" applyAlignment="1">
      <alignment horizontal="center" wrapText="1"/>
    </xf>
    <xf numFmtId="164" fontId="10" fillId="0" borderId="0" xfId="0" applyNumberFormat="1" applyFont="1" applyAlignment="1">
      <alignment horizontal="center" wrapText="1"/>
    </xf>
    <xf numFmtId="0" fontId="1" fillId="56" borderId="0" xfId="0" applyFont="1" applyFill="1" applyAlignment="1">
      <alignment horizontal="left" wrapText="1"/>
    </xf>
    <xf numFmtId="11" fontId="10" fillId="0" borderId="0" xfId="0" applyNumberFormat="1" applyFont="1" applyAlignment="1">
      <alignment horizontal="center" wrapText="1"/>
    </xf>
    <xf numFmtId="11" fontId="11" fillId="0" borderId="0" xfId="0" applyNumberFormat="1" applyFont="1" applyAlignment="1">
      <alignment horizontal="center" wrapText="1"/>
    </xf>
    <xf numFmtId="11" fontId="20" fillId="2" borderId="0" xfId="0" applyNumberFormat="1" applyFont="1" applyFill="1" applyAlignment="1">
      <alignment horizontal="center" wrapText="1"/>
    </xf>
    <xf numFmtId="0" fontId="3" fillId="56" borderId="0" xfId="0" applyFont="1" applyFill="1" applyAlignment="1">
      <alignment horizontal="left" wrapText="1"/>
    </xf>
    <xf numFmtId="0" fontId="1" fillId="56" borderId="0" xfId="0" applyFont="1" applyFill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169" fontId="5" fillId="56" borderId="0" xfId="0" applyNumberFormat="1" applyFont="1" applyFill="1" applyAlignment="1">
      <alignment horizontal="center" wrapText="1"/>
    </xf>
    <xf numFmtId="11" fontId="20" fillId="18" borderId="0" xfId="0" applyNumberFormat="1" applyFont="1" applyFill="1" applyAlignment="1">
      <alignment horizontal="center" wrapText="1"/>
    </xf>
    <xf numFmtId="164" fontId="5" fillId="56" borderId="0" xfId="0" applyNumberFormat="1" applyFont="1" applyFill="1" applyAlignment="1">
      <alignment horizontal="left" wrapText="1"/>
    </xf>
    <xf numFmtId="0" fontId="11" fillId="38" borderId="0" xfId="0" applyFont="1" applyFill="1" applyAlignment="1">
      <alignment horizontal="center" wrapText="1"/>
    </xf>
    <xf numFmtId="0" fontId="24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165" fontId="4" fillId="0" borderId="0" xfId="0" applyNumberFormat="1" applyFont="1" applyAlignment="1">
      <alignment horizontal="center" wrapText="1"/>
    </xf>
    <xf numFmtId="166" fontId="4" fillId="0" borderId="0" xfId="0" applyNumberFormat="1" applyFont="1" applyAlignment="1">
      <alignment horizontal="center" wrapText="1"/>
    </xf>
    <xf numFmtId="166" fontId="4" fillId="0" borderId="0" xfId="0" applyNumberFormat="1" applyFont="1" applyAlignment="1">
      <alignment horizontal="center" wrapText="1"/>
    </xf>
    <xf numFmtId="11" fontId="20" fillId="0" borderId="0" xfId="0" applyNumberFormat="1" applyFont="1" applyAlignment="1">
      <alignment horizontal="center" wrapText="1"/>
    </xf>
    <xf numFmtId="165" fontId="10" fillId="38" borderId="0" xfId="0" applyNumberFormat="1" applyFont="1" applyFill="1" applyAlignment="1">
      <alignment horizontal="center" wrapText="1"/>
    </xf>
    <xf numFmtId="0" fontId="11" fillId="18" borderId="0" xfId="0" applyFont="1" applyFill="1" applyAlignment="1">
      <alignment horizontal="left" wrapText="1"/>
    </xf>
    <xf numFmtId="11" fontId="4" fillId="12" borderId="0" xfId="0" applyNumberFormat="1" applyFont="1" applyFill="1" applyAlignment="1">
      <alignment horizontal="center" wrapText="1"/>
    </xf>
    <xf numFmtId="164" fontId="4" fillId="0" borderId="0" xfId="0" applyNumberFormat="1" applyFont="1" applyAlignment="1">
      <alignment horizontal="center" wrapText="1"/>
    </xf>
    <xf numFmtId="11" fontId="1" fillId="12" borderId="0" xfId="0" applyNumberFormat="1" applyFont="1" applyFill="1" applyAlignment="1">
      <alignment horizontal="center" wrapText="1"/>
    </xf>
    <xf numFmtId="11" fontId="4" fillId="0" borderId="0" xfId="0" applyNumberFormat="1" applyFont="1" applyAlignment="1">
      <alignment horizontal="center" wrapText="1"/>
    </xf>
    <xf numFmtId="11" fontId="5" fillId="12" borderId="0" xfId="0" applyNumberFormat="1" applyFont="1" applyFill="1" applyAlignment="1">
      <alignment horizontal="center" wrapText="1"/>
    </xf>
    <xf numFmtId="14" fontId="4" fillId="0" borderId="0" xfId="0" applyNumberFormat="1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12" fillId="18" borderId="0" xfId="0" applyFont="1" applyFill="1" applyAlignment="1">
      <alignment wrapText="1"/>
    </xf>
    <xf numFmtId="0" fontId="11" fillId="18" borderId="0" xfId="0" applyFont="1" applyFill="1" applyAlignment="1">
      <alignment horizontal="center" wrapText="1"/>
    </xf>
    <xf numFmtId="169" fontId="12" fillId="18" borderId="0" xfId="0" applyNumberFormat="1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164" fontId="12" fillId="18" borderId="0" xfId="0" applyNumberFormat="1" applyFont="1" applyFill="1" applyAlignment="1">
      <alignment horizontal="left" wrapText="1"/>
    </xf>
    <xf numFmtId="0" fontId="4" fillId="54" borderId="0" xfId="0" applyFont="1" applyFill="1" applyAlignment="1">
      <alignment horizontal="center" wrapText="1"/>
    </xf>
    <xf numFmtId="0" fontId="1" fillId="18" borderId="0" xfId="0" applyFont="1" applyFill="1" applyAlignment="1">
      <alignment horizontal="center" wrapText="1"/>
    </xf>
    <xf numFmtId="164" fontId="4" fillId="54" borderId="0" xfId="0" applyNumberFormat="1" applyFont="1" applyFill="1" applyAlignment="1">
      <alignment horizontal="center" wrapText="1"/>
    </xf>
    <xf numFmtId="0" fontId="5" fillId="38" borderId="0" xfId="0" applyFont="1" applyFill="1" applyAlignment="1">
      <alignment horizontal="left" wrapText="1"/>
    </xf>
    <xf numFmtId="0" fontId="4" fillId="54" borderId="0" xfId="0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0" fontId="5" fillId="19" borderId="0" xfId="0" applyFont="1" applyFill="1" applyAlignment="1">
      <alignment horizontal="left" wrapText="1"/>
    </xf>
    <xf numFmtId="165" fontId="4" fillId="54" borderId="0" xfId="0" applyNumberFormat="1" applyFont="1" applyFill="1" applyAlignment="1">
      <alignment horizontal="center" wrapText="1"/>
    </xf>
    <xf numFmtId="166" fontId="4" fillId="54" borderId="0" xfId="0" applyNumberFormat="1" applyFont="1" applyFill="1" applyAlignment="1">
      <alignment horizontal="center" wrapText="1"/>
    </xf>
    <xf numFmtId="0" fontId="5" fillId="46" borderId="0" xfId="0" applyFont="1" applyFill="1" applyAlignment="1">
      <alignment horizontal="left" wrapText="1"/>
    </xf>
    <xf numFmtId="166" fontId="4" fillId="54" borderId="0" xfId="0" applyNumberFormat="1" applyFont="1" applyFill="1" applyAlignment="1">
      <alignment horizontal="center" wrapText="1"/>
    </xf>
    <xf numFmtId="0" fontId="1" fillId="54" borderId="0" xfId="0" applyFont="1" applyFill="1" applyAlignment="1">
      <alignment horizontal="center" wrapText="1"/>
    </xf>
    <xf numFmtId="11" fontId="5" fillId="8" borderId="0" xfId="0" applyNumberFormat="1" applyFont="1" applyFill="1" applyAlignment="1">
      <alignment horizontal="center" wrapText="1"/>
    </xf>
    <xf numFmtId="11" fontId="4" fillId="54" borderId="0" xfId="0" applyNumberFormat="1" applyFont="1" applyFill="1" applyAlignment="1">
      <alignment horizontal="center" wrapText="1"/>
    </xf>
    <xf numFmtId="11" fontId="1" fillId="54" borderId="0" xfId="0" applyNumberFormat="1" applyFont="1" applyFill="1" applyAlignment="1">
      <alignment horizontal="center" wrapText="1"/>
    </xf>
    <xf numFmtId="11" fontId="4" fillId="54" borderId="0" xfId="0" applyNumberFormat="1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0" fontId="3" fillId="8" borderId="0" xfId="0" applyFont="1" applyFill="1" applyAlignment="1">
      <alignment horizontal="left" wrapText="1"/>
    </xf>
    <xf numFmtId="0" fontId="4" fillId="37" borderId="0" xfId="0" applyFont="1" applyFill="1" applyAlignment="1">
      <alignment horizontal="center" wrapText="1"/>
    </xf>
    <xf numFmtId="0" fontId="3" fillId="8" borderId="0" xfId="0" applyFont="1" applyFill="1" applyAlignment="1">
      <alignment horizontal="left" wrapText="1"/>
    </xf>
    <xf numFmtId="14" fontId="4" fillId="37" borderId="0" xfId="0" applyNumberFormat="1" applyFont="1" applyFill="1" applyAlignment="1">
      <alignment horizontal="center" wrapText="1"/>
    </xf>
    <xf numFmtId="0" fontId="20" fillId="0" borderId="0" xfId="0" applyFont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0" fontId="11" fillId="12" borderId="0" xfId="0" applyFont="1" applyFill="1" applyAlignment="1">
      <alignment horizontal="center" wrapText="1"/>
    </xf>
    <xf numFmtId="0" fontId="10" fillId="12" borderId="0" xfId="0" applyFont="1" applyFill="1" applyAlignment="1">
      <alignment wrapText="1"/>
    </xf>
    <xf numFmtId="169" fontId="10" fillId="12" borderId="0" xfId="0" applyNumberFormat="1" applyFont="1" applyFill="1" applyAlignment="1">
      <alignment horizontal="center" wrapText="1"/>
    </xf>
    <xf numFmtId="164" fontId="10" fillId="12" borderId="0" xfId="0" applyNumberFormat="1" applyFont="1" applyFill="1" applyAlignment="1">
      <alignment horizontal="left" wrapText="1"/>
    </xf>
    <xf numFmtId="0" fontId="11" fillId="12" borderId="0" xfId="0" applyFont="1" applyFill="1" applyAlignment="1">
      <alignment horizontal="center" wrapText="1"/>
    </xf>
    <xf numFmtId="165" fontId="10" fillId="12" borderId="0" xfId="0" applyNumberFormat="1" applyFont="1" applyFill="1" applyAlignment="1">
      <alignment horizontal="center" wrapText="1"/>
    </xf>
    <xf numFmtId="0" fontId="5" fillId="15" borderId="0" xfId="0" applyFont="1" applyFill="1" applyAlignment="1">
      <alignment wrapText="1"/>
    </xf>
    <xf numFmtId="0" fontId="5" fillId="15" borderId="0" xfId="0" applyFont="1" applyFill="1" applyAlignment="1">
      <alignment horizontal="center" wrapText="1"/>
    </xf>
    <xf numFmtId="0" fontId="5" fillId="22" borderId="0" xfId="0" applyFont="1" applyFill="1" applyAlignment="1">
      <alignment horizontal="center" wrapText="1"/>
    </xf>
    <xf numFmtId="0" fontId="20" fillId="0" borderId="0" xfId="0" applyFont="1" applyAlignment="1">
      <alignment horizontal="center" wrapText="1"/>
    </xf>
    <xf numFmtId="0" fontId="1" fillId="53" borderId="0" xfId="0" applyFont="1" applyFill="1" applyAlignment="1">
      <alignment horizontal="left" wrapText="1"/>
    </xf>
    <xf numFmtId="0" fontId="3" fillId="53" borderId="0" xfId="0" applyFont="1" applyFill="1" applyAlignment="1">
      <alignment horizontal="left" wrapText="1"/>
    </xf>
    <xf numFmtId="0" fontId="1" fillId="53" borderId="0" xfId="0" applyFont="1" applyFill="1" applyAlignment="1">
      <alignment horizontal="center" wrapText="1"/>
    </xf>
    <xf numFmtId="169" fontId="5" fillId="53" borderId="0" xfId="0" applyNumberFormat="1" applyFont="1" applyFill="1" applyAlignment="1">
      <alignment horizontal="center" wrapText="1"/>
    </xf>
    <xf numFmtId="164" fontId="5" fillId="53" borderId="0" xfId="0" applyNumberFormat="1" applyFont="1" applyFill="1" applyAlignment="1">
      <alignment horizontal="left" wrapText="1"/>
    </xf>
    <xf numFmtId="14" fontId="4" fillId="0" borderId="0" xfId="0" applyNumberFormat="1" applyFont="1" applyAlignment="1">
      <alignment horizontal="center" wrapText="1"/>
    </xf>
    <xf numFmtId="11" fontId="44" fillId="26" borderId="0" xfId="0" applyNumberFormat="1" applyFont="1" applyFill="1" applyAlignment="1">
      <alignment horizontal="center"/>
    </xf>
    <xf numFmtId="11" fontId="16" fillId="14" borderId="0" xfId="0" applyNumberFormat="1" applyFont="1" applyFill="1" applyAlignment="1">
      <alignment horizontal="center"/>
    </xf>
    <xf numFmtId="11" fontId="16" fillId="14" borderId="0" xfId="0" applyNumberFormat="1" applyFont="1" applyFill="1" applyAlignment="1">
      <alignment horizontal="center"/>
    </xf>
    <xf numFmtId="0" fontId="10" fillId="37" borderId="0" xfId="0" applyFont="1" applyFill="1" applyAlignment="1">
      <alignment horizontal="center" wrapText="1"/>
    </xf>
    <xf numFmtId="165" fontId="10" fillId="37" borderId="0" xfId="0" applyNumberFormat="1" applyFont="1" applyFill="1" applyAlignment="1">
      <alignment horizontal="center" wrapText="1"/>
    </xf>
    <xf numFmtId="166" fontId="10" fillId="37" borderId="0" xfId="0" applyNumberFormat="1" applyFont="1" applyFill="1" applyAlignment="1">
      <alignment horizontal="center" wrapText="1"/>
    </xf>
    <xf numFmtId="166" fontId="10" fillId="37" borderId="0" xfId="0" applyNumberFormat="1" applyFont="1" applyFill="1" applyAlignment="1">
      <alignment horizontal="center" wrapText="1"/>
    </xf>
    <xf numFmtId="11" fontId="44" fillId="57" borderId="0" xfId="0" applyNumberFormat="1" applyFont="1" applyFill="1" applyAlignment="1">
      <alignment horizontal="center"/>
    </xf>
    <xf numFmtId="11" fontId="16" fillId="58" borderId="0" xfId="0" applyNumberFormat="1" applyFont="1" applyFill="1" applyAlignment="1">
      <alignment horizontal="center"/>
    </xf>
    <xf numFmtId="11" fontId="16" fillId="59" borderId="0" xfId="0" applyNumberFormat="1" applyFont="1" applyFill="1" applyAlignment="1">
      <alignment horizontal="center"/>
    </xf>
    <xf numFmtId="11" fontId="16" fillId="60" borderId="0" xfId="0" applyNumberFormat="1" applyFont="1" applyFill="1" applyAlignment="1">
      <alignment horizontal="center"/>
    </xf>
    <xf numFmtId="11" fontId="44" fillId="61" borderId="0" xfId="0" applyNumberFormat="1" applyFont="1" applyFill="1" applyAlignment="1">
      <alignment horizontal="center"/>
    </xf>
    <xf numFmtId="11" fontId="44" fillId="62" borderId="0" xfId="0" applyNumberFormat="1" applyFont="1" applyFill="1" applyAlignment="1">
      <alignment horizontal="center"/>
    </xf>
    <xf numFmtId="11" fontId="44" fillId="63" borderId="0" xfId="0" applyNumberFormat="1" applyFont="1" applyFill="1" applyAlignment="1">
      <alignment horizontal="center"/>
    </xf>
    <xf numFmtId="11" fontId="5" fillId="14" borderId="0" xfId="0" applyNumberFormat="1" applyFont="1" applyFill="1" applyAlignment="1">
      <alignment horizontal="center" wrapText="1"/>
    </xf>
    <xf numFmtId="0" fontId="16" fillId="0" borderId="0" xfId="0" applyFont="1" applyAlignment="1">
      <alignment horizontal="center" wrapText="1"/>
    </xf>
    <xf numFmtId="14" fontId="16" fillId="0" borderId="0" xfId="0" applyNumberFormat="1" applyFont="1" applyAlignment="1">
      <alignment horizontal="center" wrapText="1"/>
    </xf>
    <xf numFmtId="0" fontId="44" fillId="0" borderId="0" xfId="0" applyFont="1" applyAlignment="1">
      <alignment horizontal="center" wrapText="1"/>
    </xf>
    <xf numFmtId="11" fontId="16" fillId="0" borderId="0" xfId="0" applyNumberFormat="1" applyFont="1" applyAlignment="1">
      <alignment horizontal="center" wrapText="1"/>
    </xf>
    <xf numFmtId="11" fontId="44" fillId="47" borderId="0" xfId="0" applyNumberFormat="1" applyFont="1" applyFill="1" applyAlignment="1">
      <alignment horizontal="center"/>
    </xf>
    <xf numFmtId="11" fontId="16" fillId="47" borderId="0" xfId="0" applyNumberFormat="1" applyFont="1" applyFill="1" applyAlignment="1">
      <alignment horizontal="center"/>
    </xf>
    <xf numFmtId="11" fontId="16" fillId="47" borderId="0" xfId="0" applyNumberFormat="1" applyFont="1" applyFill="1" applyAlignment="1">
      <alignment horizontal="center"/>
    </xf>
    <xf numFmtId="0" fontId="16" fillId="14" borderId="0" xfId="0" applyFont="1" applyFill="1" applyAlignment="1">
      <alignment horizontal="center" wrapText="1"/>
    </xf>
    <xf numFmtId="11" fontId="44" fillId="0" borderId="0" xfId="0" applyNumberFormat="1" applyFont="1" applyAlignment="1">
      <alignment horizontal="center" wrapText="1"/>
    </xf>
    <xf numFmtId="0" fontId="16" fillId="0" borderId="0" xfId="0" applyFont="1" applyAlignment="1">
      <alignment horizontal="center" wrapText="1"/>
    </xf>
    <xf numFmtId="14" fontId="16" fillId="0" borderId="0" xfId="0" applyNumberFormat="1" applyFont="1" applyAlignment="1">
      <alignment horizontal="center" wrapText="1"/>
    </xf>
    <xf numFmtId="0" fontId="44" fillId="0" borderId="0" xfId="0" applyFont="1" applyAlignment="1">
      <alignment horizontal="center" wrapText="1"/>
    </xf>
    <xf numFmtId="11" fontId="44" fillId="0" borderId="0" xfId="0" applyNumberFormat="1" applyFont="1" applyAlignment="1">
      <alignment horizontal="center" wrapText="1"/>
    </xf>
    <xf numFmtId="11" fontId="16" fillId="0" borderId="0" xfId="0" applyNumberFormat="1" applyFont="1" applyAlignment="1">
      <alignment horizontal="center" wrapText="1"/>
    </xf>
    <xf numFmtId="0" fontId="16" fillId="0" borderId="0" xfId="0" applyFont="1" applyAlignment="1">
      <alignment horizontal="center" wrapText="1"/>
    </xf>
    <xf numFmtId="0" fontId="44" fillId="0" borderId="0" xfId="0" applyFont="1" applyAlignment="1">
      <alignment horizontal="center" wrapText="1"/>
    </xf>
    <xf numFmtId="11" fontId="44" fillId="14" borderId="0" xfId="0" applyNumberFormat="1" applyFont="1" applyFill="1" applyAlignment="1">
      <alignment horizontal="center" wrapText="1"/>
    </xf>
    <xf numFmtId="11" fontId="16" fillId="14" borderId="0" xfId="0" applyNumberFormat="1" applyFont="1" applyFill="1" applyAlignment="1">
      <alignment horizontal="center" wrapText="1"/>
    </xf>
    <xf numFmtId="11" fontId="16" fillId="14" borderId="0" xfId="0" applyNumberFormat="1" applyFont="1" applyFill="1" applyAlignment="1">
      <alignment horizontal="center" wrapText="1"/>
    </xf>
    <xf numFmtId="11" fontId="16" fillId="0" borderId="0" xfId="0" applyNumberFormat="1" applyFont="1" applyAlignment="1">
      <alignment horizontal="center" wrapText="1"/>
    </xf>
    <xf numFmtId="11" fontId="16" fillId="0" borderId="0" xfId="0" applyNumberFormat="1" applyFont="1" applyAlignment="1">
      <alignment horizontal="center" wrapText="1"/>
    </xf>
    <xf numFmtId="0" fontId="5" fillId="53" borderId="0" xfId="0" applyFont="1" applyFill="1" applyAlignment="1">
      <alignment wrapText="1"/>
    </xf>
    <xf numFmtId="11" fontId="44" fillId="14" borderId="0" xfId="0" applyNumberFormat="1" applyFont="1" applyFill="1" applyAlignment="1">
      <alignment horizontal="center"/>
    </xf>
    <xf numFmtId="170" fontId="5" fillId="53" borderId="0" xfId="0" applyNumberFormat="1" applyFont="1" applyFill="1" applyAlignment="1">
      <alignment horizontal="left" wrapText="1"/>
    </xf>
    <xf numFmtId="0" fontId="3" fillId="28" borderId="1" xfId="0" applyFont="1" applyFill="1" applyBorder="1" applyAlignment="1">
      <alignment horizontal="left" wrapText="1"/>
    </xf>
    <xf numFmtId="0" fontId="1" fillId="28" borderId="2" xfId="0" applyFont="1" applyFill="1" applyBorder="1" applyAlignment="1">
      <alignment horizontal="center" wrapText="1"/>
    </xf>
    <xf numFmtId="169" fontId="5" fillId="28" borderId="0" xfId="0" applyNumberFormat="1" applyFont="1" applyFill="1" applyAlignment="1">
      <alignment horizontal="center" wrapText="1"/>
    </xf>
    <xf numFmtId="0" fontId="16" fillId="0" borderId="0" xfId="0" applyFont="1" applyAlignment="1">
      <alignment horizontal="center" wrapText="1"/>
    </xf>
    <xf numFmtId="172" fontId="5" fillId="28" borderId="0" xfId="0" applyNumberFormat="1" applyFont="1" applyFill="1" applyAlignment="1">
      <alignment horizontal="left" wrapText="1"/>
    </xf>
    <xf numFmtId="0" fontId="3" fillId="6" borderId="0" xfId="0" applyFont="1" applyFill="1" applyAlignment="1">
      <alignment horizontal="left" wrapText="1"/>
    </xf>
    <xf numFmtId="0" fontId="3" fillId="46" borderId="0" xfId="0" applyFont="1" applyFill="1" applyAlignment="1">
      <alignment horizontal="left" wrapText="1"/>
    </xf>
    <xf numFmtId="164" fontId="11" fillId="37" borderId="0" xfId="0" applyNumberFormat="1" applyFont="1" applyFill="1" applyAlignment="1">
      <alignment horizontal="center" wrapText="1"/>
    </xf>
    <xf numFmtId="164" fontId="10" fillId="37" borderId="0" xfId="0" applyNumberFormat="1" applyFont="1" applyFill="1" applyAlignment="1">
      <alignment horizontal="center" wrapText="1"/>
    </xf>
    <xf numFmtId="11" fontId="10" fillId="37" borderId="0" xfId="0" applyNumberFormat="1" applyFont="1" applyFill="1" applyAlignment="1">
      <alignment horizontal="center" wrapText="1"/>
    </xf>
    <xf numFmtId="11" fontId="11" fillId="37" borderId="0" xfId="0" applyNumberFormat="1" applyFont="1" applyFill="1" applyAlignment="1">
      <alignment horizontal="center" wrapText="1"/>
    </xf>
    <xf numFmtId="0" fontId="3" fillId="35" borderId="0" xfId="0" applyFont="1" applyFill="1" applyAlignment="1">
      <alignment horizontal="left" wrapText="1"/>
    </xf>
    <xf numFmtId="11" fontId="10" fillId="37" borderId="0" xfId="0" applyNumberFormat="1" applyFont="1" applyFill="1" applyAlignment="1">
      <alignment horizontal="center" wrapText="1"/>
    </xf>
    <xf numFmtId="164" fontId="24" fillId="37" borderId="0" xfId="0" applyNumberFormat="1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0" fontId="10" fillId="0" borderId="0" xfId="0" applyFont="1" applyAlignment="1">
      <alignment horizontal="center" wrapText="1"/>
    </xf>
    <xf numFmtId="0" fontId="3" fillId="35" borderId="1" xfId="0" applyFont="1" applyFill="1" applyBorder="1" applyAlignment="1">
      <alignment horizontal="left" wrapText="1"/>
    </xf>
    <xf numFmtId="0" fontId="1" fillId="0" borderId="2" xfId="0" applyFont="1" applyBorder="1" applyAlignment="1">
      <alignment horizontal="center" wrapText="1"/>
    </xf>
    <xf numFmtId="0" fontId="16" fillId="14" borderId="0" xfId="0" applyFont="1" applyFill="1" applyAlignment="1">
      <alignment horizontal="center"/>
    </xf>
    <xf numFmtId="0" fontId="3" fillId="34" borderId="0" xfId="0" applyFont="1" applyFill="1" applyAlignment="1">
      <alignment horizontal="left" wrapText="1"/>
    </xf>
    <xf numFmtId="0" fontId="10" fillId="2" borderId="0" xfId="0" applyFont="1" applyFill="1" applyAlignment="1">
      <alignment wrapText="1"/>
    </xf>
    <xf numFmtId="11" fontId="44" fillId="14" borderId="1" xfId="0" applyNumberFormat="1" applyFont="1" applyFill="1" applyBorder="1" applyAlignment="1">
      <alignment horizontal="center"/>
    </xf>
    <xf numFmtId="0" fontId="11" fillId="12" borderId="0" xfId="0" applyFont="1" applyFill="1" applyAlignment="1">
      <alignment horizontal="left" wrapText="1"/>
    </xf>
    <xf numFmtId="0" fontId="33" fillId="12" borderId="0" xfId="0" applyFont="1" applyFill="1" applyAlignment="1">
      <alignment horizontal="left" wrapText="1"/>
    </xf>
    <xf numFmtId="0" fontId="11" fillId="12" borderId="0" xfId="0" applyFont="1" applyFill="1" applyAlignment="1">
      <alignment wrapText="1"/>
    </xf>
    <xf numFmtId="0" fontId="11" fillId="12" borderId="0" xfId="0" applyFont="1" applyFill="1" applyAlignment="1">
      <alignment wrapText="1"/>
    </xf>
    <xf numFmtId="0" fontId="10" fillId="12" borderId="0" xfId="0" applyFont="1" applyFill="1" applyAlignment="1">
      <alignment wrapText="1"/>
    </xf>
    <xf numFmtId="0" fontId="11" fillId="11" borderId="0" xfId="0" applyFont="1" applyFill="1" applyAlignment="1">
      <alignment horizontal="left" wrapText="1"/>
    </xf>
    <xf numFmtId="0" fontId="33" fillId="11" borderId="0" xfId="0" applyFont="1" applyFill="1" applyAlignment="1">
      <alignment horizontal="left" wrapText="1"/>
    </xf>
    <xf numFmtId="0" fontId="11" fillId="11" borderId="0" xfId="0" applyFont="1" applyFill="1" applyAlignment="1">
      <alignment horizontal="center" wrapText="1"/>
    </xf>
    <xf numFmtId="0" fontId="10" fillId="11" borderId="0" xfId="0" applyFont="1" applyFill="1" applyAlignment="1">
      <alignment wrapText="1"/>
    </xf>
    <xf numFmtId="169" fontId="10" fillId="11" borderId="0" xfId="0" applyNumberFormat="1" applyFont="1" applyFill="1" applyAlignment="1">
      <alignment horizontal="center" wrapText="1"/>
    </xf>
    <xf numFmtId="164" fontId="10" fillId="11" borderId="0" xfId="0" applyNumberFormat="1" applyFont="1" applyFill="1" applyAlignment="1">
      <alignment horizontal="left" wrapText="1"/>
    </xf>
    <xf numFmtId="0" fontId="11" fillId="11" borderId="0" xfId="0" applyFont="1" applyFill="1" applyAlignment="1">
      <alignment wrapText="1"/>
    </xf>
    <xf numFmtId="0" fontId="3" fillId="11" borderId="0" xfId="0" applyFont="1" applyFill="1" applyAlignment="1">
      <alignment horizontal="left" wrapText="1"/>
    </xf>
    <xf numFmtId="0" fontId="1" fillId="11" borderId="0" xfId="0" applyFont="1" applyFill="1" applyAlignment="1">
      <alignment horizontal="center" wrapText="1"/>
    </xf>
    <xf numFmtId="0" fontId="4" fillId="0" borderId="0" xfId="0" applyFont="1" applyAlignment="1">
      <alignment horizontal="center" wrapText="1"/>
    </xf>
    <xf numFmtId="165" fontId="5" fillId="11" borderId="0" xfId="0" applyNumberFormat="1" applyFont="1" applyFill="1" applyAlignment="1">
      <alignment horizontal="center" wrapText="1"/>
    </xf>
    <xf numFmtId="0" fontId="3" fillId="23" borderId="0" xfId="0" applyFont="1" applyFill="1" applyAlignment="1">
      <alignment horizontal="left" wrapText="1"/>
    </xf>
    <xf numFmtId="0" fontId="10" fillId="0" borderId="0" xfId="0" applyFont="1" applyAlignment="1">
      <alignment horizontal="center" wrapText="1"/>
    </xf>
    <xf numFmtId="0" fontId="3" fillId="17" borderId="0" xfId="0" applyFont="1" applyFill="1" applyAlignment="1">
      <alignment horizontal="left" wrapText="1"/>
    </xf>
    <xf numFmtId="0" fontId="5" fillId="17" borderId="0" xfId="0" applyFont="1" applyFill="1" applyAlignment="1">
      <alignment horizontal="center" wrapText="1"/>
    </xf>
    <xf numFmtId="165" fontId="10" fillId="0" borderId="0" xfId="0" applyNumberFormat="1" applyFont="1" applyAlignment="1">
      <alignment horizontal="center" wrapText="1"/>
    </xf>
    <xf numFmtId="0" fontId="11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166" fontId="5" fillId="17" borderId="0" xfId="0" applyNumberFormat="1" applyFont="1" applyFill="1" applyAlignment="1">
      <alignment horizontal="center" wrapText="1"/>
    </xf>
    <xf numFmtId="0" fontId="24" fillId="0" borderId="0" xfId="0" applyFont="1" applyAlignment="1">
      <alignment horizontal="center" wrapText="1"/>
    </xf>
    <xf numFmtId="0" fontId="3" fillId="39" borderId="0" xfId="0" applyFont="1" applyFill="1" applyAlignment="1">
      <alignment horizontal="left" wrapText="1"/>
    </xf>
    <xf numFmtId="0" fontId="10" fillId="4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33" fillId="8" borderId="0" xfId="0" applyFont="1" applyFill="1" applyAlignment="1">
      <alignment horizontal="left" wrapText="1"/>
    </xf>
    <xf numFmtId="0" fontId="11" fillId="8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165" fontId="10" fillId="4" borderId="0" xfId="0" applyNumberFormat="1" applyFont="1" applyFill="1" applyAlignment="1">
      <alignment horizontal="center" wrapText="1"/>
    </xf>
    <xf numFmtId="166" fontId="10" fillId="4" borderId="0" xfId="0" applyNumberFormat="1" applyFont="1" applyFill="1" applyAlignment="1">
      <alignment horizontal="center" wrapText="1"/>
    </xf>
    <xf numFmtId="166" fontId="10" fillId="4" borderId="0" xfId="0" applyNumberFormat="1" applyFont="1" applyFill="1" applyAlignment="1">
      <alignment horizontal="center" wrapText="1"/>
    </xf>
    <xf numFmtId="165" fontId="5" fillId="8" borderId="0" xfId="0" applyNumberFormat="1" applyFont="1" applyFill="1" applyAlignment="1">
      <alignment horizontal="center" wrapText="1"/>
    </xf>
    <xf numFmtId="0" fontId="5" fillId="39" borderId="0" xfId="0" applyFont="1" applyFill="1" applyAlignment="1">
      <alignment horizontal="center" wrapText="1"/>
    </xf>
    <xf numFmtId="14" fontId="5" fillId="39" borderId="0" xfId="0" applyNumberFormat="1" applyFont="1" applyFill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" fillId="39" borderId="0" xfId="0" applyFont="1" applyFill="1" applyAlignment="1">
      <alignment horizontal="center" wrapText="1"/>
    </xf>
    <xf numFmtId="164" fontId="10" fillId="4" borderId="0" xfId="0" applyNumberFormat="1" applyFont="1" applyFill="1" applyAlignment="1">
      <alignment horizontal="center" wrapText="1"/>
    </xf>
    <xf numFmtId="0" fontId="3" fillId="5" borderId="0" xfId="0" applyFont="1" applyFill="1" applyAlignment="1">
      <alignment horizontal="left" wrapText="1"/>
    </xf>
    <xf numFmtId="14" fontId="4" fillId="39" borderId="0" xfId="0" applyNumberFormat="1" applyFont="1" applyFill="1" applyAlignment="1">
      <alignment horizontal="center" wrapText="1"/>
    </xf>
    <xf numFmtId="11" fontId="10" fillId="4" borderId="0" xfId="0" applyNumberFormat="1" applyFont="1" applyFill="1" applyAlignment="1">
      <alignment horizontal="center" wrapText="1"/>
    </xf>
    <xf numFmtId="0" fontId="11" fillId="46" borderId="0" xfId="0" applyFont="1" applyFill="1" applyAlignment="1">
      <alignment horizontal="left" wrapText="1"/>
    </xf>
    <xf numFmtId="11" fontId="20" fillId="39" borderId="0" xfId="0" applyNumberFormat="1" applyFont="1" applyFill="1" applyAlignment="1">
      <alignment horizontal="center" wrapText="1"/>
    </xf>
    <xf numFmtId="11" fontId="5" fillId="39" borderId="0" xfId="0" applyNumberFormat="1" applyFont="1" applyFill="1" applyAlignment="1">
      <alignment horizontal="center" wrapText="1"/>
    </xf>
    <xf numFmtId="11" fontId="11" fillId="4" borderId="0" xfId="0" applyNumberFormat="1" applyFont="1" applyFill="1" applyAlignment="1">
      <alignment horizontal="center" wrapText="1"/>
    </xf>
    <xf numFmtId="11" fontId="5" fillId="39" borderId="0" xfId="0" applyNumberFormat="1" applyFont="1" applyFill="1" applyAlignment="1">
      <alignment horizontal="center" wrapText="1"/>
    </xf>
    <xf numFmtId="11" fontId="10" fillId="4" borderId="0" xfId="0" applyNumberFormat="1" applyFont="1" applyFill="1" applyAlignment="1">
      <alignment horizontal="center" wrapText="1"/>
    </xf>
    <xf numFmtId="0" fontId="5" fillId="39" borderId="0" xfId="0" applyFont="1" applyFill="1" applyAlignment="1">
      <alignment horizontal="center" wrapText="1"/>
    </xf>
    <xf numFmtId="0" fontId="33" fillId="46" borderId="0" xfId="0" applyFont="1" applyFill="1" applyAlignment="1">
      <alignment horizontal="left" wrapText="1"/>
    </xf>
    <xf numFmtId="11" fontId="20" fillId="39" borderId="0" xfId="0" applyNumberFormat="1" applyFont="1" applyFill="1" applyAlignment="1">
      <alignment horizontal="center" wrapText="1"/>
    </xf>
    <xf numFmtId="0" fontId="11" fillId="46" borderId="0" xfId="0" applyFont="1" applyFill="1" applyAlignment="1">
      <alignment horizontal="center" wrapText="1"/>
    </xf>
    <xf numFmtId="0" fontId="24" fillId="4" borderId="0" xfId="0" applyFont="1" applyFill="1" applyAlignment="1">
      <alignment horizontal="center" wrapText="1"/>
    </xf>
    <xf numFmtId="11" fontId="1" fillId="39" borderId="0" xfId="0" applyNumberFormat="1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0" fillId="46" borderId="0" xfId="0" applyFont="1" applyFill="1" applyAlignment="1">
      <alignment wrapText="1"/>
    </xf>
    <xf numFmtId="169" fontId="10" fillId="46" borderId="0" xfId="0" applyNumberFormat="1" applyFont="1" applyFill="1" applyAlignment="1">
      <alignment horizontal="center" wrapText="1"/>
    </xf>
    <xf numFmtId="164" fontId="10" fillId="46" borderId="0" xfId="0" applyNumberFormat="1" applyFont="1" applyFill="1" applyAlignment="1">
      <alignment horizontal="left" wrapText="1"/>
    </xf>
    <xf numFmtId="0" fontId="11" fillId="46" borderId="0" xfId="0" applyFont="1" applyFill="1" applyAlignment="1">
      <alignment wrapText="1"/>
    </xf>
    <xf numFmtId="0" fontId="4" fillId="37" borderId="17" xfId="0" applyFont="1" applyFill="1" applyBorder="1" applyAlignment="1">
      <alignment horizontal="center" wrapText="1"/>
    </xf>
    <xf numFmtId="0" fontId="4" fillId="37" borderId="17" xfId="0" applyFont="1" applyFill="1" applyBorder="1" applyAlignment="1">
      <alignment horizontal="center" wrapText="1"/>
    </xf>
    <xf numFmtId="164" fontId="4" fillId="37" borderId="17" xfId="0" applyNumberFormat="1" applyFont="1" applyFill="1" applyBorder="1" applyAlignment="1">
      <alignment horizontal="center" wrapText="1"/>
    </xf>
    <xf numFmtId="0" fontId="4" fillId="37" borderId="17" xfId="0" applyFont="1" applyFill="1" applyBorder="1" applyAlignment="1">
      <alignment horizontal="center" wrapText="1"/>
    </xf>
    <xf numFmtId="0" fontId="4" fillId="37" borderId="17" xfId="0" applyFont="1" applyFill="1" applyBorder="1" applyAlignment="1">
      <alignment horizontal="center" wrapText="1"/>
    </xf>
    <xf numFmtId="165" fontId="4" fillId="37" borderId="17" xfId="0" applyNumberFormat="1" applyFont="1" applyFill="1" applyBorder="1" applyAlignment="1">
      <alignment horizontal="center" wrapText="1"/>
    </xf>
    <xf numFmtId="0" fontId="3" fillId="0" borderId="0" xfId="0" applyFont="1" applyAlignment="1">
      <alignment horizontal="left" wrapText="1"/>
    </xf>
    <xf numFmtId="11" fontId="16" fillId="0" borderId="0" xfId="0" applyNumberFormat="1" applyFont="1" applyAlignment="1">
      <alignment horizontal="center"/>
    </xf>
    <xf numFmtId="11" fontId="16" fillId="0" borderId="0" xfId="0" applyNumberFormat="1" applyFont="1" applyAlignment="1">
      <alignment horizontal="center"/>
    </xf>
    <xf numFmtId="0" fontId="11" fillId="45" borderId="0" xfId="0" applyFont="1" applyFill="1" applyAlignment="1">
      <alignment horizontal="left" wrapText="1"/>
    </xf>
    <xf numFmtId="166" fontId="4" fillId="37" borderId="17" xfId="0" applyNumberFormat="1" applyFont="1" applyFill="1" applyBorder="1" applyAlignment="1">
      <alignment horizontal="center" wrapText="1"/>
    </xf>
    <xf numFmtId="0" fontId="33" fillId="45" borderId="0" xfId="0" applyFont="1" applyFill="1" applyAlignment="1">
      <alignment horizontal="left" wrapText="1"/>
    </xf>
    <xf numFmtId="166" fontId="4" fillId="37" borderId="17" xfId="0" applyNumberFormat="1" applyFont="1" applyFill="1" applyBorder="1" applyAlignment="1">
      <alignment horizontal="center" wrapText="1"/>
    </xf>
    <xf numFmtId="0" fontId="11" fillId="45" borderId="0" xfId="0" applyFont="1" applyFill="1" applyAlignment="1">
      <alignment horizontal="center" wrapText="1"/>
    </xf>
    <xf numFmtId="164" fontId="1" fillId="37" borderId="17" xfId="0" applyNumberFormat="1" applyFont="1" applyFill="1" applyBorder="1" applyAlignment="1">
      <alignment horizontal="center" wrapText="1"/>
    </xf>
    <xf numFmtId="0" fontId="10" fillId="45" borderId="0" xfId="0" applyFont="1" applyFill="1" applyAlignment="1">
      <alignment wrapText="1"/>
    </xf>
    <xf numFmtId="11" fontId="4" fillId="37" borderId="17" xfId="0" applyNumberFormat="1" applyFont="1" applyFill="1" applyBorder="1" applyAlignment="1">
      <alignment horizontal="center" wrapText="1"/>
    </xf>
    <xf numFmtId="169" fontId="10" fillId="45" borderId="0" xfId="0" applyNumberFormat="1" applyFont="1" applyFill="1" applyAlignment="1">
      <alignment horizontal="center" wrapText="1"/>
    </xf>
    <xf numFmtId="11" fontId="1" fillId="37" borderId="17" xfId="0" applyNumberFormat="1" applyFont="1" applyFill="1" applyBorder="1" applyAlignment="1">
      <alignment horizontal="center" wrapText="1"/>
    </xf>
    <xf numFmtId="164" fontId="10" fillId="45" borderId="0" xfId="0" applyNumberFormat="1" applyFont="1" applyFill="1" applyAlignment="1">
      <alignment horizontal="left" wrapText="1"/>
    </xf>
    <xf numFmtId="11" fontId="4" fillId="37" borderId="17" xfId="0" applyNumberFormat="1" applyFont="1" applyFill="1" applyBorder="1" applyAlignment="1">
      <alignment horizontal="center" wrapText="1"/>
    </xf>
    <xf numFmtId="0" fontId="11" fillId="45" borderId="0" xfId="0" applyFont="1" applyFill="1" applyAlignment="1">
      <alignment wrapText="1"/>
    </xf>
    <xf numFmtId="11" fontId="1" fillId="0" borderId="0" xfId="0" applyNumberFormat="1" applyFont="1" applyAlignment="1">
      <alignment horizontal="center" wrapText="1"/>
    </xf>
    <xf numFmtId="11" fontId="4" fillId="37" borderId="17" xfId="0" applyNumberFormat="1" applyFont="1" applyFill="1" applyBorder="1" applyAlignment="1">
      <alignment horizontal="center" wrapText="1"/>
    </xf>
    <xf numFmtId="0" fontId="3" fillId="45" borderId="0" xfId="0" applyFont="1" applyFill="1" applyAlignment="1">
      <alignment horizontal="left" wrapText="1"/>
    </xf>
    <xf numFmtId="0" fontId="9" fillId="37" borderId="17" xfId="0" applyFont="1" applyFill="1" applyBorder="1" applyAlignment="1">
      <alignment horizontal="center" wrapText="1"/>
    </xf>
    <xf numFmtId="164" fontId="4" fillId="37" borderId="17" xfId="0" applyNumberFormat="1" applyFont="1" applyFill="1" applyBorder="1" applyAlignment="1">
      <alignment horizontal="center" wrapText="1"/>
    </xf>
    <xf numFmtId="0" fontId="4" fillId="37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 wrapText="1"/>
    </xf>
    <xf numFmtId="0" fontId="10" fillId="37" borderId="18" xfId="0" applyFont="1" applyFill="1" applyBorder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0" fontId="5" fillId="36" borderId="0" xfId="0" applyFont="1" applyFill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14" fontId="5" fillId="36" borderId="0" xfId="0" applyNumberFormat="1" applyFont="1" applyFill="1" applyAlignment="1">
      <alignment horizontal="center" wrapText="1"/>
    </xf>
    <xf numFmtId="0" fontId="20" fillId="36" borderId="0" xfId="0" applyFont="1" applyFill="1" applyAlignment="1">
      <alignment horizontal="center" wrapText="1"/>
    </xf>
    <xf numFmtId="11" fontId="20" fillId="36" borderId="0" xfId="0" applyNumberFormat="1" applyFont="1" applyFill="1" applyAlignment="1">
      <alignment horizontal="center" wrapText="1"/>
    </xf>
    <xf numFmtId="11" fontId="5" fillId="36" borderId="0" xfId="0" applyNumberFormat="1" applyFont="1" applyFill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165" fontId="10" fillId="37" borderId="19" xfId="0" applyNumberFormat="1" applyFont="1" applyFill="1" applyBorder="1" applyAlignment="1">
      <alignment horizontal="center" wrapText="1"/>
    </xf>
    <xf numFmtId="11" fontId="4" fillId="36" borderId="0" xfId="0" applyNumberFormat="1" applyFont="1" applyFill="1" applyAlignment="1">
      <alignment horizontal="center" wrapText="1"/>
    </xf>
    <xf numFmtId="166" fontId="10" fillId="37" borderId="19" xfId="0" applyNumberFormat="1" applyFont="1" applyFill="1" applyBorder="1" applyAlignment="1">
      <alignment horizontal="center" wrapText="1"/>
    </xf>
    <xf numFmtId="0" fontId="5" fillId="36" borderId="0" xfId="0" applyFont="1" applyFill="1" applyAlignment="1">
      <alignment horizontal="center" wrapText="1"/>
    </xf>
    <xf numFmtId="0" fontId="1" fillId="54" borderId="0" xfId="0" applyFont="1" applyFill="1" applyAlignment="1">
      <alignment horizontal="left" wrapText="1"/>
    </xf>
    <xf numFmtId="11" fontId="20" fillId="36" borderId="0" xfId="0" applyNumberFormat="1" applyFont="1" applyFill="1" applyAlignment="1">
      <alignment horizontal="center" wrapText="1"/>
    </xf>
    <xf numFmtId="166" fontId="10" fillId="37" borderId="19" xfId="0" applyNumberFormat="1" applyFont="1" applyFill="1" applyBorder="1" applyAlignment="1">
      <alignment horizontal="center" wrapText="1"/>
    </xf>
    <xf numFmtId="0" fontId="3" fillId="54" borderId="0" xfId="0" applyFont="1" applyFill="1" applyAlignment="1">
      <alignment horizontal="left" wrapText="1"/>
    </xf>
    <xf numFmtId="164" fontId="11" fillId="37" borderId="19" xfId="0" applyNumberFormat="1" applyFont="1" applyFill="1" applyBorder="1" applyAlignment="1">
      <alignment horizontal="center" wrapText="1"/>
    </xf>
    <xf numFmtId="0" fontId="1" fillId="54" borderId="0" xfId="0" applyFont="1" applyFill="1" applyAlignment="1">
      <alignment horizontal="center" wrapText="1"/>
    </xf>
    <xf numFmtId="164" fontId="10" fillId="37" borderId="19" xfId="0" applyNumberFormat="1" applyFont="1" applyFill="1" applyBorder="1" applyAlignment="1">
      <alignment horizontal="center" wrapText="1"/>
    </xf>
    <xf numFmtId="11" fontId="10" fillId="37" borderId="19" xfId="0" applyNumberFormat="1" applyFont="1" applyFill="1" applyBorder="1" applyAlignment="1">
      <alignment horizontal="center" wrapText="1"/>
    </xf>
    <xf numFmtId="11" fontId="11" fillId="37" borderId="19" xfId="0" applyNumberFormat="1" applyFont="1" applyFill="1" applyBorder="1" applyAlignment="1">
      <alignment horizontal="center" wrapText="1"/>
    </xf>
    <xf numFmtId="166" fontId="5" fillId="0" borderId="0" xfId="0" applyNumberFormat="1" applyFont="1" applyAlignment="1">
      <alignment horizontal="center" wrapText="1"/>
    </xf>
    <xf numFmtId="11" fontId="10" fillId="37" borderId="19" xfId="0" applyNumberFormat="1" applyFont="1" applyFill="1" applyBorder="1" applyAlignment="1">
      <alignment horizontal="center" wrapText="1"/>
    </xf>
    <xf numFmtId="0" fontId="5" fillId="54" borderId="0" xfId="0" applyFont="1" applyFill="1" applyAlignment="1">
      <alignment wrapText="1"/>
    </xf>
    <xf numFmtId="14" fontId="10" fillId="37" borderId="19" xfId="0" applyNumberFormat="1" applyFont="1" applyFill="1" applyBorder="1" applyAlignment="1">
      <alignment horizontal="center" wrapText="1"/>
    </xf>
    <xf numFmtId="169" fontId="5" fillId="54" borderId="0" xfId="0" applyNumberFormat="1" applyFont="1" applyFill="1" applyAlignment="1">
      <alignment horizontal="center" wrapText="1"/>
    </xf>
    <xf numFmtId="164" fontId="5" fillId="54" borderId="0" xfId="0" applyNumberFormat="1" applyFont="1" applyFill="1" applyAlignment="1">
      <alignment horizontal="left" wrapText="1"/>
    </xf>
    <xf numFmtId="164" fontId="24" fillId="37" borderId="19" xfId="0" applyNumberFormat="1" applyFont="1" applyFill="1" applyBorder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166" fontId="5" fillId="36" borderId="0" xfId="0" applyNumberFormat="1" applyFont="1" applyFill="1" applyAlignment="1">
      <alignment horizontal="center" wrapText="1"/>
    </xf>
    <xf numFmtId="0" fontId="1" fillId="64" borderId="0" xfId="0" applyFont="1" applyFill="1" applyAlignment="1">
      <alignment horizontal="left" wrapText="1"/>
    </xf>
    <xf numFmtId="0" fontId="1" fillId="36" borderId="0" xfId="0" applyFont="1" applyFill="1" applyAlignment="1">
      <alignment horizontal="center" wrapText="1"/>
    </xf>
    <xf numFmtId="0" fontId="3" fillId="64" borderId="0" xfId="0" applyFont="1" applyFill="1" applyAlignment="1">
      <alignment horizontal="left" wrapText="1"/>
    </xf>
    <xf numFmtId="11" fontId="5" fillId="36" borderId="0" xfId="0" applyNumberFormat="1" applyFont="1" applyFill="1" applyAlignment="1">
      <alignment horizontal="center" wrapText="1"/>
    </xf>
    <xf numFmtId="0" fontId="1" fillId="64" borderId="0" xfId="0" applyFont="1" applyFill="1" applyAlignment="1">
      <alignment horizontal="center" wrapText="1"/>
    </xf>
    <xf numFmtId="0" fontId="5" fillId="64" borderId="0" xfId="0" applyFont="1" applyFill="1" applyAlignment="1">
      <alignment wrapText="1"/>
    </xf>
    <xf numFmtId="169" fontId="5" fillId="64" borderId="0" xfId="0" applyNumberFormat="1" applyFont="1" applyFill="1" applyAlignment="1">
      <alignment horizontal="center" wrapText="1"/>
    </xf>
    <xf numFmtId="164" fontId="5" fillId="64" borderId="0" xfId="0" applyNumberFormat="1" applyFont="1" applyFill="1" applyAlignment="1">
      <alignment horizontal="left" wrapText="1"/>
    </xf>
    <xf numFmtId="0" fontId="10" fillId="37" borderId="19" xfId="0" applyFont="1" applyFill="1" applyBorder="1" applyAlignment="1">
      <alignment horizontal="center" wrapText="1"/>
    </xf>
    <xf numFmtId="0" fontId="10" fillId="0" borderId="19" xfId="0" applyFont="1" applyBorder="1" applyAlignment="1">
      <alignment horizontal="center" wrapText="1"/>
    </xf>
    <xf numFmtId="0" fontId="10" fillId="0" borderId="20" xfId="0" applyFont="1" applyBorder="1" applyAlignment="1">
      <alignment horizontal="center" wrapText="1"/>
    </xf>
    <xf numFmtId="0" fontId="4" fillId="37" borderId="21" xfId="0" applyFont="1" applyFill="1" applyBorder="1" applyAlignment="1">
      <alignment horizontal="center" wrapText="1"/>
    </xf>
    <xf numFmtId="0" fontId="1" fillId="65" borderId="0" xfId="0" applyFont="1" applyFill="1" applyAlignment="1">
      <alignment horizontal="left" wrapText="1"/>
    </xf>
    <xf numFmtId="166" fontId="4" fillId="0" borderId="0" xfId="0" applyNumberFormat="1" applyFont="1" applyAlignment="1">
      <alignment horizontal="center" wrapText="1"/>
    </xf>
    <xf numFmtId="0" fontId="3" fillId="65" borderId="0" xfId="0" applyFont="1" applyFill="1" applyAlignment="1">
      <alignment horizontal="left" wrapText="1"/>
    </xf>
    <xf numFmtId="0" fontId="1" fillId="65" borderId="0" xfId="0" applyFont="1" applyFill="1" applyAlignment="1">
      <alignment horizontal="center" wrapText="1"/>
    </xf>
    <xf numFmtId="0" fontId="5" fillId="65" borderId="0" xfId="0" applyFont="1" applyFill="1" applyAlignment="1">
      <alignment wrapText="1"/>
    </xf>
    <xf numFmtId="0" fontId="4" fillId="0" borderId="22" xfId="0" applyFont="1" applyBorder="1" applyAlignment="1">
      <alignment horizontal="center" wrapText="1"/>
    </xf>
    <xf numFmtId="169" fontId="5" fillId="65" borderId="0" xfId="0" applyNumberFormat="1" applyFont="1" applyFill="1" applyAlignment="1">
      <alignment horizontal="center" wrapText="1"/>
    </xf>
    <xf numFmtId="0" fontId="4" fillId="5" borderId="21" xfId="0" applyFont="1" applyFill="1" applyBorder="1" applyAlignment="1">
      <alignment horizontal="center" wrapText="1"/>
    </xf>
    <xf numFmtId="164" fontId="5" fillId="65" borderId="0" xfId="0" applyNumberFormat="1" applyFont="1" applyFill="1" applyAlignment="1">
      <alignment horizontal="left" wrapText="1"/>
    </xf>
    <xf numFmtId="0" fontId="5" fillId="65" borderId="0" xfId="0" applyFont="1" applyFill="1" applyAlignment="1">
      <alignment wrapText="1"/>
    </xf>
    <xf numFmtId="0" fontId="4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33" fillId="38" borderId="0" xfId="0" applyFont="1" applyFill="1" applyAlignment="1">
      <alignment horizontal="left" wrapText="1"/>
    </xf>
    <xf numFmtId="0" fontId="9" fillId="5" borderId="0" xfId="0" applyFont="1" applyFill="1" applyAlignment="1">
      <alignment horizontal="center" wrapText="1"/>
    </xf>
    <xf numFmtId="0" fontId="4" fillId="5" borderId="21" xfId="0" applyFont="1" applyFill="1" applyBorder="1" applyAlignment="1">
      <alignment horizontal="center" wrapText="1"/>
    </xf>
    <xf numFmtId="0" fontId="11" fillId="43" borderId="0" xfId="0" applyFont="1" applyFill="1" applyAlignment="1">
      <alignment horizontal="left" wrapText="1"/>
    </xf>
    <xf numFmtId="11" fontId="45" fillId="8" borderId="0" xfId="0" applyNumberFormat="1" applyFont="1" applyFill="1" applyAlignment="1">
      <alignment horizontal="center"/>
    </xf>
    <xf numFmtId="11" fontId="25" fillId="8" borderId="0" xfId="0" applyNumberFormat="1" applyFont="1" applyFill="1" applyAlignment="1">
      <alignment horizontal="center"/>
    </xf>
    <xf numFmtId="0" fontId="33" fillId="43" borderId="0" xfId="0" applyFont="1" applyFill="1" applyAlignment="1">
      <alignment horizontal="left" wrapText="1"/>
    </xf>
    <xf numFmtId="11" fontId="25" fillId="8" borderId="0" xfId="0" applyNumberFormat="1" applyFont="1" applyFill="1" applyAlignment="1">
      <alignment horizontal="center"/>
    </xf>
    <xf numFmtId="0" fontId="11" fillId="43" borderId="0" xfId="0" applyFont="1" applyFill="1" applyAlignment="1">
      <alignment horizontal="center" wrapText="1"/>
    </xf>
    <xf numFmtId="0" fontId="10" fillId="37" borderId="21" xfId="0" applyFont="1" applyFill="1" applyBorder="1" applyAlignment="1">
      <alignment horizontal="center" wrapText="1"/>
    </xf>
    <xf numFmtId="0" fontId="10" fillId="43" borderId="0" xfId="0" applyFont="1" applyFill="1" applyAlignment="1">
      <alignment wrapText="1"/>
    </xf>
    <xf numFmtId="169" fontId="10" fillId="43" borderId="0" xfId="0" applyNumberFormat="1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164" fontId="10" fillId="43" borderId="0" xfId="0" applyNumberFormat="1" applyFont="1" applyFill="1" applyAlignment="1">
      <alignment horizontal="left" wrapText="1"/>
    </xf>
    <xf numFmtId="0" fontId="23" fillId="8" borderId="0" xfId="0" applyFont="1" applyFill="1" applyAlignment="1">
      <alignment horizontal="center" wrapText="1"/>
    </xf>
    <xf numFmtId="0" fontId="1" fillId="43" borderId="0" xfId="0" applyFont="1" applyFill="1" applyAlignment="1">
      <alignment horizontal="left" wrapText="1"/>
    </xf>
    <xf numFmtId="11" fontId="46" fillId="8" borderId="0" xfId="0" applyNumberFormat="1" applyFont="1" applyFill="1" applyAlignment="1">
      <alignment horizontal="center" wrapText="1"/>
    </xf>
    <xf numFmtId="164" fontId="10" fillId="37" borderId="0" xfId="0" applyNumberFormat="1" applyFont="1" applyFill="1" applyAlignment="1">
      <alignment horizontal="center" wrapText="1"/>
    </xf>
    <xf numFmtId="0" fontId="23" fillId="8" borderId="0" xfId="0" applyFont="1" applyFill="1" applyAlignment="1">
      <alignment horizontal="center" wrapText="1"/>
    </xf>
    <xf numFmtId="0" fontId="3" fillId="43" borderId="0" xfId="0" applyFont="1" applyFill="1" applyAlignment="1">
      <alignment horizontal="left" wrapText="1"/>
    </xf>
    <xf numFmtId="11" fontId="44" fillId="0" borderId="0" xfId="0" applyNumberFormat="1" applyFont="1" applyAlignment="1">
      <alignment horizontal="center"/>
    </xf>
    <xf numFmtId="0" fontId="1" fillId="43" borderId="0" xfId="0" applyFont="1" applyFill="1" applyAlignment="1">
      <alignment horizontal="center" wrapText="1"/>
    </xf>
    <xf numFmtId="0" fontId="10" fillId="18" borderId="23" xfId="0" applyFont="1" applyFill="1" applyBorder="1" applyAlignment="1">
      <alignment horizontal="center" wrapText="1"/>
    </xf>
    <xf numFmtId="0" fontId="10" fillId="18" borderId="17" xfId="0" applyFont="1" applyFill="1" applyBorder="1" applyAlignment="1">
      <alignment horizontal="center" wrapText="1"/>
    </xf>
    <xf numFmtId="0" fontId="10" fillId="18" borderId="17" xfId="0" applyFont="1" applyFill="1" applyBorder="1" applyAlignment="1">
      <alignment horizontal="center" wrapText="1"/>
    </xf>
    <xf numFmtId="11" fontId="22" fillId="0" borderId="0" xfId="0" applyNumberFormat="1" applyFont="1" applyAlignment="1">
      <alignment horizontal="center" wrapText="1"/>
    </xf>
    <xf numFmtId="165" fontId="10" fillId="18" borderId="17" xfId="0" applyNumberFormat="1" applyFont="1" applyFill="1" applyBorder="1" applyAlignment="1">
      <alignment horizontal="center" wrapText="1"/>
    </xf>
    <xf numFmtId="0" fontId="22" fillId="0" borderId="0" xfId="0" applyFont="1" applyAlignment="1">
      <alignment horizontal="center" wrapText="1"/>
    </xf>
    <xf numFmtId="166" fontId="10" fillId="18" borderId="17" xfId="0" applyNumberFormat="1" applyFont="1" applyFill="1" applyBorder="1" applyAlignment="1">
      <alignment horizontal="center" wrapText="1"/>
    </xf>
    <xf numFmtId="11" fontId="47" fillId="0" borderId="0" xfId="0" applyNumberFormat="1" applyFont="1" applyAlignment="1">
      <alignment horizontal="center" wrapText="1"/>
    </xf>
    <xf numFmtId="166" fontId="10" fillId="18" borderId="17" xfId="0" applyNumberFormat="1" applyFont="1" applyFill="1" applyBorder="1" applyAlignment="1">
      <alignment horizontal="center" wrapText="1"/>
    </xf>
    <xf numFmtId="164" fontId="11" fillId="18" borderId="17" xfId="0" applyNumberFormat="1" applyFont="1" applyFill="1" applyBorder="1" applyAlignment="1">
      <alignment horizontal="center" wrapText="1"/>
    </xf>
    <xf numFmtId="164" fontId="10" fillId="18" borderId="17" xfId="0" applyNumberFormat="1" applyFont="1" applyFill="1" applyBorder="1" applyAlignment="1">
      <alignment horizontal="center" wrapText="1"/>
    </xf>
    <xf numFmtId="11" fontId="10" fillId="18" borderId="17" xfId="0" applyNumberFormat="1" applyFont="1" applyFill="1" applyBorder="1" applyAlignment="1">
      <alignment horizontal="center" wrapText="1"/>
    </xf>
    <xf numFmtId="11" fontId="11" fillId="18" borderId="17" xfId="0" applyNumberFormat="1" applyFont="1" applyFill="1" applyBorder="1" applyAlignment="1">
      <alignment horizontal="center" wrapText="1"/>
    </xf>
    <xf numFmtId="11" fontId="10" fillId="18" borderId="17" xfId="0" applyNumberFormat="1" applyFont="1" applyFill="1" applyBorder="1" applyAlignment="1">
      <alignment horizontal="center" wrapText="1"/>
    </xf>
    <xf numFmtId="0" fontId="10" fillId="18" borderId="17" xfId="0" applyFont="1" applyFill="1" applyBorder="1" applyAlignment="1">
      <alignment horizontal="center" wrapText="1"/>
    </xf>
    <xf numFmtId="169" fontId="5" fillId="43" borderId="0" xfId="0" applyNumberFormat="1" applyFont="1" applyFill="1" applyAlignment="1">
      <alignment horizontal="center" wrapText="1"/>
    </xf>
    <xf numFmtId="0" fontId="10" fillId="0" borderId="17" xfId="0" applyFont="1" applyBorder="1" applyAlignment="1">
      <alignment horizontal="center" wrapText="1"/>
    </xf>
    <xf numFmtId="164" fontId="5" fillId="43" borderId="0" xfId="0" applyNumberFormat="1" applyFont="1" applyFill="1" applyAlignment="1">
      <alignment horizontal="left" wrapText="1"/>
    </xf>
    <xf numFmtId="11" fontId="47" fillId="0" borderId="0" xfId="0" applyNumberFormat="1" applyFont="1" applyAlignment="1">
      <alignment horizontal="center" wrapText="1"/>
    </xf>
    <xf numFmtId="0" fontId="1" fillId="66" borderId="0" xfId="0" applyFont="1" applyFill="1" applyAlignment="1">
      <alignment horizontal="left" wrapText="1"/>
    </xf>
    <xf numFmtId="0" fontId="4" fillId="0" borderId="24" xfId="0" applyFont="1" applyBorder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0" fontId="3" fillId="66" borderId="0" xfId="0" applyFont="1" applyFill="1" applyAlignment="1">
      <alignment horizontal="left" wrapText="1"/>
    </xf>
    <xf numFmtId="0" fontId="10" fillId="37" borderId="19" xfId="0" applyFont="1" applyFill="1" applyBorder="1" applyAlignment="1">
      <alignment horizontal="center" wrapText="1"/>
    </xf>
    <xf numFmtId="0" fontId="1" fillId="66" borderId="0" xfId="0" applyFont="1" applyFill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0" fontId="5" fillId="66" borderId="0" xfId="0" applyFont="1" applyFill="1" applyAlignment="1">
      <alignment wrapText="1"/>
    </xf>
    <xf numFmtId="169" fontId="5" fillId="66" borderId="0" xfId="0" applyNumberFormat="1" applyFont="1" applyFill="1" applyAlignment="1">
      <alignment horizontal="center" wrapText="1"/>
    </xf>
    <xf numFmtId="164" fontId="5" fillId="66" borderId="0" xfId="0" applyNumberFormat="1" applyFont="1" applyFill="1" applyAlignment="1">
      <alignment horizontal="left" wrapText="1"/>
    </xf>
    <xf numFmtId="0" fontId="5" fillId="66" borderId="0" xfId="0" applyFont="1" applyFill="1" applyAlignment="1">
      <alignment wrapText="1"/>
    </xf>
    <xf numFmtId="0" fontId="10" fillId="37" borderId="19" xfId="0" applyFont="1" applyFill="1" applyBorder="1" applyAlignment="1">
      <alignment horizontal="center" wrapText="1"/>
    </xf>
    <xf numFmtId="165" fontId="10" fillId="37" borderId="19" xfId="0" applyNumberFormat="1" applyFont="1" applyFill="1" applyBorder="1" applyAlignment="1">
      <alignment horizontal="center" wrapText="1"/>
    </xf>
    <xf numFmtId="166" fontId="10" fillId="37" borderId="19" xfId="0" applyNumberFormat="1" applyFont="1" applyFill="1" applyBorder="1" applyAlignment="1">
      <alignment horizontal="center" wrapText="1"/>
    </xf>
    <xf numFmtId="0" fontId="3" fillId="40" borderId="0" xfId="0" applyFont="1" applyFill="1" applyAlignment="1">
      <alignment horizontal="left" wrapText="1"/>
    </xf>
    <xf numFmtId="166" fontId="10" fillId="37" borderId="19" xfId="0" applyNumberFormat="1" applyFont="1" applyFill="1" applyBorder="1" applyAlignment="1">
      <alignment horizontal="center" wrapText="1"/>
    </xf>
    <xf numFmtId="164" fontId="11" fillId="37" borderId="19" xfId="0" applyNumberFormat="1" applyFont="1" applyFill="1" applyBorder="1" applyAlignment="1">
      <alignment horizontal="center" wrapText="1"/>
    </xf>
    <xf numFmtId="164" fontId="10" fillId="37" borderId="19" xfId="0" applyNumberFormat="1" applyFont="1" applyFill="1" applyBorder="1" applyAlignment="1">
      <alignment horizontal="center" wrapText="1"/>
    </xf>
    <xf numFmtId="11" fontId="10" fillId="37" borderId="19" xfId="0" applyNumberFormat="1" applyFont="1" applyFill="1" applyBorder="1" applyAlignment="1">
      <alignment horizontal="center" wrapText="1"/>
    </xf>
    <xf numFmtId="11" fontId="11" fillId="37" borderId="19" xfId="0" applyNumberFormat="1" applyFont="1" applyFill="1" applyBorder="1" applyAlignment="1">
      <alignment horizontal="center" wrapText="1"/>
    </xf>
    <xf numFmtId="0" fontId="1" fillId="25" borderId="0" xfId="0" applyFont="1" applyFill="1" applyAlignment="1">
      <alignment horizontal="left" wrapText="1"/>
    </xf>
    <xf numFmtId="11" fontId="46" fillId="0" borderId="0" xfId="0" applyNumberFormat="1" applyFont="1" applyAlignment="1">
      <alignment horizontal="center" wrapText="1"/>
    </xf>
    <xf numFmtId="11" fontId="10" fillId="37" borderId="19" xfId="0" applyNumberFormat="1" applyFont="1" applyFill="1" applyBorder="1" applyAlignment="1">
      <alignment horizontal="center" wrapText="1"/>
    </xf>
    <xf numFmtId="0" fontId="3" fillId="25" borderId="0" xfId="0" applyFont="1" applyFill="1" applyAlignment="1">
      <alignment horizontal="left" wrapText="1"/>
    </xf>
    <xf numFmtId="11" fontId="48" fillId="0" borderId="0" xfId="0" applyNumberFormat="1" applyFont="1" applyAlignment="1">
      <alignment horizontal="center" wrapText="1"/>
    </xf>
    <xf numFmtId="0" fontId="10" fillId="37" borderId="19" xfId="0" applyFont="1" applyFill="1" applyBorder="1" applyAlignment="1">
      <alignment horizontal="center" wrapText="1"/>
    </xf>
    <xf numFmtId="0" fontId="1" fillId="25" borderId="0" xfId="0" applyFont="1" applyFill="1" applyAlignment="1">
      <alignment horizontal="center" wrapText="1"/>
    </xf>
    <xf numFmtId="0" fontId="10" fillId="0" borderId="19" xfId="0" applyFont="1" applyBorder="1" applyAlignment="1">
      <alignment horizontal="center" wrapText="1"/>
    </xf>
    <xf numFmtId="0" fontId="5" fillId="25" borderId="0" xfId="0" applyFont="1" applyFill="1" applyAlignment="1">
      <alignment wrapText="1"/>
    </xf>
    <xf numFmtId="11" fontId="49" fillId="0" borderId="0" xfId="0" applyNumberFormat="1" applyFont="1" applyAlignment="1">
      <alignment horizontal="center" wrapText="1"/>
    </xf>
    <xf numFmtId="169" fontId="5" fillId="25" borderId="0" xfId="0" applyNumberFormat="1" applyFont="1" applyFill="1" applyAlignment="1">
      <alignment horizontal="center" wrapText="1"/>
    </xf>
    <xf numFmtId="0" fontId="4" fillId="0" borderId="19" xfId="0" applyFont="1" applyBorder="1" applyAlignment="1">
      <alignment horizontal="center" wrapText="1"/>
    </xf>
    <xf numFmtId="164" fontId="5" fillId="25" borderId="0" xfId="0" applyNumberFormat="1" applyFont="1" applyFill="1" applyAlignment="1">
      <alignment horizontal="left" wrapText="1"/>
    </xf>
    <xf numFmtId="0" fontId="5" fillId="25" borderId="0" xfId="0" applyFont="1" applyFill="1" applyAlignment="1">
      <alignment wrapText="1"/>
    </xf>
    <xf numFmtId="11" fontId="23" fillId="0" borderId="0" xfId="0" applyNumberFormat="1" applyFont="1" applyAlignment="1">
      <alignment horizontal="center" wrapText="1"/>
    </xf>
    <xf numFmtId="0" fontId="50" fillId="0" borderId="0" xfId="0" applyFont="1" applyAlignment="1">
      <alignment horizontal="center" wrapText="1"/>
    </xf>
    <xf numFmtId="0" fontId="11" fillId="34" borderId="0" xfId="0" applyFont="1" applyFill="1" applyAlignment="1">
      <alignment horizontal="left" wrapText="1"/>
    </xf>
    <xf numFmtId="0" fontId="10" fillId="37" borderId="0" xfId="0" applyFont="1" applyFill="1" applyAlignment="1">
      <alignment horizontal="center" wrapText="1"/>
    </xf>
    <xf numFmtId="0" fontId="33" fillId="34" borderId="0" xfId="0" applyFont="1" applyFill="1" applyAlignment="1">
      <alignment horizontal="left" wrapText="1"/>
    </xf>
    <xf numFmtId="0" fontId="11" fillId="34" borderId="0" xfId="0" applyFont="1" applyFill="1" applyAlignment="1">
      <alignment horizontal="center" wrapText="1"/>
    </xf>
    <xf numFmtId="14" fontId="50" fillId="0" borderId="0" xfId="0" applyNumberFormat="1" applyFont="1" applyAlignment="1">
      <alignment horizontal="center" wrapText="1"/>
    </xf>
    <xf numFmtId="0" fontId="10" fillId="34" borderId="0" xfId="0" applyFont="1" applyFill="1" applyAlignment="1">
      <alignment wrapText="1"/>
    </xf>
    <xf numFmtId="0" fontId="51" fillId="0" borderId="0" xfId="0" applyFont="1" applyAlignment="1">
      <alignment horizontal="center" wrapText="1"/>
    </xf>
    <xf numFmtId="169" fontId="10" fillId="34" borderId="0" xfId="0" applyNumberFormat="1" applyFont="1" applyFill="1" applyAlignment="1">
      <alignment horizontal="center" wrapText="1"/>
    </xf>
    <xf numFmtId="14" fontId="52" fillId="0" borderId="0" xfId="0" applyNumberFormat="1" applyFont="1" applyAlignment="1">
      <alignment horizontal="center" wrapText="1"/>
    </xf>
    <xf numFmtId="164" fontId="10" fillId="34" borderId="0" xfId="0" applyNumberFormat="1" applyFont="1" applyFill="1" applyAlignment="1">
      <alignment horizontal="left" wrapText="1"/>
    </xf>
    <xf numFmtId="11" fontId="53" fillId="0" borderId="0" xfId="0" applyNumberFormat="1" applyFont="1" applyAlignment="1">
      <alignment horizontal="center"/>
    </xf>
    <xf numFmtId="11" fontId="53" fillId="0" borderId="0" xfId="0" applyNumberFormat="1" applyFont="1" applyAlignment="1">
      <alignment horizontal="center"/>
    </xf>
    <xf numFmtId="0" fontId="50" fillId="0" borderId="0" xfId="0" applyFont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11" fontId="48" fillId="0" borderId="0" xfId="0" applyNumberFormat="1" applyFont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0" fontId="3" fillId="33" borderId="0" xfId="0" applyFont="1" applyFill="1" applyAlignment="1">
      <alignment horizontal="left" wrapText="1"/>
    </xf>
    <xf numFmtId="0" fontId="4" fillId="24" borderId="0" xfId="0" applyFont="1" applyFill="1" applyAlignment="1">
      <alignment horizontal="center" wrapText="1"/>
    </xf>
    <xf numFmtId="0" fontId="5" fillId="33" borderId="0" xfId="0" applyFont="1" applyFill="1" applyAlignment="1">
      <alignment wrapText="1"/>
    </xf>
    <xf numFmtId="166" fontId="25" fillId="0" borderId="0" xfId="0" applyNumberFormat="1" applyFont="1" applyAlignment="1">
      <alignment horizontal="center"/>
    </xf>
    <xf numFmtId="0" fontId="4" fillId="24" borderId="0" xfId="0" applyFont="1" applyFill="1" applyAlignment="1">
      <alignment horizontal="center" wrapText="1"/>
    </xf>
    <xf numFmtId="0" fontId="3" fillId="7" borderId="0" xfId="0" applyFont="1" applyFill="1" applyAlignment="1">
      <alignment horizontal="left" wrapText="1"/>
    </xf>
    <xf numFmtId="165" fontId="4" fillId="24" borderId="0" xfId="0" applyNumberFormat="1" applyFont="1" applyFill="1" applyAlignment="1">
      <alignment horizontal="center" wrapText="1"/>
    </xf>
    <xf numFmtId="166" fontId="4" fillId="24" borderId="0" xfId="0" applyNumberFormat="1" applyFont="1" applyFill="1" applyAlignment="1">
      <alignment horizontal="center" wrapText="1"/>
    </xf>
    <xf numFmtId="166" fontId="4" fillId="24" borderId="0" xfId="0" applyNumberFormat="1" applyFont="1" applyFill="1" applyAlignment="1">
      <alignment horizontal="center" wrapText="1"/>
    </xf>
    <xf numFmtId="0" fontId="1" fillId="24" borderId="0" xfId="0" applyFont="1" applyFill="1" applyAlignment="1">
      <alignment horizontal="center" wrapText="1"/>
    </xf>
    <xf numFmtId="11" fontId="4" fillId="24" borderId="0" xfId="0" applyNumberFormat="1" applyFont="1" applyFill="1" applyAlignment="1">
      <alignment horizontal="center" wrapText="1"/>
    </xf>
    <xf numFmtId="11" fontId="4" fillId="24" borderId="0" xfId="0" applyNumberFormat="1" applyFont="1" applyFill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0" fontId="5" fillId="6" borderId="0" xfId="0" applyFont="1" applyFill="1" applyAlignment="1">
      <alignment horizontal="center" wrapText="1"/>
    </xf>
    <xf numFmtId="14" fontId="5" fillId="6" borderId="0" xfId="0" applyNumberFormat="1" applyFont="1" applyFill="1" applyAlignment="1">
      <alignment horizontal="center" wrapText="1"/>
    </xf>
    <xf numFmtId="0" fontId="20" fillId="6" borderId="0" xfId="0" applyFont="1" applyFill="1" applyAlignment="1">
      <alignment horizontal="center" wrapText="1"/>
    </xf>
    <xf numFmtId="166" fontId="4" fillId="6" borderId="0" xfId="0" applyNumberFormat="1" applyFont="1" applyFill="1" applyAlignment="1">
      <alignment horizontal="center" wrapText="1"/>
    </xf>
    <xf numFmtId="11" fontId="1" fillId="6" borderId="0" xfId="0" applyNumberFormat="1" applyFont="1" applyFill="1" applyAlignment="1">
      <alignment horizontal="center" wrapText="1"/>
    </xf>
    <xf numFmtId="11" fontId="4" fillId="6" borderId="0" xfId="0" applyNumberFormat="1" applyFont="1" applyFill="1" applyAlignment="1">
      <alignment horizontal="center" wrapText="1"/>
    </xf>
    <xf numFmtId="11" fontId="5" fillId="6" borderId="0" xfId="0" applyNumberFormat="1" applyFont="1" applyFill="1" applyAlignment="1">
      <alignment horizontal="center" wrapText="1"/>
    </xf>
    <xf numFmtId="0" fontId="5" fillId="6" borderId="0" xfId="0" applyFont="1" applyFill="1" applyAlignment="1">
      <alignment horizontal="center" wrapText="1"/>
    </xf>
    <xf numFmtId="11" fontId="20" fillId="6" borderId="0" xfId="0" applyNumberFormat="1" applyFont="1" applyFill="1" applyAlignment="1">
      <alignment horizontal="center" wrapText="1"/>
    </xf>
    <xf numFmtId="0" fontId="5" fillId="46" borderId="0" xfId="0" applyFont="1" applyFill="1" applyAlignment="1">
      <alignment horizontal="left" wrapText="1"/>
    </xf>
    <xf numFmtId="11" fontId="4" fillId="0" borderId="0" xfId="0" applyNumberFormat="1" applyFont="1" applyAlignment="1">
      <alignment horizontal="center" wrapText="1"/>
    </xf>
    <xf numFmtId="0" fontId="23" fillId="6" borderId="0" xfId="0" applyFont="1" applyFill="1" applyAlignment="1">
      <alignment horizontal="center" wrapText="1"/>
    </xf>
    <xf numFmtId="14" fontId="23" fillId="6" borderId="0" xfId="0" applyNumberFormat="1" applyFont="1" applyFill="1" applyAlignment="1">
      <alignment horizontal="center" wrapText="1"/>
    </xf>
    <xf numFmtId="0" fontId="46" fillId="6" borderId="0" xfId="0" applyFont="1" applyFill="1" applyAlignment="1">
      <alignment horizontal="center" wrapText="1"/>
    </xf>
    <xf numFmtId="166" fontId="14" fillId="6" borderId="0" xfId="0" applyNumberFormat="1" applyFont="1" applyFill="1" applyAlignment="1">
      <alignment horizontal="center" wrapText="1"/>
    </xf>
    <xf numFmtId="14" fontId="4" fillId="5" borderId="0" xfId="0" applyNumberFormat="1" applyFont="1" applyFill="1" applyAlignment="1">
      <alignment horizontal="center" wrapText="1"/>
    </xf>
    <xf numFmtId="11" fontId="54" fillId="6" borderId="0" xfId="0" applyNumberFormat="1" applyFont="1" applyFill="1" applyAlignment="1">
      <alignment horizontal="center" wrapText="1"/>
    </xf>
    <xf numFmtId="0" fontId="3" fillId="32" borderId="0" xfId="0" applyFont="1" applyFill="1" applyAlignment="1">
      <alignment horizontal="left" wrapText="1"/>
    </xf>
    <xf numFmtId="11" fontId="14" fillId="6" borderId="0" xfId="0" applyNumberFormat="1" applyFont="1" applyFill="1" applyAlignment="1">
      <alignment horizontal="center" wrapText="1"/>
    </xf>
    <xf numFmtId="11" fontId="23" fillId="6" borderId="0" xfId="0" applyNumberFormat="1" applyFont="1" applyFill="1" applyAlignment="1">
      <alignment horizontal="center" wrapText="1"/>
    </xf>
    <xf numFmtId="0" fontId="23" fillId="6" borderId="0" xfId="0" applyFont="1" applyFill="1" applyAlignment="1">
      <alignment horizontal="center" wrapText="1"/>
    </xf>
    <xf numFmtId="14" fontId="5" fillId="32" borderId="0" xfId="0" applyNumberFormat="1" applyFont="1" applyFill="1" applyAlignment="1">
      <alignment horizontal="left" wrapText="1"/>
    </xf>
    <xf numFmtId="11" fontId="46" fillId="6" borderId="0" xfId="0" applyNumberFormat="1" applyFont="1" applyFill="1" applyAlignment="1">
      <alignment horizontal="center" wrapText="1"/>
    </xf>
    <xf numFmtId="0" fontId="20" fillId="14" borderId="0" xfId="0" applyFont="1" applyFill="1" applyAlignment="1">
      <alignment horizontal="center" wrapText="1"/>
    </xf>
    <xf numFmtId="164" fontId="10" fillId="24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11" fontId="20" fillId="6" borderId="0" xfId="0" applyNumberFormat="1" applyFont="1" applyFill="1" applyAlignment="1">
      <alignment horizontal="center" wrapText="1"/>
    </xf>
    <xf numFmtId="0" fontId="1" fillId="0" borderId="0" xfId="0" applyFont="1" applyAlignment="1">
      <alignment horizontal="center" wrapText="1"/>
    </xf>
    <xf numFmtId="14" fontId="4" fillId="20" borderId="0" xfId="0" applyNumberFormat="1" applyFont="1" applyFill="1" applyAlignment="1">
      <alignment horizontal="center" wrapText="1"/>
    </xf>
    <xf numFmtId="0" fontId="11" fillId="55" borderId="0" xfId="0" applyFont="1" applyFill="1" applyAlignment="1">
      <alignment horizontal="left" wrapText="1"/>
    </xf>
    <xf numFmtId="11" fontId="4" fillId="0" borderId="0" xfId="0" applyNumberFormat="1" applyFont="1" applyAlignment="1">
      <alignment horizontal="center" wrapText="1"/>
    </xf>
    <xf numFmtId="0" fontId="33" fillId="55" borderId="0" xfId="0" applyFont="1" applyFill="1" applyAlignment="1">
      <alignment horizontal="left" wrapText="1"/>
    </xf>
    <xf numFmtId="0" fontId="11" fillId="55" borderId="0" xfId="0" applyFont="1" applyFill="1" applyAlignment="1">
      <alignment horizontal="center" wrapText="1"/>
    </xf>
    <xf numFmtId="0" fontId="9" fillId="0" borderId="0" xfId="0" applyFont="1" applyAlignment="1">
      <alignment horizontal="center" wrapText="1"/>
    </xf>
    <xf numFmtId="0" fontId="20" fillId="39" borderId="0" xfId="0" applyFont="1" applyFill="1" applyAlignment="1">
      <alignment horizontal="center" wrapText="1"/>
    </xf>
    <xf numFmtId="166" fontId="5" fillId="39" borderId="0" xfId="0" applyNumberFormat="1" applyFont="1" applyFill="1" applyAlignment="1">
      <alignment horizontal="center" wrapText="1"/>
    </xf>
    <xf numFmtId="11" fontId="4" fillId="39" borderId="0" xfId="0" applyNumberFormat="1" applyFont="1" applyFill="1" applyAlignment="1">
      <alignment horizontal="center" wrapText="1"/>
    </xf>
    <xf numFmtId="0" fontId="10" fillId="55" borderId="0" xfId="0" applyFont="1" applyFill="1" applyAlignment="1">
      <alignment wrapText="1"/>
    </xf>
    <xf numFmtId="169" fontId="10" fillId="55" borderId="0" xfId="0" applyNumberFormat="1" applyFont="1" applyFill="1" applyAlignment="1">
      <alignment horizontal="center" wrapText="1"/>
    </xf>
    <xf numFmtId="164" fontId="10" fillId="55" borderId="0" xfId="0" applyNumberFormat="1" applyFont="1" applyFill="1" applyAlignment="1">
      <alignment horizontal="left" wrapText="1"/>
    </xf>
    <xf numFmtId="0" fontId="10" fillId="55" borderId="0" xfId="0" applyFont="1" applyFill="1" applyAlignment="1">
      <alignment wrapText="1"/>
    </xf>
    <xf numFmtId="166" fontId="5" fillId="6" borderId="0" xfId="0" applyNumberFormat="1" applyFont="1" applyFill="1" applyAlignment="1">
      <alignment horizontal="center" wrapText="1"/>
    </xf>
    <xf numFmtId="11" fontId="4" fillId="6" borderId="0" xfId="0" applyNumberFormat="1" applyFont="1" applyFill="1" applyAlignment="1">
      <alignment horizontal="center" wrapText="1"/>
    </xf>
    <xf numFmtId="11" fontId="10" fillId="4" borderId="0" xfId="0" applyNumberFormat="1" applyFont="1" applyFill="1" applyAlignment="1">
      <alignment horizontal="center" wrapText="1"/>
    </xf>
    <xf numFmtId="0" fontId="10" fillId="27" borderId="0" xfId="0" applyFont="1" applyFill="1" applyAlignment="1">
      <alignment horizontal="center" wrapText="1"/>
    </xf>
    <xf numFmtId="0" fontId="10" fillId="27" borderId="0" xfId="0" applyFont="1" applyFill="1" applyAlignment="1">
      <alignment horizontal="center" wrapText="1"/>
    </xf>
    <xf numFmtId="165" fontId="10" fillId="27" borderId="0" xfId="0" applyNumberFormat="1" applyFont="1" applyFill="1" applyAlignment="1">
      <alignment horizontal="center" wrapText="1"/>
    </xf>
    <xf numFmtId="166" fontId="10" fillId="27" borderId="0" xfId="0" applyNumberFormat="1" applyFont="1" applyFill="1" applyAlignment="1">
      <alignment horizontal="center" wrapText="1"/>
    </xf>
    <xf numFmtId="0" fontId="3" fillId="36" borderId="0" xfId="0" applyFont="1" applyFill="1" applyAlignment="1">
      <alignment horizontal="left" wrapText="1"/>
    </xf>
    <xf numFmtId="0" fontId="11" fillId="27" borderId="0" xfId="0" applyFont="1" applyFill="1" applyAlignment="1">
      <alignment horizontal="center" wrapText="1"/>
    </xf>
    <xf numFmtId="165" fontId="5" fillId="36" borderId="0" xfId="0" applyNumberFormat="1" applyFont="1" applyFill="1" applyAlignment="1">
      <alignment horizontal="center" wrapText="1"/>
    </xf>
    <xf numFmtId="11" fontId="11" fillId="27" borderId="0" xfId="0" applyNumberFormat="1" applyFont="1" applyFill="1" applyAlignment="1">
      <alignment horizontal="center" wrapText="1"/>
    </xf>
    <xf numFmtId="0" fontId="20" fillId="36" borderId="0" xfId="0" applyFont="1" applyFill="1" applyAlignment="1">
      <alignment horizontal="center" wrapText="1"/>
    </xf>
    <xf numFmtId="14" fontId="4" fillId="43" borderId="0" xfId="0" applyNumberFormat="1" applyFont="1" applyFill="1" applyAlignment="1">
      <alignment horizontal="center" wrapText="1"/>
    </xf>
    <xf numFmtId="0" fontId="20" fillId="0" borderId="0" xfId="0" applyFont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0" fontId="1" fillId="43" borderId="0" xfId="0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9" fillId="43" borderId="0" xfId="0" applyFont="1" applyFill="1" applyAlignment="1">
      <alignment horizontal="center" wrapText="1"/>
    </xf>
    <xf numFmtId="11" fontId="16" fillId="0" borderId="0" xfId="0" applyNumberFormat="1" applyFont="1" applyAlignment="1">
      <alignment horizontal="center"/>
    </xf>
    <xf numFmtId="0" fontId="3" fillId="16" borderId="0" xfId="0" applyFont="1" applyFill="1" applyAlignment="1">
      <alignment horizontal="left" wrapText="1"/>
    </xf>
    <xf numFmtId="169" fontId="5" fillId="16" borderId="0" xfId="0" applyNumberFormat="1" applyFont="1" applyFill="1" applyAlignment="1">
      <alignment horizontal="center" wrapText="1"/>
    </xf>
    <xf numFmtId="166" fontId="10" fillId="20" borderId="0" xfId="0" applyNumberFormat="1" applyFont="1" applyFill="1" applyAlignment="1">
      <alignment horizontal="center" wrapText="1"/>
    </xf>
    <xf numFmtId="164" fontId="55" fillId="20" borderId="0" xfId="0" applyNumberFormat="1" applyFont="1" applyFill="1" applyAlignment="1">
      <alignment horizontal="center" wrapText="1"/>
    </xf>
    <xf numFmtId="0" fontId="1" fillId="16" borderId="0" xfId="0" applyFont="1" applyFill="1" applyAlignment="1">
      <alignment horizontal="center" wrapText="1"/>
    </xf>
    <xf numFmtId="11" fontId="11" fillId="20" borderId="0" xfId="0" applyNumberFormat="1" applyFont="1" applyFill="1" applyAlignment="1">
      <alignment horizontal="center" wrapText="1"/>
    </xf>
    <xf numFmtId="165" fontId="5" fillId="16" borderId="0" xfId="0" applyNumberFormat="1" applyFont="1" applyFill="1" applyAlignment="1">
      <alignment horizontal="center" wrapText="1"/>
    </xf>
    <xf numFmtId="14" fontId="10" fillId="20" borderId="0" xfId="0" applyNumberFormat="1" applyFont="1" applyFill="1" applyAlignment="1">
      <alignment horizontal="center" wrapText="1"/>
    </xf>
    <xf numFmtId="14" fontId="5" fillId="16" borderId="0" xfId="0" applyNumberFormat="1" applyFont="1" applyFill="1" applyAlignment="1">
      <alignment horizontal="center" wrapText="1"/>
    </xf>
    <xf numFmtId="0" fontId="5" fillId="16" borderId="0" xfId="0" applyFont="1" applyFill="1" applyAlignment="1">
      <alignment horizontal="left" wrapText="1"/>
    </xf>
    <xf numFmtId="165" fontId="10" fillId="11" borderId="0" xfId="0" applyNumberFormat="1" applyFont="1" applyFill="1" applyAlignment="1">
      <alignment horizontal="center" wrapText="1"/>
    </xf>
    <xf numFmtId="11" fontId="11" fillId="11" borderId="0" xfId="0" applyNumberFormat="1" applyFont="1" applyFill="1" applyAlignment="1">
      <alignment horizontal="center" wrapText="1"/>
    </xf>
    <xf numFmtId="0" fontId="5" fillId="54" borderId="0" xfId="0" applyFont="1" applyFill="1" applyAlignment="1">
      <alignment wrapText="1"/>
    </xf>
    <xf numFmtId="0" fontId="5" fillId="7" borderId="0" xfId="0" applyFont="1" applyFill="1" applyAlignment="1">
      <alignment horizontal="center" wrapText="1"/>
    </xf>
    <xf numFmtId="14" fontId="5" fillId="7" borderId="0" xfId="0" applyNumberFormat="1" applyFont="1" applyFill="1" applyAlignment="1">
      <alignment horizontal="center" wrapText="1"/>
    </xf>
    <xf numFmtId="164" fontId="24" fillId="20" borderId="0" xfId="0" applyNumberFormat="1" applyFont="1" applyFill="1" applyAlignment="1">
      <alignment horizontal="center" wrapText="1"/>
    </xf>
    <xf numFmtId="0" fontId="5" fillId="54" borderId="0" xfId="0" applyFont="1" applyFill="1" applyAlignment="1">
      <alignment wrapText="1"/>
    </xf>
    <xf numFmtId="0" fontId="10" fillId="20" borderId="0" xfId="0" applyFont="1" applyFill="1" applyAlignment="1">
      <alignment horizontal="center" wrapText="1"/>
    </xf>
    <xf numFmtId="0" fontId="20" fillId="7" borderId="0" xfId="0" applyFont="1" applyFill="1" applyAlignment="1">
      <alignment horizontal="center" wrapText="1"/>
    </xf>
    <xf numFmtId="11" fontId="16" fillId="7" borderId="0" xfId="0" applyNumberFormat="1" applyFont="1" applyFill="1" applyAlignment="1">
      <alignment horizontal="center"/>
    </xf>
    <xf numFmtId="0" fontId="5" fillId="64" borderId="0" xfId="0" applyFont="1" applyFill="1" applyAlignment="1">
      <alignment wrapText="1"/>
    </xf>
    <xf numFmtId="0" fontId="5" fillId="7" borderId="0" xfId="0" applyFont="1" applyFill="1" applyAlignment="1">
      <alignment horizontal="center" wrapText="1"/>
    </xf>
    <xf numFmtId="11" fontId="20" fillId="7" borderId="0" xfId="0" applyNumberFormat="1" applyFont="1" applyFill="1" applyAlignment="1">
      <alignment horizontal="center" wrapText="1"/>
    </xf>
    <xf numFmtId="0" fontId="5" fillId="64" borderId="0" xfId="0" applyFont="1" applyFill="1" applyAlignment="1">
      <alignment wrapText="1"/>
    </xf>
    <xf numFmtId="0" fontId="1" fillId="67" borderId="0" xfId="0" applyFont="1" applyFill="1" applyAlignment="1">
      <alignment horizontal="left" wrapText="1"/>
    </xf>
    <xf numFmtId="11" fontId="16" fillId="36" borderId="0" xfId="0" applyNumberFormat="1" applyFont="1" applyFill="1" applyAlignment="1">
      <alignment horizontal="center"/>
    </xf>
    <xf numFmtId="0" fontId="4" fillId="0" borderId="0" xfId="0" applyFont="1" applyAlignment="1">
      <alignment horizontal="center" wrapText="1"/>
    </xf>
    <xf numFmtId="0" fontId="3" fillId="67" borderId="0" xfId="0" applyFont="1" applyFill="1" applyAlignment="1">
      <alignment horizontal="left" wrapText="1"/>
    </xf>
    <xf numFmtId="0" fontId="1" fillId="67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5" fillId="67" borderId="0" xfId="0" applyFont="1" applyFill="1" applyAlignment="1">
      <alignment wrapText="1"/>
    </xf>
    <xf numFmtId="165" fontId="5" fillId="67" borderId="0" xfId="0" applyNumberFormat="1" applyFont="1" applyFill="1" applyAlignment="1">
      <alignment horizontal="center" wrapText="1"/>
    </xf>
    <xf numFmtId="164" fontId="5" fillId="67" borderId="0" xfId="0" applyNumberFormat="1" applyFont="1" applyFill="1" applyAlignment="1">
      <alignment horizontal="left" wrapText="1"/>
    </xf>
    <xf numFmtId="0" fontId="16" fillId="0" borderId="0" xfId="0" applyFont="1" applyAlignment="1">
      <alignment horizontal="center"/>
    </xf>
    <xf numFmtId="165" fontId="4" fillId="4" borderId="0" xfId="0" applyNumberFormat="1" applyFont="1" applyFill="1" applyAlignment="1">
      <alignment horizontal="center" wrapText="1"/>
    </xf>
    <xf numFmtId="168" fontId="5" fillId="0" borderId="0" xfId="0" applyNumberFormat="1" applyFont="1" applyAlignment="1">
      <alignment horizontal="center" wrapText="1"/>
    </xf>
    <xf numFmtId="0" fontId="5" fillId="67" borderId="0" xfId="0" applyFont="1" applyFill="1" applyAlignment="1">
      <alignment wrapText="1"/>
    </xf>
    <xf numFmtId="169" fontId="5" fillId="67" borderId="0" xfId="0" applyNumberFormat="1" applyFont="1" applyFill="1" applyAlignment="1">
      <alignment horizontal="center" wrapText="1"/>
    </xf>
    <xf numFmtId="0" fontId="5" fillId="67" borderId="0" xfId="0" applyFont="1" applyFill="1" applyAlignment="1">
      <alignment wrapText="1"/>
    </xf>
    <xf numFmtId="0" fontId="1" fillId="68" borderId="0" xfId="0" applyFont="1" applyFill="1" applyAlignment="1">
      <alignment horizontal="left" wrapText="1"/>
    </xf>
    <xf numFmtId="0" fontId="3" fillId="68" borderId="0" xfId="0" applyFont="1" applyFill="1" applyAlignment="1">
      <alignment horizontal="left" wrapText="1"/>
    </xf>
    <xf numFmtId="0" fontId="1" fillId="68" borderId="0" xfId="0" applyFont="1" applyFill="1" applyAlignment="1">
      <alignment horizontal="center" wrapText="1"/>
    </xf>
    <xf numFmtId="0" fontId="5" fillId="68" borderId="0" xfId="0" applyFont="1" applyFill="1" applyAlignment="1">
      <alignment wrapText="1"/>
    </xf>
    <xf numFmtId="165" fontId="5" fillId="68" borderId="0" xfId="0" applyNumberFormat="1" applyFont="1" applyFill="1" applyAlignment="1">
      <alignment horizontal="center" wrapText="1"/>
    </xf>
    <xf numFmtId="164" fontId="5" fillId="68" borderId="0" xfId="0" applyNumberFormat="1" applyFont="1" applyFill="1" applyAlignment="1">
      <alignment horizontal="left" wrapText="1"/>
    </xf>
    <xf numFmtId="0" fontId="5" fillId="68" borderId="0" xfId="0" applyFont="1" applyFill="1" applyAlignment="1">
      <alignment wrapText="1"/>
    </xf>
    <xf numFmtId="169" fontId="5" fillId="68" borderId="0" xfId="0" applyNumberFormat="1" applyFont="1" applyFill="1" applyAlignment="1">
      <alignment horizontal="center" wrapText="1"/>
    </xf>
    <xf numFmtId="0" fontId="5" fillId="68" borderId="0" xfId="0" applyFont="1" applyFill="1" applyAlignment="1">
      <alignment wrapText="1"/>
    </xf>
    <xf numFmtId="0" fontId="11" fillId="19" borderId="0" xfId="0" applyFont="1" applyFill="1" applyAlignment="1">
      <alignment horizontal="left" wrapText="1"/>
    </xf>
    <xf numFmtId="0" fontId="5" fillId="12" borderId="0" xfId="0" applyFont="1" applyFill="1" applyAlignment="1">
      <alignment horizontal="center" wrapText="1"/>
    </xf>
    <xf numFmtId="0" fontId="33" fillId="19" borderId="0" xfId="0" applyFont="1" applyFill="1" applyAlignment="1">
      <alignment horizontal="left" wrapText="1"/>
    </xf>
    <xf numFmtId="14" fontId="5" fillId="12" borderId="0" xfId="0" applyNumberFormat="1" applyFont="1" applyFill="1" applyAlignment="1">
      <alignment horizontal="center" wrapText="1"/>
    </xf>
    <xf numFmtId="0" fontId="20" fillId="12" borderId="0" xfId="0" applyFont="1" applyFill="1" applyAlignment="1">
      <alignment horizontal="center" wrapText="1"/>
    </xf>
    <xf numFmtId="166" fontId="5" fillId="12" borderId="0" xfId="0" applyNumberFormat="1" applyFont="1" applyFill="1" applyAlignment="1">
      <alignment horizontal="center" wrapText="1"/>
    </xf>
    <xf numFmtId="11" fontId="16" fillId="12" borderId="0" xfId="0" applyNumberFormat="1" applyFont="1" applyFill="1" applyAlignment="1">
      <alignment horizontal="center"/>
    </xf>
    <xf numFmtId="0" fontId="5" fillId="12" borderId="0" xfId="0" applyFont="1" applyFill="1" applyAlignment="1">
      <alignment horizontal="center" wrapText="1"/>
    </xf>
    <xf numFmtId="0" fontId="11" fillId="19" borderId="0" xfId="0" applyFont="1" applyFill="1" applyAlignment="1">
      <alignment horizontal="center" wrapText="1"/>
    </xf>
    <xf numFmtId="0" fontId="10" fillId="19" borderId="0" xfId="0" applyFont="1" applyFill="1" applyAlignment="1">
      <alignment wrapText="1"/>
    </xf>
    <xf numFmtId="11" fontId="20" fillId="12" borderId="0" xfId="0" applyNumberFormat="1" applyFont="1" applyFill="1" applyAlignment="1">
      <alignment horizontal="center" wrapText="1"/>
    </xf>
    <xf numFmtId="169" fontId="10" fillId="19" borderId="0" xfId="0" applyNumberFormat="1" applyFont="1" applyFill="1" applyAlignment="1">
      <alignment horizontal="center" wrapText="1"/>
    </xf>
    <xf numFmtId="164" fontId="10" fillId="19" borderId="0" xfId="0" applyNumberFormat="1" applyFont="1" applyFill="1" applyAlignment="1">
      <alignment horizontal="left" wrapText="1"/>
    </xf>
    <xf numFmtId="0" fontId="3" fillId="19" borderId="0" xfId="0" applyFont="1" applyFill="1" applyAlignment="1">
      <alignment horizontal="left" wrapText="1"/>
    </xf>
    <xf numFmtId="0" fontId="4" fillId="3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11" fontId="5" fillId="12" borderId="0" xfId="0" applyNumberFormat="1" applyFont="1" applyFill="1" applyAlignment="1">
      <alignment horizontal="center" wrapText="1"/>
    </xf>
    <xf numFmtId="0" fontId="3" fillId="21" borderId="0" xfId="0" applyFont="1" applyFill="1" applyAlignment="1">
      <alignment horizontal="left" wrapText="1"/>
    </xf>
    <xf numFmtId="169" fontId="5" fillId="21" borderId="0" xfId="0" applyNumberFormat="1" applyFont="1" applyFill="1" applyAlignment="1">
      <alignment horizontal="center" wrapText="1"/>
    </xf>
    <xf numFmtId="0" fontId="5" fillId="12" borderId="0" xfId="0" applyFont="1" applyFill="1" applyAlignment="1">
      <alignment horizontal="center" wrapText="1"/>
    </xf>
    <xf numFmtId="0" fontId="1" fillId="69" borderId="0" xfId="0" applyFont="1" applyFill="1" applyAlignment="1">
      <alignment horizontal="left" wrapText="1"/>
    </xf>
    <xf numFmtId="0" fontId="3" fillId="69" borderId="0" xfId="0" applyFont="1" applyFill="1" applyAlignment="1">
      <alignment horizontal="left" wrapText="1"/>
    </xf>
    <xf numFmtId="0" fontId="1" fillId="69" borderId="0" xfId="0" applyFont="1" applyFill="1" applyAlignment="1">
      <alignment horizontal="center" wrapText="1"/>
    </xf>
    <xf numFmtId="0" fontId="5" fillId="69" borderId="0" xfId="0" applyFont="1" applyFill="1" applyAlignment="1">
      <alignment wrapText="1"/>
    </xf>
    <xf numFmtId="169" fontId="5" fillId="69" borderId="0" xfId="0" applyNumberFormat="1" applyFont="1" applyFill="1" applyAlignment="1">
      <alignment horizontal="center" wrapText="1"/>
    </xf>
    <xf numFmtId="164" fontId="5" fillId="69" borderId="0" xfId="0" applyNumberFormat="1" applyFont="1" applyFill="1" applyAlignment="1">
      <alignment horizontal="left" wrapText="1"/>
    </xf>
    <xf numFmtId="0" fontId="10" fillId="11" borderId="0" xfId="0" applyFont="1" applyFill="1" applyAlignment="1">
      <alignment horizontal="center" wrapText="1"/>
    </xf>
    <xf numFmtId="165" fontId="10" fillId="11" borderId="0" xfId="0" applyNumberFormat="1" applyFont="1" applyFill="1" applyAlignment="1">
      <alignment horizontal="center" wrapText="1"/>
    </xf>
    <xf numFmtId="0" fontId="1" fillId="50" borderId="0" xfId="0" applyFont="1" applyFill="1" applyAlignment="1">
      <alignment horizontal="left" wrapText="1"/>
    </xf>
    <xf numFmtId="166" fontId="10" fillId="11" borderId="0" xfId="0" applyNumberFormat="1" applyFont="1" applyFill="1" applyAlignment="1">
      <alignment horizontal="center" wrapText="1"/>
    </xf>
    <xf numFmtId="0" fontId="5" fillId="14" borderId="0" xfId="0" applyFont="1" applyFill="1" applyAlignment="1">
      <alignment horizontal="center" wrapText="1"/>
    </xf>
    <xf numFmtId="0" fontId="3" fillId="50" borderId="0" xfId="0" applyFont="1" applyFill="1" applyAlignment="1">
      <alignment horizontal="left" wrapText="1"/>
    </xf>
    <xf numFmtId="0" fontId="5" fillId="14" borderId="0" xfId="0" applyFont="1" applyFill="1" applyAlignment="1">
      <alignment horizontal="center" wrapText="1"/>
    </xf>
    <xf numFmtId="0" fontId="1" fillId="50" borderId="0" xfId="0" applyFont="1" applyFill="1" applyAlignment="1">
      <alignment horizontal="center" wrapText="1"/>
    </xf>
    <xf numFmtId="165" fontId="5" fillId="50" borderId="0" xfId="0" applyNumberFormat="1" applyFont="1" applyFill="1" applyAlignment="1">
      <alignment horizontal="center" wrapText="1"/>
    </xf>
    <xf numFmtId="164" fontId="5" fillId="50" borderId="0" xfId="0" applyNumberFormat="1" applyFont="1" applyFill="1" applyAlignment="1">
      <alignment horizontal="left" wrapText="1"/>
    </xf>
    <xf numFmtId="11" fontId="11" fillId="11" borderId="0" xfId="0" applyNumberFormat="1" applyFont="1" applyFill="1" applyAlignment="1">
      <alignment horizontal="center" wrapText="1"/>
    </xf>
    <xf numFmtId="169" fontId="5" fillId="50" borderId="0" xfId="0" applyNumberFormat="1" applyFont="1" applyFill="1" applyAlignment="1">
      <alignment horizontal="center" wrapText="1"/>
    </xf>
    <xf numFmtId="14" fontId="10" fillId="11" borderId="0" xfId="0" applyNumberFormat="1" applyFont="1" applyFill="1" applyAlignment="1">
      <alignment horizontal="center" wrapText="1"/>
    </xf>
    <xf numFmtId="0" fontId="1" fillId="70" borderId="0" xfId="0" applyFont="1" applyFill="1" applyAlignment="1">
      <alignment horizontal="left" wrapText="1"/>
    </xf>
    <xf numFmtId="0" fontId="10" fillId="11" borderId="0" xfId="0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0" fontId="3" fillId="70" borderId="0" xfId="0" applyFont="1" applyFill="1" applyAlignment="1">
      <alignment horizontal="left" wrapText="1"/>
    </xf>
    <xf numFmtId="0" fontId="5" fillId="42" borderId="0" xfId="0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0" fontId="1" fillId="70" borderId="0" xfId="0" applyFont="1" applyFill="1" applyAlignment="1">
      <alignment horizontal="center" wrapText="1"/>
    </xf>
    <xf numFmtId="11" fontId="16" fillId="34" borderId="0" xfId="0" applyNumberFormat="1" applyFont="1" applyFill="1" applyAlignment="1">
      <alignment horizontal="center"/>
    </xf>
    <xf numFmtId="0" fontId="5" fillId="70" borderId="0" xfId="0" applyFont="1" applyFill="1" applyAlignment="1">
      <alignment wrapText="1"/>
    </xf>
    <xf numFmtId="0" fontId="5" fillId="38" borderId="0" xfId="0" applyFont="1" applyFill="1" applyAlignment="1">
      <alignment horizontal="center" wrapText="1"/>
    </xf>
    <xf numFmtId="165" fontId="4" fillId="18" borderId="0" xfId="0" applyNumberFormat="1" applyFont="1" applyFill="1" applyAlignment="1">
      <alignment horizontal="center" wrapText="1"/>
    </xf>
    <xf numFmtId="165" fontId="5" fillId="70" borderId="0" xfId="0" applyNumberFormat="1" applyFont="1" applyFill="1" applyAlignment="1">
      <alignment horizontal="center" wrapText="1"/>
    </xf>
    <xf numFmtId="0" fontId="5" fillId="42" borderId="0" xfId="0" applyFont="1" applyFill="1" applyAlignment="1">
      <alignment horizontal="center" wrapText="1"/>
    </xf>
    <xf numFmtId="164" fontId="5" fillId="70" borderId="0" xfId="0" applyNumberFormat="1" applyFont="1" applyFill="1" applyAlignment="1">
      <alignment horizontal="left" wrapText="1"/>
    </xf>
    <xf numFmtId="11" fontId="16" fillId="34" borderId="2" xfId="0" applyNumberFormat="1" applyFont="1" applyFill="1" applyBorder="1" applyAlignment="1">
      <alignment horizontal="center"/>
    </xf>
    <xf numFmtId="0" fontId="5" fillId="70" borderId="0" xfId="0" applyFont="1" applyFill="1" applyAlignment="1">
      <alignment wrapText="1"/>
    </xf>
    <xf numFmtId="11" fontId="1" fillId="18" borderId="0" xfId="0" applyNumberFormat="1" applyFont="1" applyFill="1" applyAlignment="1">
      <alignment horizontal="center" wrapText="1"/>
    </xf>
    <xf numFmtId="14" fontId="4" fillId="18" borderId="0" xfId="0" applyNumberFormat="1" applyFont="1" applyFill="1" applyAlignment="1">
      <alignment horizontal="center" wrapText="1"/>
    </xf>
    <xf numFmtId="0" fontId="4" fillId="11" borderId="0" xfId="0" applyFont="1" applyFill="1" applyAlignment="1">
      <alignment horizontal="center" wrapText="1"/>
    </xf>
    <xf numFmtId="11" fontId="16" fillId="14" borderId="0" xfId="0" applyNumberFormat="1" applyFont="1" applyFill="1" applyAlignment="1">
      <alignment horizontal="center"/>
    </xf>
    <xf numFmtId="0" fontId="11" fillId="70" borderId="0" xfId="0" applyFont="1" applyFill="1" applyAlignment="1">
      <alignment horizontal="left" wrapText="1"/>
    </xf>
    <xf numFmtId="14" fontId="4" fillId="11" borderId="0" xfId="0" applyNumberFormat="1" applyFont="1" applyFill="1" applyAlignment="1">
      <alignment horizontal="center" wrapText="1"/>
    </xf>
    <xf numFmtId="0" fontId="33" fillId="70" borderId="0" xfId="0" applyFont="1" applyFill="1" applyAlignment="1">
      <alignment horizontal="left" wrapText="1"/>
    </xf>
    <xf numFmtId="0" fontId="4" fillId="2" borderId="0" xfId="0" applyFont="1" applyFill="1" applyAlignment="1">
      <alignment horizontal="center" wrapText="1"/>
    </xf>
    <xf numFmtId="0" fontId="11" fillId="70" borderId="0" xfId="0" applyFont="1" applyFill="1" applyAlignment="1">
      <alignment horizontal="center" wrapText="1"/>
    </xf>
    <xf numFmtId="0" fontId="10" fillId="70" borderId="0" xfId="0" applyFont="1" applyFill="1" applyAlignment="1">
      <alignment wrapText="1"/>
    </xf>
    <xf numFmtId="169" fontId="10" fillId="70" borderId="0" xfId="0" applyNumberFormat="1" applyFont="1" applyFill="1" applyAlignment="1">
      <alignment horizontal="center" wrapText="1"/>
    </xf>
    <xf numFmtId="11" fontId="16" fillId="14" borderId="2" xfId="0" applyNumberFormat="1" applyFont="1" applyFill="1" applyBorder="1" applyAlignment="1">
      <alignment horizontal="center"/>
    </xf>
    <xf numFmtId="164" fontId="10" fillId="70" borderId="0" xfId="0" applyNumberFormat="1" applyFont="1" applyFill="1" applyAlignment="1">
      <alignment horizontal="left" wrapText="1"/>
    </xf>
    <xf numFmtId="0" fontId="4" fillId="17" borderId="0" xfId="0" applyFont="1" applyFill="1" applyAlignment="1">
      <alignment horizontal="center" wrapText="1"/>
    </xf>
    <xf numFmtId="0" fontId="4" fillId="17" borderId="0" xfId="0" applyFont="1" applyFill="1" applyAlignment="1">
      <alignment horizontal="center" wrapText="1"/>
    </xf>
    <xf numFmtId="169" fontId="5" fillId="70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wrapText="1"/>
    </xf>
    <xf numFmtId="0" fontId="3" fillId="45" borderId="0" xfId="0" applyFont="1" applyFill="1" applyAlignment="1">
      <alignment horizontal="left" wrapText="1"/>
    </xf>
    <xf numFmtId="0" fontId="9" fillId="43" borderId="0" xfId="0" applyFont="1" applyFill="1" applyAlignment="1">
      <alignment horizontal="center" wrapText="1"/>
    </xf>
    <xf numFmtId="0" fontId="9" fillId="37" borderId="0" xfId="0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5" fillId="50" borderId="0" xfId="0" applyFont="1" applyFill="1" applyAlignment="1">
      <alignment wrapText="1"/>
    </xf>
    <xf numFmtId="0" fontId="3" fillId="9" borderId="0" xfId="0" applyFont="1" applyFill="1" applyAlignment="1">
      <alignment horizontal="left" wrapText="1"/>
    </xf>
    <xf numFmtId="164" fontId="11" fillId="14" borderId="0" xfId="0" applyNumberFormat="1" applyFont="1" applyFill="1" applyAlignment="1">
      <alignment horizontal="center" wrapText="1"/>
    </xf>
    <xf numFmtId="169" fontId="5" fillId="9" borderId="0" xfId="0" applyNumberFormat="1" applyFont="1" applyFill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165" fontId="5" fillId="52" borderId="0" xfId="0" applyNumberFormat="1" applyFont="1" applyFill="1" applyAlignment="1">
      <alignment horizontal="center" wrapText="1"/>
    </xf>
    <xf numFmtId="14" fontId="10" fillId="0" borderId="0" xfId="0" applyNumberFormat="1" applyFont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5" fillId="52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5" fillId="52" borderId="0" xfId="0" applyFont="1" applyFill="1" applyAlignment="1">
      <alignment horizontal="left" wrapText="1"/>
    </xf>
    <xf numFmtId="0" fontId="4" fillId="12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3" fillId="4" borderId="0" xfId="0" applyFont="1" applyFill="1" applyAlignment="1">
      <alignment horizontal="left" wrapText="1"/>
    </xf>
    <xf numFmtId="14" fontId="4" fillId="12" borderId="0" xfId="0" applyNumberFormat="1" applyFont="1" applyFill="1" applyAlignment="1">
      <alignment horizontal="center" wrapText="1"/>
    </xf>
    <xf numFmtId="166" fontId="4" fillId="12" borderId="0" xfId="0" applyNumberFormat="1" applyFont="1" applyFill="1" applyAlignment="1">
      <alignment horizontal="center" wrapText="1"/>
    </xf>
    <xf numFmtId="166" fontId="4" fillId="12" borderId="0" xfId="0" applyNumberFormat="1" applyFont="1" applyFill="1" applyAlignment="1">
      <alignment horizontal="center" wrapText="1"/>
    </xf>
    <xf numFmtId="0" fontId="3" fillId="49" borderId="0" xfId="0" applyFont="1" applyFill="1" applyAlignment="1">
      <alignment horizontal="left" wrapText="1"/>
    </xf>
    <xf numFmtId="0" fontId="16" fillId="39" borderId="0" xfId="0" applyFont="1" applyFill="1" applyAlignment="1">
      <alignment horizontal="center"/>
    </xf>
    <xf numFmtId="0" fontId="5" fillId="49" borderId="0" xfId="0" applyFont="1" applyFill="1" applyAlignment="1">
      <alignment horizontal="center" wrapText="1"/>
    </xf>
    <xf numFmtId="11" fontId="5" fillId="39" borderId="0" xfId="0" applyNumberFormat="1" applyFont="1" applyFill="1" applyAlignment="1">
      <alignment horizontal="center" wrapText="1"/>
    </xf>
    <xf numFmtId="0" fontId="5" fillId="49" borderId="0" xfId="0" applyFont="1" applyFill="1" applyAlignment="1">
      <alignment horizontal="left" wrapText="1"/>
    </xf>
    <xf numFmtId="11" fontId="16" fillId="39" borderId="0" xfId="0" applyNumberFormat="1" applyFont="1" applyFill="1" applyAlignment="1">
      <alignment horizontal="center"/>
    </xf>
    <xf numFmtId="164" fontId="1" fillId="12" borderId="0" xfId="0" applyNumberFormat="1" applyFont="1" applyFill="1" applyAlignment="1">
      <alignment horizontal="center" wrapText="1"/>
    </xf>
    <xf numFmtId="164" fontId="4" fillId="12" borderId="0" xfId="0" applyNumberFormat="1" applyFont="1" applyFill="1" applyAlignment="1">
      <alignment horizontal="center" wrapText="1"/>
    </xf>
    <xf numFmtId="11" fontId="4" fillId="12" borderId="0" xfId="0" applyNumberFormat="1" applyFont="1" applyFill="1" applyAlignment="1">
      <alignment horizontal="center" wrapText="1"/>
    </xf>
    <xf numFmtId="168" fontId="16" fillId="0" borderId="0" xfId="0" applyNumberFormat="1" applyFont="1" applyAlignment="1">
      <alignment horizontal="center"/>
    </xf>
    <xf numFmtId="165" fontId="5" fillId="6" borderId="0" xfId="0" applyNumberFormat="1" applyFont="1" applyFill="1" applyAlignment="1">
      <alignment horizontal="center" wrapText="1"/>
    </xf>
    <xf numFmtId="11" fontId="1" fillId="12" borderId="0" xfId="0" applyNumberFormat="1" applyFont="1" applyFill="1" applyAlignment="1">
      <alignment horizontal="center" wrapText="1"/>
    </xf>
    <xf numFmtId="11" fontId="4" fillId="12" borderId="0" xfId="0" applyNumberFormat="1" applyFont="1" applyFill="1" applyAlignment="1">
      <alignment horizontal="center" wrapText="1"/>
    </xf>
    <xf numFmtId="11" fontId="4" fillId="12" borderId="0" xfId="0" applyNumberFormat="1" applyFont="1" applyFill="1" applyAlignment="1">
      <alignment horizontal="center" wrapText="1"/>
    </xf>
    <xf numFmtId="164" fontId="9" fillId="12" borderId="0" xfId="0" applyNumberFormat="1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3" fillId="44" borderId="0" xfId="0" applyFont="1" applyFill="1" applyAlignment="1">
      <alignment horizontal="left" wrapText="1"/>
    </xf>
    <xf numFmtId="165" fontId="5" fillId="44" borderId="0" xfId="0" applyNumberFormat="1" applyFont="1" applyFill="1" applyAlignment="1">
      <alignment horizontal="center" wrapText="1"/>
    </xf>
    <xf numFmtId="169" fontId="5" fillId="44" borderId="0" xfId="0" applyNumberFormat="1" applyFont="1" applyFill="1" applyAlignment="1">
      <alignment horizontal="center" wrapText="1"/>
    </xf>
    <xf numFmtId="0" fontId="9" fillId="12" borderId="0" xfId="0" applyFont="1" applyFill="1" applyAlignment="1">
      <alignment horizontal="center" wrapText="1"/>
    </xf>
    <xf numFmtId="11" fontId="20" fillId="67" borderId="0" xfId="0" applyNumberFormat="1" applyFont="1" applyFill="1" applyAlignment="1">
      <alignment horizontal="center" wrapText="1"/>
    </xf>
    <xf numFmtId="0" fontId="3" fillId="15" borderId="0" xfId="0" applyFont="1" applyFill="1" applyAlignment="1">
      <alignment horizontal="left" wrapText="1"/>
    </xf>
    <xf numFmtId="165" fontId="5" fillId="15" borderId="0" xfId="0" applyNumberFormat="1" applyFont="1" applyFill="1" applyAlignment="1">
      <alignment horizontal="center" wrapText="1"/>
    </xf>
    <xf numFmtId="0" fontId="11" fillId="15" borderId="0" xfId="0" applyFont="1" applyFill="1" applyAlignment="1">
      <alignment horizontal="left" wrapText="1"/>
    </xf>
    <xf numFmtId="0" fontId="33" fillId="15" borderId="0" xfId="0" applyFont="1" applyFill="1" applyAlignment="1">
      <alignment horizontal="left" wrapText="1"/>
    </xf>
    <xf numFmtId="0" fontId="16" fillId="0" borderId="0" xfId="0" applyFont="1" applyAlignment="1">
      <alignment horizontal="center"/>
    </xf>
    <xf numFmtId="0" fontId="11" fillId="15" borderId="0" xfId="0" applyFont="1" applyFill="1" applyAlignment="1">
      <alignment horizontal="center" wrapText="1"/>
    </xf>
    <xf numFmtId="0" fontId="12" fillId="15" borderId="0" xfId="0" applyFont="1" applyFill="1" applyAlignment="1">
      <alignment wrapText="1"/>
    </xf>
    <xf numFmtId="169" fontId="12" fillId="15" borderId="0" xfId="0" applyNumberFormat="1" applyFont="1" applyFill="1" applyAlignment="1">
      <alignment horizontal="center" wrapText="1"/>
    </xf>
    <xf numFmtId="164" fontId="12" fillId="15" borderId="0" xfId="0" applyNumberFormat="1" applyFont="1" applyFill="1" applyAlignment="1">
      <alignment horizontal="left" wrapText="1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0" fontId="5" fillId="15" borderId="0" xfId="0" applyFont="1" applyFill="1" applyAlignment="1">
      <alignment horizontal="left" wrapText="1"/>
    </xf>
    <xf numFmtId="0" fontId="10" fillId="0" borderId="0" xfId="0" applyFont="1" applyBorder="1" applyAlignment="1">
      <alignment horizontal="center" wrapText="1"/>
    </xf>
    <xf numFmtId="165" fontId="10" fillId="0" borderId="0" xfId="0" applyNumberFormat="1" applyFont="1" applyBorder="1" applyAlignment="1">
      <alignment horizontal="center" wrapText="1"/>
    </xf>
    <xf numFmtId="166" fontId="10" fillId="0" borderId="0" xfId="0" applyNumberFormat="1" applyFont="1" applyBorder="1" applyAlignment="1">
      <alignment horizontal="center" wrapText="1"/>
    </xf>
    <xf numFmtId="0" fontId="1" fillId="51" borderId="0" xfId="0" applyFont="1" applyFill="1" applyAlignment="1">
      <alignment horizontal="left" wrapText="1"/>
    </xf>
    <xf numFmtId="166" fontId="10" fillId="0" borderId="0" xfId="0" applyNumberFormat="1" applyFont="1" applyBorder="1" applyAlignment="1">
      <alignment horizontal="center" wrapText="1"/>
    </xf>
    <xf numFmtId="0" fontId="11" fillId="0" borderId="0" xfId="0" applyFont="1" applyBorder="1" applyAlignment="1">
      <alignment horizontal="center" wrapText="1"/>
    </xf>
    <xf numFmtId="0" fontId="3" fillId="51" borderId="0" xfId="0" applyFont="1" applyFill="1" applyAlignment="1">
      <alignment horizontal="left" wrapText="1"/>
    </xf>
    <xf numFmtId="164" fontId="10" fillId="0" borderId="0" xfId="0" applyNumberFormat="1" applyFont="1" applyBorder="1" applyAlignment="1">
      <alignment horizontal="center" wrapText="1"/>
    </xf>
    <xf numFmtId="11" fontId="10" fillId="0" borderId="0" xfId="0" applyNumberFormat="1" applyFont="1" applyBorder="1" applyAlignment="1">
      <alignment horizontal="center" wrapText="1"/>
    </xf>
    <xf numFmtId="11" fontId="11" fillId="0" borderId="0" xfId="0" applyNumberFormat="1" applyFont="1" applyBorder="1" applyAlignment="1">
      <alignment horizontal="center" wrapText="1"/>
    </xf>
    <xf numFmtId="11" fontId="10" fillId="13" borderId="0" xfId="0" applyNumberFormat="1" applyFont="1" applyFill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0" fontId="4" fillId="43" borderId="0" xfId="0" applyFont="1" applyFill="1" applyBorder="1" applyAlignment="1">
      <alignment horizontal="center" wrapText="1"/>
    </xf>
    <xf numFmtId="0" fontId="4" fillId="43" borderId="0" xfId="0" applyFont="1" applyFill="1" applyBorder="1" applyAlignment="1">
      <alignment horizontal="center" wrapText="1"/>
    </xf>
    <xf numFmtId="0" fontId="4" fillId="43" borderId="0" xfId="0" applyFont="1" applyFill="1" applyBorder="1" applyAlignment="1">
      <alignment horizontal="center" wrapText="1"/>
    </xf>
    <xf numFmtId="0" fontId="4" fillId="43" borderId="0" xfId="0" applyFont="1" applyFill="1" applyBorder="1" applyAlignment="1">
      <alignment horizontal="center" wrapText="1"/>
    </xf>
    <xf numFmtId="0" fontId="4" fillId="43" borderId="0" xfId="0" applyFont="1" applyFill="1" applyBorder="1" applyAlignment="1">
      <alignment horizontal="center" wrapText="1"/>
    </xf>
    <xf numFmtId="165" fontId="4" fillId="43" borderId="0" xfId="0" applyNumberFormat="1" applyFont="1" applyFill="1" applyBorder="1" applyAlignment="1">
      <alignment horizontal="center" wrapText="1"/>
    </xf>
    <xf numFmtId="166" fontId="4" fillId="43" borderId="0" xfId="0" applyNumberFormat="1" applyFont="1" applyFill="1" applyBorder="1" applyAlignment="1">
      <alignment horizontal="center" wrapText="1"/>
    </xf>
    <xf numFmtId="166" fontId="4" fillId="43" borderId="0" xfId="0" applyNumberFormat="1" applyFont="1" applyFill="1" applyBorder="1" applyAlignment="1">
      <alignment horizontal="center" wrapText="1"/>
    </xf>
    <xf numFmtId="164" fontId="1" fillId="43" borderId="0" xfId="0" applyNumberFormat="1" applyFont="1" applyFill="1" applyBorder="1" applyAlignment="1">
      <alignment horizontal="center" wrapText="1"/>
    </xf>
    <xf numFmtId="164" fontId="4" fillId="43" borderId="0" xfId="0" applyNumberFormat="1" applyFont="1" applyFill="1" applyBorder="1" applyAlignment="1">
      <alignment horizontal="center" wrapText="1"/>
    </xf>
    <xf numFmtId="11" fontId="4" fillId="43" borderId="0" xfId="0" applyNumberFormat="1" applyFont="1" applyFill="1" applyBorder="1" applyAlignment="1">
      <alignment horizontal="center" wrapText="1"/>
    </xf>
    <xf numFmtId="11" fontId="1" fillId="43" borderId="0" xfId="0" applyNumberFormat="1" applyFont="1" applyFill="1" applyBorder="1" applyAlignment="1">
      <alignment horizontal="center" wrapText="1"/>
    </xf>
    <xf numFmtId="14" fontId="4" fillId="43" borderId="0" xfId="0" applyNumberFormat="1" applyFont="1" applyFill="1" applyBorder="1" applyAlignment="1">
      <alignment horizontal="center" wrapText="1"/>
    </xf>
    <xf numFmtId="0" fontId="1" fillId="51" borderId="0" xfId="0" applyFont="1" applyFill="1" applyAlignment="1">
      <alignment horizontal="center" wrapText="1"/>
    </xf>
    <xf numFmtId="164" fontId="9" fillId="43" borderId="0" xfId="0" applyNumberFormat="1" applyFont="1" applyFill="1" applyBorder="1" applyAlignment="1">
      <alignment horizontal="center" wrapText="1"/>
    </xf>
    <xf numFmtId="169" fontId="5" fillId="51" borderId="0" xfId="0" applyNumberFormat="1" applyFont="1" applyFill="1" applyAlignment="1">
      <alignment horizontal="center" wrapText="1"/>
    </xf>
    <xf numFmtId="0" fontId="4" fillId="43" borderId="0" xfId="0" applyFont="1" applyFill="1" applyBorder="1" applyAlignment="1">
      <alignment horizontal="center" wrapText="1"/>
    </xf>
    <xf numFmtId="164" fontId="5" fillId="51" borderId="0" xfId="0" applyNumberFormat="1" applyFont="1" applyFill="1" applyAlignment="1">
      <alignment horizontal="left" wrapText="1"/>
    </xf>
    <xf numFmtId="0" fontId="4" fillId="43" borderId="0" xfId="0" applyFont="1" applyFill="1" applyBorder="1" applyAlignment="1">
      <alignment horizontal="center" vertical="center" wrapText="1"/>
    </xf>
    <xf numFmtId="0" fontId="11" fillId="51" borderId="0" xfId="0" applyFont="1" applyFill="1" applyAlignment="1">
      <alignment horizontal="left" wrapText="1"/>
    </xf>
    <xf numFmtId="0" fontId="4" fillId="43" borderId="0" xfId="0" applyFont="1" applyFill="1" applyBorder="1" applyAlignment="1">
      <alignment horizontal="center" wrapText="1"/>
    </xf>
    <xf numFmtId="0" fontId="16" fillId="0" borderId="0" xfId="0" applyFont="1" applyAlignment="1">
      <alignment horizontal="center"/>
    </xf>
    <xf numFmtId="0" fontId="33" fillId="51" borderId="0" xfId="0" applyFont="1" applyFill="1" applyAlignment="1">
      <alignment horizontal="left" wrapText="1"/>
    </xf>
    <xf numFmtId="0" fontId="11" fillId="51" borderId="0" xfId="0" applyFont="1" applyFill="1" applyAlignment="1">
      <alignment horizontal="center" wrapText="1"/>
    </xf>
    <xf numFmtId="0" fontId="10" fillId="51" borderId="0" xfId="0" applyFont="1" applyFill="1" applyAlignment="1">
      <alignment wrapText="1"/>
    </xf>
    <xf numFmtId="169" fontId="10" fillId="51" borderId="0" xfId="0" applyNumberFormat="1" applyFont="1" applyFill="1" applyAlignment="1">
      <alignment horizontal="center" wrapText="1"/>
    </xf>
    <xf numFmtId="164" fontId="10" fillId="51" borderId="0" xfId="0" applyNumberFormat="1" applyFont="1" applyFill="1" applyAlignment="1">
      <alignment horizontal="left" wrapText="1"/>
    </xf>
    <xf numFmtId="0" fontId="10" fillId="51" borderId="0" xfId="0" applyFont="1" applyFill="1" applyAlignment="1">
      <alignment wrapText="1"/>
    </xf>
    <xf numFmtId="165" fontId="5" fillId="51" borderId="0" xfId="0" applyNumberFormat="1" applyFont="1" applyFill="1" applyAlignment="1">
      <alignment horizontal="center" wrapText="1"/>
    </xf>
    <xf numFmtId="11" fontId="10" fillId="37" borderId="0" xfId="0" applyNumberFormat="1" applyFont="1" applyFill="1" applyAlignment="1">
      <alignment horizontal="center" wrapText="1"/>
    </xf>
    <xf numFmtId="14" fontId="5" fillId="51" borderId="0" xfId="0" applyNumberFormat="1" applyFont="1" applyFill="1" applyAlignment="1">
      <alignment horizontal="center" wrapText="1"/>
    </xf>
    <xf numFmtId="14" fontId="10" fillId="37" borderId="0" xfId="0" applyNumberFormat="1" applyFont="1" applyFill="1" applyAlignment="1">
      <alignment horizontal="center" wrapText="1"/>
    </xf>
    <xf numFmtId="0" fontId="24" fillId="37" borderId="0" xfId="0" applyFont="1" applyFill="1" applyAlignment="1">
      <alignment horizontal="center" wrapText="1"/>
    </xf>
    <xf numFmtId="165" fontId="10" fillId="46" borderId="0" xfId="0" applyNumberFormat="1" applyFont="1" applyFill="1" applyAlignment="1">
      <alignment horizontal="center" wrapText="1"/>
    </xf>
    <xf numFmtId="0" fontId="5" fillId="67" borderId="0" xfId="0" applyFont="1" applyFill="1" applyAlignment="1">
      <alignment horizontal="center" wrapText="1"/>
    </xf>
    <xf numFmtId="0" fontId="5" fillId="67" borderId="0" xfId="0" applyFont="1" applyFill="1" applyAlignment="1">
      <alignment horizontal="left" wrapText="1"/>
    </xf>
    <xf numFmtId="0" fontId="11" fillId="67" borderId="0" xfId="0" applyFont="1" applyFill="1" applyAlignment="1">
      <alignment horizontal="left" wrapText="1"/>
    </xf>
    <xf numFmtId="0" fontId="9" fillId="24" borderId="0" xfId="0" applyFont="1" applyFill="1" applyAlignment="1">
      <alignment horizontal="center" wrapText="1"/>
    </xf>
    <xf numFmtId="0" fontId="33" fillId="67" borderId="0" xfId="0" applyFont="1" applyFill="1" applyAlignment="1">
      <alignment horizontal="left" wrapText="1"/>
    </xf>
    <xf numFmtId="0" fontId="11" fillId="67" borderId="0" xfId="0" applyFont="1" applyFill="1" applyAlignment="1">
      <alignment horizontal="center" wrapText="1"/>
    </xf>
    <xf numFmtId="0" fontId="12" fillId="67" borderId="0" xfId="0" applyFont="1" applyFill="1" applyAlignment="1">
      <alignment wrapText="1"/>
    </xf>
    <xf numFmtId="14" fontId="12" fillId="67" borderId="0" xfId="0" applyNumberFormat="1" applyFont="1" applyFill="1" applyAlignment="1">
      <alignment horizontal="center" wrapText="1"/>
    </xf>
    <xf numFmtId="0" fontId="12" fillId="67" borderId="0" xfId="0" applyFont="1" applyFill="1" applyAlignment="1">
      <alignment horizontal="left" wrapText="1"/>
    </xf>
    <xf numFmtId="0" fontId="12" fillId="67" borderId="0" xfId="0" applyFont="1" applyFill="1" applyAlignment="1">
      <alignment wrapText="1"/>
    </xf>
    <xf numFmtId="164" fontId="9" fillId="0" borderId="0" xfId="0" applyNumberFormat="1" applyFont="1" applyAlignment="1">
      <alignment horizontal="center" wrapText="1"/>
    </xf>
    <xf numFmtId="14" fontId="5" fillId="67" borderId="0" xfId="0" applyNumberFormat="1" applyFont="1" applyFill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2" fillId="67" borderId="0" xfId="0" applyFont="1" applyFill="1" applyAlignment="1">
      <alignment horizontal="center" wrapText="1"/>
    </xf>
    <xf numFmtId="14" fontId="5" fillId="2" borderId="0" xfId="0" applyNumberFormat="1" applyFont="1" applyFill="1" applyAlignment="1">
      <alignment horizontal="center" wrapText="1"/>
    </xf>
    <xf numFmtId="0" fontId="20" fillId="2" borderId="0" xfId="0" applyFont="1" applyFill="1" applyAlignment="1">
      <alignment horizontal="center" wrapText="1"/>
    </xf>
    <xf numFmtId="164" fontId="4" fillId="4" borderId="0" xfId="0" applyNumberFormat="1" applyFont="1" applyFill="1" applyAlignment="1">
      <alignment horizontal="center" wrapText="1"/>
    </xf>
    <xf numFmtId="168" fontId="5" fillId="2" borderId="0" xfId="0" applyNumberFormat="1" applyFont="1" applyFill="1" applyAlignment="1">
      <alignment horizontal="center" wrapText="1"/>
    </xf>
    <xf numFmtId="11" fontId="16" fillId="2" borderId="0" xfId="0" applyNumberFormat="1" applyFont="1" applyFill="1" applyAlignment="1">
      <alignment horizontal="center"/>
    </xf>
    <xf numFmtId="0" fontId="1" fillId="67" borderId="0" xfId="0" applyFont="1" applyFill="1" applyAlignment="1">
      <alignment horizontal="center" wrapText="1"/>
    </xf>
    <xf numFmtId="0" fontId="16" fillId="2" borderId="0" xfId="0" applyFont="1" applyFill="1" applyAlignment="1">
      <alignment horizontal="center"/>
    </xf>
    <xf numFmtId="0" fontId="5" fillId="67" borderId="0" xfId="0" applyFont="1" applyFill="1" applyAlignment="1">
      <alignment wrapText="1"/>
    </xf>
    <xf numFmtId="11" fontId="5" fillId="2" borderId="0" xfId="0" applyNumberFormat="1" applyFont="1" applyFill="1" applyAlignment="1">
      <alignment horizontal="center" wrapText="1"/>
    </xf>
    <xf numFmtId="164" fontId="24" fillId="24" borderId="0" xfId="0" applyNumberFormat="1" applyFont="1" applyFill="1" applyAlignment="1">
      <alignment horizontal="center" wrapText="1"/>
    </xf>
    <xf numFmtId="166" fontId="12" fillId="67" borderId="0" xfId="0" applyNumberFormat="1" applyFont="1" applyFill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67" borderId="0" xfId="0" applyFont="1" applyFill="1" applyAlignment="1">
      <alignment horizontal="left" wrapText="1"/>
    </xf>
    <xf numFmtId="168" fontId="16" fillId="2" borderId="0" xfId="0" applyNumberFormat="1" applyFont="1" applyFill="1" applyAlignment="1">
      <alignment horizontal="center"/>
    </xf>
    <xf numFmtId="164" fontId="11" fillId="4" borderId="0" xfId="0" applyNumberFormat="1" applyFont="1" applyFill="1" applyAlignment="1">
      <alignment horizontal="center" wrapText="1"/>
    </xf>
    <xf numFmtId="166" fontId="5" fillId="67" borderId="0" xfId="0" applyNumberFormat="1" applyFont="1" applyFill="1" applyAlignment="1">
      <alignment horizontal="center" wrapText="1"/>
    </xf>
    <xf numFmtId="14" fontId="10" fillId="4" borderId="0" xfId="0" applyNumberFormat="1" applyFont="1" applyFill="1" applyAlignment="1">
      <alignment horizontal="center" wrapText="1"/>
    </xf>
    <xf numFmtId="0" fontId="11" fillId="71" borderId="0" xfId="0" applyFont="1" applyFill="1" applyAlignment="1">
      <alignment horizontal="left" wrapText="1"/>
    </xf>
    <xf numFmtId="164" fontId="10" fillId="4" borderId="0" xfId="0" applyNumberFormat="1" applyFont="1" applyFill="1" applyAlignment="1">
      <alignment horizontal="center" wrapText="1"/>
    </xf>
    <xf numFmtId="0" fontId="33" fillId="71" borderId="0" xfId="0" applyFont="1" applyFill="1" applyAlignment="1">
      <alignment horizontal="left" wrapText="1"/>
    </xf>
    <xf numFmtId="0" fontId="11" fillId="71" borderId="0" xfId="0" applyFont="1" applyFill="1" applyAlignment="1">
      <alignment horizontal="center" wrapText="1"/>
    </xf>
    <xf numFmtId="0" fontId="10" fillId="71" borderId="0" xfId="0" applyFont="1" applyFill="1" applyAlignment="1">
      <alignment wrapText="1"/>
    </xf>
    <xf numFmtId="11" fontId="5" fillId="2" borderId="0" xfId="0" applyNumberFormat="1" applyFont="1" applyFill="1" applyAlignment="1">
      <alignment horizontal="center" wrapText="1"/>
    </xf>
    <xf numFmtId="0" fontId="10" fillId="71" borderId="0" xfId="0" applyFont="1" applyFill="1" applyAlignment="1">
      <alignment horizontal="center" wrapText="1"/>
    </xf>
    <xf numFmtId="14" fontId="4" fillId="17" borderId="0" xfId="0" applyNumberFormat="1" applyFont="1" applyFill="1" applyAlignment="1">
      <alignment horizontal="center" wrapText="1"/>
    </xf>
    <xf numFmtId="0" fontId="10" fillId="71" borderId="0" xfId="0" applyFont="1" applyFill="1" applyAlignment="1">
      <alignment horizontal="left" wrapText="1"/>
    </xf>
    <xf numFmtId="0" fontId="10" fillId="71" borderId="0" xfId="0" applyFont="1" applyFill="1" applyAlignment="1">
      <alignment wrapText="1"/>
    </xf>
    <xf numFmtId="0" fontId="11" fillId="71" borderId="0" xfId="0" applyFont="1" applyFill="1" applyAlignment="1">
      <alignment horizontal="left" wrapText="1"/>
    </xf>
    <xf numFmtId="0" fontId="33" fillId="71" borderId="0" xfId="0" applyFont="1" applyFill="1" applyAlignment="1">
      <alignment horizontal="left" wrapText="1"/>
    </xf>
    <xf numFmtId="0" fontId="11" fillId="71" borderId="0" xfId="0" applyFont="1" applyFill="1" applyAlignment="1">
      <alignment horizontal="center" wrapText="1"/>
    </xf>
    <xf numFmtId="0" fontId="12" fillId="71" borderId="0" xfId="0" applyFont="1" applyFill="1" applyAlignment="1">
      <alignment wrapText="1"/>
    </xf>
    <xf numFmtId="14" fontId="12" fillId="71" borderId="0" xfId="0" applyNumberFormat="1" applyFont="1" applyFill="1" applyAlignment="1">
      <alignment horizontal="center" wrapText="1"/>
    </xf>
    <xf numFmtId="166" fontId="25" fillId="14" borderId="0" xfId="0" applyNumberFormat="1" applyFont="1" applyFill="1" applyAlignment="1">
      <alignment wrapText="1"/>
    </xf>
    <xf numFmtId="0" fontId="12" fillId="71" borderId="0" xfId="0" applyFont="1" applyFill="1" applyAlignment="1">
      <alignment horizontal="left" wrapText="1"/>
    </xf>
    <xf numFmtId="0" fontId="5" fillId="71" borderId="0" xfId="0" applyFont="1" applyFill="1" applyAlignment="1">
      <alignment wrapText="1"/>
    </xf>
    <xf numFmtId="0" fontId="1" fillId="71" borderId="0" xfId="0" applyFont="1" applyFill="1" applyAlignment="1">
      <alignment horizontal="left" wrapText="1"/>
    </xf>
    <xf numFmtId="0" fontId="3" fillId="71" borderId="0" xfId="0" applyFont="1" applyFill="1" applyAlignment="1">
      <alignment horizontal="left" wrapText="1"/>
    </xf>
    <xf numFmtId="0" fontId="1" fillId="71" borderId="0" xfId="0" applyFont="1" applyFill="1" applyAlignment="1">
      <alignment horizontal="center" wrapText="1"/>
    </xf>
    <xf numFmtId="0" fontId="5" fillId="71" borderId="0" xfId="0" applyFont="1" applyFill="1" applyAlignment="1">
      <alignment wrapText="1"/>
    </xf>
    <xf numFmtId="14" fontId="5" fillId="71" borderId="0" xfId="0" applyNumberFormat="1" applyFont="1" applyFill="1" applyAlignment="1">
      <alignment horizontal="center" wrapText="1"/>
    </xf>
    <xf numFmtId="0" fontId="5" fillId="71" borderId="0" xfId="0" applyFont="1" applyFill="1" applyAlignment="1">
      <alignment horizontal="left" wrapText="1"/>
    </xf>
    <xf numFmtId="14" fontId="10" fillId="8" borderId="0" xfId="0" applyNumberFormat="1" applyFont="1" applyFill="1" applyAlignment="1">
      <alignment horizontal="center" wrapText="1"/>
    </xf>
    <xf numFmtId="0" fontId="5" fillId="71" borderId="0" xfId="0" applyFont="1" applyFill="1" applyAlignment="1">
      <alignment wrapText="1"/>
    </xf>
    <xf numFmtId="0" fontId="10" fillId="14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1" fillId="42" borderId="0" xfId="0" applyFont="1" applyFill="1" applyAlignment="1">
      <alignment horizontal="left" wrapText="1"/>
    </xf>
    <xf numFmtId="0" fontId="10" fillId="14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3" fillId="42" borderId="0" xfId="0" applyFont="1" applyFill="1" applyAlignment="1">
      <alignment horizontal="left" wrapText="1"/>
    </xf>
    <xf numFmtId="11" fontId="16" fillId="20" borderId="0" xfId="0" applyNumberFormat="1" applyFont="1" applyFill="1" applyAlignment="1">
      <alignment horizontal="center"/>
    </xf>
    <xf numFmtId="0" fontId="1" fillId="42" borderId="0" xfId="0" applyFont="1" applyFill="1" applyAlignment="1">
      <alignment horizontal="center" wrapText="1"/>
    </xf>
    <xf numFmtId="0" fontId="5" fillId="42" borderId="0" xfId="0" applyFont="1" applyFill="1" applyAlignment="1">
      <alignment wrapText="1"/>
    </xf>
    <xf numFmtId="0" fontId="10" fillId="14" borderId="0" xfId="0" applyFont="1" applyFill="1" applyAlignment="1">
      <alignment horizontal="center" wrapText="1"/>
    </xf>
    <xf numFmtId="165" fontId="5" fillId="42" borderId="0" xfId="0" applyNumberFormat="1" applyFont="1" applyFill="1" applyAlignment="1">
      <alignment horizontal="center" wrapText="1"/>
    </xf>
    <xf numFmtId="14" fontId="10" fillId="14" borderId="0" xfId="0" applyNumberFormat="1" applyFont="1" applyFill="1" applyAlignment="1">
      <alignment horizontal="center" wrapText="1"/>
    </xf>
    <xf numFmtId="164" fontId="5" fillId="42" borderId="0" xfId="0" applyNumberFormat="1" applyFont="1" applyFill="1" applyAlignment="1">
      <alignment horizontal="left" wrapText="1"/>
    </xf>
    <xf numFmtId="164" fontId="10" fillId="14" borderId="0" xfId="0" applyNumberFormat="1" applyFont="1" applyFill="1" applyAlignment="1">
      <alignment horizontal="center" wrapText="1"/>
    </xf>
    <xf numFmtId="0" fontId="5" fillId="42" borderId="0" xfId="0" applyFont="1" applyFill="1" applyAlignment="1">
      <alignment wrapText="1"/>
    </xf>
    <xf numFmtId="11" fontId="10" fillId="14" borderId="0" xfId="0" applyNumberFormat="1" applyFont="1" applyFill="1" applyAlignment="1">
      <alignment horizontal="center" wrapText="1"/>
    </xf>
    <xf numFmtId="11" fontId="11" fillId="14" borderId="0" xfId="0" applyNumberFormat="1" applyFont="1" applyFill="1" applyAlignment="1">
      <alignment horizontal="center" wrapText="1"/>
    </xf>
    <xf numFmtId="11" fontId="10" fillId="14" borderId="0" xfId="0" applyNumberFormat="1" applyFont="1" applyFill="1" applyAlignment="1">
      <alignment horizontal="center" wrapText="1"/>
    </xf>
    <xf numFmtId="164" fontId="24" fillId="14" borderId="0" xfId="0" applyNumberFormat="1" applyFont="1" applyFill="1" applyAlignment="1">
      <alignment horizontal="center" wrapText="1"/>
    </xf>
    <xf numFmtId="169" fontId="5" fillId="42" borderId="0" xfId="0" applyNumberFormat="1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165" fontId="5" fillId="55" borderId="0" xfId="0" applyNumberFormat="1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164" fontId="5" fillId="55" borderId="0" xfId="0" applyNumberFormat="1" applyFont="1" applyFill="1" applyAlignment="1">
      <alignment horizontal="left" wrapText="1"/>
    </xf>
    <xf numFmtId="0" fontId="10" fillId="12" borderId="0" xfId="0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14" fontId="5" fillId="55" borderId="0" xfId="0" applyNumberFormat="1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166" fontId="10" fillId="12" borderId="0" xfId="0" applyNumberFormat="1" applyFont="1" applyFill="1" applyAlignment="1">
      <alignment horizontal="center" wrapText="1"/>
    </xf>
    <xf numFmtId="166" fontId="10" fillId="12" borderId="0" xfId="0" applyNumberFormat="1" applyFont="1" applyFill="1" applyAlignment="1">
      <alignment horizontal="center" wrapText="1"/>
    </xf>
    <xf numFmtId="164" fontId="11" fillId="12" borderId="0" xfId="0" applyNumberFormat="1" applyFont="1" applyFill="1" applyAlignment="1">
      <alignment horizontal="center" wrapText="1"/>
    </xf>
    <xf numFmtId="0" fontId="3" fillId="23" borderId="0" xfId="0" applyFont="1" applyFill="1" applyAlignment="1">
      <alignment horizontal="left" wrapText="1"/>
    </xf>
    <xf numFmtId="164" fontId="10" fillId="12" borderId="0" xfId="0" applyNumberFormat="1" applyFont="1" applyFill="1" applyAlignment="1">
      <alignment horizontal="center" wrapText="1"/>
    </xf>
    <xf numFmtId="11" fontId="10" fillId="12" borderId="0" xfId="0" applyNumberFormat="1" applyFont="1" applyFill="1" applyAlignment="1">
      <alignment horizontal="center" wrapText="1"/>
    </xf>
    <xf numFmtId="11" fontId="11" fillId="12" borderId="0" xfId="0" applyNumberFormat="1" applyFont="1" applyFill="1" applyAlignment="1">
      <alignment horizontal="center" wrapText="1"/>
    </xf>
    <xf numFmtId="11" fontId="10" fillId="12" borderId="0" xfId="0" applyNumberFormat="1" applyFont="1" applyFill="1" applyAlignment="1">
      <alignment horizontal="center" wrapText="1"/>
    </xf>
    <xf numFmtId="11" fontId="10" fillId="12" borderId="0" xfId="0" applyNumberFormat="1" applyFont="1" applyFill="1" applyAlignment="1">
      <alignment horizontal="center" wrapText="1"/>
    </xf>
    <xf numFmtId="14" fontId="10" fillId="12" borderId="0" xfId="0" applyNumberFormat="1" applyFont="1" applyFill="1" applyAlignment="1">
      <alignment horizontal="center" wrapText="1"/>
    </xf>
    <xf numFmtId="164" fontId="24" fillId="12" borderId="0" xfId="0" applyNumberFormat="1" applyFont="1" applyFill="1" applyAlignment="1">
      <alignment horizontal="center" wrapText="1"/>
    </xf>
    <xf numFmtId="0" fontId="3" fillId="9" borderId="0" xfId="0" applyFont="1" applyFill="1" applyAlignment="1">
      <alignment horizontal="left" wrapText="1"/>
    </xf>
    <xf numFmtId="0" fontId="10" fillId="12" borderId="0" xfId="0" applyFont="1" applyFill="1" applyAlignment="1">
      <alignment horizontal="center" wrapText="1"/>
    </xf>
    <xf numFmtId="0" fontId="1" fillId="72" borderId="0" xfId="0" applyFont="1" applyFill="1" applyAlignment="1">
      <alignment horizontal="left" wrapText="1"/>
    </xf>
    <xf numFmtId="0" fontId="10" fillId="12" borderId="0" xfId="0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0" fontId="3" fillId="72" borderId="0" xfId="0" applyFont="1" applyFill="1" applyAlignment="1">
      <alignment horizontal="left" wrapText="1"/>
    </xf>
    <xf numFmtId="0" fontId="10" fillId="12" borderId="0" xfId="0" applyFont="1" applyFill="1" applyAlignment="1">
      <alignment horizontal="center" wrapText="1"/>
    </xf>
    <xf numFmtId="0" fontId="1" fillId="72" borderId="0" xfId="0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0" fontId="5" fillId="72" borderId="0" xfId="0" applyFont="1" applyFill="1" applyAlignment="1">
      <alignment wrapText="1"/>
    </xf>
    <xf numFmtId="14" fontId="5" fillId="72" borderId="0" xfId="0" applyNumberFormat="1" applyFont="1" applyFill="1" applyAlignment="1">
      <alignment horizontal="center" wrapText="1"/>
    </xf>
    <xf numFmtId="166" fontId="16" fillId="0" borderId="0" xfId="0" applyNumberFormat="1" applyFont="1" applyAlignment="1">
      <alignment horizontal="center"/>
    </xf>
    <xf numFmtId="0" fontId="10" fillId="12" borderId="0" xfId="0" applyFont="1" applyFill="1" applyAlignment="1">
      <alignment horizontal="center" wrapText="1"/>
    </xf>
    <xf numFmtId="164" fontId="5" fillId="72" borderId="0" xfId="0" applyNumberFormat="1" applyFont="1" applyFill="1" applyAlignment="1">
      <alignment horizontal="left" wrapText="1"/>
    </xf>
    <xf numFmtId="166" fontId="10" fillId="12" borderId="0" xfId="0" applyNumberFormat="1" applyFont="1" applyFill="1" applyAlignment="1">
      <alignment horizontal="center" wrapText="1"/>
    </xf>
    <xf numFmtId="0" fontId="5" fillId="72" borderId="0" xfId="0" applyFont="1" applyFill="1" applyAlignment="1">
      <alignment wrapText="1"/>
    </xf>
    <xf numFmtId="166" fontId="10" fillId="12" borderId="0" xfId="0" applyNumberFormat="1" applyFont="1" applyFill="1" applyAlignment="1">
      <alignment horizontal="center" wrapText="1"/>
    </xf>
    <xf numFmtId="0" fontId="3" fillId="72" borderId="0" xfId="0" applyFont="1" applyFill="1" applyAlignment="1">
      <alignment horizontal="left" wrapText="1"/>
    </xf>
    <xf numFmtId="164" fontId="10" fillId="12" borderId="0" xfId="0" applyNumberFormat="1" applyFont="1" applyFill="1" applyAlignment="1">
      <alignment horizontal="center" wrapText="1"/>
    </xf>
    <xf numFmtId="169" fontId="5" fillId="72" borderId="0" xfId="0" applyNumberFormat="1" applyFont="1" applyFill="1" applyAlignment="1">
      <alignment horizontal="center" wrapText="1"/>
    </xf>
    <xf numFmtId="11" fontId="10" fillId="12" borderId="0" xfId="0" applyNumberFormat="1" applyFont="1" applyFill="1" applyAlignment="1">
      <alignment horizontal="center" wrapText="1"/>
    </xf>
    <xf numFmtId="11" fontId="11" fillId="12" borderId="0" xfId="0" applyNumberFormat="1" applyFont="1" applyFill="1" applyAlignment="1">
      <alignment horizontal="center" wrapText="1"/>
    </xf>
    <xf numFmtId="11" fontId="10" fillId="12" borderId="0" xfId="0" applyNumberFormat="1" applyFont="1" applyFill="1" applyAlignment="1">
      <alignment horizontal="center" wrapText="1"/>
    </xf>
    <xf numFmtId="0" fontId="5" fillId="72" borderId="0" xfId="0" applyFont="1" applyFill="1" applyAlignment="1">
      <alignment wrapText="1"/>
    </xf>
    <xf numFmtId="11" fontId="10" fillId="12" borderId="0" xfId="0" applyNumberFormat="1" applyFont="1" applyFill="1" applyAlignment="1">
      <alignment horizontal="center" wrapText="1"/>
    </xf>
    <xf numFmtId="0" fontId="10" fillId="12" borderId="0" xfId="0" applyFont="1" applyFill="1" applyAlignment="1">
      <alignment horizontal="center" wrapText="1"/>
    </xf>
    <xf numFmtId="14" fontId="5" fillId="27" borderId="0" xfId="0" applyNumberFormat="1" applyFont="1" applyFill="1" applyAlignment="1">
      <alignment horizontal="center" wrapText="1"/>
    </xf>
    <xf numFmtId="0" fontId="3" fillId="27" borderId="0" xfId="0" applyFont="1" applyFill="1" applyAlignment="1">
      <alignment horizontal="left" wrapText="1"/>
    </xf>
    <xf numFmtId="0" fontId="10" fillId="43" borderId="0" xfId="0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11" fontId="11" fillId="43" borderId="0" xfId="0" applyNumberFormat="1" applyFont="1" applyFill="1" applyAlignment="1">
      <alignment horizontal="center" wrapText="1"/>
    </xf>
    <xf numFmtId="14" fontId="10" fillId="43" borderId="0" xfId="0" applyNumberFormat="1" applyFont="1" applyFill="1" applyAlignment="1">
      <alignment horizontal="center" wrapText="1"/>
    </xf>
    <xf numFmtId="0" fontId="1" fillId="73" borderId="0" xfId="0" applyFont="1" applyFill="1" applyAlignment="1">
      <alignment horizontal="left" wrapText="1"/>
    </xf>
    <xf numFmtId="164" fontId="10" fillId="43" borderId="0" xfId="0" applyNumberFormat="1" applyFont="1" applyFill="1" applyAlignment="1">
      <alignment horizontal="center" wrapText="1"/>
    </xf>
    <xf numFmtId="0" fontId="3" fillId="73" borderId="0" xfId="0" applyFont="1" applyFill="1" applyAlignment="1">
      <alignment horizontal="left" wrapText="1"/>
    </xf>
    <xf numFmtId="0" fontId="1" fillId="73" borderId="0" xfId="0" applyFont="1" applyFill="1" applyAlignment="1">
      <alignment horizontal="center" wrapText="1"/>
    </xf>
    <xf numFmtId="0" fontId="5" fillId="73" borderId="0" xfId="0" applyFont="1" applyFill="1" applyAlignment="1">
      <alignment wrapText="1"/>
    </xf>
    <xf numFmtId="169" fontId="5" fillId="73" borderId="0" xfId="0" applyNumberFormat="1" applyFont="1" applyFill="1" applyAlignment="1">
      <alignment horizontal="center" wrapText="1"/>
    </xf>
    <xf numFmtId="164" fontId="5" fillId="73" borderId="0" xfId="0" applyNumberFormat="1" applyFont="1" applyFill="1" applyAlignment="1">
      <alignment horizontal="left" wrapText="1"/>
    </xf>
    <xf numFmtId="0" fontId="5" fillId="73" borderId="0" xfId="0" applyFont="1" applyFill="1" applyAlignment="1">
      <alignment wrapText="1"/>
    </xf>
    <xf numFmtId="0" fontId="4" fillId="14" borderId="0" xfId="0" applyFont="1" applyFill="1" applyAlignment="1">
      <alignment horizontal="center" wrapText="1"/>
    </xf>
    <xf numFmtId="165" fontId="4" fillId="0" borderId="0" xfId="0" applyNumberFormat="1" applyFont="1" applyAlignment="1">
      <alignment horizontal="center" wrapText="1"/>
    </xf>
    <xf numFmtId="0" fontId="1" fillId="12" borderId="0" xfId="0" applyFont="1" applyFill="1" applyAlignment="1">
      <alignment horizontal="left" wrapText="1"/>
    </xf>
    <xf numFmtId="169" fontId="5" fillId="4" borderId="0" xfId="0" applyNumberFormat="1" applyFont="1" applyFill="1" applyAlignment="1">
      <alignment horizontal="center" wrapText="1"/>
    </xf>
    <xf numFmtId="164" fontId="5" fillId="4" borderId="0" xfId="0" applyNumberFormat="1" applyFont="1" applyFill="1" applyAlignment="1">
      <alignment horizontal="left" wrapText="1"/>
    </xf>
    <xf numFmtId="0" fontId="3" fillId="31" borderId="0" xfId="0" applyFont="1" applyFill="1" applyAlignment="1">
      <alignment horizontal="left" wrapText="1"/>
    </xf>
    <xf numFmtId="164" fontId="4" fillId="43" borderId="0" xfId="0" applyNumberFormat="1" applyFont="1" applyFill="1" applyAlignment="1">
      <alignment horizontal="center" wrapText="1"/>
    </xf>
    <xf numFmtId="0" fontId="5" fillId="11" borderId="0" xfId="0" applyFont="1" applyFill="1" applyAlignment="1">
      <alignment wrapText="1"/>
    </xf>
    <xf numFmtId="164" fontId="5" fillId="11" borderId="0" xfId="0" applyNumberFormat="1" applyFont="1" applyFill="1" applyAlignment="1">
      <alignment horizontal="left" wrapText="1"/>
    </xf>
    <xf numFmtId="0" fontId="1" fillId="30" borderId="0" xfId="0" applyFont="1" applyFill="1" applyAlignment="1">
      <alignment horizontal="left" wrapText="1"/>
    </xf>
    <xf numFmtId="0" fontId="3" fillId="30" borderId="0" xfId="0" applyFont="1" applyFill="1" applyAlignment="1">
      <alignment horizontal="left" wrapText="1"/>
    </xf>
    <xf numFmtId="0" fontId="1" fillId="30" borderId="0" xfId="0" applyFont="1" applyFill="1" applyAlignment="1">
      <alignment horizontal="center" wrapText="1"/>
    </xf>
    <xf numFmtId="0" fontId="5" fillId="30" borderId="0" xfId="0" applyFont="1" applyFill="1" applyAlignment="1">
      <alignment wrapText="1"/>
    </xf>
    <xf numFmtId="169" fontId="5" fillId="30" borderId="0" xfId="0" applyNumberFormat="1" applyFont="1" applyFill="1" applyAlignment="1">
      <alignment horizontal="center" wrapText="1"/>
    </xf>
    <xf numFmtId="164" fontId="5" fillId="30" borderId="0" xfId="0" applyNumberFormat="1" applyFont="1" applyFill="1" applyAlignment="1">
      <alignment horizontal="left" wrapText="1"/>
    </xf>
    <xf numFmtId="0" fontId="5" fillId="30" borderId="0" xfId="0" applyFont="1" applyFill="1" applyAlignment="1">
      <alignment wrapText="1"/>
    </xf>
    <xf numFmtId="164" fontId="5" fillId="30" borderId="0" xfId="0" applyNumberFormat="1" applyFont="1" applyFill="1" applyAlignment="1">
      <alignment horizontal="left" wrapText="1"/>
    </xf>
    <xf numFmtId="0" fontId="5" fillId="30" borderId="0" xfId="0" applyFont="1" applyFill="1" applyAlignment="1">
      <alignment wrapText="1"/>
    </xf>
    <xf numFmtId="0" fontId="1" fillId="74" borderId="0" xfId="0" applyFont="1" applyFill="1" applyAlignment="1">
      <alignment horizontal="left" wrapText="1"/>
    </xf>
    <xf numFmtId="0" fontId="3" fillId="74" borderId="0" xfId="0" applyFont="1" applyFill="1" applyAlignment="1">
      <alignment horizontal="left" wrapText="1"/>
    </xf>
    <xf numFmtId="0" fontId="1" fillId="74" borderId="0" xfId="0" applyFont="1" applyFill="1" applyAlignment="1">
      <alignment horizontal="center" wrapText="1"/>
    </xf>
    <xf numFmtId="0" fontId="5" fillId="74" borderId="0" xfId="0" applyFont="1" applyFill="1" applyAlignment="1">
      <alignment wrapText="1"/>
    </xf>
    <xf numFmtId="169" fontId="5" fillId="74" borderId="0" xfId="0" applyNumberFormat="1" applyFont="1" applyFill="1" applyAlignment="1">
      <alignment horizontal="center" wrapText="1"/>
    </xf>
    <xf numFmtId="0" fontId="21" fillId="43" borderId="0" xfId="0" applyFont="1" applyFill="1" applyAlignment="1">
      <alignment horizontal="center" wrapText="1"/>
    </xf>
    <xf numFmtId="164" fontId="5" fillId="74" borderId="0" xfId="0" applyNumberFormat="1" applyFont="1" applyFill="1" applyAlignment="1">
      <alignment horizontal="left" wrapText="1"/>
    </xf>
    <xf numFmtId="0" fontId="5" fillId="74" borderId="0" xfId="0" applyFont="1" applyFill="1" applyAlignment="1">
      <alignment wrapText="1"/>
    </xf>
    <xf numFmtId="164" fontId="5" fillId="74" borderId="0" xfId="0" applyNumberFormat="1" applyFont="1" applyFill="1" applyAlignment="1">
      <alignment horizontal="left" wrapText="1"/>
    </xf>
    <xf numFmtId="0" fontId="1" fillId="26" borderId="0" xfId="0" applyFont="1" applyFill="1" applyAlignment="1">
      <alignment horizontal="left" wrapText="1"/>
    </xf>
    <xf numFmtId="0" fontId="3" fillId="26" borderId="0" xfId="0" applyFont="1" applyFill="1" applyAlignment="1">
      <alignment horizontal="left" wrapText="1"/>
    </xf>
    <xf numFmtId="0" fontId="1" fillId="26" borderId="0" xfId="0" applyFont="1" applyFill="1" applyAlignment="1">
      <alignment horizontal="center" wrapText="1"/>
    </xf>
    <xf numFmtId="0" fontId="5" fillId="26" borderId="0" xfId="0" applyFont="1" applyFill="1" applyAlignment="1">
      <alignment wrapText="1"/>
    </xf>
    <xf numFmtId="169" fontId="5" fillId="26" borderId="0" xfId="0" applyNumberFormat="1" applyFont="1" applyFill="1" applyAlignment="1">
      <alignment horizontal="center" wrapText="1"/>
    </xf>
    <xf numFmtId="164" fontId="5" fillId="26" borderId="0" xfId="0" applyNumberFormat="1" applyFont="1" applyFill="1" applyAlignment="1">
      <alignment horizontal="left" wrapText="1"/>
    </xf>
    <xf numFmtId="0" fontId="5" fillId="26" borderId="0" xfId="0" applyFont="1" applyFill="1" applyAlignment="1">
      <alignment wrapText="1"/>
    </xf>
    <xf numFmtId="164" fontId="4" fillId="5" borderId="0" xfId="0" applyNumberFormat="1" applyFont="1" applyFill="1" applyAlignment="1">
      <alignment horizontal="center" wrapText="1"/>
    </xf>
    <xf numFmtId="165" fontId="5" fillId="40" borderId="0" xfId="0" applyNumberFormat="1" applyFont="1" applyFill="1" applyAlignment="1">
      <alignment horizontal="center" wrapText="1"/>
    </xf>
    <xf numFmtId="164" fontId="4" fillId="0" borderId="0" xfId="0" applyNumberFormat="1" applyFont="1" applyAlignment="1">
      <alignment horizontal="center" wrapText="1"/>
    </xf>
    <xf numFmtId="0" fontId="4" fillId="37" borderId="0" xfId="0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164" fontId="10" fillId="37" borderId="0" xfId="0" applyNumberFormat="1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11" fontId="1" fillId="2" borderId="0" xfId="0" applyNumberFormat="1" applyFont="1" applyFill="1" applyAlignment="1">
      <alignment horizontal="center" wrapText="1"/>
    </xf>
    <xf numFmtId="14" fontId="4" fillId="2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5" fontId="5" fillId="19" borderId="0" xfId="0" applyNumberFormat="1" applyFont="1" applyFill="1" applyAlignment="1">
      <alignment horizontal="center" wrapText="1"/>
    </xf>
    <xf numFmtId="14" fontId="10" fillId="46" borderId="0" xfId="0" applyNumberFormat="1" applyFont="1" applyFill="1" applyAlignment="1">
      <alignment horizontal="center" wrapText="1"/>
    </xf>
    <xf numFmtId="14" fontId="5" fillId="19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6" fontId="5" fillId="15" borderId="0" xfId="0" applyNumberFormat="1" applyFont="1" applyFill="1" applyAlignment="1">
      <alignment horizontal="center" wrapText="1"/>
    </xf>
    <xf numFmtId="165" fontId="5" fillId="46" borderId="0" xfId="0" applyNumberFormat="1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164" fontId="1" fillId="14" borderId="0" xfId="0" applyNumberFormat="1" applyFont="1" applyFill="1" applyAlignment="1">
      <alignment horizontal="center" wrapText="1"/>
    </xf>
    <xf numFmtId="164" fontId="4" fillId="14" borderId="0" xfId="0" applyNumberFormat="1" applyFont="1" applyFill="1" applyAlignment="1">
      <alignment horizontal="center" wrapText="1"/>
    </xf>
    <xf numFmtId="11" fontId="4" fillId="14" borderId="0" xfId="0" applyNumberFormat="1" applyFont="1" applyFill="1" applyAlignment="1">
      <alignment horizontal="center" wrapText="1"/>
    </xf>
    <xf numFmtId="11" fontId="1" fillId="14" borderId="0" xfId="0" applyNumberFormat="1" applyFont="1" applyFill="1" applyAlignment="1">
      <alignment horizontal="center" wrapText="1"/>
    </xf>
    <xf numFmtId="11" fontId="4" fillId="14" borderId="0" xfId="0" applyNumberFormat="1" applyFont="1" applyFill="1" applyAlignment="1">
      <alignment horizontal="center" wrapText="1"/>
    </xf>
    <xf numFmtId="14" fontId="4" fillId="14" borderId="0" xfId="0" applyNumberFormat="1" applyFont="1" applyFill="1" applyAlignment="1">
      <alignment horizontal="center" wrapText="1"/>
    </xf>
    <xf numFmtId="164" fontId="4" fillId="14" borderId="0" xfId="0" applyNumberFormat="1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4" fillId="11" borderId="0" xfId="0" applyFont="1" applyFill="1" applyAlignment="1">
      <alignment horizontal="center" wrapText="1"/>
    </xf>
    <xf numFmtId="0" fontId="1" fillId="75" borderId="0" xfId="0" applyFont="1" applyFill="1" applyAlignment="1">
      <alignment horizontal="left" wrapText="1"/>
    </xf>
    <xf numFmtId="164" fontId="4" fillId="12" borderId="0" xfId="0" applyNumberFormat="1" applyFont="1" applyFill="1" applyAlignment="1">
      <alignment horizontal="center" wrapText="1"/>
    </xf>
    <xf numFmtId="0" fontId="3" fillId="75" borderId="0" xfId="0" applyFont="1" applyFill="1" applyAlignment="1">
      <alignment horizontal="left" wrapText="1"/>
    </xf>
    <xf numFmtId="0" fontId="1" fillId="75" borderId="0" xfId="0" applyFont="1" applyFill="1" applyAlignment="1">
      <alignment horizontal="center" wrapText="1"/>
    </xf>
    <xf numFmtId="0" fontId="5" fillId="75" borderId="0" xfId="0" applyFont="1" applyFill="1" applyAlignment="1">
      <alignment wrapText="1"/>
    </xf>
    <xf numFmtId="169" fontId="5" fillId="75" borderId="0" xfId="0" applyNumberFormat="1" applyFont="1" applyFill="1" applyAlignment="1">
      <alignment horizontal="center" wrapText="1"/>
    </xf>
    <xf numFmtId="0" fontId="5" fillId="75" borderId="0" xfId="0" applyFont="1" applyFill="1" applyAlignment="1">
      <alignment horizontal="left" wrapText="1"/>
    </xf>
    <xf numFmtId="0" fontId="5" fillId="75" borderId="0" xfId="0" applyFont="1" applyFill="1" applyAlignment="1">
      <alignment wrapText="1"/>
    </xf>
    <xf numFmtId="14" fontId="5" fillId="75" borderId="0" xfId="0" applyNumberFormat="1" applyFont="1" applyFill="1" applyAlignment="1">
      <alignment horizontal="center" wrapText="1"/>
    </xf>
    <xf numFmtId="0" fontId="4" fillId="19" borderId="0" xfId="0" applyFont="1" applyFill="1" applyAlignment="1">
      <alignment horizontal="center" wrapText="1"/>
    </xf>
    <xf numFmtId="164" fontId="5" fillId="75" borderId="0" xfId="0" applyNumberFormat="1" applyFont="1" applyFill="1" applyAlignment="1">
      <alignment horizontal="left" wrapText="1"/>
    </xf>
    <xf numFmtId="0" fontId="4" fillId="19" borderId="0" xfId="0" applyFont="1" applyFill="1" applyAlignment="1">
      <alignment horizontal="center" wrapText="1"/>
    </xf>
    <xf numFmtId="0" fontId="5" fillId="75" borderId="0" xfId="0" applyFont="1" applyFill="1" applyAlignment="1">
      <alignment wrapText="1"/>
    </xf>
    <xf numFmtId="164" fontId="4" fillId="19" borderId="0" xfId="0" applyNumberFormat="1" applyFont="1" applyFill="1" applyAlignment="1">
      <alignment horizontal="center" wrapText="1"/>
    </xf>
    <xf numFmtId="0" fontId="4" fillId="19" borderId="0" xfId="0" applyFont="1" applyFill="1" applyAlignment="1">
      <alignment horizontal="center" wrapText="1"/>
    </xf>
    <xf numFmtId="166" fontId="4" fillId="19" borderId="0" xfId="0" applyNumberFormat="1" applyFont="1" applyFill="1" applyAlignment="1">
      <alignment horizontal="center" wrapText="1"/>
    </xf>
    <xf numFmtId="166" fontId="4" fillId="19" borderId="0" xfId="0" applyNumberFormat="1" applyFont="1" applyFill="1" applyAlignment="1">
      <alignment horizontal="center" wrapText="1"/>
    </xf>
    <xf numFmtId="164" fontId="1" fillId="19" borderId="0" xfId="0" applyNumberFormat="1" applyFont="1" applyFill="1" applyAlignment="1">
      <alignment horizontal="center" wrapText="1"/>
    </xf>
    <xf numFmtId="164" fontId="4" fillId="19" borderId="0" xfId="0" applyNumberFormat="1" applyFont="1" applyFill="1" applyAlignment="1">
      <alignment horizontal="center" wrapText="1"/>
    </xf>
    <xf numFmtId="11" fontId="4" fillId="19" borderId="0" xfId="0" applyNumberFormat="1" applyFont="1" applyFill="1" applyAlignment="1">
      <alignment horizontal="center" wrapText="1"/>
    </xf>
    <xf numFmtId="11" fontId="1" fillId="19" borderId="0" xfId="0" applyNumberFormat="1" applyFont="1" applyFill="1" applyAlignment="1">
      <alignment horizontal="center" wrapText="1"/>
    </xf>
    <xf numFmtId="11" fontId="4" fillId="19" borderId="0" xfId="0" applyNumberFormat="1" applyFont="1" applyFill="1" applyAlignment="1">
      <alignment horizontal="center" wrapText="1"/>
    </xf>
    <xf numFmtId="11" fontId="4" fillId="19" borderId="0" xfId="0" applyNumberFormat="1" applyFont="1" applyFill="1" applyAlignment="1">
      <alignment horizontal="center" wrapText="1"/>
    </xf>
    <xf numFmtId="14" fontId="4" fillId="19" borderId="0" xfId="0" applyNumberFormat="1" applyFont="1" applyFill="1" applyAlignment="1">
      <alignment horizontal="center" wrapText="1"/>
    </xf>
    <xf numFmtId="0" fontId="4" fillId="19" borderId="0" xfId="0" applyFont="1" applyFill="1" applyAlignment="1">
      <alignment horizontal="center" wrapText="1"/>
    </xf>
    <xf numFmtId="164" fontId="10" fillId="43" borderId="0" xfId="0" applyNumberFormat="1" applyFont="1" applyFill="1" applyAlignment="1">
      <alignment horizontal="center" wrapText="1"/>
    </xf>
    <xf numFmtId="14" fontId="10" fillId="43" borderId="0" xfId="0" applyNumberFormat="1" applyFont="1" applyFill="1" applyAlignment="1">
      <alignment horizontal="center" wrapText="1"/>
    </xf>
    <xf numFmtId="0" fontId="33" fillId="52" borderId="0" xfId="0" applyFont="1" applyFill="1" applyAlignment="1">
      <alignment horizontal="left" wrapText="1"/>
    </xf>
    <xf numFmtId="0" fontId="11" fillId="52" borderId="0" xfId="0" applyFont="1" applyFill="1" applyAlignment="1">
      <alignment horizontal="center" wrapText="1"/>
    </xf>
    <xf numFmtId="0" fontId="12" fillId="52" borderId="0" xfId="0" applyFont="1" applyFill="1" applyAlignment="1">
      <alignment wrapText="1"/>
    </xf>
    <xf numFmtId="165" fontId="12" fillId="52" borderId="0" xfId="0" applyNumberFormat="1" applyFont="1" applyFill="1" applyAlignment="1">
      <alignment horizontal="center" wrapText="1"/>
    </xf>
    <xf numFmtId="164" fontId="12" fillId="52" borderId="0" xfId="0" applyNumberFormat="1" applyFont="1" applyFill="1" applyAlignment="1">
      <alignment horizontal="left" wrapText="1"/>
    </xf>
    <xf numFmtId="0" fontId="4" fillId="2" borderId="0" xfId="0" applyFont="1" applyFill="1" applyAlignment="1">
      <alignment horizontal="center" wrapText="1"/>
    </xf>
    <xf numFmtId="165" fontId="4" fillId="2" borderId="0" xfId="0" applyNumberFormat="1" applyFont="1" applyFill="1" applyAlignment="1">
      <alignment horizontal="center" wrapText="1"/>
    </xf>
    <xf numFmtId="164" fontId="1" fillId="37" borderId="0" xfId="0" applyNumberFormat="1" applyFont="1" applyFill="1" applyAlignment="1">
      <alignment horizontal="center" wrapText="1"/>
    </xf>
    <xf numFmtId="14" fontId="5" fillId="12" borderId="0" xfId="0" applyNumberFormat="1" applyFont="1" applyFill="1" applyAlignment="1">
      <alignment horizontal="center" wrapText="1"/>
    </xf>
    <xf numFmtId="0" fontId="5" fillId="12" borderId="0" xfId="0" applyFont="1" applyFill="1" applyAlignment="1">
      <alignment horizontal="left" wrapText="1"/>
    </xf>
    <xf numFmtId="166" fontId="4" fillId="14" borderId="0" xfId="0" applyNumberFormat="1" applyFont="1" applyFill="1" applyAlignment="1">
      <alignment horizontal="center" wrapText="1"/>
    </xf>
    <xf numFmtId="165" fontId="5" fillId="9" borderId="0" xfId="0" applyNumberFormat="1" applyFont="1" applyFill="1" applyAlignment="1">
      <alignment horizontal="center" wrapText="1"/>
    </xf>
    <xf numFmtId="164" fontId="5" fillId="9" borderId="0" xfId="0" applyNumberFormat="1" applyFont="1" applyFill="1" applyAlignment="1">
      <alignment horizontal="left" wrapText="1"/>
    </xf>
    <xf numFmtId="0" fontId="11" fillId="9" borderId="0" xfId="0" applyFont="1" applyFill="1" applyAlignment="1">
      <alignment horizontal="left" wrapText="1"/>
    </xf>
    <xf numFmtId="164" fontId="10" fillId="46" borderId="0" xfId="0" applyNumberFormat="1" applyFont="1" applyFill="1" applyAlignment="1">
      <alignment horizontal="center" wrapText="1"/>
    </xf>
    <xf numFmtId="0" fontId="33" fillId="9" borderId="0" xfId="0" applyFont="1" applyFill="1" applyAlignment="1">
      <alignment horizontal="left" wrapText="1"/>
    </xf>
    <xf numFmtId="0" fontId="11" fillId="9" borderId="0" xfId="0" applyFont="1" applyFill="1" applyAlignment="1">
      <alignment horizontal="center" wrapText="1"/>
    </xf>
    <xf numFmtId="0" fontId="12" fillId="9" borderId="0" xfId="0" applyFont="1" applyFill="1" applyAlignment="1">
      <alignment wrapText="1"/>
    </xf>
    <xf numFmtId="165" fontId="12" fillId="9" borderId="0" xfId="0" applyNumberFormat="1" applyFont="1" applyFill="1" applyAlignment="1">
      <alignment horizontal="center" wrapText="1"/>
    </xf>
    <xf numFmtId="11" fontId="4" fillId="37" borderId="0" xfId="0" applyNumberFormat="1" applyFont="1" applyFill="1" applyAlignment="1">
      <alignment horizontal="center" wrapText="1"/>
    </xf>
    <xf numFmtId="164" fontId="12" fillId="9" borderId="0" xfId="0" applyNumberFormat="1" applyFont="1" applyFill="1" applyAlignment="1">
      <alignment horizontal="left" wrapText="1"/>
    </xf>
    <xf numFmtId="0" fontId="12" fillId="9" borderId="0" xfId="0" applyFont="1" applyFill="1" applyAlignment="1">
      <alignment wrapText="1"/>
    </xf>
    <xf numFmtId="0" fontId="1" fillId="9" borderId="0" xfId="0" applyFont="1" applyFill="1" applyAlignment="1">
      <alignment horizontal="left" wrapText="1"/>
    </xf>
    <xf numFmtId="14" fontId="5" fillId="15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11" fontId="2" fillId="0" borderId="0" xfId="0" applyNumberFormat="1" applyFont="1" applyAlignment="1">
      <alignment horizontal="right" wrapText="1"/>
    </xf>
    <xf numFmtId="11" fontId="5" fillId="0" borderId="0" xfId="0" applyNumberFormat="1" applyFont="1" applyAlignment="1">
      <alignment wrapText="1"/>
    </xf>
    <xf numFmtId="11" fontId="5" fillId="38" borderId="0" xfId="0" applyNumberFormat="1" applyFont="1" applyFill="1" applyAlignment="1">
      <alignment wrapText="1"/>
    </xf>
    <xf numFmtId="11" fontId="5" fillId="38" borderId="0" xfId="0" applyNumberFormat="1" applyFont="1" applyFill="1" applyAlignment="1">
      <alignment wrapText="1"/>
    </xf>
    <xf numFmtId="11" fontId="5" fillId="0" borderId="0" xfId="0" applyNumberFormat="1" applyFont="1" applyAlignment="1">
      <alignment wrapText="1"/>
    </xf>
    <xf numFmtId="165" fontId="5" fillId="5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5" fillId="0" borderId="0" xfId="0" applyFont="1" applyAlignment="1">
      <alignment wrapText="1"/>
    </xf>
    <xf numFmtId="164" fontId="10" fillId="45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164" fontId="5" fillId="5" borderId="0" xfId="0" applyNumberFormat="1" applyFont="1" applyFill="1" applyAlignment="1">
      <alignment horizontal="left" wrapText="1"/>
    </xf>
    <xf numFmtId="165" fontId="10" fillId="45" borderId="0" xfId="0" applyNumberFormat="1" applyFont="1" applyFill="1" applyAlignment="1">
      <alignment horizontal="center" wrapText="1"/>
    </xf>
    <xf numFmtId="166" fontId="10" fillId="45" borderId="0" xfId="0" applyNumberFormat="1" applyFont="1" applyFill="1" applyAlignment="1">
      <alignment horizontal="center" wrapText="1"/>
    </xf>
    <xf numFmtId="166" fontId="10" fillId="45" borderId="0" xfId="0" applyNumberFormat="1" applyFont="1" applyFill="1" applyAlignment="1">
      <alignment horizontal="center" wrapText="1"/>
    </xf>
    <xf numFmtId="164" fontId="11" fillId="45" borderId="0" xfId="0" applyNumberFormat="1" applyFont="1" applyFill="1" applyAlignment="1">
      <alignment horizontal="center" wrapText="1"/>
    </xf>
    <xf numFmtId="164" fontId="10" fillId="45" borderId="0" xfId="0" applyNumberFormat="1" applyFont="1" applyFill="1" applyAlignment="1">
      <alignment horizontal="center" wrapText="1"/>
    </xf>
    <xf numFmtId="11" fontId="10" fillId="45" borderId="0" xfId="0" applyNumberFormat="1" applyFont="1" applyFill="1" applyAlignment="1">
      <alignment horizontal="center" wrapText="1"/>
    </xf>
    <xf numFmtId="11" fontId="11" fillId="45" borderId="0" xfId="0" applyNumberFormat="1" applyFont="1" applyFill="1" applyAlignment="1">
      <alignment horizontal="center" wrapText="1"/>
    </xf>
    <xf numFmtId="0" fontId="5" fillId="21" borderId="0" xfId="0" applyFont="1" applyFill="1" applyAlignment="1">
      <alignment horizontal="center" wrapText="1"/>
    </xf>
    <xf numFmtId="164" fontId="5" fillId="21" borderId="0" xfId="0" applyNumberFormat="1" applyFont="1" applyFill="1" applyAlignment="1">
      <alignment horizontal="left" wrapText="1"/>
    </xf>
    <xf numFmtId="11" fontId="10" fillId="45" borderId="0" xfId="0" applyNumberFormat="1" applyFont="1" applyFill="1" applyAlignment="1">
      <alignment horizontal="center" wrapText="1"/>
    </xf>
    <xf numFmtId="0" fontId="11" fillId="21" borderId="0" xfId="0" applyFont="1" applyFill="1" applyAlignment="1">
      <alignment horizontal="left" wrapText="1"/>
    </xf>
    <xf numFmtId="11" fontId="10" fillId="45" borderId="0" xfId="0" applyNumberFormat="1" applyFont="1" applyFill="1" applyAlignment="1">
      <alignment horizontal="center" wrapText="1"/>
    </xf>
    <xf numFmtId="14" fontId="10" fillId="45" borderId="0" xfId="0" applyNumberFormat="1" applyFont="1" applyFill="1" applyAlignment="1">
      <alignment horizontal="center" wrapText="1"/>
    </xf>
    <xf numFmtId="0" fontId="33" fillId="21" borderId="0" xfId="0" applyFont="1" applyFill="1" applyAlignment="1">
      <alignment horizontal="left" wrapText="1"/>
    </xf>
    <xf numFmtId="0" fontId="11" fillId="21" borderId="0" xfId="0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12" fillId="21" borderId="0" xfId="0" applyFont="1" applyFill="1" applyAlignment="1">
      <alignment wrapText="1"/>
    </xf>
    <xf numFmtId="0" fontId="12" fillId="21" borderId="0" xfId="0" applyFont="1" applyFill="1" applyAlignment="1">
      <alignment horizontal="center" wrapText="1"/>
    </xf>
    <xf numFmtId="164" fontId="10" fillId="0" borderId="0" xfId="0" applyNumberFormat="1" applyFont="1" applyAlignment="1">
      <alignment horizontal="center" wrapText="1"/>
    </xf>
    <xf numFmtId="164" fontId="12" fillId="21" borderId="0" xfId="0" applyNumberFormat="1" applyFont="1" applyFill="1" applyAlignment="1">
      <alignment horizontal="left" wrapText="1"/>
    </xf>
    <xf numFmtId="0" fontId="5" fillId="75" borderId="0" xfId="0" applyFont="1" applyFill="1" applyAlignment="1">
      <alignment horizontal="left" wrapText="1"/>
    </xf>
    <xf numFmtId="0" fontId="5" fillId="75" borderId="0" xfId="0" applyFont="1" applyFill="1" applyAlignment="1">
      <alignment horizontal="left" wrapText="1"/>
    </xf>
    <xf numFmtId="0" fontId="5" fillId="75" borderId="0" xfId="0" applyFont="1" applyFill="1" applyAlignment="1">
      <alignment horizontal="center" wrapText="1"/>
    </xf>
    <xf numFmtId="0" fontId="3" fillId="22" borderId="0" xfId="0" applyFont="1" applyFill="1" applyAlignment="1">
      <alignment horizontal="left" wrapText="1"/>
    </xf>
    <xf numFmtId="165" fontId="5" fillId="22" borderId="0" xfId="0" applyNumberFormat="1" applyFont="1" applyFill="1" applyAlignment="1">
      <alignment horizontal="center" wrapText="1"/>
    </xf>
    <xf numFmtId="0" fontId="1" fillId="22" borderId="0" xfId="0" applyFont="1" applyFill="1" applyAlignment="1">
      <alignment horizontal="left" wrapText="1"/>
    </xf>
    <xf numFmtId="0" fontId="5" fillId="22" borderId="0" xfId="0" applyFont="1" applyFill="1" applyAlignment="1">
      <alignment horizontal="left" wrapText="1"/>
    </xf>
    <xf numFmtId="0" fontId="1" fillId="67" borderId="0" xfId="0" applyFont="1" applyFill="1" applyAlignment="1">
      <alignment horizontal="left" wrapText="1"/>
    </xf>
    <xf numFmtId="0" fontId="1" fillId="42" borderId="0" xfId="0" applyFont="1" applyFill="1" applyAlignment="1">
      <alignment horizontal="center" wrapText="1"/>
    </xf>
    <xf numFmtId="0" fontId="5" fillId="42" borderId="0" xfId="0" applyFont="1" applyFill="1" applyAlignment="1">
      <alignment wrapText="1"/>
    </xf>
    <xf numFmtId="169" fontId="12" fillId="42" borderId="0" xfId="0" applyNumberFormat="1" applyFont="1" applyFill="1" applyAlignment="1">
      <alignment horizontal="center" wrapText="1"/>
    </xf>
    <xf numFmtId="164" fontId="5" fillId="42" borderId="0" xfId="0" applyNumberFormat="1" applyFont="1" applyFill="1" applyAlignment="1">
      <alignment horizontal="left" wrapText="1"/>
    </xf>
    <xf numFmtId="0" fontId="13" fillId="42" borderId="0" xfId="0" applyFont="1" applyFill="1" applyAlignment="1">
      <alignment wrapText="1"/>
    </xf>
    <xf numFmtId="0" fontId="12" fillId="42" borderId="0" xfId="0" applyFont="1" applyFill="1" applyAlignment="1">
      <alignment wrapText="1"/>
    </xf>
    <xf numFmtId="0" fontId="11" fillId="42" borderId="0" xfId="0" applyFont="1" applyFill="1" applyAlignment="1">
      <alignment horizontal="left" wrapText="1"/>
    </xf>
    <xf numFmtId="0" fontId="33" fillId="42" borderId="0" xfId="0" applyFont="1" applyFill="1" applyAlignment="1">
      <alignment horizontal="left" wrapText="1"/>
    </xf>
    <xf numFmtId="0" fontId="11" fillId="42" borderId="0" xfId="0" applyFont="1" applyFill="1" applyAlignment="1">
      <alignment horizontal="center" wrapText="1"/>
    </xf>
    <xf numFmtId="0" fontId="12" fillId="42" borderId="0" xfId="0" applyFont="1" applyFill="1" applyAlignment="1">
      <alignment wrapText="1"/>
    </xf>
    <xf numFmtId="0" fontId="10" fillId="5" borderId="0" xfId="0" applyFont="1" applyFill="1" applyAlignment="1">
      <alignment horizontal="center" wrapText="1"/>
    </xf>
    <xf numFmtId="164" fontId="12" fillId="42" borderId="0" xfId="0" applyNumberFormat="1" applyFont="1" applyFill="1" applyAlignment="1">
      <alignment horizontal="left" wrapText="1"/>
    </xf>
    <xf numFmtId="0" fontId="10" fillId="5" borderId="0" xfId="0" applyFont="1" applyFill="1" applyAlignment="1">
      <alignment horizontal="center" wrapText="1"/>
    </xf>
    <xf numFmtId="0" fontId="1" fillId="42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165" fontId="10" fillId="5" borderId="0" xfId="0" applyNumberFormat="1" applyFont="1" applyFill="1" applyAlignment="1">
      <alignment horizontal="center" wrapText="1"/>
    </xf>
    <xf numFmtId="166" fontId="10" fillId="5" borderId="0" xfId="0" applyNumberFormat="1" applyFont="1" applyFill="1" applyAlignment="1">
      <alignment horizontal="center" wrapText="1"/>
    </xf>
    <xf numFmtId="166" fontId="10" fillId="5" borderId="0" xfId="0" applyNumberFormat="1" applyFont="1" applyFill="1" applyAlignment="1">
      <alignment horizontal="center" wrapText="1"/>
    </xf>
    <xf numFmtId="164" fontId="11" fillId="5" borderId="0" xfId="0" applyNumberFormat="1" applyFont="1" applyFill="1" applyAlignment="1">
      <alignment horizontal="center" wrapText="1"/>
    </xf>
    <xf numFmtId="164" fontId="10" fillId="5" borderId="0" xfId="0" applyNumberFormat="1" applyFont="1" applyFill="1" applyAlignment="1">
      <alignment horizontal="center" wrapText="1"/>
    </xf>
    <xf numFmtId="11" fontId="10" fillId="5" borderId="0" xfId="0" applyNumberFormat="1" applyFont="1" applyFill="1" applyAlignment="1">
      <alignment horizontal="center" wrapText="1"/>
    </xf>
    <xf numFmtId="11" fontId="11" fillId="5" borderId="0" xfId="0" applyNumberFormat="1" applyFont="1" applyFill="1" applyAlignment="1">
      <alignment horizontal="center" wrapText="1"/>
    </xf>
    <xf numFmtId="11" fontId="10" fillId="5" borderId="0" xfId="0" applyNumberFormat="1" applyFont="1" applyFill="1" applyAlignment="1">
      <alignment horizontal="center" wrapText="1"/>
    </xf>
    <xf numFmtId="11" fontId="10" fillId="5" borderId="0" xfId="0" applyNumberFormat="1" applyFont="1" applyFill="1" applyAlignment="1">
      <alignment horizontal="center" wrapText="1"/>
    </xf>
    <xf numFmtId="14" fontId="10" fillId="5" borderId="0" xfId="0" applyNumberFormat="1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0" fontId="4" fillId="19" borderId="0" xfId="0" applyFont="1" applyFill="1" applyAlignment="1">
      <alignment horizontal="center" wrapText="1"/>
    </xf>
    <xf numFmtId="165" fontId="4" fillId="19" borderId="0" xfId="0" applyNumberFormat="1" applyFont="1" applyFill="1" applyAlignment="1">
      <alignment horizontal="center" wrapText="1"/>
    </xf>
    <xf numFmtId="0" fontId="4" fillId="19" borderId="0" xfId="0" applyFont="1" applyFill="1" applyAlignment="1">
      <alignment horizontal="center" wrapText="1"/>
    </xf>
    <xf numFmtId="164" fontId="5" fillId="40" borderId="0" xfId="0" applyNumberFormat="1" applyFont="1" applyFill="1" applyAlignment="1">
      <alignment horizontal="left" wrapText="1"/>
    </xf>
    <xf numFmtId="14" fontId="5" fillId="40" borderId="0" xfId="0" applyNumberFormat="1" applyFont="1" applyFill="1" applyAlignment="1">
      <alignment horizontal="center" wrapText="1"/>
    </xf>
    <xf numFmtId="166" fontId="4" fillId="14" borderId="0" xfId="0" applyNumberFormat="1" applyFont="1" applyFill="1" applyAlignment="1">
      <alignment horizontal="center" wrapText="1"/>
    </xf>
    <xf numFmtId="165" fontId="5" fillId="27" borderId="0" xfId="0" applyNumberFormat="1" applyFont="1" applyFill="1" applyAlignment="1">
      <alignment horizontal="center" wrapText="1"/>
    </xf>
    <xf numFmtId="0" fontId="5" fillId="27" borderId="0" xfId="0" applyFont="1" applyFill="1" applyAlignment="1">
      <alignment wrapText="1"/>
    </xf>
    <xf numFmtId="14" fontId="5" fillId="53" borderId="0" xfId="0" applyNumberFormat="1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14" fontId="5" fillId="33" borderId="0" xfId="0" applyNumberFormat="1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166" fontId="4" fillId="23" borderId="0" xfId="0" applyNumberFormat="1" applyFont="1" applyFill="1" applyAlignment="1">
      <alignment horizontal="center" wrapText="1"/>
    </xf>
    <xf numFmtId="11" fontId="1" fillId="23" borderId="0" xfId="0" applyNumberFormat="1" applyFont="1" applyFill="1" applyAlignment="1">
      <alignment horizontal="center" wrapText="1"/>
    </xf>
    <xf numFmtId="0" fontId="5" fillId="70" borderId="0" xfId="0" applyFont="1" applyFill="1" applyAlignment="1">
      <alignment wrapText="1"/>
    </xf>
    <xf numFmtId="14" fontId="4" fillId="23" borderId="0" xfId="0" applyNumberFormat="1" applyFont="1" applyFill="1" applyAlignment="1">
      <alignment horizontal="center" wrapText="1"/>
    </xf>
    <xf numFmtId="14" fontId="5" fillId="70" borderId="0" xfId="0" applyNumberFormat="1" applyFont="1" applyFill="1" applyAlignment="1">
      <alignment horizontal="center" wrapText="1"/>
    </xf>
    <xf numFmtId="164" fontId="11" fillId="14" borderId="0" xfId="0" applyNumberFormat="1" applyFont="1" applyFill="1" applyAlignment="1">
      <alignment horizontal="center" wrapText="1"/>
    </xf>
    <xf numFmtId="164" fontId="10" fillId="0" borderId="0" xfId="0" applyNumberFormat="1" applyFont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14" fontId="10" fillId="0" borderId="0" xfId="0" applyNumberFormat="1" applyFont="1" applyAlignment="1">
      <alignment horizontal="center" wrapText="1"/>
    </xf>
    <xf numFmtId="0" fontId="3" fillId="37" borderId="0" xfId="0" applyFont="1" applyFill="1" applyAlignment="1">
      <alignment horizontal="left" wrapText="1"/>
    </xf>
    <xf numFmtId="0" fontId="24" fillId="0" borderId="0" xfId="0" applyFont="1" applyAlignment="1">
      <alignment horizontal="center" wrapText="1"/>
    </xf>
    <xf numFmtId="0" fontId="10" fillId="39" borderId="0" xfId="0" applyFont="1" applyFill="1" applyAlignment="1">
      <alignment horizontal="center" wrapText="1"/>
    </xf>
    <xf numFmtId="0" fontId="10" fillId="39" borderId="0" xfId="0" applyFont="1" applyFill="1" applyAlignment="1">
      <alignment horizontal="center" wrapText="1"/>
    </xf>
    <xf numFmtId="0" fontId="5" fillId="70" borderId="0" xfId="0" applyFont="1" applyFill="1" applyAlignment="1">
      <alignment horizontal="left" wrapText="1"/>
    </xf>
    <xf numFmtId="0" fontId="10" fillId="39" borderId="0" xfId="0" applyFont="1" applyFill="1" applyAlignment="1">
      <alignment horizontal="center" wrapText="1"/>
    </xf>
    <xf numFmtId="0" fontId="10" fillId="39" borderId="0" xfId="0" applyFont="1" applyFill="1" applyAlignment="1">
      <alignment horizontal="center" wrapText="1"/>
    </xf>
    <xf numFmtId="166" fontId="10" fillId="39" borderId="0" xfId="0" applyNumberFormat="1" applyFont="1" applyFill="1" applyAlignment="1">
      <alignment horizontal="center" wrapText="1"/>
    </xf>
    <xf numFmtId="166" fontId="10" fillId="39" borderId="0" xfId="0" applyNumberFormat="1" applyFont="1" applyFill="1" applyAlignment="1">
      <alignment horizontal="center" wrapText="1"/>
    </xf>
    <xf numFmtId="164" fontId="11" fillId="39" borderId="0" xfId="0" applyNumberFormat="1" applyFont="1" applyFill="1" applyAlignment="1">
      <alignment horizontal="center" wrapText="1"/>
    </xf>
    <xf numFmtId="164" fontId="10" fillId="39" borderId="0" xfId="0" applyNumberFormat="1" applyFont="1" applyFill="1" applyAlignment="1">
      <alignment horizontal="center" wrapText="1"/>
    </xf>
    <xf numFmtId="164" fontId="5" fillId="71" borderId="0" xfId="0" applyNumberFormat="1" applyFont="1" applyFill="1" applyAlignment="1">
      <alignment horizontal="left" wrapText="1"/>
    </xf>
    <xf numFmtId="11" fontId="10" fillId="39" borderId="0" xfId="0" applyNumberFormat="1" applyFont="1" applyFill="1" applyAlignment="1">
      <alignment horizontal="center" wrapText="1"/>
    </xf>
    <xf numFmtId="11" fontId="11" fillId="39" borderId="0" xfId="0" applyNumberFormat="1" applyFont="1" applyFill="1" applyAlignment="1">
      <alignment horizontal="center" wrapText="1"/>
    </xf>
    <xf numFmtId="11" fontId="10" fillId="39" borderId="0" xfId="0" applyNumberFormat="1" applyFont="1" applyFill="1" applyAlignment="1">
      <alignment horizontal="center" wrapText="1"/>
    </xf>
    <xf numFmtId="0" fontId="1" fillId="76" borderId="0" xfId="0" applyFont="1" applyFill="1" applyAlignment="1">
      <alignment horizontal="left" wrapText="1"/>
    </xf>
    <xf numFmtId="11" fontId="10" fillId="39" borderId="0" xfId="0" applyNumberFormat="1" applyFont="1" applyFill="1" applyAlignment="1">
      <alignment horizontal="center" wrapText="1"/>
    </xf>
    <xf numFmtId="14" fontId="10" fillId="39" borderId="0" xfId="0" applyNumberFormat="1" applyFont="1" applyFill="1" applyAlignment="1">
      <alignment horizontal="center" wrapText="1"/>
    </xf>
    <xf numFmtId="0" fontId="3" fillId="76" borderId="0" xfId="0" applyFont="1" applyFill="1" applyAlignment="1">
      <alignment horizontal="left" wrapText="1"/>
    </xf>
    <xf numFmtId="0" fontId="10" fillId="39" borderId="0" xfId="0" applyFont="1" applyFill="1" applyAlignment="1">
      <alignment horizontal="center" wrapText="1"/>
    </xf>
    <xf numFmtId="0" fontId="1" fillId="76" borderId="0" xfId="0" applyFont="1" applyFill="1" applyAlignment="1">
      <alignment horizontal="center" wrapText="1"/>
    </xf>
    <xf numFmtId="164" fontId="10" fillId="39" borderId="0" xfId="0" applyNumberFormat="1" applyFont="1" applyFill="1" applyAlignment="1">
      <alignment horizontal="center" wrapText="1"/>
    </xf>
    <xf numFmtId="0" fontId="5" fillId="76" borderId="0" xfId="0" applyFont="1" applyFill="1" applyAlignment="1">
      <alignment wrapText="1"/>
    </xf>
    <xf numFmtId="0" fontId="10" fillId="39" borderId="0" xfId="0" applyFont="1" applyFill="1" applyAlignment="1">
      <alignment horizontal="center" wrapText="1"/>
    </xf>
    <xf numFmtId="14" fontId="5" fillId="76" borderId="0" xfId="0" applyNumberFormat="1" applyFont="1" applyFill="1" applyAlignment="1">
      <alignment horizontal="center" wrapText="1"/>
    </xf>
    <xf numFmtId="164" fontId="5" fillId="76" borderId="0" xfId="0" applyNumberFormat="1" applyFont="1" applyFill="1" applyAlignment="1">
      <alignment horizontal="left" wrapText="1"/>
    </xf>
    <xf numFmtId="0" fontId="5" fillId="76" borderId="0" xfId="0" applyFont="1" applyFill="1" applyAlignment="1">
      <alignment wrapText="1"/>
    </xf>
    <xf numFmtId="0" fontId="5" fillId="76" borderId="0" xfId="0" applyFont="1" applyFill="1" applyAlignment="1">
      <alignment horizontal="left" wrapText="1"/>
    </xf>
    <xf numFmtId="14" fontId="5" fillId="42" borderId="0" xfId="0" applyNumberFormat="1" applyFont="1" applyFill="1" applyAlignment="1">
      <alignment horizontal="center" wrapText="1"/>
    </xf>
    <xf numFmtId="165" fontId="5" fillId="32" borderId="0" xfId="0" applyNumberFormat="1" applyFont="1" applyFill="1" applyAlignment="1">
      <alignment horizontal="center" wrapText="1"/>
    </xf>
    <xf numFmtId="164" fontId="5" fillId="32" borderId="0" xfId="0" applyNumberFormat="1" applyFont="1" applyFill="1" applyAlignment="1">
      <alignment horizontal="left" wrapText="1"/>
    </xf>
    <xf numFmtId="0" fontId="4" fillId="36" borderId="0" xfId="0" applyFont="1" applyFill="1" applyAlignment="1">
      <alignment horizontal="center" wrapText="1"/>
    </xf>
    <xf numFmtId="0" fontId="11" fillId="32" borderId="0" xfId="0" applyFont="1" applyFill="1" applyAlignment="1">
      <alignment horizontal="left" wrapText="1"/>
    </xf>
    <xf numFmtId="0" fontId="4" fillId="36" borderId="0" xfId="0" applyFont="1" applyFill="1" applyAlignment="1">
      <alignment horizontal="center" wrapText="1"/>
    </xf>
    <xf numFmtId="0" fontId="33" fillId="32" borderId="0" xfId="0" applyFont="1" applyFill="1" applyAlignment="1">
      <alignment horizontal="left" wrapText="1"/>
    </xf>
    <xf numFmtId="0" fontId="4" fillId="36" borderId="0" xfId="0" applyFont="1" applyFill="1" applyAlignment="1">
      <alignment horizontal="center" wrapText="1"/>
    </xf>
    <xf numFmtId="0" fontId="11" fillId="32" borderId="0" xfId="0" applyFont="1" applyFill="1" applyAlignment="1">
      <alignment horizontal="center" wrapText="1"/>
    </xf>
    <xf numFmtId="0" fontId="12" fillId="32" borderId="0" xfId="0" applyFont="1" applyFill="1" applyAlignment="1">
      <alignment wrapText="1"/>
    </xf>
    <xf numFmtId="14" fontId="12" fillId="32" borderId="0" xfId="0" applyNumberFormat="1" applyFont="1" applyFill="1" applyAlignment="1">
      <alignment horizontal="center" wrapText="1"/>
    </xf>
    <xf numFmtId="14" fontId="4" fillId="36" borderId="0" xfId="0" applyNumberFormat="1" applyFont="1" applyFill="1" applyAlignment="1">
      <alignment horizontal="center" wrapText="1"/>
    </xf>
    <xf numFmtId="164" fontId="12" fillId="32" borderId="0" xfId="0" applyNumberFormat="1" applyFont="1" applyFill="1" applyAlignment="1">
      <alignment horizontal="left" wrapText="1"/>
    </xf>
    <xf numFmtId="11" fontId="1" fillId="36" borderId="0" xfId="0" applyNumberFormat="1" applyFont="1" applyFill="1" applyAlignment="1">
      <alignment horizontal="center" wrapText="1"/>
    </xf>
    <xf numFmtId="0" fontId="12" fillId="32" borderId="0" xfId="0" applyFont="1" applyFill="1" applyAlignment="1">
      <alignment wrapText="1"/>
    </xf>
    <xf numFmtId="14" fontId="5" fillId="32" borderId="0" xfId="0" applyNumberFormat="1" applyFont="1" applyFill="1" applyAlignment="1">
      <alignment horizontal="center" wrapText="1"/>
    </xf>
    <xf numFmtId="165" fontId="5" fillId="53" borderId="0" xfId="0" applyNumberFormat="1" applyFont="1" applyFill="1" applyAlignment="1">
      <alignment horizontal="center" wrapText="1"/>
    </xf>
    <xf numFmtId="165" fontId="5" fillId="51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5" fillId="56" borderId="0" xfId="0" applyFont="1" applyFill="1" applyAlignment="1">
      <alignment wrapText="1"/>
    </xf>
    <xf numFmtId="0" fontId="10" fillId="14" borderId="0" xfId="0" applyFont="1" applyFill="1" applyAlignment="1">
      <alignment horizontal="center" wrapText="1"/>
    </xf>
    <xf numFmtId="14" fontId="5" fillId="56" borderId="0" xfId="0" applyNumberFormat="1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14" fontId="10" fillId="14" borderId="0" xfId="0" applyNumberFormat="1" applyFont="1" applyFill="1" applyAlignment="1">
      <alignment horizontal="center" wrapText="1"/>
    </xf>
    <xf numFmtId="164" fontId="10" fillId="14" borderId="0" xfId="0" applyNumberFormat="1" applyFont="1" applyFill="1" applyAlignment="1">
      <alignment horizontal="center" wrapText="1"/>
    </xf>
    <xf numFmtId="11" fontId="10" fillId="14" borderId="0" xfId="0" applyNumberFormat="1" applyFont="1" applyFill="1" applyAlignment="1">
      <alignment horizontal="center" wrapText="1"/>
    </xf>
    <xf numFmtId="11" fontId="10" fillId="14" borderId="0" xfId="0" applyNumberFormat="1" applyFont="1" applyFill="1" applyAlignment="1">
      <alignment horizontal="center" wrapText="1"/>
    </xf>
    <xf numFmtId="11" fontId="10" fillId="14" borderId="0" xfId="0" applyNumberFormat="1" applyFont="1" applyFill="1" applyAlignment="1">
      <alignment horizontal="center" wrapText="1"/>
    </xf>
    <xf numFmtId="0" fontId="3" fillId="75" borderId="0" xfId="0" applyFont="1" applyFill="1" applyAlignment="1">
      <alignment horizontal="left" wrapText="1"/>
    </xf>
    <xf numFmtId="0" fontId="10" fillId="14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5" fillId="65" borderId="0" xfId="0" applyFont="1" applyFill="1" applyAlignment="1">
      <alignment wrapText="1"/>
    </xf>
    <xf numFmtId="165" fontId="5" fillId="65" borderId="0" xfId="0" applyNumberFormat="1" applyFont="1" applyFill="1" applyAlignment="1">
      <alignment horizontal="center" wrapText="1"/>
    </xf>
    <xf numFmtId="14" fontId="5" fillId="65" borderId="0" xfId="0" applyNumberFormat="1" applyFont="1" applyFill="1" applyAlignment="1">
      <alignment horizontal="center" wrapText="1"/>
    </xf>
    <xf numFmtId="170" fontId="5" fillId="52" borderId="0" xfId="0" applyNumberFormat="1" applyFont="1" applyFill="1" applyAlignment="1">
      <alignment horizontal="left" wrapText="1"/>
    </xf>
    <xf numFmtId="164" fontId="24" fillId="45" borderId="0" xfId="0" applyNumberFormat="1" applyFont="1" applyFill="1" applyAlignment="1">
      <alignment horizontal="center" wrapText="1"/>
    </xf>
    <xf numFmtId="14" fontId="5" fillId="52" borderId="0" xfId="0" applyNumberFormat="1" applyFont="1" applyFill="1" applyAlignment="1">
      <alignment horizontal="center" wrapText="1"/>
    </xf>
    <xf numFmtId="0" fontId="1" fillId="7" borderId="0" xfId="0" applyFont="1" applyFill="1" applyAlignment="1">
      <alignment horizontal="left" wrapText="1"/>
    </xf>
    <xf numFmtId="0" fontId="4" fillId="45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64" fontId="4" fillId="45" borderId="0" xfId="0" applyNumberFormat="1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66" fontId="4" fillId="45" borderId="0" xfId="0" applyNumberFormat="1" applyFont="1" applyFill="1" applyAlignment="1">
      <alignment horizontal="center" wrapText="1"/>
    </xf>
    <xf numFmtId="166" fontId="4" fillId="45" borderId="0" xfId="0" applyNumberFormat="1" applyFont="1" applyFill="1" applyAlignment="1">
      <alignment horizontal="center" wrapText="1"/>
    </xf>
    <xf numFmtId="164" fontId="1" fillId="45" borderId="0" xfId="0" applyNumberFormat="1" applyFont="1" applyFill="1" applyAlignment="1">
      <alignment horizontal="center" wrapText="1"/>
    </xf>
    <xf numFmtId="164" fontId="4" fillId="45" borderId="0" xfId="0" applyNumberFormat="1" applyFont="1" applyFill="1" applyAlignment="1">
      <alignment horizontal="center" wrapText="1"/>
    </xf>
    <xf numFmtId="0" fontId="5" fillId="38" borderId="0" xfId="0" applyFont="1" applyFill="1" applyAlignment="1">
      <alignment horizontal="center" wrapText="1"/>
    </xf>
    <xf numFmtId="11" fontId="4" fillId="45" borderId="0" xfId="0" applyNumberFormat="1" applyFont="1" applyFill="1" applyAlignment="1">
      <alignment horizontal="center" wrapText="1"/>
    </xf>
    <xf numFmtId="0" fontId="20" fillId="38" borderId="0" xfId="0" applyFont="1" applyFill="1" applyAlignment="1">
      <alignment wrapText="1"/>
    </xf>
    <xf numFmtId="11" fontId="1" fillId="45" borderId="0" xfId="0" applyNumberFormat="1" applyFont="1" applyFill="1" applyAlignment="1">
      <alignment horizontal="center" wrapText="1"/>
    </xf>
    <xf numFmtId="0" fontId="1" fillId="77" borderId="0" xfId="0" applyFont="1" applyFill="1" applyAlignment="1">
      <alignment horizontal="left" wrapText="1"/>
    </xf>
    <xf numFmtId="11" fontId="4" fillId="45" borderId="0" xfId="0" applyNumberFormat="1" applyFont="1" applyFill="1" applyAlignment="1">
      <alignment horizontal="center" wrapText="1"/>
    </xf>
    <xf numFmtId="0" fontId="3" fillId="77" borderId="0" xfId="0" applyFont="1" applyFill="1" applyAlignment="1">
      <alignment horizontal="left" wrapText="1"/>
    </xf>
    <xf numFmtId="11" fontId="4" fillId="45" borderId="0" xfId="0" applyNumberFormat="1" applyFont="1" applyFill="1" applyAlignment="1">
      <alignment horizontal="center" wrapText="1"/>
    </xf>
    <xf numFmtId="0" fontId="1" fillId="77" borderId="0" xfId="0" applyFont="1" applyFill="1" applyAlignment="1">
      <alignment horizontal="center" wrapText="1"/>
    </xf>
    <xf numFmtId="14" fontId="4" fillId="45" borderId="0" xfId="0" applyNumberFormat="1" applyFont="1" applyFill="1" applyAlignment="1">
      <alignment horizontal="center" wrapText="1"/>
    </xf>
    <xf numFmtId="0" fontId="5" fillId="77" borderId="0" xfId="0" applyFont="1" applyFill="1" applyAlignment="1">
      <alignment wrapText="1"/>
    </xf>
    <xf numFmtId="14" fontId="5" fillId="77" borderId="0" xfId="0" applyNumberFormat="1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64" fontId="5" fillId="77" borderId="0" xfId="0" applyNumberFormat="1" applyFont="1" applyFill="1" applyAlignment="1">
      <alignment horizontal="left" wrapText="1"/>
    </xf>
    <xf numFmtId="0" fontId="5" fillId="77" borderId="0" xfId="0" applyFont="1" applyFill="1" applyAlignment="1">
      <alignment horizontal="left" wrapText="1"/>
    </xf>
    <xf numFmtId="0" fontId="1" fillId="78" borderId="0" xfId="0" applyFont="1" applyFill="1" applyAlignment="1">
      <alignment horizontal="left" wrapText="1"/>
    </xf>
    <xf numFmtId="0" fontId="3" fillId="78" borderId="0" xfId="0" applyFont="1" applyFill="1" applyAlignment="1">
      <alignment horizontal="left" wrapText="1"/>
    </xf>
    <xf numFmtId="0" fontId="1" fillId="78" borderId="0" xfId="0" applyFont="1" applyFill="1" applyAlignment="1">
      <alignment horizontal="center" wrapText="1"/>
    </xf>
    <xf numFmtId="0" fontId="5" fillId="78" borderId="0" xfId="0" applyFont="1" applyFill="1" applyAlignment="1">
      <alignment wrapText="1"/>
    </xf>
    <xf numFmtId="14" fontId="5" fillId="78" borderId="0" xfId="0" applyNumberFormat="1" applyFont="1" applyFill="1" applyAlignment="1">
      <alignment horizontal="center" wrapText="1"/>
    </xf>
    <xf numFmtId="164" fontId="5" fillId="78" borderId="0" xfId="0" applyNumberFormat="1" applyFont="1" applyFill="1" applyAlignment="1">
      <alignment horizontal="left" wrapText="1"/>
    </xf>
    <xf numFmtId="0" fontId="10" fillId="11" borderId="0" xfId="0" applyFont="1" applyFill="1" applyAlignment="1">
      <alignment horizontal="center" wrapText="1"/>
    </xf>
    <xf numFmtId="0" fontId="10" fillId="11" borderId="0" xfId="0" applyFont="1" applyFill="1" applyAlignment="1">
      <alignment horizontal="center" wrapText="1"/>
    </xf>
    <xf numFmtId="14" fontId="10" fillId="11" borderId="0" xfId="0" applyNumberFormat="1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0" fontId="1" fillId="51" borderId="0" xfId="0" applyFont="1" applyFill="1" applyAlignment="1">
      <alignment horizontal="left" wrapText="1"/>
    </xf>
    <xf numFmtId="0" fontId="1" fillId="36" borderId="0" xfId="0" applyFont="1" applyFill="1" applyAlignment="1">
      <alignment horizontal="left" wrapText="1"/>
    </xf>
    <xf numFmtId="0" fontId="5" fillId="36" borderId="0" xfId="0" applyFont="1" applyFill="1" applyAlignment="1">
      <alignment horizontal="left" wrapText="1"/>
    </xf>
    <xf numFmtId="0" fontId="4" fillId="37" borderId="0" xfId="0" applyFont="1" applyFill="1" applyAlignment="1">
      <alignment horizontal="center" wrapText="1"/>
    </xf>
    <xf numFmtId="14" fontId="5" fillId="17" borderId="0" xfId="0" applyNumberFormat="1" applyFont="1" applyFill="1" applyAlignment="1">
      <alignment horizontal="center" wrapText="1"/>
    </xf>
    <xf numFmtId="0" fontId="14" fillId="37" borderId="0" xfId="0" applyFont="1" applyFill="1" applyAlignment="1">
      <alignment horizontal="center" wrapText="1"/>
    </xf>
    <xf numFmtId="164" fontId="5" fillId="6" borderId="0" xfId="0" applyNumberFormat="1" applyFont="1" applyFill="1" applyAlignment="1">
      <alignment horizontal="left" wrapText="1"/>
    </xf>
    <xf numFmtId="14" fontId="4" fillId="37" borderId="0" xfId="0" applyNumberFormat="1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165" fontId="5" fillId="67" borderId="0" xfId="0" applyNumberFormat="1" applyFont="1" applyFill="1" applyAlignment="1">
      <alignment horizontal="center" wrapText="1"/>
    </xf>
    <xf numFmtId="164" fontId="5" fillId="67" borderId="0" xfId="0" applyNumberFormat="1" applyFont="1" applyFill="1" applyAlignment="1">
      <alignment horizontal="left" wrapText="1"/>
    </xf>
    <xf numFmtId="164" fontId="24" fillId="37" borderId="0" xfId="0" applyNumberFormat="1" applyFont="1" applyFill="1" applyAlignment="1">
      <alignment horizontal="center" wrapText="1"/>
    </xf>
    <xf numFmtId="0" fontId="10" fillId="54" borderId="0" xfId="0" applyFont="1" applyFill="1" applyAlignment="1">
      <alignment horizontal="center" wrapText="1"/>
    </xf>
    <xf numFmtId="14" fontId="5" fillId="67" borderId="0" xfId="0" applyNumberFormat="1" applyFont="1" applyFill="1" applyAlignment="1">
      <alignment horizontal="center" wrapText="1"/>
    </xf>
    <xf numFmtId="0" fontId="10" fillId="54" borderId="0" xfId="0" applyFont="1" applyFill="1" applyAlignment="1">
      <alignment horizontal="center" wrapText="1"/>
    </xf>
    <xf numFmtId="0" fontId="10" fillId="54" borderId="0" xfId="0" applyFont="1" applyFill="1" applyAlignment="1">
      <alignment horizontal="center" wrapText="1"/>
    </xf>
    <xf numFmtId="164" fontId="10" fillId="54" borderId="0" xfId="0" applyNumberFormat="1" applyFont="1" applyFill="1" applyAlignment="1">
      <alignment horizontal="center" wrapText="1"/>
    </xf>
    <xf numFmtId="0" fontId="10" fillId="54" borderId="0" xfId="0" applyFont="1" applyFill="1" applyAlignment="1">
      <alignment horizontal="center" wrapText="1"/>
    </xf>
    <xf numFmtId="0" fontId="10" fillId="54" borderId="0" xfId="0" applyFont="1" applyFill="1" applyAlignment="1">
      <alignment horizontal="center" wrapText="1"/>
    </xf>
    <xf numFmtId="14" fontId="5" fillId="52" borderId="0" xfId="0" applyNumberFormat="1" applyFont="1" applyFill="1" applyAlignment="1">
      <alignment horizontal="center" wrapText="1"/>
    </xf>
    <xf numFmtId="166" fontId="10" fillId="54" borderId="0" xfId="0" applyNumberFormat="1" applyFont="1" applyFill="1" applyAlignment="1">
      <alignment horizontal="center" wrapText="1"/>
    </xf>
    <xf numFmtId="166" fontId="10" fillId="54" borderId="0" xfId="0" applyNumberFormat="1" applyFont="1" applyFill="1" applyAlignment="1">
      <alignment horizontal="center" wrapText="1"/>
    </xf>
    <xf numFmtId="0" fontId="11" fillId="54" borderId="0" xfId="0" applyFont="1" applyFill="1" applyAlignment="1">
      <alignment horizontal="center" wrapText="1"/>
    </xf>
    <xf numFmtId="164" fontId="10" fillId="54" borderId="0" xfId="0" applyNumberFormat="1" applyFont="1" applyFill="1" applyAlignment="1">
      <alignment horizontal="center" wrapText="1"/>
    </xf>
    <xf numFmtId="11" fontId="10" fillId="54" borderId="0" xfId="0" applyNumberFormat="1" applyFont="1" applyFill="1" applyAlignment="1">
      <alignment horizontal="center" wrapText="1"/>
    </xf>
    <xf numFmtId="0" fontId="1" fillId="78" borderId="0" xfId="0" applyFont="1" applyFill="1" applyAlignment="1">
      <alignment horizontal="left" wrapText="1"/>
    </xf>
    <xf numFmtId="11" fontId="11" fillId="54" borderId="0" xfId="0" applyNumberFormat="1" applyFont="1" applyFill="1" applyAlignment="1">
      <alignment horizontal="center" wrapText="1"/>
    </xf>
    <xf numFmtId="11" fontId="10" fillId="54" borderId="0" xfId="0" applyNumberFormat="1" applyFont="1" applyFill="1" applyAlignment="1">
      <alignment horizontal="center" wrapText="1"/>
    </xf>
    <xf numFmtId="0" fontId="5" fillId="78" borderId="0" xfId="0" applyFont="1" applyFill="1" applyAlignment="1">
      <alignment wrapText="1"/>
    </xf>
    <xf numFmtId="11" fontId="10" fillId="54" borderId="0" xfId="0" applyNumberFormat="1" applyFont="1" applyFill="1" applyAlignment="1">
      <alignment horizontal="center" wrapText="1"/>
    </xf>
    <xf numFmtId="14" fontId="10" fillId="54" borderId="0" xfId="0" applyNumberFormat="1" applyFont="1" applyFill="1" applyAlignment="1">
      <alignment horizontal="center" wrapText="1"/>
    </xf>
    <xf numFmtId="0" fontId="24" fillId="54" borderId="0" xfId="0" applyFont="1" applyFill="1" applyAlignment="1">
      <alignment horizontal="center" wrapText="1"/>
    </xf>
    <xf numFmtId="0" fontId="10" fillId="54" borderId="0" xfId="0" applyFont="1" applyFill="1" applyAlignment="1">
      <alignment horizontal="center" wrapText="1"/>
    </xf>
    <xf numFmtId="0" fontId="16" fillId="17" borderId="0" xfId="0" applyFont="1" applyFill="1" applyAlignment="1">
      <alignment wrapText="1"/>
    </xf>
    <xf numFmtId="0" fontId="16" fillId="36" borderId="0" xfId="0" applyFont="1" applyFill="1" applyAlignment="1">
      <alignment wrapText="1"/>
    </xf>
    <xf numFmtId="0" fontId="11" fillId="50" borderId="0" xfId="0" applyFont="1" applyFill="1" applyAlignment="1">
      <alignment horizontal="left" wrapText="1"/>
    </xf>
    <xf numFmtId="0" fontId="33" fillId="50" borderId="0" xfId="0" applyFont="1" applyFill="1" applyAlignment="1">
      <alignment horizontal="left" wrapText="1"/>
    </xf>
    <xf numFmtId="0" fontId="11" fillId="50" borderId="0" xfId="0" applyFont="1" applyFill="1" applyAlignment="1">
      <alignment horizontal="center" wrapText="1"/>
    </xf>
    <xf numFmtId="0" fontId="12" fillId="50" borderId="0" xfId="0" applyFont="1" applyFill="1" applyAlignment="1">
      <alignment wrapText="1"/>
    </xf>
    <xf numFmtId="14" fontId="12" fillId="50" borderId="0" xfId="0" applyNumberFormat="1" applyFont="1" applyFill="1" applyAlignment="1">
      <alignment horizontal="center" wrapText="1"/>
    </xf>
    <xf numFmtId="164" fontId="12" fillId="50" borderId="0" xfId="0" applyNumberFormat="1" applyFont="1" applyFill="1" applyAlignment="1">
      <alignment horizontal="left" wrapText="1"/>
    </xf>
    <xf numFmtId="0" fontId="5" fillId="50" borderId="0" xfId="0" applyFont="1" applyFill="1" applyAlignment="1">
      <alignment wrapText="1"/>
    </xf>
    <xf numFmtId="0" fontId="57" fillId="50" borderId="0" xfId="0" applyFont="1" applyFill="1" applyAlignment="1">
      <alignment wrapText="1"/>
    </xf>
    <xf numFmtId="0" fontId="1" fillId="50" borderId="0" xfId="0" applyFont="1" applyFill="1" applyAlignment="1">
      <alignment horizontal="left" wrapText="1"/>
    </xf>
    <xf numFmtId="14" fontId="5" fillId="50" borderId="0" xfId="0" applyNumberFormat="1" applyFont="1" applyFill="1" applyAlignment="1">
      <alignment horizontal="center" wrapText="1"/>
    </xf>
    <xf numFmtId="164" fontId="58" fillId="0" borderId="0" xfId="0" applyNumberFormat="1" applyFont="1" applyAlignment="1">
      <alignment wrapText="1"/>
    </xf>
    <xf numFmtId="14" fontId="5" fillId="0" borderId="0" xfId="0" applyNumberFormat="1" applyFont="1" applyAlignment="1">
      <alignment horizontal="center" wrapText="1"/>
    </xf>
    <xf numFmtId="14" fontId="5" fillId="0" borderId="0" xfId="0" applyNumberFormat="1" applyFont="1" applyAlignment="1">
      <alignment wrapText="1"/>
    </xf>
    <xf numFmtId="14" fontId="5" fillId="6" borderId="0" xfId="0" applyNumberFormat="1" applyFont="1" applyFill="1" applyAlignment="1">
      <alignment wrapText="1"/>
    </xf>
    <xf numFmtId="0" fontId="11" fillId="6" borderId="0" xfId="0" applyFont="1" applyFill="1" applyAlignment="1">
      <alignment horizontal="left" wrapText="1"/>
    </xf>
    <xf numFmtId="0" fontId="10" fillId="55" borderId="0" xfId="0" applyFont="1" applyFill="1" applyAlignment="1">
      <alignment horizontal="center" wrapText="1"/>
    </xf>
    <xf numFmtId="0" fontId="33" fillId="6" borderId="0" xfId="0" applyFont="1" applyFill="1" applyAlignment="1">
      <alignment horizontal="left" wrapText="1"/>
    </xf>
    <xf numFmtId="0" fontId="10" fillId="55" borderId="0" xfId="0" applyFont="1" applyFill="1" applyAlignment="1">
      <alignment horizontal="center" wrapText="1"/>
    </xf>
    <xf numFmtId="0" fontId="11" fillId="6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2" fillId="6" borderId="0" xfId="0" applyFont="1" applyFill="1" applyAlignment="1">
      <alignment wrapText="1"/>
    </xf>
    <xf numFmtId="14" fontId="12" fillId="6" borderId="0" xfId="0" applyNumberFormat="1" applyFont="1" applyFill="1" applyAlignment="1">
      <alignment wrapText="1"/>
    </xf>
    <xf numFmtId="0" fontId="1" fillId="70" borderId="0" xfId="0" applyFont="1" applyFill="1" applyAlignment="1">
      <alignment horizontal="left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14" fontId="5" fillId="70" borderId="0" xfId="0" applyNumberFormat="1" applyFont="1" applyFill="1" applyAlignment="1">
      <alignment wrapText="1"/>
    </xf>
    <xf numFmtId="0" fontId="10" fillId="55" borderId="0" xfId="0" applyFont="1" applyFill="1" applyAlignment="1">
      <alignment horizontal="center" wrapText="1"/>
    </xf>
    <xf numFmtId="165" fontId="10" fillId="55" borderId="0" xfId="0" applyNumberFormat="1" applyFont="1" applyFill="1" applyAlignment="1">
      <alignment horizontal="center" wrapText="1"/>
    </xf>
    <xf numFmtId="0" fontId="1" fillId="54" borderId="0" xfId="0" applyFont="1" applyFill="1" applyAlignment="1">
      <alignment horizontal="left" wrapText="1"/>
    </xf>
    <xf numFmtId="166" fontId="10" fillId="55" borderId="0" xfId="0" applyNumberFormat="1" applyFont="1" applyFill="1" applyAlignment="1">
      <alignment horizontal="center" wrapText="1"/>
    </xf>
    <xf numFmtId="14" fontId="5" fillId="54" borderId="0" xfId="0" applyNumberFormat="1" applyFont="1" applyFill="1" applyAlignment="1">
      <alignment wrapText="1"/>
    </xf>
    <xf numFmtId="166" fontId="10" fillId="55" borderId="0" xfId="0" applyNumberFormat="1" applyFont="1" applyFill="1" applyAlignment="1">
      <alignment horizontal="center" wrapText="1"/>
    </xf>
    <xf numFmtId="0" fontId="11" fillId="55" borderId="0" xfId="0" applyFont="1" applyFill="1" applyAlignment="1">
      <alignment horizontal="center" wrapText="1"/>
    </xf>
    <xf numFmtId="164" fontId="10" fillId="55" borderId="0" xfId="0" applyNumberFormat="1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11" fontId="11" fillId="55" borderId="0" xfId="0" applyNumberFormat="1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14" fontId="10" fillId="55" borderId="0" xfId="0" applyNumberFormat="1" applyFont="1" applyFill="1" applyAlignment="1">
      <alignment horizontal="center" wrapText="1"/>
    </xf>
    <xf numFmtId="0" fontId="24" fillId="55" borderId="0" xfId="0" applyFont="1" applyFill="1" applyAlignment="1">
      <alignment horizontal="center" wrapText="1"/>
    </xf>
    <xf numFmtId="164" fontId="5" fillId="51" borderId="0" xfId="0" applyNumberFormat="1" applyFont="1" applyFill="1" applyAlignment="1">
      <alignment horizontal="left" wrapText="1"/>
    </xf>
    <xf numFmtId="0" fontId="10" fillId="55" borderId="0" xfId="0" applyFont="1" applyFill="1" applyAlignment="1">
      <alignment horizontal="center" wrapText="1"/>
    </xf>
    <xf numFmtId="164" fontId="9" fillId="23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left" wrapText="1"/>
    </xf>
    <xf numFmtId="0" fontId="5" fillId="10" borderId="0" xfId="0" applyFont="1" applyFill="1" applyAlignment="1">
      <alignment wrapText="1"/>
    </xf>
    <xf numFmtId="0" fontId="1" fillId="10" borderId="0" xfId="0" applyFont="1" applyFill="1" applyAlignment="1">
      <alignment horizontal="center" wrapText="1"/>
    </xf>
    <xf numFmtId="165" fontId="5" fillId="10" borderId="0" xfId="0" applyNumberFormat="1" applyFont="1" applyFill="1" applyAlignment="1">
      <alignment horizontal="center" wrapText="1"/>
    </xf>
    <xf numFmtId="164" fontId="5" fillId="10" borderId="0" xfId="0" applyNumberFormat="1" applyFont="1" applyFill="1" applyAlignment="1">
      <alignment horizontal="left" wrapText="1"/>
    </xf>
    <xf numFmtId="0" fontId="5" fillId="10" borderId="0" xfId="0" applyFont="1" applyFill="1" applyAlignment="1">
      <alignment wrapText="1"/>
    </xf>
    <xf numFmtId="14" fontId="5" fillId="10" borderId="0" xfId="0" applyNumberFormat="1" applyFont="1" applyFill="1" applyAlignment="1">
      <alignment horizontal="center" wrapText="1"/>
    </xf>
    <xf numFmtId="0" fontId="26" fillId="17" borderId="0" xfId="0" applyFont="1" applyFill="1" applyAlignment="1">
      <alignment wrapText="1"/>
    </xf>
    <xf numFmtId="0" fontId="26" fillId="36" borderId="0" xfId="0" applyFont="1" applyFill="1" applyAlignment="1">
      <alignment wrapText="1"/>
    </xf>
    <xf numFmtId="0" fontId="26" fillId="50" borderId="0" xfId="0" applyFont="1" applyFill="1" applyAlignment="1">
      <alignment wrapText="1"/>
    </xf>
    <xf numFmtId="166" fontId="5" fillId="50" borderId="0" xfId="0" applyNumberFormat="1" applyFont="1" applyFill="1" applyAlignment="1">
      <alignment horizontal="center" wrapText="1"/>
    </xf>
    <xf numFmtId="0" fontId="1" fillId="43" borderId="0" xfId="0" applyFont="1" applyFill="1" applyAlignment="1">
      <alignment horizontal="left" wrapText="1"/>
    </xf>
    <xf numFmtId="0" fontId="5" fillId="43" borderId="0" xfId="0" applyFont="1" applyFill="1" applyAlignment="1">
      <alignment wrapText="1"/>
    </xf>
    <xf numFmtId="0" fontId="5" fillId="43" borderId="0" xfId="0" applyFont="1" applyFill="1" applyAlignment="1">
      <alignment horizontal="center" wrapText="1"/>
    </xf>
    <xf numFmtId="0" fontId="1" fillId="21" borderId="0" xfId="0" applyFont="1" applyFill="1" applyAlignment="1">
      <alignment horizontal="left" wrapText="1"/>
    </xf>
    <xf numFmtId="166" fontId="5" fillId="21" borderId="0" xfId="0" applyNumberFormat="1" applyFont="1" applyFill="1" applyAlignment="1">
      <alignment horizontal="center" wrapText="1"/>
    </xf>
    <xf numFmtId="0" fontId="1" fillId="39" borderId="0" xfId="0" applyFont="1" applyFill="1" applyAlignment="1">
      <alignment horizontal="center" wrapText="1"/>
    </xf>
    <xf numFmtId="0" fontId="1" fillId="27" borderId="0" xfId="0" applyFont="1" applyFill="1" applyAlignment="1">
      <alignment horizontal="left" wrapText="1"/>
    </xf>
    <xf numFmtId="0" fontId="1" fillId="27" borderId="0" xfId="0" applyFont="1" applyFill="1" applyAlignment="1">
      <alignment horizontal="center" wrapText="1"/>
    </xf>
    <xf numFmtId="0" fontId="1" fillId="5" borderId="0" xfId="0" applyFont="1" applyFill="1" applyAlignment="1">
      <alignment horizontal="left" wrapText="1"/>
    </xf>
    <xf numFmtId="0" fontId="1" fillId="5" borderId="0" xfId="0" applyFont="1" applyFill="1" applyAlignment="1">
      <alignment horizontal="center" wrapText="1"/>
    </xf>
    <xf numFmtId="0" fontId="1" fillId="75" borderId="0" xfId="0" applyFont="1" applyFill="1" applyAlignment="1">
      <alignment horizontal="left" wrapText="1"/>
    </xf>
    <xf numFmtId="166" fontId="5" fillId="75" borderId="0" xfId="0" applyNumberFormat="1" applyFont="1" applyFill="1" applyAlignment="1">
      <alignment horizontal="center" wrapText="1"/>
    </xf>
    <xf numFmtId="0" fontId="3" fillId="10" borderId="0" xfId="0" applyFont="1" applyFill="1" applyAlignment="1">
      <alignment horizontal="left" wrapText="1"/>
    </xf>
    <xf numFmtId="166" fontId="5" fillId="10" borderId="0" xfId="0" applyNumberFormat="1" applyFont="1" applyFill="1" applyAlignment="1">
      <alignment horizontal="center" wrapText="1"/>
    </xf>
    <xf numFmtId="0" fontId="1" fillId="14" borderId="0" xfId="0" applyFont="1" applyFill="1" applyAlignment="1">
      <alignment horizontal="center" wrapText="1"/>
    </xf>
    <xf numFmtId="11" fontId="4" fillId="14" borderId="0" xfId="0" applyNumberFormat="1" applyFont="1" applyFill="1" applyAlignment="1">
      <alignment horizontal="center" wrapText="1"/>
    </xf>
    <xf numFmtId="0" fontId="1" fillId="77" borderId="0" xfId="0" applyFont="1" applyFill="1" applyAlignment="1">
      <alignment horizontal="left" wrapText="1"/>
    </xf>
    <xf numFmtId="0" fontId="4" fillId="14" borderId="0" xfId="0" applyFont="1" applyFill="1" applyAlignment="1">
      <alignment horizontal="center" wrapText="1"/>
    </xf>
    <xf numFmtId="14" fontId="5" fillId="77" borderId="0" xfId="0" applyNumberFormat="1" applyFont="1" applyFill="1" applyAlignment="1">
      <alignment horizontal="center" wrapText="1"/>
    </xf>
    <xf numFmtId="164" fontId="5" fillId="77" borderId="0" xfId="0" applyNumberFormat="1" applyFont="1" applyFill="1" applyAlignment="1">
      <alignment horizontal="left" wrapText="1"/>
    </xf>
    <xf numFmtId="0" fontId="1" fillId="79" borderId="0" xfId="0" applyFont="1" applyFill="1" applyAlignment="1">
      <alignment horizontal="left" wrapText="1"/>
    </xf>
    <xf numFmtId="0" fontId="10" fillId="0" borderId="0" xfId="0" applyFont="1" applyAlignment="1">
      <alignment horizontal="center" wrapText="1"/>
    </xf>
    <xf numFmtId="0" fontId="3" fillId="79" borderId="0" xfId="0" applyFont="1" applyFill="1" applyAlignment="1">
      <alignment horizontal="left" wrapText="1"/>
    </xf>
    <xf numFmtId="0" fontId="1" fillId="79" borderId="0" xfId="0" applyFont="1" applyFill="1" applyAlignment="1">
      <alignment horizontal="center" wrapText="1"/>
    </xf>
    <xf numFmtId="0" fontId="5" fillId="79" borderId="0" xfId="0" applyFont="1" applyFill="1" applyAlignment="1">
      <alignment wrapText="1"/>
    </xf>
    <xf numFmtId="14" fontId="5" fillId="79" borderId="0" xfId="0" applyNumberFormat="1" applyFont="1" applyFill="1" applyAlignment="1">
      <alignment horizontal="center" wrapText="1"/>
    </xf>
    <xf numFmtId="166" fontId="10" fillId="14" borderId="0" xfId="0" applyNumberFormat="1" applyFont="1" applyFill="1" applyAlignment="1">
      <alignment horizontal="center" wrapText="1"/>
    </xf>
    <xf numFmtId="164" fontId="5" fillId="79" borderId="0" xfId="0" applyNumberFormat="1" applyFont="1" applyFill="1" applyAlignment="1">
      <alignment horizontal="left" wrapText="1"/>
    </xf>
    <xf numFmtId="0" fontId="10" fillId="45" borderId="0" xfId="0" applyFont="1" applyFill="1" applyAlignment="1">
      <alignment horizontal="center" wrapText="1"/>
    </xf>
    <xf numFmtId="166" fontId="5" fillId="79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164" fontId="5" fillId="79" borderId="0" xfId="0" applyNumberFormat="1" applyFont="1" applyFill="1" applyAlignment="1">
      <alignment horizontal="left" wrapText="1"/>
    </xf>
    <xf numFmtId="0" fontId="10" fillId="45" borderId="0" xfId="0" applyFont="1" applyFill="1" applyAlignment="1">
      <alignment horizontal="center" wrapText="1"/>
    </xf>
    <xf numFmtId="164" fontId="10" fillId="45" borderId="0" xfId="0" applyNumberFormat="1" applyFont="1" applyFill="1" applyAlignment="1">
      <alignment horizontal="center" wrapText="1"/>
    </xf>
    <xf numFmtId="0" fontId="1" fillId="80" borderId="0" xfId="0" applyFont="1" applyFill="1" applyAlignment="1">
      <alignment horizontal="left" wrapText="1"/>
    </xf>
    <xf numFmtId="0" fontId="10" fillId="45" borderId="0" xfId="0" applyFont="1" applyFill="1" applyAlignment="1">
      <alignment horizontal="center" wrapText="1"/>
    </xf>
    <xf numFmtId="0" fontId="3" fillId="80" borderId="0" xfId="0" applyFont="1" applyFill="1" applyAlignment="1">
      <alignment horizontal="left" wrapText="1"/>
    </xf>
    <xf numFmtId="0" fontId="1" fillId="80" borderId="0" xfId="0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5" fillId="80" borderId="0" xfId="0" applyFont="1" applyFill="1" applyAlignment="1">
      <alignment wrapText="1"/>
    </xf>
    <xf numFmtId="166" fontId="10" fillId="45" borderId="0" xfId="0" applyNumberFormat="1" applyFont="1" applyFill="1" applyAlignment="1">
      <alignment horizontal="center" wrapText="1"/>
    </xf>
    <xf numFmtId="14" fontId="5" fillId="80" borderId="0" xfId="0" applyNumberFormat="1" applyFont="1" applyFill="1" applyAlignment="1">
      <alignment horizontal="center" wrapText="1"/>
    </xf>
    <xf numFmtId="166" fontId="10" fillId="45" borderId="0" xfId="0" applyNumberFormat="1" applyFont="1" applyFill="1" applyAlignment="1">
      <alignment horizontal="center" wrapText="1"/>
    </xf>
    <xf numFmtId="164" fontId="5" fillId="80" borderId="0" xfId="0" applyNumberFormat="1" applyFont="1" applyFill="1" applyAlignment="1">
      <alignment horizontal="left" wrapText="1"/>
    </xf>
    <xf numFmtId="164" fontId="11" fillId="45" borderId="0" xfId="0" applyNumberFormat="1" applyFont="1" applyFill="1" applyAlignment="1">
      <alignment horizontal="center" wrapText="1"/>
    </xf>
    <xf numFmtId="14" fontId="5" fillId="80" borderId="0" xfId="0" applyNumberFormat="1" applyFont="1" applyFill="1" applyAlignment="1">
      <alignment horizontal="center" wrapText="1"/>
    </xf>
    <xf numFmtId="164" fontId="10" fillId="45" borderId="0" xfId="0" applyNumberFormat="1" applyFont="1" applyFill="1" applyAlignment="1">
      <alignment horizontal="center" wrapText="1"/>
    </xf>
    <xf numFmtId="164" fontId="5" fillId="80" borderId="0" xfId="0" applyNumberFormat="1" applyFont="1" applyFill="1" applyAlignment="1">
      <alignment horizontal="left" wrapText="1"/>
    </xf>
    <xf numFmtId="11" fontId="10" fillId="45" borderId="0" xfId="0" applyNumberFormat="1" applyFont="1" applyFill="1" applyAlignment="1">
      <alignment horizontal="center" wrapText="1"/>
    </xf>
    <xf numFmtId="0" fontId="1" fillId="81" borderId="0" xfId="0" applyFont="1" applyFill="1" applyAlignment="1">
      <alignment horizontal="left" wrapText="1"/>
    </xf>
    <xf numFmtId="11" fontId="11" fillId="45" borderId="0" xfId="0" applyNumberFormat="1" applyFont="1" applyFill="1" applyAlignment="1">
      <alignment horizontal="center" wrapText="1"/>
    </xf>
    <xf numFmtId="11" fontId="10" fillId="45" borderId="0" xfId="0" applyNumberFormat="1" applyFont="1" applyFill="1" applyAlignment="1">
      <alignment horizontal="center" wrapText="1"/>
    </xf>
    <xf numFmtId="0" fontId="3" fillId="81" borderId="0" xfId="0" applyFont="1" applyFill="1" applyAlignment="1">
      <alignment horizontal="left" wrapText="1"/>
    </xf>
    <xf numFmtId="0" fontId="1" fillId="81" borderId="0" xfId="0" applyFont="1" applyFill="1" applyAlignment="1">
      <alignment horizontal="center" wrapText="1"/>
    </xf>
    <xf numFmtId="11" fontId="10" fillId="45" borderId="0" xfId="0" applyNumberFormat="1" applyFont="1" applyFill="1" applyAlignment="1">
      <alignment horizontal="center" wrapText="1"/>
    </xf>
    <xf numFmtId="0" fontId="5" fillId="81" borderId="0" xfId="0" applyFont="1" applyFill="1" applyAlignment="1">
      <alignment wrapText="1"/>
    </xf>
    <xf numFmtId="14" fontId="10" fillId="45" borderId="0" xfId="0" applyNumberFormat="1" applyFont="1" applyFill="1" applyAlignment="1">
      <alignment horizontal="center" wrapText="1"/>
    </xf>
    <xf numFmtId="14" fontId="5" fillId="81" borderId="0" xfId="0" applyNumberFormat="1" applyFont="1" applyFill="1" applyAlignment="1">
      <alignment horizontal="center" wrapText="1"/>
    </xf>
    <xf numFmtId="164" fontId="5" fillId="81" borderId="0" xfId="0" applyNumberFormat="1" applyFont="1" applyFill="1" applyAlignment="1">
      <alignment horizontal="left" wrapText="1"/>
    </xf>
    <xf numFmtId="164" fontId="24" fillId="45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166" fontId="5" fillId="81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164" fontId="5" fillId="81" borderId="0" xfId="0" applyNumberFormat="1" applyFont="1" applyFill="1" applyAlignment="1">
      <alignment horizontal="left" wrapText="1"/>
    </xf>
    <xf numFmtId="0" fontId="24" fillId="37" borderId="0" xfId="0" applyFont="1" applyFill="1" applyAlignment="1">
      <alignment horizontal="center" wrapText="1"/>
    </xf>
    <xf numFmtId="173" fontId="5" fillId="0" borderId="0" xfId="0" applyNumberFormat="1" applyFont="1" applyAlignment="1">
      <alignment horizontal="center" wrapText="1"/>
    </xf>
    <xf numFmtId="0" fontId="20" fillId="39" borderId="0" xfId="0" applyFont="1" applyFill="1" applyAlignment="1">
      <alignment horizontal="center" wrapText="1"/>
    </xf>
    <xf numFmtId="166" fontId="5" fillId="52" borderId="0" xfId="0" applyNumberFormat="1" applyFont="1" applyFill="1" applyAlignment="1">
      <alignment horizontal="center" wrapText="1"/>
    </xf>
    <xf numFmtId="166" fontId="5" fillId="9" borderId="0" xfId="0" applyNumberFormat="1" applyFont="1" applyFill="1" applyAlignment="1">
      <alignment horizontal="center" wrapText="1"/>
    </xf>
    <xf numFmtId="165" fontId="10" fillId="43" borderId="0" xfId="0" applyNumberFormat="1" applyFont="1" applyFill="1" applyAlignment="1">
      <alignment horizontal="center" wrapText="1"/>
    </xf>
    <xf numFmtId="0" fontId="5" fillId="36" borderId="0" xfId="0" applyFont="1" applyFill="1" applyAlignment="1">
      <alignment horizontal="center" wrapText="1"/>
    </xf>
    <xf numFmtId="0" fontId="24" fillId="43" borderId="0" xfId="0" applyFont="1" applyFill="1" applyAlignment="1">
      <alignment horizontal="center" wrapText="1"/>
    </xf>
    <xf numFmtId="14" fontId="10" fillId="43" borderId="0" xfId="0" applyNumberFormat="1" applyFont="1" applyFill="1" applyAlignment="1">
      <alignment horizontal="center" wrapText="1"/>
    </xf>
    <xf numFmtId="166" fontId="5" fillId="36" borderId="0" xfId="0" applyNumberFormat="1" applyFont="1" applyFill="1" applyAlignment="1">
      <alignment horizontal="center" wrapText="1"/>
    </xf>
    <xf numFmtId="0" fontId="10" fillId="45" borderId="0" xfId="0" applyFont="1" applyFill="1" applyBorder="1" applyAlignment="1">
      <alignment horizontal="center" wrapText="1"/>
    </xf>
    <xf numFmtId="0" fontId="10" fillId="45" borderId="0" xfId="0" applyFont="1" applyFill="1" applyBorder="1" applyAlignment="1">
      <alignment horizontal="center" wrapText="1"/>
    </xf>
    <xf numFmtId="0" fontId="1" fillId="44" borderId="0" xfId="0" applyFont="1" applyFill="1" applyAlignment="1">
      <alignment horizontal="left" wrapText="1"/>
    </xf>
    <xf numFmtId="0" fontId="10" fillId="45" borderId="0" xfId="0" applyFont="1" applyFill="1" applyBorder="1" applyAlignment="1">
      <alignment horizontal="center" wrapText="1"/>
    </xf>
    <xf numFmtId="164" fontId="10" fillId="45" borderId="0" xfId="0" applyNumberFormat="1" applyFont="1" applyFill="1" applyBorder="1" applyAlignment="1">
      <alignment horizontal="center" wrapText="1"/>
    </xf>
    <xf numFmtId="0" fontId="5" fillId="44" borderId="0" xfId="0" applyFont="1" applyFill="1" applyAlignment="1">
      <alignment horizontal="center" wrapText="1"/>
    </xf>
    <xf numFmtId="0" fontId="10" fillId="45" borderId="0" xfId="0" applyFont="1" applyFill="1" applyBorder="1" applyAlignment="1">
      <alignment horizontal="center" wrapText="1"/>
    </xf>
    <xf numFmtId="14" fontId="5" fillId="44" borderId="0" xfId="0" applyNumberFormat="1" applyFont="1" applyFill="1" applyAlignment="1">
      <alignment horizontal="center" wrapText="1"/>
    </xf>
    <xf numFmtId="0" fontId="10" fillId="45" borderId="0" xfId="0" applyFont="1" applyFill="1" applyBorder="1" applyAlignment="1">
      <alignment horizontal="center" wrapText="1"/>
    </xf>
    <xf numFmtId="0" fontId="1" fillId="42" borderId="0" xfId="0" applyFont="1" applyFill="1" applyAlignment="1">
      <alignment horizontal="left" wrapText="1"/>
    </xf>
    <xf numFmtId="165" fontId="10" fillId="45" borderId="0" xfId="0" applyNumberFormat="1" applyFont="1" applyFill="1" applyBorder="1" applyAlignment="1">
      <alignment horizontal="center" wrapText="1"/>
    </xf>
    <xf numFmtId="0" fontId="3" fillId="42" borderId="0" xfId="0" applyFont="1" applyFill="1" applyAlignment="1">
      <alignment horizontal="left" wrapText="1"/>
    </xf>
    <xf numFmtId="166" fontId="10" fillId="45" borderId="0" xfId="0" applyNumberFormat="1" applyFont="1" applyFill="1" applyBorder="1" applyAlignment="1">
      <alignment horizontal="center" wrapText="1"/>
    </xf>
    <xf numFmtId="166" fontId="10" fillId="45" borderId="0" xfId="0" applyNumberFormat="1" applyFont="1" applyFill="1" applyBorder="1" applyAlignment="1">
      <alignment horizontal="center" wrapText="1"/>
    </xf>
    <xf numFmtId="164" fontId="11" fillId="45" borderId="0" xfId="0" applyNumberFormat="1" applyFont="1" applyFill="1" applyBorder="1" applyAlignment="1">
      <alignment horizontal="center" wrapText="1"/>
    </xf>
    <xf numFmtId="164" fontId="10" fillId="45" borderId="0" xfId="0" applyNumberFormat="1" applyFont="1" applyFill="1" applyBorder="1" applyAlignment="1">
      <alignment horizontal="center" wrapText="1"/>
    </xf>
    <xf numFmtId="14" fontId="5" fillId="42" borderId="0" xfId="0" applyNumberFormat="1" applyFont="1" applyFill="1" applyAlignment="1">
      <alignment horizontal="center" wrapText="1"/>
    </xf>
    <xf numFmtId="11" fontId="10" fillId="45" borderId="0" xfId="0" applyNumberFormat="1" applyFont="1" applyFill="1" applyBorder="1" applyAlignment="1">
      <alignment horizontal="center" wrapText="1"/>
    </xf>
    <xf numFmtId="0" fontId="1" fillId="0" borderId="0" xfId="0" applyFont="1" applyAlignment="1">
      <alignment horizontal="left" wrapText="1"/>
    </xf>
    <xf numFmtId="11" fontId="11" fillId="45" borderId="0" xfId="0" applyNumberFormat="1" applyFont="1" applyFill="1" applyBorder="1" applyAlignment="1">
      <alignment horizontal="center" wrapText="1"/>
    </xf>
    <xf numFmtId="11" fontId="10" fillId="45" borderId="0" xfId="0" applyNumberFormat="1" applyFont="1" applyFill="1" applyBorder="1" applyAlignment="1">
      <alignment horizontal="center" wrapText="1"/>
    </xf>
    <xf numFmtId="11" fontId="10" fillId="45" borderId="0" xfId="0" applyNumberFormat="1" applyFont="1" applyFill="1" applyBorder="1" applyAlignment="1">
      <alignment horizontal="center" wrapText="1"/>
    </xf>
    <xf numFmtId="0" fontId="24" fillId="45" borderId="0" xfId="0" applyFont="1" applyFill="1" applyBorder="1" applyAlignment="1">
      <alignment horizontal="center" wrapText="1"/>
    </xf>
    <xf numFmtId="0" fontId="1" fillId="19" borderId="0" xfId="0" applyFont="1" applyFill="1" applyAlignment="1">
      <alignment horizontal="left" wrapText="1"/>
    </xf>
    <xf numFmtId="0" fontId="10" fillId="45" borderId="0" xfId="0" applyFont="1" applyFill="1" applyBorder="1" applyAlignment="1">
      <alignment horizontal="center" wrapText="1"/>
    </xf>
    <xf numFmtId="166" fontId="5" fillId="19" borderId="0" xfId="0" applyNumberFormat="1" applyFont="1" applyFill="1" applyAlignment="1">
      <alignment horizontal="center" wrapText="1"/>
    </xf>
    <xf numFmtId="0" fontId="4" fillId="54" borderId="0" xfId="0" applyFont="1" applyFill="1" applyBorder="1" applyAlignment="1">
      <alignment horizontal="center" wrapText="1"/>
    </xf>
    <xf numFmtId="0" fontId="4" fillId="54" borderId="0" xfId="0" applyFont="1" applyFill="1" applyBorder="1" applyAlignment="1">
      <alignment horizontal="center" wrapText="1"/>
    </xf>
    <xf numFmtId="0" fontId="1" fillId="15" borderId="0" xfId="0" applyFont="1" applyFill="1" applyAlignment="1">
      <alignment horizontal="left" wrapText="1"/>
    </xf>
    <xf numFmtId="0" fontId="4" fillId="54" borderId="0" xfId="0" applyFont="1" applyFill="1" applyBorder="1" applyAlignment="1">
      <alignment horizontal="center" wrapText="1"/>
    </xf>
    <xf numFmtId="164" fontId="4" fillId="54" borderId="0" xfId="0" applyNumberFormat="1" applyFont="1" applyFill="1" applyBorder="1" applyAlignment="1">
      <alignment horizontal="center" wrapText="1"/>
    </xf>
    <xf numFmtId="0" fontId="4" fillId="54" borderId="0" xfId="0" applyFont="1" applyFill="1" applyBorder="1" applyAlignment="1">
      <alignment horizontal="center" wrapText="1"/>
    </xf>
    <xf numFmtId="166" fontId="5" fillId="33" borderId="0" xfId="0" applyNumberFormat="1" applyFont="1" applyFill="1" applyAlignment="1">
      <alignment horizontal="center" wrapText="1"/>
    </xf>
    <xf numFmtId="0" fontId="4" fillId="54" borderId="0" xfId="0" applyFont="1" applyFill="1" applyBorder="1" applyAlignment="1">
      <alignment horizontal="center" wrapText="1"/>
    </xf>
    <xf numFmtId="166" fontId="4" fillId="54" borderId="0" xfId="0" applyNumberFormat="1" applyFont="1" applyFill="1" applyBorder="1" applyAlignment="1">
      <alignment horizontal="center" wrapText="1"/>
    </xf>
    <xf numFmtId="14" fontId="5" fillId="33" borderId="0" xfId="0" applyNumberFormat="1" applyFont="1" applyFill="1" applyAlignment="1">
      <alignment horizontal="center" wrapText="1"/>
    </xf>
    <xf numFmtId="166" fontId="4" fillId="54" borderId="0" xfId="0" applyNumberFormat="1" applyFont="1" applyFill="1" applyBorder="1" applyAlignment="1">
      <alignment horizontal="center" wrapText="1"/>
    </xf>
    <xf numFmtId="0" fontId="1" fillId="49" borderId="0" xfId="0" applyFont="1" applyFill="1" applyAlignment="1">
      <alignment horizontal="left" wrapText="1"/>
    </xf>
    <xf numFmtId="0" fontId="1" fillId="54" borderId="0" xfId="0" applyFont="1" applyFill="1" applyBorder="1" applyAlignment="1">
      <alignment horizontal="center" wrapText="1"/>
    </xf>
    <xf numFmtId="166" fontId="5" fillId="49" borderId="0" xfId="0" applyNumberFormat="1" applyFont="1" applyFill="1" applyAlignment="1">
      <alignment horizontal="center" wrapText="1"/>
    </xf>
    <xf numFmtId="164" fontId="4" fillId="54" borderId="0" xfId="0" applyNumberFormat="1" applyFont="1" applyFill="1" applyBorder="1" applyAlignment="1">
      <alignment horizontal="center" wrapText="1"/>
    </xf>
    <xf numFmtId="11" fontId="4" fillId="54" borderId="0" xfId="0" applyNumberFormat="1" applyFont="1" applyFill="1" applyBorder="1" applyAlignment="1">
      <alignment horizontal="center" wrapText="1"/>
    </xf>
    <xf numFmtId="0" fontId="3" fillId="49" borderId="0" xfId="0" applyFont="1" applyFill="1" applyAlignment="1">
      <alignment horizontal="left" wrapText="1"/>
    </xf>
    <xf numFmtId="11" fontId="1" fillId="54" borderId="0" xfId="0" applyNumberFormat="1" applyFont="1" applyFill="1" applyBorder="1" applyAlignment="1">
      <alignment horizontal="center" wrapText="1"/>
    </xf>
    <xf numFmtId="11" fontId="4" fillId="54" borderId="0" xfId="0" applyNumberFormat="1" applyFont="1" applyFill="1" applyBorder="1" applyAlignment="1">
      <alignment horizontal="center" wrapText="1"/>
    </xf>
    <xf numFmtId="11" fontId="4" fillId="54" borderId="0" xfId="0" applyNumberFormat="1" applyFont="1" applyFill="1" applyBorder="1" applyAlignment="1">
      <alignment horizontal="center" wrapText="1"/>
    </xf>
    <xf numFmtId="14" fontId="4" fillId="54" borderId="0" xfId="0" applyNumberFormat="1" applyFont="1" applyFill="1" applyBorder="1" applyAlignment="1">
      <alignment horizontal="center" wrapText="1"/>
    </xf>
    <xf numFmtId="0" fontId="5" fillId="73" borderId="0" xfId="0" applyFont="1" applyFill="1" applyAlignment="1">
      <alignment wrapText="1"/>
    </xf>
    <xf numFmtId="0" fontId="9" fillId="54" borderId="0" xfId="0" applyFont="1" applyFill="1" applyBorder="1" applyAlignment="1">
      <alignment horizontal="center" wrapText="1"/>
    </xf>
    <xf numFmtId="0" fontId="4" fillId="54" borderId="0" xfId="0" applyFont="1" applyFill="1" applyBorder="1" applyAlignment="1">
      <alignment horizontal="center" wrapText="1"/>
    </xf>
    <xf numFmtId="166" fontId="5" fillId="73" borderId="0" xfId="0" applyNumberFormat="1" applyFont="1" applyFill="1" applyAlignment="1">
      <alignment horizontal="center" wrapText="1"/>
    </xf>
    <xf numFmtId="0" fontId="3" fillId="73" borderId="0" xfId="0" applyFont="1" applyFill="1" applyAlignment="1">
      <alignment horizontal="left" wrapText="1"/>
    </xf>
    <xf numFmtId="0" fontId="5" fillId="66" borderId="0" xfId="0" applyFont="1" applyFill="1" applyAlignment="1">
      <alignment wrapText="1"/>
    </xf>
    <xf numFmtId="166" fontId="5" fillId="66" borderId="0" xfId="0" applyNumberFormat="1" applyFont="1" applyFill="1" applyAlignment="1">
      <alignment horizontal="center" wrapText="1"/>
    </xf>
    <xf numFmtId="0" fontId="24" fillId="45" borderId="0" xfId="0" applyFont="1" applyFill="1" applyAlignment="1">
      <alignment horizontal="center" wrapText="1"/>
    </xf>
    <xf numFmtId="0" fontId="3" fillId="66" borderId="0" xfId="0" applyFont="1" applyFill="1" applyAlignment="1">
      <alignment horizontal="left" wrapText="1"/>
    </xf>
    <xf numFmtId="0" fontId="4" fillId="7" borderId="0" xfId="0" applyFont="1" applyFill="1" applyAlignment="1">
      <alignment horizontal="center" wrapText="1"/>
    </xf>
    <xf numFmtId="14" fontId="5" fillId="5" borderId="0" xfId="0" applyNumberFormat="1" applyFont="1" applyFill="1" applyAlignment="1">
      <alignment horizontal="center" wrapText="1"/>
    </xf>
    <xf numFmtId="0" fontId="9" fillId="8" borderId="0" xfId="0" applyFont="1" applyFill="1" applyAlignment="1">
      <alignment horizontal="center" wrapText="1"/>
    </xf>
    <xf numFmtId="168" fontId="5" fillId="78" borderId="0" xfId="0" applyNumberFormat="1" applyFont="1" applyFill="1" applyAlignment="1">
      <alignment horizontal="center" wrapText="1"/>
    </xf>
    <xf numFmtId="168" fontId="5" fillId="21" borderId="0" xfId="0" applyNumberFormat="1" applyFont="1" applyFill="1" applyAlignment="1">
      <alignment horizontal="center" wrapText="1"/>
    </xf>
    <xf numFmtId="11" fontId="1" fillId="37" borderId="0" xfId="0" applyNumberFormat="1" applyFont="1" applyFill="1" applyAlignment="1">
      <alignment horizontal="center"/>
    </xf>
    <xf numFmtId="11" fontId="4" fillId="37" borderId="0" xfId="0" applyNumberFormat="1" applyFont="1" applyFill="1" applyAlignment="1">
      <alignment horizontal="center"/>
    </xf>
    <xf numFmtId="168" fontId="5" fillId="49" borderId="0" xfId="0" applyNumberFormat="1" applyFont="1" applyFill="1" applyAlignment="1">
      <alignment horizontal="center" wrapText="1"/>
    </xf>
    <xf numFmtId="174" fontId="5" fillId="49" borderId="0" xfId="0" applyNumberFormat="1" applyFont="1" applyFill="1" applyAlignment="1">
      <alignment horizontal="center" wrapText="1"/>
    </xf>
    <xf numFmtId="174" fontId="5" fillId="21" borderId="0" xfId="0" applyNumberFormat="1" applyFont="1" applyFill="1" applyAlignment="1">
      <alignment horizontal="center" wrapText="1"/>
    </xf>
    <xf numFmtId="0" fontId="1" fillId="28" borderId="0" xfId="0" applyFont="1" applyFill="1" applyAlignment="1">
      <alignment horizontal="left" wrapText="1"/>
    </xf>
    <xf numFmtId="0" fontId="3" fillId="28" borderId="0" xfId="0" applyFont="1" applyFill="1" applyAlignment="1">
      <alignment horizontal="left" wrapText="1"/>
    </xf>
    <xf numFmtId="168" fontId="5" fillId="28" borderId="0" xfId="0" applyNumberFormat="1" applyFont="1" applyFill="1" applyAlignment="1">
      <alignment horizontal="center" wrapText="1"/>
    </xf>
    <xf numFmtId="164" fontId="5" fillId="28" borderId="0" xfId="0" applyNumberFormat="1" applyFont="1" applyFill="1" applyAlignment="1">
      <alignment horizontal="left" wrapText="1"/>
    </xf>
    <xf numFmtId="0" fontId="1" fillId="8" borderId="0" xfId="0" applyFont="1" applyFill="1" applyAlignment="1">
      <alignment horizontal="left" wrapText="1"/>
    </xf>
    <xf numFmtId="0" fontId="3" fillId="8" borderId="0" xfId="0" applyFont="1" applyFill="1" applyAlignment="1">
      <alignment horizontal="left" wrapText="1"/>
    </xf>
    <xf numFmtId="168" fontId="5" fillId="8" borderId="0" xfId="0" applyNumberFormat="1" applyFont="1" applyFill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174" fontId="5" fillId="0" borderId="0" xfId="0" applyNumberFormat="1" applyFont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168" fontId="5" fillId="50" borderId="0" xfId="0" applyNumberFormat="1" applyFont="1" applyFill="1" applyAlignment="1">
      <alignment horizontal="center" wrapText="1"/>
    </xf>
    <xf numFmtId="165" fontId="4" fillId="14" borderId="0" xfId="0" applyNumberFormat="1" applyFont="1" applyFill="1" applyAlignment="1">
      <alignment horizontal="center" wrapText="1"/>
    </xf>
    <xf numFmtId="11" fontId="4" fillId="14" borderId="0" xfId="0" applyNumberFormat="1" applyFont="1" applyFill="1" applyAlignment="1">
      <alignment horizontal="center" wrapText="1"/>
    </xf>
    <xf numFmtId="166" fontId="5" fillId="42" borderId="0" xfId="0" applyNumberFormat="1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1" fillId="4" borderId="0" xfId="0" applyFont="1" applyFill="1" applyAlignment="1">
      <alignment horizontal="left" wrapText="1"/>
    </xf>
    <xf numFmtId="166" fontId="5" fillId="4" borderId="0" xfId="0" applyNumberFormat="1" applyFont="1" applyFill="1" applyAlignment="1">
      <alignment horizontal="center" wrapText="1"/>
    </xf>
    <xf numFmtId="164" fontId="4" fillId="54" borderId="0" xfId="0" applyNumberFormat="1" applyFont="1" applyFill="1" applyAlignment="1">
      <alignment horizontal="center" wrapText="1"/>
    </xf>
    <xf numFmtId="11" fontId="4" fillId="54" borderId="0" xfId="0" applyNumberFormat="1" applyFont="1" applyFill="1" applyAlignment="1">
      <alignment horizontal="center" wrapText="1"/>
    </xf>
    <xf numFmtId="14" fontId="4" fillId="54" borderId="0" xfId="0" applyNumberFormat="1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166" fontId="5" fillId="78" borderId="0" xfId="0" applyNumberFormat="1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164" fontId="4" fillId="26" borderId="0" xfId="0" applyNumberFormat="1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0" fontId="1" fillId="34" borderId="0" xfId="0" applyFont="1" applyFill="1" applyAlignment="1">
      <alignment horizontal="left" wrapText="1"/>
    </xf>
    <xf numFmtId="0" fontId="4" fillId="26" borderId="0" xfId="0" applyFont="1" applyFill="1" applyAlignment="1">
      <alignment horizontal="center" wrapText="1"/>
    </xf>
    <xf numFmtId="165" fontId="4" fillId="26" borderId="0" xfId="0" applyNumberFormat="1" applyFont="1" applyFill="1" applyAlignment="1">
      <alignment horizontal="center" wrapText="1"/>
    </xf>
    <xf numFmtId="165" fontId="5" fillId="34" borderId="0" xfId="0" applyNumberFormat="1" applyFont="1" applyFill="1" applyAlignment="1">
      <alignment horizontal="center" wrapText="1"/>
    </xf>
    <xf numFmtId="166" fontId="4" fillId="26" borderId="0" xfId="0" applyNumberFormat="1" applyFont="1" applyFill="1" applyAlignment="1">
      <alignment horizontal="center" wrapText="1"/>
    </xf>
    <xf numFmtId="0" fontId="1" fillId="82" borderId="0" xfId="0" applyFont="1" applyFill="1" applyAlignment="1">
      <alignment horizontal="left" wrapText="1"/>
    </xf>
    <xf numFmtId="166" fontId="4" fillId="26" borderId="0" xfId="0" applyNumberFormat="1" applyFont="1" applyFill="1" applyAlignment="1">
      <alignment horizontal="center" wrapText="1"/>
    </xf>
    <xf numFmtId="164" fontId="1" fillId="26" borderId="0" xfId="0" applyNumberFormat="1" applyFont="1" applyFill="1" applyAlignment="1">
      <alignment horizontal="center" wrapText="1"/>
    </xf>
    <xf numFmtId="0" fontId="3" fillId="82" borderId="0" xfId="0" applyFont="1" applyFill="1" applyAlignment="1">
      <alignment horizontal="left" wrapText="1"/>
    </xf>
    <xf numFmtId="164" fontId="4" fillId="26" borderId="0" xfId="0" applyNumberFormat="1" applyFont="1" applyFill="1" applyAlignment="1">
      <alignment horizontal="center" wrapText="1"/>
    </xf>
    <xf numFmtId="11" fontId="4" fillId="26" borderId="0" xfId="0" applyNumberFormat="1" applyFont="1" applyFill="1" applyAlignment="1">
      <alignment horizontal="center" wrapText="1"/>
    </xf>
    <xf numFmtId="0" fontId="1" fillId="82" borderId="0" xfId="0" applyFont="1" applyFill="1" applyAlignment="1">
      <alignment horizontal="center" wrapText="1"/>
    </xf>
    <xf numFmtId="11" fontId="1" fillId="26" borderId="0" xfId="0" applyNumberFormat="1" applyFont="1" applyFill="1" applyAlignment="1">
      <alignment horizontal="center" wrapText="1"/>
    </xf>
    <xf numFmtId="0" fontId="5" fillId="82" borderId="0" xfId="0" applyFont="1" applyFill="1" applyAlignment="1">
      <alignment wrapText="1"/>
    </xf>
    <xf numFmtId="11" fontId="4" fillId="26" borderId="0" xfId="0" applyNumberFormat="1" applyFont="1" applyFill="1" applyAlignment="1">
      <alignment horizontal="center" wrapText="1"/>
    </xf>
    <xf numFmtId="166" fontId="5" fillId="82" borderId="0" xfId="0" applyNumberFormat="1" applyFont="1" applyFill="1" applyAlignment="1">
      <alignment horizontal="center" wrapText="1"/>
    </xf>
    <xf numFmtId="11" fontId="4" fillId="26" borderId="0" xfId="0" applyNumberFormat="1" applyFont="1" applyFill="1" applyAlignment="1">
      <alignment horizontal="center" wrapText="1"/>
    </xf>
    <xf numFmtId="164" fontId="5" fillId="82" borderId="0" xfId="0" applyNumberFormat="1" applyFont="1" applyFill="1" applyAlignment="1">
      <alignment horizontal="left" wrapText="1"/>
    </xf>
    <xf numFmtId="14" fontId="4" fillId="26" borderId="0" xfId="0" applyNumberFormat="1" applyFont="1" applyFill="1" applyAlignment="1">
      <alignment horizontal="center" wrapText="1"/>
    </xf>
    <xf numFmtId="0" fontId="5" fillId="82" borderId="0" xfId="0" applyFont="1" applyFill="1" applyAlignment="1">
      <alignment wrapText="1"/>
    </xf>
    <xf numFmtId="0" fontId="4" fillId="26" borderId="0" xfId="0" applyFont="1" applyFill="1" applyAlignment="1">
      <alignment horizontal="center" wrapText="1"/>
    </xf>
    <xf numFmtId="0" fontId="10" fillId="26" borderId="0" xfId="0" applyFont="1" applyFill="1" applyAlignment="1">
      <alignment horizontal="center" wrapText="1"/>
    </xf>
    <xf numFmtId="0" fontId="10" fillId="26" borderId="0" xfId="0" applyFont="1" applyFill="1" applyAlignment="1">
      <alignment horizontal="center" wrapText="1"/>
    </xf>
    <xf numFmtId="0" fontId="10" fillId="26" borderId="0" xfId="0" applyFont="1" applyFill="1" applyAlignment="1">
      <alignment horizontal="center" wrapText="1"/>
    </xf>
    <xf numFmtId="164" fontId="10" fillId="26" borderId="0" xfId="0" applyNumberFormat="1" applyFont="1" applyFill="1" applyAlignment="1">
      <alignment horizontal="center" wrapText="1"/>
    </xf>
    <xf numFmtId="0" fontId="10" fillId="26" borderId="0" xfId="0" applyFont="1" applyFill="1" applyAlignment="1">
      <alignment horizontal="center" wrapText="1"/>
    </xf>
    <xf numFmtId="166" fontId="5" fillId="67" borderId="0" xfId="0" applyNumberFormat="1" applyFont="1" applyFill="1" applyAlignment="1">
      <alignment horizontal="center" wrapText="1"/>
    </xf>
    <xf numFmtId="0" fontId="10" fillId="26" borderId="0" xfId="0" applyFont="1" applyFill="1" applyAlignment="1">
      <alignment horizontal="center" wrapText="1"/>
    </xf>
    <xf numFmtId="165" fontId="10" fillId="26" borderId="0" xfId="0" applyNumberFormat="1" applyFont="1" applyFill="1" applyAlignment="1">
      <alignment horizontal="center" wrapText="1"/>
    </xf>
    <xf numFmtId="166" fontId="10" fillId="26" borderId="0" xfId="0" applyNumberFormat="1" applyFont="1" applyFill="1" applyAlignment="1">
      <alignment horizontal="center" wrapText="1"/>
    </xf>
    <xf numFmtId="166" fontId="10" fillId="26" borderId="0" xfId="0" applyNumberFormat="1" applyFont="1" applyFill="1" applyAlignment="1">
      <alignment horizontal="center" wrapText="1"/>
    </xf>
    <xf numFmtId="0" fontId="1" fillId="31" borderId="0" xfId="0" applyFont="1" applyFill="1" applyAlignment="1">
      <alignment horizontal="left" wrapText="1"/>
    </xf>
    <xf numFmtId="164" fontId="11" fillId="26" borderId="0" xfId="0" applyNumberFormat="1" applyFont="1" applyFill="1" applyAlignment="1">
      <alignment horizontal="center" wrapText="1"/>
    </xf>
    <xf numFmtId="166" fontId="5" fillId="31" borderId="0" xfId="0" applyNumberFormat="1" applyFont="1" applyFill="1" applyAlignment="1">
      <alignment horizontal="center" wrapText="1"/>
    </xf>
    <xf numFmtId="164" fontId="10" fillId="26" borderId="0" xfId="0" applyNumberFormat="1" applyFont="1" applyFill="1" applyAlignment="1">
      <alignment horizontal="center" wrapText="1"/>
    </xf>
    <xf numFmtId="11" fontId="10" fillId="26" borderId="0" xfId="0" applyNumberFormat="1" applyFont="1" applyFill="1" applyAlignment="1">
      <alignment horizontal="center" wrapText="1"/>
    </xf>
    <xf numFmtId="11" fontId="11" fillId="26" borderId="0" xfId="0" applyNumberFormat="1" applyFont="1" applyFill="1" applyAlignment="1">
      <alignment horizontal="center" wrapText="1"/>
    </xf>
    <xf numFmtId="11" fontId="10" fillId="26" borderId="0" xfId="0" applyNumberFormat="1" applyFont="1" applyFill="1" applyAlignment="1">
      <alignment horizontal="center" wrapText="1"/>
    </xf>
    <xf numFmtId="11" fontId="10" fillId="26" borderId="0" xfId="0" applyNumberFormat="1" applyFont="1" applyFill="1" applyAlignment="1">
      <alignment horizontal="center" wrapText="1"/>
    </xf>
    <xf numFmtId="14" fontId="10" fillId="26" borderId="0" xfId="0" applyNumberFormat="1" applyFont="1" applyFill="1" applyAlignment="1">
      <alignment horizontal="center" wrapText="1"/>
    </xf>
    <xf numFmtId="0" fontId="10" fillId="26" borderId="0" xfId="0" applyFont="1" applyFill="1" applyAlignment="1">
      <alignment horizontal="center" wrapText="1"/>
    </xf>
    <xf numFmtId="164" fontId="5" fillId="75" borderId="0" xfId="0" applyNumberFormat="1" applyFont="1" applyFill="1" applyAlignment="1">
      <alignment horizontal="left" wrapText="1"/>
    </xf>
    <xf numFmtId="0" fontId="10" fillId="13" borderId="0" xfId="0" applyFont="1" applyFill="1" applyAlignment="1">
      <alignment horizontal="center" wrapText="1"/>
    </xf>
    <xf numFmtId="0" fontId="20" fillId="75" borderId="0" xfId="0" applyFont="1" applyFill="1" applyAlignment="1">
      <alignment horizontal="left" wrapText="1"/>
    </xf>
    <xf numFmtId="0" fontId="20" fillId="75" borderId="0" xfId="0" applyFont="1" applyFill="1" applyAlignment="1">
      <alignment horizontal="center" wrapText="1"/>
    </xf>
    <xf numFmtId="175" fontId="5" fillId="34" borderId="0" xfId="0" applyNumberFormat="1" applyFont="1" applyFill="1" applyAlignment="1">
      <alignment horizontal="left" wrapText="1"/>
    </xf>
    <xf numFmtId="166" fontId="5" fillId="34" borderId="0" xfId="0" applyNumberFormat="1" applyFont="1" applyFill="1" applyAlignment="1">
      <alignment horizontal="center" wrapText="1"/>
    </xf>
    <xf numFmtId="0" fontId="1" fillId="54" borderId="0" xfId="0" applyFont="1" applyFill="1" applyAlignment="1">
      <alignment horizontal="left" wrapText="1"/>
    </xf>
    <xf numFmtId="165" fontId="5" fillId="54" borderId="0" xfId="0" applyNumberFormat="1" applyFont="1" applyFill="1" applyAlignment="1">
      <alignment horizontal="center" wrapText="1"/>
    </xf>
    <xf numFmtId="164" fontId="1" fillId="24" borderId="0" xfId="0" applyNumberFormat="1" applyFont="1" applyFill="1" applyAlignment="1">
      <alignment horizontal="center" wrapText="1"/>
    </xf>
    <xf numFmtId="164" fontId="4" fillId="24" borderId="0" xfId="0" applyNumberFormat="1" applyFont="1" applyFill="1" applyAlignment="1">
      <alignment horizontal="center" wrapText="1"/>
    </xf>
    <xf numFmtId="0" fontId="5" fillId="9" borderId="0" xfId="0" applyFont="1" applyFill="1" applyAlignment="1">
      <alignment horizontal="left" wrapText="1"/>
    </xf>
    <xf numFmtId="14" fontId="4" fillId="24" borderId="0" xfId="0" applyNumberFormat="1" applyFont="1" applyFill="1" applyAlignment="1">
      <alignment horizontal="center" wrapText="1"/>
    </xf>
    <xf numFmtId="0" fontId="54" fillId="46" borderId="0" xfId="0" applyFont="1" applyFill="1" applyAlignment="1">
      <alignment horizontal="left" wrapText="1"/>
    </xf>
    <xf numFmtId="0" fontId="23" fillId="46" borderId="0" xfId="0" applyFont="1" applyFill="1" applyAlignment="1">
      <alignment wrapText="1"/>
    </xf>
    <xf numFmtId="0" fontId="54" fillId="46" borderId="0" xfId="0" applyFont="1" applyFill="1" applyAlignment="1">
      <alignment horizontal="center" wrapText="1"/>
    </xf>
    <xf numFmtId="0" fontId="10" fillId="24" borderId="0" xfId="0" applyFont="1" applyFill="1" applyAlignment="1">
      <alignment horizontal="center" wrapText="1"/>
    </xf>
    <xf numFmtId="0" fontId="23" fillId="46" borderId="0" xfId="0" applyFont="1" applyFill="1" applyAlignment="1">
      <alignment wrapText="1"/>
    </xf>
    <xf numFmtId="0" fontId="10" fillId="24" borderId="0" xfId="0" applyFont="1" applyFill="1" applyAlignment="1">
      <alignment horizontal="center" wrapText="1"/>
    </xf>
    <xf numFmtId="166" fontId="23" fillId="46" borderId="0" xfId="0" applyNumberFormat="1" applyFont="1" applyFill="1" applyAlignment="1">
      <alignment horizontal="center" wrapText="1"/>
    </xf>
    <xf numFmtId="164" fontId="23" fillId="46" borderId="0" xfId="0" applyNumberFormat="1" applyFont="1" applyFill="1" applyAlignment="1">
      <alignment horizontal="left" wrapText="1"/>
    </xf>
    <xf numFmtId="0" fontId="54" fillId="0" borderId="0" xfId="0" applyFont="1" applyAlignment="1">
      <alignment horizontal="left" wrapText="1"/>
    </xf>
    <xf numFmtId="0" fontId="10" fillId="24" borderId="0" xfId="0" applyFont="1" applyFill="1" applyAlignment="1">
      <alignment horizontal="center" wrapText="1"/>
    </xf>
    <xf numFmtId="164" fontId="10" fillId="24" borderId="0" xfId="0" applyNumberFormat="1" applyFont="1" applyFill="1" applyAlignment="1">
      <alignment horizontal="center" wrapText="1"/>
    </xf>
    <xf numFmtId="0" fontId="23" fillId="0" borderId="0" xfId="0" applyFont="1" applyAlignment="1">
      <alignment wrapText="1"/>
    </xf>
    <xf numFmtId="0" fontId="10" fillId="24" borderId="0" xfId="0" applyFont="1" applyFill="1" applyAlignment="1">
      <alignment horizontal="center" wrapText="1"/>
    </xf>
    <xf numFmtId="0" fontId="54" fillId="0" borderId="0" xfId="0" applyFont="1" applyAlignment="1">
      <alignment horizontal="center" wrapText="1"/>
    </xf>
    <xf numFmtId="166" fontId="23" fillId="0" borderId="0" xfId="0" applyNumberFormat="1" applyFont="1" applyAlignment="1">
      <alignment horizontal="center" wrapText="1"/>
    </xf>
    <xf numFmtId="0" fontId="10" fillId="24" borderId="0" xfId="0" applyFont="1" applyFill="1" applyAlignment="1">
      <alignment horizontal="center" wrapText="1"/>
    </xf>
    <xf numFmtId="164" fontId="23" fillId="0" borderId="0" xfId="0" applyNumberFormat="1" applyFont="1" applyAlignment="1">
      <alignment horizontal="left" wrapText="1"/>
    </xf>
    <xf numFmtId="165" fontId="10" fillId="24" borderId="0" xfId="0" applyNumberFormat="1" applyFont="1" applyFill="1" applyAlignment="1">
      <alignment horizontal="center" wrapText="1"/>
    </xf>
    <xf numFmtId="166" fontId="10" fillId="24" borderId="0" xfId="0" applyNumberFormat="1" applyFont="1" applyFill="1" applyAlignment="1">
      <alignment horizontal="center" wrapText="1"/>
    </xf>
    <xf numFmtId="166" fontId="10" fillId="24" borderId="0" xfId="0" applyNumberFormat="1" applyFont="1" applyFill="1" applyAlignment="1">
      <alignment horizontal="center" wrapText="1"/>
    </xf>
    <xf numFmtId="164" fontId="11" fillId="24" borderId="0" xfId="0" applyNumberFormat="1" applyFont="1" applyFill="1" applyAlignment="1">
      <alignment horizontal="center" wrapText="1"/>
    </xf>
    <xf numFmtId="164" fontId="10" fillId="24" borderId="0" xfId="0" applyNumberFormat="1" applyFont="1" applyFill="1" applyAlignment="1">
      <alignment horizontal="center" wrapText="1"/>
    </xf>
    <xf numFmtId="11" fontId="10" fillId="24" borderId="0" xfId="0" applyNumberFormat="1" applyFont="1" applyFill="1" applyAlignment="1">
      <alignment horizontal="center" wrapText="1"/>
    </xf>
    <xf numFmtId="11" fontId="11" fillId="24" borderId="0" xfId="0" applyNumberFormat="1" applyFont="1" applyFill="1" applyAlignment="1">
      <alignment horizontal="center" wrapText="1"/>
    </xf>
    <xf numFmtId="11" fontId="10" fillId="24" borderId="0" xfId="0" applyNumberFormat="1" applyFont="1" applyFill="1" applyAlignment="1">
      <alignment horizontal="center" wrapText="1"/>
    </xf>
    <xf numFmtId="0" fontId="10" fillId="24" borderId="0" xfId="0" applyFont="1" applyFill="1" applyAlignment="1">
      <alignment horizontal="center" wrapText="1"/>
    </xf>
    <xf numFmtId="0" fontId="23" fillId="46" borderId="0" xfId="0" applyFont="1" applyFill="1" applyAlignment="1">
      <alignment wrapText="1"/>
    </xf>
    <xf numFmtId="176" fontId="23" fillId="46" borderId="0" xfId="0" applyNumberFormat="1" applyFont="1" applyFill="1" applyAlignment="1">
      <alignment horizontal="center" wrapText="1"/>
    </xf>
    <xf numFmtId="0" fontId="9" fillId="4" borderId="0" xfId="0" applyFont="1" applyFill="1" applyAlignment="1">
      <alignment horizontal="center" wrapText="1"/>
    </xf>
    <xf numFmtId="170" fontId="5" fillId="0" borderId="0" xfId="0" applyNumberFormat="1" applyFont="1" applyAlignment="1">
      <alignment horizontal="left" wrapText="1"/>
    </xf>
    <xf numFmtId="0" fontId="10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14" fontId="10" fillId="2" borderId="0" xfId="0" applyNumberFormat="1" applyFont="1" applyFill="1" applyAlignment="1">
      <alignment horizontal="center" wrapText="1"/>
    </xf>
    <xf numFmtId="11" fontId="11" fillId="2" borderId="0" xfId="0" applyNumberFormat="1" applyFont="1" applyFill="1" applyAlignment="1">
      <alignment horizontal="center" wrapText="1"/>
    </xf>
    <xf numFmtId="170" fontId="5" fillId="82" borderId="0" xfId="0" applyNumberFormat="1" applyFont="1" applyFill="1" applyAlignment="1">
      <alignment horizontal="left" wrapText="1"/>
    </xf>
    <xf numFmtId="0" fontId="26" fillId="0" borderId="0" xfId="0" applyFont="1" applyAlignment="1">
      <alignment wrapText="1"/>
    </xf>
    <xf numFmtId="176" fontId="5" fillId="21" borderId="0" xfId="0" applyNumberFormat="1" applyFont="1" applyFill="1" applyAlignment="1">
      <alignment horizontal="center" wrapText="1"/>
    </xf>
    <xf numFmtId="177" fontId="5" fillId="0" borderId="0" xfId="0" applyNumberFormat="1" applyFont="1" applyAlignment="1">
      <alignment horizontal="center" wrapText="1"/>
    </xf>
    <xf numFmtId="0" fontId="1" fillId="69" borderId="0" xfId="0" applyFont="1" applyFill="1" applyAlignment="1">
      <alignment horizontal="left" wrapText="1"/>
    </xf>
    <xf numFmtId="0" fontId="4" fillId="13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0" fontId="5" fillId="69" borderId="0" xfId="0" applyFont="1" applyFill="1" applyAlignment="1">
      <alignment wrapText="1"/>
    </xf>
    <xf numFmtId="176" fontId="5" fillId="69" borderId="0" xfId="0" applyNumberFormat="1" applyFont="1" applyFill="1" applyAlignment="1">
      <alignment horizontal="center" wrapText="1"/>
    </xf>
    <xf numFmtId="0" fontId="5" fillId="69" borderId="0" xfId="0" applyFont="1" applyFill="1" applyAlignment="1">
      <alignment wrapText="1"/>
    </xf>
    <xf numFmtId="176" fontId="5" fillId="0" borderId="0" xfId="0" applyNumberFormat="1" applyFont="1" applyAlignment="1">
      <alignment horizontal="center" wrapText="1"/>
    </xf>
    <xf numFmtId="176" fontId="5" fillId="36" borderId="0" xfId="0" applyNumberFormat="1" applyFont="1" applyFill="1" applyAlignment="1">
      <alignment horizontal="center" wrapText="1"/>
    </xf>
    <xf numFmtId="166" fontId="5" fillId="0" borderId="0" xfId="0" applyNumberFormat="1" applyFont="1" applyAlignment="1">
      <alignment horizontal="center" wrapText="1"/>
    </xf>
    <xf numFmtId="176" fontId="5" fillId="49" borderId="0" xfId="0" applyNumberFormat="1" applyFont="1" applyFill="1" applyAlignment="1">
      <alignment horizontal="center" wrapText="1"/>
    </xf>
    <xf numFmtId="166" fontId="5" fillId="49" borderId="0" xfId="0" applyNumberFormat="1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165" fontId="4" fillId="45" borderId="0" xfId="0" applyNumberFormat="1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1" fontId="4" fillId="45" borderId="0" xfId="0" applyNumberFormat="1" applyFont="1" applyFill="1" applyAlignment="1">
      <alignment horizontal="center" wrapText="1"/>
    </xf>
    <xf numFmtId="11" fontId="4" fillId="2" borderId="0" xfId="0" applyNumberFormat="1" applyFont="1" applyFill="1" applyAlignment="1">
      <alignment horizontal="center" wrapText="1"/>
    </xf>
    <xf numFmtId="164" fontId="10" fillId="14" borderId="0" xfId="0" applyNumberFormat="1" applyFont="1" applyFill="1" applyAlignment="1">
      <alignment horizontal="center" wrapText="1"/>
    </xf>
    <xf numFmtId="165" fontId="10" fillId="14" borderId="0" xfId="0" applyNumberFormat="1" applyFont="1" applyFill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11" fontId="10" fillId="54" borderId="0" xfId="0" applyNumberFormat="1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11" fontId="4" fillId="43" borderId="0" xfId="0" applyNumberFormat="1" applyFont="1" applyFill="1" applyAlignment="1">
      <alignment horizontal="center" wrapText="1"/>
    </xf>
    <xf numFmtId="0" fontId="10" fillId="75" borderId="0" xfId="0" applyFont="1" applyFill="1" applyAlignment="1">
      <alignment horizontal="center" wrapText="1"/>
    </xf>
    <xf numFmtId="0" fontId="10" fillId="75" borderId="0" xfId="0" applyFont="1" applyFill="1" applyAlignment="1">
      <alignment horizontal="center" wrapText="1"/>
    </xf>
    <xf numFmtId="0" fontId="10" fillId="75" borderId="0" xfId="0" applyFont="1" applyFill="1" applyAlignment="1">
      <alignment horizontal="center" wrapText="1"/>
    </xf>
    <xf numFmtId="164" fontId="10" fillId="75" borderId="0" xfId="0" applyNumberFormat="1" applyFont="1" applyFill="1" applyAlignment="1">
      <alignment horizontal="center" wrapText="1"/>
    </xf>
    <xf numFmtId="0" fontId="10" fillId="75" borderId="0" xfId="0" applyFont="1" applyFill="1" applyAlignment="1">
      <alignment horizontal="center" wrapText="1"/>
    </xf>
    <xf numFmtId="0" fontId="10" fillId="75" borderId="0" xfId="0" applyFont="1" applyFill="1" applyAlignment="1">
      <alignment horizontal="center" wrapText="1"/>
    </xf>
    <xf numFmtId="14" fontId="10" fillId="75" borderId="0" xfId="0" applyNumberFormat="1" applyFont="1" applyFill="1" applyAlignment="1">
      <alignment horizontal="center" wrapText="1"/>
    </xf>
    <xf numFmtId="166" fontId="10" fillId="75" borderId="0" xfId="0" applyNumberFormat="1" applyFont="1" applyFill="1" applyAlignment="1">
      <alignment horizontal="center" wrapText="1"/>
    </xf>
    <xf numFmtId="0" fontId="11" fillId="75" borderId="0" xfId="0" applyFont="1" applyFill="1" applyAlignment="1">
      <alignment horizontal="center" wrapText="1"/>
    </xf>
    <xf numFmtId="0" fontId="10" fillId="75" borderId="0" xfId="0" applyFont="1" applyFill="1" applyAlignment="1">
      <alignment horizontal="center" wrapText="1"/>
    </xf>
    <xf numFmtId="11" fontId="10" fillId="75" borderId="0" xfId="0" applyNumberFormat="1" applyFont="1" applyFill="1" applyAlignment="1">
      <alignment horizontal="center" wrapText="1"/>
    </xf>
    <xf numFmtId="11" fontId="11" fillId="75" borderId="0" xfId="0" applyNumberFormat="1" applyFont="1" applyFill="1" applyAlignment="1">
      <alignment horizontal="center" wrapText="1"/>
    </xf>
    <xf numFmtId="11" fontId="10" fillId="75" borderId="0" xfId="0" applyNumberFormat="1" applyFont="1" applyFill="1" applyAlignment="1">
      <alignment horizontal="center" wrapText="1"/>
    </xf>
    <xf numFmtId="0" fontId="10" fillId="75" borderId="0" xfId="0" applyFont="1" applyFill="1" applyAlignment="1">
      <alignment horizontal="center" wrapText="1"/>
    </xf>
    <xf numFmtId="165" fontId="10" fillId="45" borderId="0" xfId="0" applyNumberFormat="1" applyFont="1" applyFill="1" applyAlignment="1">
      <alignment horizontal="center" wrapText="1"/>
    </xf>
    <xf numFmtId="11" fontId="10" fillId="45" borderId="0" xfId="0" applyNumberFormat="1" applyFont="1" applyFill="1" applyAlignment="1">
      <alignment horizontal="center" wrapText="1"/>
    </xf>
    <xf numFmtId="11" fontId="4" fillId="5" borderId="0" xfId="0" applyNumberFormat="1" applyFont="1" applyFill="1" applyAlignment="1">
      <alignment horizontal="center" wrapText="1"/>
    </xf>
    <xf numFmtId="166" fontId="4" fillId="35" borderId="0" xfId="0" applyNumberFormat="1" applyFont="1" applyFill="1" applyAlignment="1">
      <alignment horizontal="center" wrapText="1"/>
    </xf>
    <xf numFmtId="166" fontId="4" fillId="35" borderId="0" xfId="0" applyNumberFormat="1" applyFont="1" applyFill="1" applyAlignment="1">
      <alignment horizontal="center" wrapText="1"/>
    </xf>
    <xf numFmtId="0" fontId="11" fillId="45" borderId="0" xfId="0" applyFont="1" applyFill="1" applyAlignment="1">
      <alignment horizontal="center" wrapText="1"/>
    </xf>
    <xf numFmtId="11" fontId="11" fillId="45" borderId="0" xfId="0" applyNumberFormat="1" applyFont="1" applyFill="1" applyAlignment="1">
      <alignment horizontal="center" wrapText="1"/>
    </xf>
    <xf numFmtId="0" fontId="24" fillId="45" borderId="0" xfId="0" applyFont="1" applyFill="1" applyAlignment="1">
      <alignment horizontal="center" wrapText="1"/>
    </xf>
    <xf numFmtId="0" fontId="9" fillId="45" borderId="0" xfId="0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164" fontId="10" fillId="35" borderId="0" xfId="0" applyNumberFormat="1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165" fontId="10" fillId="35" borderId="0" xfId="0" applyNumberFormat="1" applyFont="1" applyFill="1" applyAlignment="1">
      <alignment horizontal="center" wrapText="1"/>
    </xf>
    <xf numFmtId="166" fontId="10" fillId="35" borderId="0" xfId="0" applyNumberFormat="1" applyFont="1" applyFill="1" applyAlignment="1">
      <alignment horizontal="center" wrapText="1"/>
    </xf>
    <xf numFmtId="166" fontId="10" fillId="35" borderId="0" xfId="0" applyNumberFormat="1" applyFont="1" applyFill="1" applyAlignment="1">
      <alignment horizontal="center" wrapText="1"/>
    </xf>
    <xf numFmtId="164" fontId="11" fillId="35" borderId="0" xfId="0" applyNumberFormat="1" applyFont="1" applyFill="1" applyAlignment="1">
      <alignment horizontal="center" wrapText="1"/>
    </xf>
    <xf numFmtId="164" fontId="10" fillId="35" borderId="0" xfId="0" applyNumberFormat="1" applyFont="1" applyFill="1" applyAlignment="1">
      <alignment horizontal="center" wrapText="1"/>
    </xf>
    <xf numFmtId="11" fontId="10" fillId="35" borderId="0" xfId="0" applyNumberFormat="1" applyFont="1" applyFill="1" applyAlignment="1">
      <alignment horizontal="center" wrapText="1"/>
    </xf>
    <xf numFmtId="11" fontId="11" fillId="35" borderId="0" xfId="0" applyNumberFormat="1" applyFont="1" applyFill="1" applyAlignment="1">
      <alignment horizontal="center" wrapText="1"/>
    </xf>
    <xf numFmtId="11" fontId="10" fillId="35" borderId="0" xfId="0" applyNumberFormat="1" applyFont="1" applyFill="1" applyAlignment="1">
      <alignment horizontal="center" wrapText="1"/>
    </xf>
    <xf numFmtId="11" fontId="10" fillId="35" borderId="0" xfId="0" applyNumberFormat="1" applyFont="1" applyFill="1" applyAlignment="1">
      <alignment horizontal="center" wrapText="1"/>
    </xf>
    <xf numFmtId="14" fontId="10" fillId="35" borderId="0" xfId="0" applyNumberFormat="1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0" fontId="4" fillId="13" borderId="0" xfId="0" applyFont="1" applyFill="1" applyAlignment="1">
      <alignment horizontal="center" wrapText="1"/>
    </xf>
    <xf numFmtId="164" fontId="4" fillId="35" borderId="0" xfId="0" applyNumberFormat="1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165" fontId="4" fillId="35" borderId="0" xfId="0" applyNumberFormat="1" applyFont="1" applyFill="1" applyAlignment="1">
      <alignment horizontal="center" wrapText="1"/>
    </xf>
    <xf numFmtId="164" fontId="1" fillId="35" borderId="0" xfId="0" applyNumberFormat="1" applyFont="1" applyFill="1" applyAlignment="1">
      <alignment horizontal="center" wrapText="1"/>
    </xf>
    <xf numFmtId="164" fontId="4" fillId="35" borderId="0" xfId="0" applyNumberFormat="1" applyFont="1" applyFill="1" applyAlignment="1">
      <alignment horizontal="center" wrapText="1"/>
    </xf>
    <xf numFmtId="11" fontId="4" fillId="35" borderId="0" xfId="0" applyNumberFormat="1" applyFont="1" applyFill="1" applyAlignment="1">
      <alignment horizontal="center" wrapText="1"/>
    </xf>
    <xf numFmtId="11" fontId="1" fillId="35" borderId="0" xfId="0" applyNumberFormat="1" applyFont="1" applyFill="1" applyAlignment="1">
      <alignment horizontal="center" wrapText="1"/>
    </xf>
    <xf numFmtId="11" fontId="4" fillId="35" borderId="0" xfId="0" applyNumberFormat="1" applyFont="1" applyFill="1" applyAlignment="1">
      <alignment horizontal="center" wrapText="1"/>
    </xf>
    <xf numFmtId="11" fontId="4" fillId="35" borderId="0" xfId="0" applyNumberFormat="1" applyFont="1" applyFill="1" applyAlignment="1">
      <alignment horizontal="center" wrapText="1"/>
    </xf>
    <xf numFmtId="14" fontId="4" fillId="35" borderId="0" xfId="0" applyNumberFormat="1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0" fontId="11" fillId="45" borderId="0" xfId="0" applyFont="1" applyFill="1" applyAlignment="1">
      <alignment horizontal="center" wrapText="1"/>
    </xf>
    <xf numFmtId="0" fontId="24" fillId="45" borderId="0" xfId="0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64" fontId="1" fillId="54" borderId="0" xfId="0" applyNumberFormat="1" applyFont="1" applyFill="1" applyAlignment="1">
      <alignment horizontal="center" wrapText="1"/>
    </xf>
    <xf numFmtId="11" fontId="4" fillId="54" borderId="0" xfId="0" applyNumberFormat="1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11" fontId="4" fillId="35" borderId="0" xfId="0" applyNumberFormat="1" applyFont="1" applyFill="1" applyAlignment="1">
      <alignment horizontal="center" wrapText="1"/>
    </xf>
    <xf numFmtId="0" fontId="4" fillId="35" borderId="0" xfId="0" applyFont="1" applyFill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165" fontId="4" fillId="5" borderId="3" xfId="0" applyNumberFormat="1" applyFont="1" applyFill="1" applyBorder="1" applyAlignment="1">
      <alignment horizontal="center" wrapText="1"/>
    </xf>
    <xf numFmtId="166" fontId="4" fillId="5" borderId="3" xfId="0" applyNumberFormat="1" applyFont="1" applyFill="1" applyBorder="1" applyAlignment="1">
      <alignment horizontal="center" wrapText="1"/>
    </xf>
    <xf numFmtId="166" fontId="4" fillId="5" borderId="3" xfId="0" applyNumberFormat="1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11" fontId="1" fillId="5" borderId="3" xfId="0" applyNumberFormat="1" applyFont="1" applyFill="1" applyBorder="1" applyAlignment="1">
      <alignment horizontal="center" wrapText="1"/>
    </xf>
    <xf numFmtId="11" fontId="4" fillId="5" borderId="3" xfId="0" applyNumberFormat="1" applyFont="1" applyFill="1" applyBorder="1" applyAlignment="1">
      <alignment horizontal="center" wrapText="1"/>
    </xf>
    <xf numFmtId="11" fontId="4" fillId="5" borderId="3" xfId="0" applyNumberFormat="1" applyFont="1" applyFill="1" applyBorder="1" applyAlignment="1">
      <alignment horizontal="center" wrapText="1"/>
    </xf>
    <xf numFmtId="14" fontId="4" fillId="5" borderId="3" xfId="0" applyNumberFormat="1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164" fontId="4" fillId="45" borderId="4" xfId="0" applyNumberFormat="1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165" fontId="4" fillId="45" borderId="4" xfId="0" applyNumberFormat="1" applyFont="1" applyFill="1" applyBorder="1" applyAlignment="1">
      <alignment horizontal="center" wrapText="1"/>
    </xf>
    <xf numFmtId="166" fontId="4" fillId="45" borderId="4" xfId="0" applyNumberFormat="1" applyFont="1" applyFill="1" applyBorder="1" applyAlignment="1">
      <alignment horizontal="center" wrapText="1"/>
    </xf>
    <xf numFmtId="166" fontId="4" fillId="45" borderId="4" xfId="0" applyNumberFormat="1" applyFont="1" applyFill="1" applyBorder="1" applyAlignment="1">
      <alignment horizontal="center" wrapText="1"/>
    </xf>
    <xf numFmtId="164" fontId="1" fillId="45" borderId="4" xfId="0" applyNumberFormat="1" applyFont="1" applyFill="1" applyBorder="1" applyAlignment="1">
      <alignment horizontal="center" wrapText="1"/>
    </xf>
    <xf numFmtId="11" fontId="4" fillId="45" borderId="4" xfId="0" applyNumberFormat="1" applyFont="1" applyFill="1" applyBorder="1" applyAlignment="1">
      <alignment horizontal="center" wrapText="1"/>
    </xf>
    <xf numFmtId="11" fontId="1" fillId="45" borderId="4" xfId="0" applyNumberFormat="1" applyFont="1" applyFill="1" applyBorder="1" applyAlignment="1">
      <alignment horizontal="center" wrapText="1"/>
    </xf>
    <xf numFmtId="11" fontId="4" fillId="45" borderId="4" xfId="0" applyNumberFormat="1" applyFont="1" applyFill="1" applyBorder="1" applyAlignment="1">
      <alignment horizontal="center" wrapText="1"/>
    </xf>
    <xf numFmtId="11" fontId="4" fillId="45" borderId="4" xfId="0" applyNumberFormat="1" applyFont="1" applyFill="1" applyBorder="1" applyAlignment="1">
      <alignment horizontal="center" wrapText="1"/>
    </xf>
    <xf numFmtId="14" fontId="4" fillId="45" borderId="4" xfId="0" applyNumberFormat="1" applyFont="1" applyFill="1" applyBorder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0" fontId="9" fillId="54" borderId="0" xfId="0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1" fontId="4" fillId="11" borderId="0" xfId="0" applyNumberFormat="1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165" fontId="4" fillId="55" borderId="0" xfId="0" applyNumberFormat="1" applyFont="1" applyFill="1" applyAlignment="1">
      <alignment horizontal="center" wrapText="1"/>
    </xf>
    <xf numFmtId="166" fontId="4" fillId="55" borderId="0" xfId="0" applyNumberFormat="1" applyFont="1" applyFill="1" applyAlignment="1">
      <alignment horizontal="center" wrapText="1"/>
    </xf>
    <xf numFmtId="166" fontId="4" fillId="55" borderId="0" xfId="0" applyNumberFormat="1" applyFont="1" applyFill="1" applyAlignment="1">
      <alignment horizontal="center" wrapText="1"/>
    </xf>
    <xf numFmtId="164" fontId="4" fillId="55" borderId="0" xfId="0" applyNumberFormat="1" applyFont="1" applyFill="1" applyAlignment="1">
      <alignment horizontal="center" wrapText="1"/>
    </xf>
    <xf numFmtId="11" fontId="4" fillId="55" borderId="0" xfId="0" applyNumberFormat="1" applyFont="1" applyFill="1" applyAlignment="1">
      <alignment horizontal="center" wrapText="1"/>
    </xf>
    <xf numFmtId="11" fontId="1" fillId="55" borderId="0" xfId="0" applyNumberFormat="1" applyFont="1" applyFill="1" applyAlignment="1">
      <alignment horizontal="center" wrapText="1"/>
    </xf>
    <xf numFmtId="11" fontId="4" fillId="55" borderId="0" xfId="0" applyNumberFormat="1" applyFont="1" applyFill="1" applyAlignment="1">
      <alignment horizontal="center" wrapText="1"/>
    </xf>
    <xf numFmtId="11" fontId="4" fillId="55" borderId="0" xfId="0" applyNumberFormat="1" applyFont="1" applyFill="1" applyAlignment="1">
      <alignment horizontal="center" wrapText="1"/>
    </xf>
    <xf numFmtId="14" fontId="4" fillId="55" borderId="0" xfId="0" applyNumberFormat="1" applyFont="1" applyFill="1" applyAlignment="1">
      <alignment horizontal="center" wrapText="1"/>
    </xf>
    <xf numFmtId="0" fontId="9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164" fontId="24" fillId="43" borderId="0" xfId="0" applyNumberFormat="1" applyFont="1" applyFill="1" applyAlignment="1">
      <alignment horizontal="center" wrapText="1"/>
    </xf>
    <xf numFmtId="164" fontId="4" fillId="23" borderId="0" xfId="0" applyNumberFormat="1" applyFont="1" applyFill="1" applyAlignment="1">
      <alignment horizontal="center" wrapText="1"/>
    </xf>
    <xf numFmtId="11" fontId="4" fillId="23" borderId="0" xfId="0" applyNumberFormat="1" applyFont="1" applyFill="1" applyAlignment="1">
      <alignment horizontal="center" wrapText="1"/>
    </xf>
    <xf numFmtId="11" fontId="10" fillId="35" borderId="0" xfId="0" applyNumberFormat="1" applyFont="1" applyFill="1" applyAlignment="1">
      <alignment horizontal="center" wrapText="1"/>
    </xf>
    <xf numFmtId="0" fontId="10" fillId="35" borderId="0" xfId="0" applyFont="1" applyFill="1" applyAlignment="1">
      <alignment horizontal="center" wrapText="1"/>
    </xf>
    <xf numFmtId="0" fontId="4" fillId="54" borderId="0" xfId="0" applyFont="1" applyFill="1" applyAlignment="1">
      <alignment horizontal="center" wrapText="1"/>
    </xf>
    <xf numFmtId="11" fontId="4" fillId="14" borderId="0" xfId="0" applyNumberFormat="1" applyFont="1" applyFill="1" applyAlignment="1">
      <alignment horizontal="center" wrapText="1"/>
    </xf>
    <xf numFmtId="11" fontId="4" fillId="37" borderId="0" xfId="0" applyNumberFormat="1" applyFont="1" applyFill="1" applyAlignment="1">
      <alignment horizontal="center" wrapText="1"/>
    </xf>
    <xf numFmtId="11" fontId="4" fillId="37" borderId="0" xfId="0" applyNumberFormat="1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164" fontId="10" fillId="69" borderId="0" xfId="0" applyNumberFormat="1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165" fontId="10" fillId="69" borderId="0" xfId="0" applyNumberFormat="1" applyFont="1" applyFill="1" applyAlignment="1">
      <alignment horizontal="center" wrapText="1"/>
    </xf>
    <xf numFmtId="166" fontId="10" fillId="69" borderId="0" xfId="0" applyNumberFormat="1" applyFont="1" applyFill="1" applyAlignment="1">
      <alignment horizontal="center" wrapText="1"/>
    </xf>
    <xf numFmtId="166" fontId="10" fillId="69" borderId="0" xfId="0" applyNumberFormat="1" applyFont="1" applyFill="1" applyAlignment="1">
      <alignment horizontal="center" wrapText="1"/>
    </xf>
    <xf numFmtId="164" fontId="11" fillId="69" borderId="0" xfId="0" applyNumberFormat="1" applyFont="1" applyFill="1" applyAlignment="1">
      <alignment horizontal="center" wrapText="1"/>
    </xf>
    <xf numFmtId="11" fontId="10" fillId="69" borderId="0" xfId="0" applyNumberFormat="1" applyFont="1" applyFill="1" applyAlignment="1">
      <alignment horizontal="center" wrapText="1"/>
    </xf>
    <xf numFmtId="11" fontId="11" fillId="69" borderId="0" xfId="0" applyNumberFormat="1" applyFont="1" applyFill="1" applyAlignment="1">
      <alignment horizontal="center" wrapText="1"/>
    </xf>
    <xf numFmtId="11" fontId="10" fillId="69" borderId="0" xfId="0" applyNumberFormat="1" applyFont="1" applyFill="1" applyAlignment="1">
      <alignment horizontal="center" wrapText="1"/>
    </xf>
    <xf numFmtId="11" fontId="10" fillId="69" borderId="0" xfId="0" applyNumberFormat="1" applyFont="1" applyFill="1" applyAlignment="1">
      <alignment horizontal="center" wrapText="1"/>
    </xf>
    <xf numFmtId="14" fontId="10" fillId="69" borderId="0" xfId="0" applyNumberFormat="1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164" fontId="4" fillId="69" borderId="0" xfId="0" applyNumberFormat="1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165" fontId="4" fillId="69" borderId="0" xfId="0" applyNumberFormat="1" applyFont="1" applyFill="1" applyAlignment="1">
      <alignment horizontal="center" wrapText="1"/>
    </xf>
    <xf numFmtId="166" fontId="4" fillId="69" borderId="0" xfId="0" applyNumberFormat="1" applyFont="1" applyFill="1" applyAlignment="1">
      <alignment horizontal="center" wrapText="1"/>
    </xf>
    <xf numFmtId="166" fontId="4" fillId="69" borderId="0" xfId="0" applyNumberFormat="1" applyFont="1" applyFill="1" applyAlignment="1">
      <alignment horizontal="center" wrapText="1"/>
    </xf>
    <xf numFmtId="164" fontId="1" fillId="69" borderId="0" xfId="0" applyNumberFormat="1" applyFont="1" applyFill="1" applyAlignment="1">
      <alignment horizontal="center" wrapText="1"/>
    </xf>
    <xf numFmtId="11" fontId="4" fillId="69" borderId="0" xfId="0" applyNumberFormat="1" applyFont="1" applyFill="1" applyAlignment="1">
      <alignment horizontal="center" wrapText="1"/>
    </xf>
    <xf numFmtId="11" fontId="1" fillId="69" borderId="0" xfId="0" applyNumberFormat="1" applyFont="1" applyFill="1" applyAlignment="1">
      <alignment horizontal="center" wrapText="1"/>
    </xf>
    <xf numFmtId="11" fontId="4" fillId="69" borderId="0" xfId="0" applyNumberFormat="1" applyFont="1" applyFill="1" applyAlignment="1">
      <alignment horizontal="center" wrapText="1"/>
    </xf>
    <xf numFmtId="11" fontId="4" fillId="69" borderId="0" xfId="0" applyNumberFormat="1" applyFont="1" applyFill="1" applyAlignment="1">
      <alignment horizontal="center" wrapText="1"/>
    </xf>
    <xf numFmtId="14" fontId="4" fillId="69" borderId="0" xfId="0" applyNumberFormat="1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11" fontId="4" fillId="3" borderId="0" xfId="0" applyNumberFormat="1" applyFont="1" applyFill="1" applyAlignment="1">
      <alignment horizontal="center" wrapText="1"/>
    </xf>
    <xf numFmtId="11" fontId="1" fillId="14" borderId="0" xfId="0" applyNumberFormat="1" applyFont="1" applyFill="1" applyAlignment="1">
      <alignment horizontal="center" wrapText="1"/>
    </xf>
    <xf numFmtId="0" fontId="4" fillId="2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wrapText="1"/>
    </xf>
    <xf numFmtId="11" fontId="1" fillId="24" borderId="0" xfId="0" applyNumberFormat="1" applyFont="1" applyFill="1" applyAlignment="1">
      <alignment horizontal="center" wrapText="1"/>
    </xf>
    <xf numFmtId="11" fontId="4" fillId="24" borderId="0" xfId="0" applyNumberFormat="1" applyFont="1" applyFill="1" applyAlignment="1">
      <alignment horizontal="center" wrapText="1"/>
    </xf>
    <xf numFmtId="11" fontId="4" fillId="24" borderId="0" xfId="0" applyNumberFormat="1" applyFont="1" applyFill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11" fontId="11" fillId="45" borderId="0" xfId="0" applyNumberFormat="1" applyFont="1" applyFill="1" applyAlignment="1">
      <alignment horizontal="center" wrapText="1"/>
    </xf>
    <xf numFmtId="11" fontId="10" fillId="45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11" fontId="1" fillId="45" borderId="0" xfId="0" applyNumberFormat="1" applyFont="1" applyFill="1" applyAlignment="1">
      <alignment horizontal="center" wrapText="1"/>
    </xf>
    <xf numFmtId="11" fontId="4" fillId="45" borderId="0" xfId="0" applyNumberFormat="1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0" fontId="4" fillId="55" borderId="3" xfId="0" applyFont="1" applyFill="1" applyBorder="1" applyAlignment="1">
      <alignment horizontal="center" wrapText="1"/>
    </xf>
    <xf numFmtId="0" fontId="4" fillId="55" borderId="3" xfId="0" applyFont="1" applyFill="1" applyBorder="1" applyAlignment="1">
      <alignment horizontal="center" wrapText="1"/>
    </xf>
    <xf numFmtId="0" fontId="4" fillId="55" borderId="3" xfId="0" applyFont="1" applyFill="1" applyBorder="1" applyAlignment="1">
      <alignment horizontal="center" wrapText="1"/>
    </xf>
    <xf numFmtId="166" fontId="4" fillId="55" borderId="3" xfId="0" applyNumberFormat="1" applyFont="1" applyFill="1" applyBorder="1" applyAlignment="1">
      <alignment horizontal="center" wrapText="1"/>
    </xf>
    <xf numFmtId="0" fontId="1" fillId="55" borderId="3" xfId="0" applyFont="1" applyFill="1" applyBorder="1" applyAlignment="1">
      <alignment horizontal="center" wrapText="1"/>
    </xf>
    <xf numFmtId="164" fontId="4" fillId="55" borderId="3" xfId="0" applyNumberFormat="1" applyFont="1" applyFill="1" applyBorder="1" applyAlignment="1">
      <alignment horizontal="center" wrapText="1"/>
    </xf>
    <xf numFmtId="11" fontId="4" fillId="55" borderId="3" xfId="0" applyNumberFormat="1" applyFont="1" applyFill="1" applyBorder="1" applyAlignment="1">
      <alignment horizontal="center" wrapText="1"/>
    </xf>
    <xf numFmtId="11" fontId="1" fillId="55" borderId="3" xfId="0" applyNumberFormat="1" applyFont="1" applyFill="1" applyBorder="1" applyAlignment="1">
      <alignment horizontal="center" wrapText="1"/>
    </xf>
    <xf numFmtId="11" fontId="4" fillId="55" borderId="3" xfId="0" applyNumberFormat="1" applyFont="1" applyFill="1" applyBorder="1" applyAlignment="1">
      <alignment horizontal="center" wrapText="1"/>
    </xf>
    <xf numFmtId="0" fontId="9" fillId="55" borderId="3" xfId="0" applyFont="1" applyFill="1" applyBorder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164" fontId="11" fillId="0" borderId="0" xfId="0" applyNumberFormat="1" applyFont="1" applyAlignment="1">
      <alignment horizontal="center" wrapText="1"/>
    </xf>
    <xf numFmtId="11" fontId="11" fillId="0" borderId="0" xfId="0" applyNumberFormat="1" applyFont="1" applyAlignment="1">
      <alignment horizontal="center" wrapText="1"/>
    </xf>
    <xf numFmtId="11" fontId="10" fillId="0" borderId="0" xfId="0" applyNumberFormat="1" applyFont="1" applyAlignment="1">
      <alignment horizontal="center" wrapText="1"/>
    </xf>
    <xf numFmtId="11" fontId="1" fillId="23" borderId="0" xfId="0" applyNumberFormat="1" applyFont="1" applyFill="1" applyAlignment="1">
      <alignment horizontal="center" wrapText="1"/>
    </xf>
    <xf numFmtId="11" fontId="4" fillId="23" borderId="0" xfId="0" applyNumberFormat="1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11" fontId="1" fillId="4" borderId="0" xfId="0" applyNumberFormat="1" applyFont="1" applyFill="1" applyAlignment="1">
      <alignment horizontal="center" wrapText="1"/>
    </xf>
    <xf numFmtId="11" fontId="4" fillId="4" borderId="0" xfId="0" applyNumberFormat="1" applyFont="1" applyFill="1" applyAlignment="1">
      <alignment horizontal="center" wrapText="1"/>
    </xf>
    <xf numFmtId="14" fontId="4" fillId="4" borderId="0" xfId="0" applyNumberFormat="1" applyFont="1" applyFill="1" applyAlignment="1">
      <alignment horizontal="center" wrapText="1"/>
    </xf>
    <xf numFmtId="11" fontId="1" fillId="18" borderId="0" xfId="0" applyNumberFormat="1" applyFont="1" applyFill="1" applyAlignment="1">
      <alignment horizontal="center" wrapText="1"/>
    </xf>
    <xf numFmtId="11" fontId="4" fillId="18" borderId="0" xfId="0" applyNumberFormat="1" applyFont="1" applyFill="1" applyAlignment="1">
      <alignment horizontal="center" wrapText="1"/>
    </xf>
    <xf numFmtId="11" fontId="1" fillId="23" borderId="0" xfId="0" applyNumberFormat="1" applyFont="1" applyFill="1" applyAlignment="1">
      <alignment horizontal="center" wrapText="1"/>
    </xf>
    <xf numFmtId="11" fontId="1" fillId="4" borderId="0" xfId="0" applyNumberFormat="1" applyFont="1" applyFill="1" applyAlignment="1">
      <alignment horizontal="center" wrapText="1"/>
    </xf>
    <xf numFmtId="11" fontId="4" fillId="4" borderId="0" xfId="0" applyNumberFormat="1" applyFont="1" applyFill="1" applyAlignment="1">
      <alignment horizontal="center" wrapText="1"/>
    </xf>
    <xf numFmtId="166" fontId="10" fillId="14" borderId="0" xfId="0" applyNumberFormat="1" applyFont="1" applyFill="1" applyAlignment="1">
      <alignment horizontal="center" wrapText="1"/>
    </xf>
    <xf numFmtId="11" fontId="11" fillId="0" borderId="0" xfId="0" applyNumberFormat="1" applyFont="1" applyAlignment="1">
      <alignment horizontal="center" wrapText="1"/>
    </xf>
    <xf numFmtId="14" fontId="10" fillId="0" borderId="0" xfId="0" applyNumberFormat="1" applyFont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10" fillId="0" borderId="0" xfId="0" applyFont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66" fontId="4" fillId="45" borderId="0" xfId="0" applyNumberFormat="1" applyFont="1" applyFill="1" applyAlignment="1">
      <alignment horizontal="center" wrapText="1"/>
    </xf>
    <xf numFmtId="11" fontId="1" fillId="45" borderId="0" xfId="0" applyNumberFormat="1" applyFont="1" applyFill="1" applyAlignment="1">
      <alignment horizontal="center" wrapText="1"/>
    </xf>
    <xf numFmtId="14" fontId="4" fillId="45" borderId="0" xfId="0" applyNumberFormat="1" applyFont="1" applyFill="1" applyAlignment="1">
      <alignment horizontal="center" wrapText="1"/>
    </xf>
    <xf numFmtId="0" fontId="5" fillId="45" borderId="0" xfId="0" applyFont="1" applyFill="1" applyAlignment="1">
      <alignment horizontal="center" wrapText="1"/>
    </xf>
    <xf numFmtId="0" fontId="59" fillId="0" borderId="0" xfId="0" applyFont="1" applyAlignment="1">
      <alignment wrapText="1"/>
    </xf>
    <xf numFmtId="0" fontId="4" fillId="4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1" fontId="11" fillId="45" borderId="0" xfId="0" applyNumberFormat="1" applyFont="1" applyFill="1" applyAlignment="1">
      <alignment horizontal="center" wrapText="1"/>
    </xf>
    <xf numFmtId="11" fontId="11" fillId="69" borderId="0" xfId="0" applyNumberFormat="1" applyFont="1" applyFill="1" applyAlignment="1">
      <alignment horizontal="center" wrapText="1"/>
    </xf>
    <xf numFmtId="0" fontId="10" fillId="69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11" fontId="1" fillId="69" borderId="0" xfId="0" applyNumberFormat="1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11" fontId="11" fillId="2" borderId="0" xfId="0" applyNumberFormat="1" applyFont="1" applyFill="1" applyAlignment="1">
      <alignment horizontal="center" wrapText="1"/>
    </xf>
    <xf numFmtId="11" fontId="10" fillId="2" borderId="0" xfId="0" applyNumberFormat="1" applyFont="1" applyFill="1" applyAlignment="1">
      <alignment horizontal="center" wrapText="1"/>
    </xf>
    <xf numFmtId="14" fontId="10" fillId="2" borderId="0" xfId="0" applyNumberFormat="1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164" fontId="11" fillId="37" borderId="0" xfId="0" applyNumberFormat="1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164" fontId="4" fillId="32" borderId="0" xfId="0" applyNumberFormat="1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165" fontId="4" fillId="32" borderId="0" xfId="0" applyNumberFormat="1" applyFont="1" applyFill="1" applyAlignment="1">
      <alignment horizontal="center" wrapText="1"/>
    </xf>
    <xf numFmtId="14" fontId="4" fillId="32" borderId="0" xfId="0" applyNumberFormat="1" applyFont="1" applyFill="1" applyAlignment="1">
      <alignment horizontal="center" wrapText="1"/>
    </xf>
    <xf numFmtId="166" fontId="4" fillId="32" borderId="0" xfId="0" applyNumberFormat="1" applyFont="1" applyFill="1" applyAlignment="1">
      <alignment horizontal="center" wrapText="1"/>
    </xf>
    <xf numFmtId="164" fontId="1" fillId="32" borderId="0" xfId="0" applyNumberFormat="1" applyFont="1" applyFill="1" applyAlignment="1">
      <alignment horizontal="center" wrapText="1"/>
    </xf>
    <xf numFmtId="11" fontId="4" fillId="32" borderId="0" xfId="0" applyNumberFormat="1" applyFont="1" applyFill="1" applyAlignment="1">
      <alignment horizontal="center" wrapText="1"/>
    </xf>
    <xf numFmtId="11" fontId="1" fillId="32" borderId="0" xfId="0" applyNumberFormat="1" applyFont="1" applyFill="1" applyAlignment="1">
      <alignment horizontal="center" wrapText="1"/>
    </xf>
    <xf numFmtId="11" fontId="4" fillId="32" borderId="0" xfId="0" applyNumberFormat="1" applyFont="1" applyFill="1" applyAlignment="1">
      <alignment horizontal="center" wrapText="1"/>
    </xf>
    <xf numFmtId="11" fontId="4" fillId="32" borderId="0" xfId="0" applyNumberFormat="1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164" fontId="10" fillId="32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165" fontId="10" fillId="32" borderId="0" xfId="0" applyNumberFormat="1" applyFont="1" applyFill="1" applyAlignment="1">
      <alignment horizontal="center" wrapText="1"/>
    </xf>
    <xf numFmtId="14" fontId="10" fillId="32" borderId="0" xfId="0" applyNumberFormat="1" applyFont="1" applyFill="1" applyAlignment="1">
      <alignment horizontal="center" wrapText="1"/>
    </xf>
    <xf numFmtId="166" fontId="10" fillId="32" borderId="0" xfId="0" applyNumberFormat="1" applyFont="1" applyFill="1" applyAlignment="1">
      <alignment horizontal="center" wrapText="1"/>
    </xf>
    <xf numFmtId="164" fontId="11" fillId="32" borderId="0" xfId="0" applyNumberFormat="1" applyFont="1" applyFill="1" applyAlignment="1">
      <alignment horizontal="center" wrapText="1"/>
    </xf>
    <xf numFmtId="11" fontId="10" fillId="32" borderId="0" xfId="0" applyNumberFormat="1" applyFont="1" applyFill="1" applyAlignment="1">
      <alignment horizontal="center" wrapText="1"/>
    </xf>
    <xf numFmtId="11" fontId="11" fillId="32" borderId="0" xfId="0" applyNumberFormat="1" applyFont="1" applyFill="1" applyAlignment="1">
      <alignment horizontal="center" wrapText="1"/>
    </xf>
    <xf numFmtId="11" fontId="10" fillId="32" borderId="0" xfId="0" applyNumberFormat="1" applyFont="1" applyFill="1" applyAlignment="1">
      <alignment horizontal="center" wrapText="1"/>
    </xf>
    <xf numFmtId="11" fontId="10" fillId="32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11" fontId="11" fillId="43" borderId="0" xfId="0" applyNumberFormat="1" applyFont="1" applyFill="1" applyAlignment="1">
      <alignment horizontal="center" wrapText="1"/>
    </xf>
    <xf numFmtId="11" fontId="10" fillId="43" borderId="0" xfId="0" applyNumberFormat="1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9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11" fontId="1" fillId="5" borderId="0" xfId="0" applyNumberFormat="1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9" fillId="14" borderId="0" xfId="0" applyFont="1" applyFill="1" applyAlignment="1">
      <alignment horizontal="center" wrapText="1"/>
    </xf>
    <xf numFmtId="11" fontId="4" fillId="14" borderId="0" xfId="0" applyNumberFormat="1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14" fontId="10" fillId="8" borderId="0" xfId="0" applyNumberFormat="1" applyFont="1" applyFill="1" applyAlignment="1">
      <alignment horizontal="center" wrapText="1"/>
    </xf>
    <xf numFmtId="0" fontId="11" fillId="8" borderId="0" xfId="0" applyFont="1" applyFill="1" applyAlignment="1">
      <alignment horizontal="center" wrapText="1"/>
    </xf>
    <xf numFmtId="11" fontId="11" fillId="8" borderId="0" xfId="0" applyNumberFormat="1" applyFont="1" applyFill="1" applyAlignment="1">
      <alignment horizontal="center" wrapText="1"/>
    </xf>
    <xf numFmtId="0" fontId="24" fillId="8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165" fontId="14" fillId="5" borderId="0" xfId="0" applyNumberFormat="1" applyFont="1" applyFill="1" applyAlignment="1">
      <alignment horizontal="center" wrapText="1"/>
    </xf>
    <xf numFmtId="0" fontId="54" fillId="5" borderId="0" xfId="0" applyFont="1" applyFill="1" applyAlignment="1">
      <alignment horizontal="center" wrapText="1"/>
    </xf>
    <xf numFmtId="164" fontId="14" fillId="5" borderId="0" xfId="0" applyNumberFormat="1" applyFont="1" applyFill="1" applyAlignment="1">
      <alignment horizontal="center" wrapText="1"/>
    </xf>
    <xf numFmtId="11" fontId="14" fillId="5" borderId="0" xfId="0" applyNumberFormat="1" applyFont="1" applyFill="1" applyAlignment="1">
      <alignment horizontal="center" wrapText="1"/>
    </xf>
    <xf numFmtId="11" fontId="14" fillId="5" borderId="0" xfId="0" applyNumberFormat="1" applyFont="1" applyFill="1" applyAlignment="1">
      <alignment horizontal="center" wrapText="1"/>
    </xf>
    <xf numFmtId="11" fontId="14" fillId="5" borderId="0" xfId="0" applyNumberFormat="1" applyFont="1" applyFill="1" applyAlignment="1">
      <alignment horizontal="center" wrapText="1"/>
    </xf>
    <xf numFmtId="14" fontId="14" fillId="5" borderId="0" xfId="0" applyNumberFormat="1" applyFont="1" applyFill="1" applyAlignment="1">
      <alignment horizontal="center" wrapText="1"/>
    </xf>
    <xf numFmtId="0" fontId="60" fillId="5" borderId="0" xfId="0" applyFont="1" applyFill="1" applyAlignment="1">
      <alignment horizontal="center" wrapText="1"/>
    </xf>
    <xf numFmtId="0" fontId="14" fillId="5" borderId="0" xfId="0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164" fontId="10" fillId="5" borderId="0" xfId="0" applyNumberFormat="1" applyFont="1" applyFill="1" applyAlignment="1">
      <alignment horizontal="center" wrapText="1"/>
    </xf>
    <xf numFmtId="165" fontId="10" fillId="5" borderId="0" xfId="0" applyNumberFormat="1" applyFont="1" applyFill="1" applyAlignment="1">
      <alignment horizontal="center" wrapText="1"/>
    </xf>
    <xf numFmtId="11" fontId="61" fillId="14" borderId="0" xfId="0" applyNumberFormat="1" applyFont="1" applyFill="1" applyAlignment="1">
      <alignment horizontal="center" wrapText="1"/>
    </xf>
    <xf numFmtId="11" fontId="57" fillId="14" borderId="0" xfId="0" applyNumberFormat="1" applyFont="1" applyFill="1" applyAlignment="1">
      <alignment horizontal="center" wrapText="1"/>
    </xf>
    <xf numFmtId="0" fontId="10" fillId="0" borderId="0" xfId="0" applyFont="1" applyAlignment="1">
      <alignment horizontal="center" wrapText="1"/>
    </xf>
    <xf numFmtId="164" fontId="24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4" fillId="43" borderId="0" xfId="0" applyFont="1" applyFill="1" applyAlignment="1">
      <alignment horizontal="center" wrapText="1"/>
    </xf>
    <xf numFmtId="11" fontId="1" fillId="43" borderId="0" xfId="0" applyNumberFormat="1" applyFont="1" applyFill="1" applyAlignment="1">
      <alignment horizontal="center" wrapText="1"/>
    </xf>
    <xf numFmtId="0" fontId="9" fillId="5" borderId="0" xfId="0" applyFont="1" applyFill="1" applyAlignment="1">
      <alignment horizontal="center" wrapText="1"/>
    </xf>
    <xf numFmtId="0" fontId="10" fillId="5" borderId="0" xfId="0" applyFont="1" applyFill="1" applyAlignment="1">
      <alignment horizontal="center" wrapText="1"/>
    </xf>
    <xf numFmtId="11" fontId="11" fillId="5" borderId="0" xfId="0" applyNumberFormat="1" applyFont="1" applyFill="1" applyAlignment="1">
      <alignment horizontal="center" wrapText="1"/>
    </xf>
    <xf numFmtId="11" fontId="10" fillId="5" borderId="0" xfId="0" applyNumberFormat="1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16" fillId="5" borderId="0" xfId="0" applyFont="1" applyFill="1" applyAlignment="1">
      <alignment horizontal="center" wrapText="1"/>
    </xf>
    <xf numFmtId="0" fontId="16" fillId="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165" fontId="10" fillId="55" borderId="0" xfId="0" applyNumberFormat="1" applyFont="1" applyFill="1" applyAlignment="1">
      <alignment horizontal="center" wrapText="1"/>
    </xf>
    <xf numFmtId="166" fontId="10" fillId="55" borderId="0" xfId="0" applyNumberFormat="1" applyFont="1" applyFill="1" applyAlignment="1">
      <alignment horizontal="center" wrapText="1"/>
    </xf>
    <xf numFmtId="166" fontId="10" fillId="55" borderId="0" xfId="0" applyNumberFormat="1" applyFont="1" applyFill="1" applyAlignment="1">
      <alignment horizontal="center" wrapText="1"/>
    </xf>
    <xf numFmtId="0" fontId="11" fillId="55" borderId="0" xfId="0" applyFont="1" applyFill="1" applyAlignment="1">
      <alignment horizontal="center" wrapText="1"/>
    </xf>
    <xf numFmtId="164" fontId="10" fillId="55" borderId="0" xfId="0" applyNumberFormat="1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11" fontId="11" fillId="55" borderId="0" xfId="0" applyNumberFormat="1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0" fontId="24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4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14" fontId="10" fillId="55" borderId="0" xfId="0" applyNumberFormat="1" applyFont="1" applyFill="1" applyAlignment="1">
      <alignment horizontal="center" wrapText="1"/>
    </xf>
    <xf numFmtId="0" fontId="24" fillId="55" borderId="0" xfId="0" applyFont="1" applyFill="1" applyAlignment="1">
      <alignment horizontal="center" wrapText="1"/>
    </xf>
    <xf numFmtId="0" fontId="10" fillId="54" borderId="0" xfId="0" applyFont="1" applyFill="1" applyAlignment="1">
      <alignment horizontal="center" wrapText="1"/>
    </xf>
    <xf numFmtId="165" fontId="10" fillId="54" borderId="0" xfId="0" applyNumberFormat="1" applyFont="1" applyFill="1" applyAlignment="1">
      <alignment horizontal="center" wrapText="1"/>
    </xf>
    <xf numFmtId="0" fontId="11" fillId="54" borderId="0" xfId="0" applyFont="1" applyFill="1" applyAlignment="1">
      <alignment horizontal="center" wrapText="1"/>
    </xf>
    <xf numFmtId="11" fontId="11" fillId="54" borderId="0" xfId="0" applyNumberFormat="1" applyFont="1" applyFill="1" applyAlignment="1">
      <alignment horizontal="center" wrapText="1"/>
    </xf>
    <xf numFmtId="0" fontId="12" fillId="54" borderId="0" xfId="0" applyFont="1" applyFill="1" applyAlignment="1">
      <alignment horizontal="center" wrapText="1"/>
    </xf>
    <xf numFmtId="0" fontId="10" fillId="43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11" fontId="11" fillId="4" borderId="0" xfId="0" applyNumberFormat="1" applyFont="1" applyFill="1" applyAlignment="1">
      <alignment horizontal="center" wrapText="1"/>
    </xf>
    <xf numFmtId="11" fontId="12" fillId="4" borderId="0" xfId="0" applyNumberFormat="1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4" fillId="8" borderId="0" xfId="0" applyFont="1" applyFill="1" applyAlignment="1">
      <alignment horizontal="center" wrapText="1"/>
    </xf>
    <xf numFmtId="0" fontId="4" fillId="8" borderId="0" xfId="0" applyFont="1" applyFill="1" applyAlignment="1">
      <alignment horizontal="center" wrapText="1"/>
    </xf>
    <xf numFmtId="0" fontId="4" fillId="8" borderId="0" xfId="0" applyFont="1" applyFill="1" applyAlignment="1">
      <alignment horizontal="center" wrapText="1"/>
    </xf>
    <xf numFmtId="11" fontId="1" fillId="8" borderId="0" xfId="0" applyNumberFormat="1" applyFont="1" applyFill="1" applyAlignment="1">
      <alignment horizontal="center" wrapText="1"/>
    </xf>
    <xf numFmtId="0" fontId="9" fillId="8" borderId="0" xfId="0" applyFont="1" applyFill="1" applyAlignment="1">
      <alignment horizontal="center" wrapText="1"/>
    </xf>
    <xf numFmtId="0" fontId="4" fillId="13" borderId="0" xfId="0" applyFont="1" applyFill="1" applyAlignment="1">
      <alignment horizontal="center" wrapText="1"/>
    </xf>
    <xf numFmtId="0" fontId="4" fillId="13" borderId="0" xfId="0" applyFont="1" applyFill="1" applyAlignment="1">
      <alignment horizontal="center" wrapText="1"/>
    </xf>
    <xf numFmtId="164" fontId="4" fillId="13" borderId="0" xfId="0" applyNumberFormat="1" applyFont="1" applyFill="1" applyAlignment="1">
      <alignment horizontal="center" wrapText="1"/>
    </xf>
    <xf numFmtId="0" fontId="4" fillId="13" borderId="0" xfId="0" applyFont="1" applyFill="1" applyAlignment="1">
      <alignment horizontal="center" wrapText="1"/>
    </xf>
    <xf numFmtId="165" fontId="4" fillId="13" borderId="0" xfId="0" applyNumberFormat="1" applyFont="1" applyFill="1" applyAlignment="1">
      <alignment horizontal="center" wrapText="1"/>
    </xf>
    <xf numFmtId="14" fontId="4" fillId="13" borderId="0" xfId="0" applyNumberFormat="1" applyFont="1" applyFill="1" applyAlignment="1">
      <alignment horizontal="center" wrapText="1"/>
    </xf>
    <xf numFmtId="166" fontId="4" fillId="13" borderId="0" xfId="0" applyNumberFormat="1" applyFont="1" applyFill="1" applyAlignment="1">
      <alignment horizontal="center" wrapText="1"/>
    </xf>
    <xf numFmtId="164" fontId="1" fillId="13" borderId="0" xfId="0" applyNumberFormat="1" applyFont="1" applyFill="1" applyAlignment="1">
      <alignment horizontal="center" wrapText="1"/>
    </xf>
    <xf numFmtId="11" fontId="1" fillId="35" borderId="0" xfId="0" applyNumberFormat="1" applyFont="1" applyFill="1" applyAlignment="1">
      <alignment horizontal="center" wrapText="1"/>
    </xf>
    <xf numFmtId="11" fontId="5" fillId="35" borderId="0" xfId="0" applyNumberFormat="1" applyFont="1" applyFill="1" applyAlignment="1">
      <alignment horizontal="center" wrapText="1"/>
    </xf>
    <xf numFmtId="11" fontId="4" fillId="13" borderId="0" xfId="0" applyNumberFormat="1" applyFont="1" applyFill="1" applyAlignment="1">
      <alignment horizontal="center" wrapText="1"/>
    </xf>
    <xf numFmtId="0" fontId="4" fillId="13" borderId="0" xfId="0" applyFont="1" applyFill="1" applyAlignment="1">
      <alignment horizontal="center" wrapText="1"/>
    </xf>
    <xf numFmtId="11" fontId="12" fillId="0" borderId="0" xfId="0" applyNumberFormat="1" applyFont="1" applyAlignment="1">
      <alignment horizontal="center" wrapText="1"/>
    </xf>
    <xf numFmtId="0" fontId="4" fillId="18" borderId="0" xfId="0" applyFont="1" applyFill="1" applyAlignment="1">
      <alignment horizontal="center" wrapText="1"/>
    </xf>
    <xf numFmtId="11" fontId="5" fillId="18" borderId="0" xfId="0" applyNumberFormat="1" applyFont="1" applyFill="1" applyAlignment="1">
      <alignment horizontal="center" wrapText="1"/>
    </xf>
    <xf numFmtId="164" fontId="4" fillId="18" borderId="0" xfId="0" applyNumberFormat="1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11" fontId="12" fillId="45" borderId="0" xfId="0" applyNumberFormat="1" applyFont="1" applyFill="1" applyAlignment="1">
      <alignment horizontal="center" wrapText="1"/>
    </xf>
    <xf numFmtId="0" fontId="10" fillId="0" borderId="0" xfId="0" applyFont="1" applyAlignment="1">
      <alignment horizontal="center" wrapText="1"/>
    </xf>
    <xf numFmtId="11" fontId="11" fillId="11" borderId="0" xfId="0" applyNumberFormat="1" applyFont="1" applyFill="1" applyAlignment="1">
      <alignment horizontal="center" wrapText="1"/>
    </xf>
    <xf numFmtId="11" fontId="12" fillId="11" borderId="0" xfId="0" applyNumberFormat="1" applyFont="1" applyFill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164" fontId="4" fillId="5" borderId="3" xfId="0" applyNumberFormat="1" applyFont="1" applyFill="1" applyBorder="1" applyAlignment="1">
      <alignment horizontal="center" wrapText="1"/>
    </xf>
    <xf numFmtId="164" fontId="1" fillId="5" borderId="3" xfId="0" applyNumberFormat="1" applyFont="1" applyFill="1" applyBorder="1" applyAlignment="1">
      <alignment horizontal="center" wrapText="1"/>
    </xf>
    <xf numFmtId="11" fontId="4" fillId="5" borderId="3" xfId="0" applyNumberFormat="1" applyFont="1" applyFill="1" applyBorder="1" applyAlignment="1">
      <alignment horizontal="center" wrapText="1"/>
    </xf>
    <xf numFmtId="11" fontId="5" fillId="5" borderId="0" xfId="0" applyNumberFormat="1" applyFont="1" applyFill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75" borderId="16" xfId="0" applyFont="1" applyFill="1" applyBorder="1" applyAlignment="1">
      <alignment horizontal="center" wrapText="1"/>
    </xf>
    <xf numFmtId="0" fontId="4" fillId="75" borderId="16" xfId="0" applyFont="1" applyFill="1" applyBorder="1" applyAlignment="1">
      <alignment horizontal="center" wrapText="1"/>
    </xf>
    <xf numFmtId="0" fontId="4" fillId="75" borderId="16" xfId="0" applyFont="1" applyFill="1" applyBorder="1" applyAlignment="1">
      <alignment horizontal="center" wrapText="1"/>
    </xf>
    <xf numFmtId="164" fontId="4" fillId="75" borderId="16" xfId="0" applyNumberFormat="1" applyFont="1" applyFill="1" applyBorder="1" applyAlignment="1">
      <alignment horizontal="center" wrapText="1"/>
    </xf>
    <xf numFmtId="0" fontId="4" fillId="75" borderId="16" xfId="0" applyFont="1" applyFill="1" applyBorder="1" applyAlignment="1">
      <alignment horizontal="center" wrapText="1"/>
    </xf>
    <xf numFmtId="0" fontId="4" fillId="75" borderId="16" xfId="0" applyFont="1" applyFill="1" applyBorder="1" applyAlignment="1">
      <alignment horizontal="center" wrapText="1"/>
    </xf>
    <xf numFmtId="165" fontId="4" fillId="75" borderId="16" xfId="0" applyNumberFormat="1" applyFont="1" applyFill="1" applyBorder="1" applyAlignment="1">
      <alignment horizontal="center" wrapText="1"/>
    </xf>
    <xf numFmtId="166" fontId="4" fillId="75" borderId="16" xfId="0" applyNumberFormat="1" applyFont="1" applyFill="1" applyBorder="1" applyAlignment="1">
      <alignment horizontal="center" wrapText="1"/>
    </xf>
    <xf numFmtId="166" fontId="4" fillId="75" borderId="16" xfId="0" applyNumberFormat="1" applyFont="1" applyFill="1" applyBorder="1" applyAlignment="1">
      <alignment horizontal="center" wrapText="1"/>
    </xf>
    <xf numFmtId="164" fontId="1" fillId="75" borderId="16" xfId="0" applyNumberFormat="1" applyFont="1" applyFill="1" applyBorder="1" applyAlignment="1">
      <alignment horizontal="center" wrapText="1"/>
    </xf>
    <xf numFmtId="11" fontId="4" fillId="75" borderId="16" xfId="0" applyNumberFormat="1" applyFont="1" applyFill="1" applyBorder="1" applyAlignment="1">
      <alignment horizontal="center" wrapText="1"/>
    </xf>
    <xf numFmtId="11" fontId="1" fillId="75" borderId="16" xfId="0" applyNumberFormat="1" applyFont="1" applyFill="1" applyBorder="1" applyAlignment="1">
      <alignment horizontal="center" wrapText="1"/>
    </xf>
    <xf numFmtId="11" fontId="5" fillId="75" borderId="16" xfId="0" applyNumberFormat="1" applyFont="1" applyFill="1" applyBorder="1" applyAlignment="1">
      <alignment horizontal="center" wrapText="1"/>
    </xf>
    <xf numFmtId="11" fontId="4" fillId="75" borderId="16" xfId="0" applyNumberFormat="1" applyFont="1" applyFill="1" applyBorder="1" applyAlignment="1">
      <alignment horizontal="center" wrapText="1"/>
    </xf>
    <xf numFmtId="14" fontId="4" fillId="75" borderId="16" xfId="0" applyNumberFormat="1" applyFont="1" applyFill="1" applyBorder="1" applyAlignment="1">
      <alignment horizontal="center" wrapText="1"/>
    </xf>
    <xf numFmtId="0" fontId="4" fillId="75" borderId="16" xfId="0" applyFont="1" applyFill="1" applyBorder="1" applyAlignment="1">
      <alignment horizontal="center" wrapText="1"/>
    </xf>
    <xf numFmtId="0" fontId="4" fillId="75" borderId="16" xfId="0" applyFont="1" applyFill="1" applyBorder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0" fontId="10" fillId="8" borderId="0" xfId="0" applyFont="1" applyFill="1" applyAlignment="1">
      <alignment horizontal="center" wrapText="1"/>
    </xf>
    <xf numFmtId="11" fontId="12" fillId="8" borderId="0" xfId="0" applyNumberFormat="1" applyFont="1" applyFill="1" applyAlignment="1">
      <alignment horizontal="center" wrapText="1"/>
    </xf>
    <xf numFmtId="0" fontId="62" fillId="45" borderId="0" xfId="0" applyFont="1" applyFill="1" applyAlignment="1">
      <alignment horizontal="center" wrapText="1"/>
    </xf>
    <xf numFmtId="0" fontId="62" fillId="45" borderId="0" xfId="0" applyFont="1" applyFill="1" applyAlignment="1">
      <alignment horizontal="center" wrapText="1"/>
    </xf>
    <xf numFmtId="0" fontId="62" fillId="45" borderId="0" xfId="0" applyFont="1" applyFill="1" applyAlignment="1">
      <alignment horizontal="center" wrapText="1"/>
    </xf>
    <xf numFmtId="164" fontId="62" fillId="45" borderId="0" xfId="0" applyNumberFormat="1" applyFont="1" applyFill="1" applyAlignment="1">
      <alignment horizontal="center" wrapText="1"/>
    </xf>
    <xf numFmtId="0" fontId="62" fillId="45" borderId="0" xfId="0" applyFont="1" applyFill="1" applyAlignment="1">
      <alignment horizontal="center" wrapText="1"/>
    </xf>
    <xf numFmtId="0" fontId="62" fillId="45" borderId="0" xfId="0" applyFont="1" applyFill="1" applyAlignment="1">
      <alignment horizontal="center" wrapText="1"/>
    </xf>
    <xf numFmtId="165" fontId="62" fillId="45" borderId="0" xfId="0" applyNumberFormat="1" applyFont="1" applyFill="1" applyAlignment="1">
      <alignment horizontal="center" wrapText="1"/>
    </xf>
    <xf numFmtId="166" fontId="62" fillId="45" borderId="0" xfId="0" applyNumberFormat="1" applyFont="1" applyFill="1" applyAlignment="1">
      <alignment horizontal="center" wrapText="1"/>
    </xf>
    <xf numFmtId="166" fontId="62" fillId="45" borderId="0" xfId="0" applyNumberFormat="1" applyFont="1" applyFill="1" applyAlignment="1">
      <alignment horizontal="center" wrapText="1"/>
    </xf>
    <xf numFmtId="164" fontId="63" fillId="45" borderId="0" xfId="0" applyNumberFormat="1" applyFont="1" applyFill="1" applyAlignment="1">
      <alignment horizontal="center" wrapText="1"/>
    </xf>
    <xf numFmtId="164" fontId="62" fillId="45" borderId="0" xfId="0" applyNumberFormat="1" applyFont="1" applyFill="1" applyAlignment="1">
      <alignment horizontal="center" wrapText="1"/>
    </xf>
    <xf numFmtId="11" fontId="62" fillId="45" borderId="0" xfId="0" applyNumberFormat="1" applyFont="1" applyFill="1" applyAlignment="1">
      <alignment horizontal="center" wrapText="1"/>
    </xf>
    <xf numFmtId="11" fontId="5" fillId="45" borderId="0" xfId="0" applyNumberFormat="1" applyFont="1" applyFill="1" applyAlignment="1">
      <alignment horizontal="center" wrapText="1"/>
    </xf>
    <xf numFmtId="11" fontId="62" fillId="45" borderId="0" xfId="0" applyNumberFormat="1" applyFont="1" applyFill="1" applyAlignment="1">
      <alignment horizontal="center" wrapText="1"/>
    </xf>
    <xf numFmtId="14" fontId="62" fillId="45" borderId="0" xfId="0" applyNumberFormat="1" applyFont="1" applyFill="1" applyAlignment="1">
      <alignment horizontal="center" wrapText="1"/>
    </xf>
    <xf numFmtId="0" fontId="62" fillId="45" borderId="0" xfId="0" applyFont="1" applyFill="1" applyAlignment="1">
      <alignment horizontal="center" wrapText="1"/>
    </xf>
    <xf numFmtId="11" fontId="5" fillId="4" borderId="0" xfId="0" applyNumberFormat="1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0" fontId="10" fillId="46" borderId="0" xfId="0" applyFont="1" applyFill="1" applyAlignment="1">
      <alignment horizontal="center" wrapText="1"/>
    </xf>
    <xf numFmtId="165" fontId="10" fillId="46" borderId="0" xfId="0" applyNumberFormat="1" applyFont="1" applyFill="1" applyAlignment="1">
      <alignment horizontal="center" wrapText="1"/>
    </xf>
    <xf numFmtId="0" fontId="11" fillId="46" borderId="0" xfId="0" applyFont="1" applyFill="1" applyAlignment="1">
      <alignment horizontal="center" wrapText="1"/>
    </xf>
    <xf numFmtId="11" fontId="11" fillId="46" borderId="0" xfId="0" applyNumberFormat="1" applyFont="1" applyFill="1" applyAlignment="1">
      <alignment horizontal="center" wrapText="1"/>
    </xf>
    <xf numFmtId="11" fontId="12" fillId="46" borderId="0" xfId="0" applyNumberFormat="1" applyFont="1" applyFill="1" applyAlignment="1">
      <alignment horizontal="center" wrapText="1"/>
    </xf>
    <xf numFmtId="0" fontId="30" fillId="46" borderId="0" xfId="0" applyFont="1" applyFill="1" applyAlignment="1">
      <alignment horizontal="center" wrapText="1"/>
    </xf>
    <xf numFmtId="0" fontId="64" fillId="46" borderId="0" xfId="0" applyFont="1" applyFill="1" applyAlignment="1">
      <alignment horizontal="center" wrapText="1"/>
    </xf>
    <xf numFmtId="0" fontId="65" fillId="14" borderId="0" xfId="0" applyFont="1" applyFill="1" applyAlignment="1">
      <alignment horizontal="center" wrapText="1"/>
    </xf>
    <xf numFmtId="0" fontId="66" fillId="14" borderId="0" xfId="0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165" fontId="10" fillId="18" borderId="0" xfId="0" applyNumberFormat="1" applyFont="1" applyFill="1" applyAlignment="1">
      <alignment horizontal="center" wrapText="1"/>
    </xf>
    <xf numFmtId="166" fontId="10" fillId="18" borderId="0" xfId="0" applyNumberFormat="1" applyFont="1" applyFill="1" applyAlignment="1">
      <alignment horizontal="center" wrapText="1"/>
    </xf>
    <xf numFmtId="166" fontId="10" fillId="18" borderId="0" xfId="0" applyNumberFormat="1" applyFont="1" applyFill="1" applyAlignment="1">
      <alignment horizontal="center" wrapText="1"/>
    </xf>
    <xf numFmtId="164" fontId="11" fillId="18" borderId="0" xfId="0" applyNumberFormat="1" applyFont="1" applyFill="1" applyAlignment="1">
      <alignment horizontal="center" wrapText="1"/>
    </xf>
    <xf numFmtId="164" fontId="10" fillId="18" borderId="0" xfId="0" applyNumberFormat="1" applyFont="1" applyFill="1" applyAlignment="1">
      <alignment horizontal="center" wrapText="1"/>
    </xf>
    <xf numFmtId="11" fontId="10" fillId="18" borderId="0" xfId="0" applyNumberFormat="1" applyFont="1" applyFill="1" applyAlignment="1">
      <alignment horizontal="center" wrapText="1"/>
    </xf>
    <xf numFmtId="11" fontId="11" fillId="18" borderId="0" xfId="0" applyNumberFormat="1" applyFont="1" applyFill="1" applyAlignment="1">
      <alignment horizontal="center" wrapText="1"/>
    </xf>
    <xf numFmtId="11" fontId="12" fillId="18" borderId="0" xfId="0" applyNumberFormat="1" applyFont="1" applyFill="1" applyAlignment="1">
      <alignment horizontal="center" wrapText="1"/>
    </xf>
    <xf numFmtId="14" fontId="10" fillId="18" borderId="0" xfId="0" applyNumberFormat="1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164" fontId="24" fillId="18" borderId="0" xfId="0" applyNumberFormat="1" applyFont="1" applyFill="1" applyAlignment="1">
      <alignment horizontal="center" wrapText="1"/>
    </xf>
    <xf numFmtId="0" fontId="10" fillId="18" borderId="0" xfId="0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0" fontId="62" fillId="18" borderId="0" xfId="0" applyFont="1" applyFill="1" applyAlignment="1">
      <alignment horizontal="center" wrapText="1"/>
    </xf>
    <xf numFmtId="164" fontId="9" fillId="18" borderId="0" xfId="0" applyNumberFormat="1" applyFont="1" applyFill="1" applyAlignment="1">
      <alignment horizontal="center" wrapText="1"/>
    </xf>
    <xf numFmtId="0" fontId="57" fillId="18" borderId="0" xfId="0" applyFont="1" applyFill="1" applyAlignment="1">
      <alignment horizontal="center" wrapText="1"/>
    </xf>
    <xf numFmtId="0" fontId="57" fillId="18" borderId="0" xfId="0" applyFont="1" applyFill="1" applyAlignment="1">
      <alignment horizontal="center" wrapText="1"/>
    </xf>
    <xf numFmtId="0" fontId="57" fillId="18" borderId="0" xfId="0" applyFont="1" applyFill="1" applyAlignment="1">
      <alignment horizontal="center" wrapText="1"/>
    </xf>
    <xf numFmtId="0" fontId="57" fillId="18" borderId="0" xfId="0" applyFont="1" applyFill="1" applyAlignment="1">
      <alignment horizontal="center" wrapText="1"/>
    </xf>
    <xf numFmtId="0" fontId="57" fillId="18" borderId="0" xfId="0" applyFont="1" applyFill="1" applyAlignment="1">
      <alignment horizontal="center" wrapText="1"/>
    </xf>
    <xf numFmtId="0" fontId="67" fillId="18" borderId="0" xfId="0" applyFont="1" applyFill="1" applyAlignment="1">
      <alignment horizontal="center" wrapText="1"/>
    </xf>
    <xf numFmtId="165" fontId="57" fillId="18" borderId="0" xfId="0" applyNumberFormat="1" applyFont="1" applyFill="1" applyAlignment="1">
      <alignment horizontal="center" wrapText="1"/>
    </xf>
    <xf numFmtId="164" fontId="61" fillId="18" borderId="0" xfId="0" applyNumberFormat="1" applyFont="1" applyFill="1" applyAlignment="1">
      <alignment horizontal="center" wrapText="1"/>
    </xf>
    <xf numFmtId="164" fontId="57" fillId="18" borderId="0" xfId="0" applyNumberFormat="1" applyFont="1" applyFill="1" applyAlignment="1">
      <alignment horizontal="center" wrapText="1"/>
    </xf>
    <xf numFmtId="11" fontId="57" fillId="18" borderId="0" xfId="0" applyNumberFormat="1" applyFont="1" applyFill="1" applyAlignment="1">
      <alignment horizontal="center" wrapText="1"/>
    </xf>
    <xf numFmtId="14" fontId="57" fillId="18" borderId="0" xfId="0" applyNumberFormat="1" applyFont="1" applyFill="1" applyAlignment="1">
      <alignment horizontal="center" wrapText="1"/>
    </xf>
    <xf numFmtId="0" fontId="57" fillId="18" borderId="0" xfId="0" applyFont="1" applyFill="1" applyAlignment="1">
      <alignment horizontal="center" wrapText="1"/>
    </xf>
    <xf numFmtId="0" fontId="57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62" fillId="14" borderId="0" xfId="0" applyFont="1" applyFill="1" applyAlignment="1">
      <alignment horizontal="center" wrapText="1"/>
    </xf>
    <xf numFmtId="166" fontId="5" fillId="0" borderId="0" xfId="0" applyNumberFormat="1" applyFont="1" applyAlignment="1">
      <alignment horizontal="center" wrapText="1"/>
    </xf>
    <xf numFmtId="11" fontId="44" fillId="14" borderId="0" xfId="0" applyNumberFormat="1" applyFont="1" applyFill="1" applyAlignment="1">
      <alignment horizontal="center"/>
    </xf>
    <xf numFmtId="11" fontId="16" fillId="14" borderId="0" xfId="0" applyNumberFormat="1" applyFont="1" applyFill="1" applyAlignment="1">
      <alignment horizontal="center" wrapText="1"/>
    </xf>
    <xf numFmtId="166" fontId="10" fillId="32" borderId="0" xfId="0" applyNumberFormat="1" applyFont="1" applyFill="1" applyAlignment="1">
      <alignment horizontal="center" wrapText="1"/>
    </xf>
    <xf numFmtId="11" fontId="61" fillId="32" borderId="0" xfId="0" applyNumberFormat="1" applyFont="1" applyFill="1" applyAlignment="1">
      <alignment horizontal="center"/>
    </xf>
    <xf numFmtId="11" fontId="57" fillId="32" borderId="0" xfId="0" applyNumberFormat="1" applyFont="1" applyFill="1" applyAlignment="1">
      <alignment horizontal="center"/>
    </xf>
    <xf numFmtId="11" fontId="57" fillId="32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12" fillId="45" borderId="0" xfId="0" applyFont="1" applyFill="1" applyAlignment="1">
      <alignment wrapText="1"/>
    </xf>
    <xf numFmtId="11" fontId="10" fillId="45" borderId="0" xfId="0" applyNumberFormat="1" applyFont="1" applyFill="1" applyAlignment="1">
      <alignment horizontal="center" wrapText="1"/>
    </xf>
    <xf numFmtId="0" fontId="57" fillId="69" borderId="0" xfId="0" applyFont="1" applyFill="1" applyAlignment="1">
      <alignment horizontal="center" wrapText="1"/>
    </xf>
    <xf numFmtId="0" fontId="57" fillId="69" borderId="0" xfId="0" applyFont="1" applyFill="1" applyAlignment="1">
      <alignment horizontal="center" wrapText="1"/>
    </xf>
    <xf numFmtId="0" fontId="57" fillId="69" borderId="0" xfId="0" applyFont="1" applyFill="1" applyAlignment="1">
      <alignment horizontal="center" wrapText="1"/>
    </xf>
    <xf numFmtId="164" fontId="57" fillId="69" borderId="0" xfId="0" applyNumberFormat="1" applyFont="1" applyFill="1" applyAlignment="1">
      <alignment horizontal="center" wrapText="1"/>
    </xf>
    <xf numFmtId="0" fontId="57" fillId="69" borderId="0" xfId="0" applyFont="1" applyFill="1" applyAlignment="1">
      <alignment horizontal="center" wrapText="1"/>
    </xf>
    <xf numFmtId="0" fontId="67" fillId="69" borderId="0" xfId="0" applyFont="1" applyFill="1" applyAlignment="1">
      <alignment horizontal="center" wrapText="1"/>
    </xf>
    <xf numFmtId="0" fontId="57" fillId="69" borderId="0" xfId="0" applyFont="1" applyFill="1" applyAlignment="1">
      <alignment horizontal="center" wrapText="1"/>
    </xf>
    <xf numFmtId="165" fontId="57" fillId="69" borderId="0" xfId="0" applyNumberFormat="1" applyFont="1" applyFill="1" applyAlignment="1">
      <alignment horizontal="center" wrapText="1"/>
    </xf>
    <xf numFmtId="164" fontId="61" fillId="69" borderId="0" xfId="0" applyNumberFormat="1" applyFont="1" applyFill="1" applyAlignment="1">
      <alignment horizontal="center" wrapText="1"/>
    </xf>
    <xf numFmtId="11" fontId="57" fillId="69" borderId="0" xfId="0" applyNumberFormat="1" applyFont="1" applyFill="1" applyAlignment="1">
      <alignment horizontal="center" wrapText="1"/>
    </xf>
    <xf numFmtId="11" fontId="61" fillId="69" borderId="0" xfId="0" applyNumberFormat="1" applyFont="1" applyFill="1" applyAlignment="1">
      <alignment horizontal="center"/>
    </xf>
    <xf numFmtId="11" fontId="57" fillId="69" borderId="0" xfId="0" applyNumberFormat="1" applyFont="1" applyFill="1" applyAlignment="1">
      <alignment horizontal="center"/>
    </xf>
    <xf numFmtId="14" fontId="57" fillId="69" borderId="0" xfId="0" applyNumberFormat="1" applyFont="1" applyFill="1" applyAlignment="1">
      <alignment horizontal="center" wrapText="1"/>
    </xf>
    <xf numFmtId="0" fontId="57" fillId="69" borderId="0" xfId="0" applyFont="1" applyFill="1" applyAlignment="1">
      <alignment horizontal="center" wrapText="1"/>
    </xf>
    <xf numFmtId="0" fontId="16" fillId="69" borderId="0" xfId="0" applyFont="1" applyFill="1" applyAlignment="1">
      <alignment horizontal="center" wrapText="1"/>
    </xf>
    <xf numFmtId="11" fontId="44" fillId="69" borderId="0" xfId="0" applyNumberFormat="1" applyFont="1" applyFill="1" applyAlignment="1">
      <alignment horizontal="center"/>
    </xf>
    <xf numFmtId="11" fontId="16" fillId="69" borderId="0" xfId="0" applyNumberFormat="1" applyFont="1" applyFill="1" applyAlignment="1">
      <alignment horizontal="center"/>
    </xf>
    <xf numFmtId="0" fontId="16" fillId="69" borderId="0" xfId="0" applyFont="1" applyFill="1" applyAlignment="1">
      <alignment horizontal="center" wrapText="1"/>
    </xf>
    <xf numFmtId="0" fontId="16" fillId="69" borderId="0" xfId="0" applyFont="1" applyFill="1" applyAlignment="1">
      <alignment horizontal="center" wrapText="1"/>
    </xf>
    <xf numFmtId="164" fontId="16" fillId="69" borderId="0" xfId="0" applyNumberFormat="1" applyFont="1" applyFill="1" applyAlignment="1">
      <alignment horizontal="center" wrapText="1"/>
    </xf>
    <xf numFmtId="0" fontId="16" fillId="69" borderId="0" xfId="0" applyFont="1" applyFill="1" applyAlignment="1">
      <alignment horizontal="center" wrapText="1"/>
    </xf>
    <xf numFmtId="0" fontId="62" fillId="69" borderId="0" xfId="0" applyFont="1" applyFill="1" applyAlignment="1">
      <alignment horizontal="center" wrapText="1"/>
    </xf>
    <xf numFmtId="0" fontId="16" fillId="69" borderId="0" xfId="0" applyFont="1" applyFill="1" applyAlignment="1">
      <alignment horizontal="center" wrapText="1"/>
    </xf>
    <xf numFmtId="165" fontId="16" fillId="69" borderId="0" xfId="0" applyNumberFormat="1" applyFont="1" applyFill="1" applyAlignment="1">
      <alignment horizontal="center" wrapText="1"/>
    </xf>
    <xf numFmtId="164" fontId="44" fillId="69" borderId="0" xfId="0" applyNumberFormat="1" applyFont="1" applyFill="1" applyAlignment="1">
      <alignment horizontal="center" wrapText="1"/>
    </xf>
    <xf numFmtId="164" fontId="16" fillId="69" borderId="0" xfId="0" applyNumberFormat="1" applyFont="1" applyFill="1" applyAlignment="1">
      <alignment horizontal="center" wrapText="1"/>
    </xf>
    <xf numFmtId="11" fontId="16" fillId="69" borderId="0" xfId="0" applyNumberFormat="1" applyFont="1" applyFill="1" applyAlignment="1">
      <alignment horizontal="center" wrapText="1"/>
    </xf>
    <xf numFmtId="14" fontId="16" fillId="69" borderId="0" xfId="0" applyNumberFormat="1" applyFont="1" applyFill="1" applyAlignment="1">
      <alignment horizontal="center" wrapText="1"/>
    </xf>
    <xf numFmtId="0" fontId="16" fillId="69" borderId="0" xfId="0" applyFont="1" applyFill="1" applyAlignment="1">
      <alignment horizontal="center" wrapText="1"/>
    </xf>
    <xf numFmtId="11" fontId="44" fillId="54" borderId="0" xfId="0" applyNumberFormat="1" applyFont="1" applyFill="1" applyAlignment="1">
      <alignment horizontal="center"/>
    </xf>
    <xf numFmtId="11" fontId="16" fillId="54" borderId="0" xfId="0" applyNumberFormat="1" applyFont="1" applyFill="1" applyAlignment="1">
      <alignment horizontal="center"/>
    </xf>
    <xf numFmtId="0" fontId="10" fillId="69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165" fontId="10" fillId="55" borderId="0" xfId="0" applyNumberFormat="1" applyFont="1" applyFill="1" applyAlignment="1">
      <alignment horizontal="center" wrapText="1"/>
    </xf>
    <xf numFmtId="166" fontId="10" fillId="55" borderId="0" xfId="0" applyNumberFormat="1" applyFont="1" applyFill="1" applyAlignment="1">
      <alignment horizontal="center" wrapText="1"/>
    </xf>
    <xf numFmtId="166" fontId="10" fillId="55" borderId="0" xfId="0" applyNumberFormat="1" applyFont="1" applyFill="1" applyAlignment="1">
      <alignment horizontal="center" wrapText="1"/>
    </xf>
    <xf numFmtId="0" fontId="11" fillId="55" borderId="0" xfId="0" applyFont="1" applyFill="1" applyAlignment="1">
      <alignment horizontal="center" wrapText="1"/>
    </xf>
    <xf numFmtId="164" fontId="10" fillId="55" borderId="0" xfId="0" applyNumberFormat="1" applyFont="1" applyFill="1" applyAlignment="1">
      <alignment horizontal="center" wrapText="1"/>
    </xf>
    <xf numFmtId="11" fontId="10" fillId="55" borderId="0" xfId="0" applyNumberFormat="1" applyFont="1" applyFill="1" applyAlignment="1">
      <alignment horizontal="center" wrapText="1"/>
    </xf>
    <xf numFmtId="11" fontId="11" fillId="55" borderId="0" xfId="0" applyNumberFormat="1" applyFont="1" applyFill="1" applyAlignment="1">
      <alignment horizontal="center" wrapText="1"/>
    </xf>
    <xf numFmtId="11" fontId="57" fillId="55" borderId="0" xfId="0" applyNumberFormat="1" applyFont="1" applyFill="1" applyAlignment="1">
      <alignment horizontal="center" wrapText="1"/>
    </xf>
    <xf numFmtId="0" fontId="24" fillId="55" borderId="0" xfId="0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14" fontId="10" fillId="55" borderId="0" xfId="0" applyNumberFormat="1" applyFont="1" applyFill="1" applyAlignment="1">
      <alignment horizontal="center" wrapText="1"/>
    </xf>
    <xf numFmtId="0" fontId="10" fillId="55" borderId="0" xfId="0" applyFont="1" applyFill="1" applyAlignment="1">
      <alignment horizontal="center" wrapText="1"/>
    </xf>
    <xf numFmtId="0" fontId="67" fillId="14" borderId="0" xfId="0" applyFont="1" applyFill="1" applyAlignment="1">
      <alignment horizontal="center" wrapText="1"/>
    </xf>
    <xf numFmtId="166" fontId="10" fillId="0" borderId="0" xfId="0" applyNumberFormat="1" applyFont="1" applyAlignment="1">
      <alignment horizontal="center" wrapText="1"/>
    </xf>
    <xf numFmtId="11" fontId="68" fillId="0" borderId="0" xfId="0" applyNumberFormat="1" applyFont="1" applyAlignment="1">
      <alignment horizontal="center"/>
    </xf>
    <xf numFmtId="11" fontId="12" fillId="0" borderId="0" xfId="0" applyNumberFormat="1" applyFont="1" applyAlignment="1">
      <alignment horizontal="center" wrapText="1"/>
    </xf>
    <xf numFmtId="11" fontId="67" fillId="0" borderId="0" xfId="0" applyNumberFormat="1" applyFont="1" applyAlignment="1">
      <alignment horizontal="center" wrapText="1"/>
    </xf>
    <xf numFmtId="0" fontId="12" fillId="0" borderId="0" xfId="0" applyFont="1" applyAlignment="1">
      <alignment horizontal="center" wrapText="1"/>
    </xf>
    <xf numFmtId="11" fontId="13" fillId="0" borderId="0" xfId="0" applyNumberFormat="1" applyFont="1" applyAlignment="1">
      <alignment horizontal="center" wrapText="1"/>
    </xf>
    <xf numFmtId="11" fontId="57" fillId="14" borderId="0" xfId="0" applyNumberFormat="1" applyFont="1" applyFill="1" applyAlignment="1">
      <alignment horizontal="center" wrapText="1"/>
    </xf>
    <xf numFmtId="11" fontId="20" fillId="45" borderId="0" xfId="0" applyNumberFormat="1" applyFont="1" applyFill="1" applyAlignment="1">
      <alignment horizontal="center" wrapText="1"/>
    </xf>
    <xf numFmtId="11" fontId="5" fillId="45" borderId="0" xfId="0" applyNumberFormat="1" applyFont="1" applyFill="1" applyAlignment="1">
      <alignment horizontal="center" wrapText="1"/>
    </xf>
    <xf numFmtId="0" fontId="5" fillId="11" borderId="0" xfId="0" applyFont="1" applyFill="1" applyAlignment="1">
      <alignment horizontal="center" wrapText="1"/>
    </xf>
    <xf numFmtId="11" fontId="16" fillId="11" borderId="0" xfId="0" applyNumberFormat="1" applyFont="1" applyFill="1" applyAlignment="1">
      <alignment horizontal="center" wrapText="1"/>
    </xf>
    <xf numFmtId="14" fontId="4" fillId="11" borderId="0" xfId="0" applyNumberFormat="1" applyFont="1" applyFill="1" applyAlignment="1">
      <alignment horizontal="center" wrapText="1"/>
    </xf>
    <xf numFmtId="14" fontId="4" fillId="18" borderId="0" xfId="0" applyNumberFormat="1" applyFont="1" applyFill="1" applyAlignment="1">
      <alignment horizontal="center" wrapText="1"/>
    </xf>
    <xf numFmtId="0" fontId="4" fillId="51" borderId="0" xfId="0" applyFont="1" applyFill="1" applyAlignment="1">
      <alignment horizontal="center" wrapText="1"/>
    </xf>
    <xf numFmtId="0" fontId="4" fillId="51" borderId="0" xfId="0" applyFont="1" applyFill="1" applyAlignment="1">
      <alignment horizontal="center" wrapText="1"/>
    </xf>
    <xf numFmtId="164" fontId="4" fillId="51" borderId="0" xfId="0" applyNumberFormat="1" applyFont="1" applyFill="1" applyAlignment="1">
      <alignment horizontal="center" wrapText="1"/>
    </xf>
    <xf numFmtId="0" fontId="4" fillId="51" borderId="0" xfId="0" applyFont="1" applyFill="1" applyAlignment="1">
      <alignment horizontal="center" wrapText="1"/>
    </xf>
    <xf numFmtId="0" fontId="4" fillId="51" borderId="0" xfId="0" applyFont="1" applyFill="1" applyAlignment="1">
      <alignment horizontal="center" wrapText="1"/>
    </xf>
    <xf numFmtId="0" fontId="4" fillId="51" borderId="0" xfId="0" applyFont="1" applyFill="1" applyAlignment="1">
      <alignment horizontal="center" wrapText="1"/>
    </xf>
    <xf numFmtId="165" fontId="4" fillId="51" borderId="0" xfId="0" applyNumberFormat="1" applyFont="1" applyFill="1" applyAlignment="1">
      <alignment horizontal="center" wrapText="1"/>
    </xf>
    <xf numFmtId="166" fontId="4" fillId="51" borderId="0" xfId="0" applyNumberFormat="1" applyFont="1" applyFill="1" applyAlignment="1">
      <alignment horizontal="center" wrapText="1"/>
    </xf>
    <xf numFmtId="164" fontId="1" fillId="51" borderId="0" xfId="0" applyNumberFormat="1" applyFont="1" applyFill="1" applyAlignment="1">
      <alignment horizontal="center" wrapText="1"/>
    </xf>
    <xf numFmtId="11" fontId="4" fillId="51" borderId="0" xfId="0" applyNumberFormat="1" applyFont="1" applyFill="1" applyAlignment="1">
      <alignment horizontal="center" wrapText="1"/>
    </xf>
    <xf numFmtId="11" fontId="1" fillId="51" borderId="0" xfId="0" applyNumberFormat="1" applyFont="1" applyFill="1" applyAlignment="1">
      <alignment horizontal="center" wrapText="1"/>
    </xf>
    <xf numFmtId="11" fontId="4" fillId="51" borderId="0" xfId="0" applyNumberFormat="1" applyFont="1" applyFill="1" applyAlignment="1">
      <alignment horizontal="center" wrapText="1"/>
    </xf>
    <xf numFmtId="11" fontId="16" fillId="51" borderId="0" xfId="0" applyNumberFormat="1" applyFont="1" applyFill="1" applyAlignment="1">
      <alignment horizontal="center" wrapText="1"/>
    </xf>
    <xf numFmtId="164" fontId="4" fillId="51" borderId="0" xfId="0" applyNumberFormat="1" applyFont="1" applyFill="1" applyAlignment="1">
      <alignment horizontal="center" wrapText="1"/>
    </xf>
    <xf numFmtId="0" fontId="4" fillId="51" borderId="0" xfId="0" applyFont="1" applyFill="1" applyAlignment="1">
      <alignment horizontal="center" wrapText="1"/>
    </xf>
    <xf numFmtId="11" fontId="57" fillId="69" borderId="0" xfId="0" applyNumberFormat="1" applyFont="1" applyFill="1" applyAlignment="1">
      <alignment horizontal="center" wrapText="1"/>
    </xf>
    <xf numFmtId="0" fontId="4" fillId="46" borderId="0" xfId="0" applyFont="1" applyFill="1" applyAlignment="1">
      <alignment horizontal="center" wrapText="1"/>
    </xf>
    <xf numFmtId="0" fontId="4" fillId="46" borderId="0" xfId="0" applyFont="1" applyFill="1" applyAlignment="1">
      <alignment horizontal="center" wrapText="1"/>
    </xf>
    <xf numFmtId="0" fontId="4" fillId="46" borderId="0" xfId="0" applyFont="1" applyFill="1" applyAlignment="1">
      <alignment horizontal="center" wrapText="1"/>
    </xf>
    <xf numFmtId="0" fontId="4" fillId="46" borderId="0" xfId="0" applyFont="1" applyFill="1" applyAlignment="1">
      <alignment horizontal="center" wrapText="1"/>
    </xf>
    <xf numFmtId="164" fontId="4" fillId="46" borderId="0" xfId="0" applyNumberFormat="1" applyFont="1" applyFill="1" applyAlignment="1">
      <alignment horizontal="center" wrapText="1"/>
    </xf>
    <xf numFmtId="0" fontId="5" fillId="46" borderId="0" xfId="0" applyFont="1" applyFill="1" applyAlignment="1">
      <alignment horizontal="center" wrapText="1"/>
    </xf>
    <xf numFmtId="0" fontId="4" fillId="46" borderId="0" xfId="0" applyFont="1" applyFill="1" applyAlignment="1">
      <alignment horizontal="center" wrapText="1"/>
    </xf>
    <xf numFmtId="0" fontId="4" fillId="46" borderId="0" xfId="0" applyFont="1" applyFill="1" applyAlignment="1">
      <alignment horizontal="center" wrapText="1"/>
    </xf>
    <xf numFmtId="165" fontId="4" fillId="46" borderId="0" xfId="0" applyNumberFormat="1" applyFont="1" applyFill="1" applyAlignment="1">
      <alignment horizontal="center" wrapText="1"/>
    </xf>
    <xf numFmtId="166" fontId="4" fillId="46" borderId="0" xfId="0" applyNumberFormat="1" applyFont="1" applyFill="1" applyAlignment="1">
      <alignment horizontal="center" wrapText="1"/>
    </xf>
    <xf numFmtId="166" fontId="4" fillId="46" borderId="0" xfId="0" applyNumberFormat="1" applyFont="1" applyFill="1" applyAlignment="1">
      <alignment horizontal="center" wrapText="1"/>
    </xf>
    <xf numFmtId="11" fontId="4" fillId="46" borderId="0" xfId="0" applyNumberFormat="1" applyFont="1" applyFill="1" applyAlignment="1">
      <alignment horizontal="center" wrapText="1"/>
    </xf>
    <xf numFmtId="11" fontId="1" fillId="46" borderId="0" xfId="0" applyNumberFormat="1" applyFont="1" applyFill="1" applyAlignment="1">
      <alignment horizontal="center" wrapText="1"/>
    </xf>
    <xf numFmtId="11" fontId="5" fillId="46" borderId="0" xfId="0" applyNumberFormat="1" applyFont="1" applyFill="1" applyAlignment="1">
      <alignment horizontal="center" wrapText="1"/>
    </xf>
    <xf numFmtId="11" fontId="16" fillId="46" borderId="0" xfId="0" applyNumberFormat="1" applyFont="1" applyFill="1" applyAlignment="1">
      <alignment horizontal="center" wrapText="1"/>
    </xf>
    <xf numFmtId="14" fontId="4" fillId="46" borderId="0" xfId="0" applyNumberFormat="1" applyFont="1" applyFill="1" applyAlignment="1">
      <alignment horizontal="center" wrapText="1"/>
    </xf>
    <xf numFmtId="0" fontId="4" fillId="46" borderId="3" xfId="0" applyFont="1" applyFill="1" applyBorder="1" applyAlignment="1">
      <alignment horizontal="center" wrapText="1"/>
    </xf>
    <xf numFmtId="0" fontId="4" fillId="46" borderId="3" xfId="0" applyFont="1" applyFill="1" applyBorder="1" applyAlignment="1">
      <alignment horizontal="center" wrapText="1"/>
    </xf>
    <xf numFmtId="0" fontId="4" fillId="46" borderId="3" xfId="0" applyFont="1" applyFill="1" applyBorder="1" applyAlignment="1">
      <alignment horizontal="center" wrapText="1"/>
    </xf>
    <xf numFmtId="0" fontId="4" fillId="46" borderId="3" xfId="0" applyFont="1" applyFill="1" applyBorder="1" applyAlignment="1">
      <alignment horizontal="center" wrapText="1"/>
    </xf>
    <xf numFmtId="164" fontId="4" fillId="46" borderId="3" xfId="0" applyNumberFormat="1" applyFont="1" applyFill="1" applyBorder="1" applyAlignment="1">
      <alignment horizontal="center" wrapText="1"/>
    </xf>
    <xf numFmtId="0" fontId="5" fillId="46" borderId="3" xfId="0" applyFont="1" applyFill="1" applyBorder="1" applyAlignment="1">
      <alignment horizontal="center" wrapText="1"/>
    </xf>
    <xf numFmtId="0" fontId="4" fillId="46" borderId="3" xfId="0" applyFont="1" applyFill="1" applyBorder="1" applyAlignment="1">
      <alignment horizontal="center" wrapText="1"/>
    </xf>
    <xf numFmtId="0" fontId="4" fillId="46" borderId="3" xfId="0" applyFont="1" applyFill="1" applyBorder="1" applyAlignment="1">
      <alignment horizontal="center" wrapText="1"/>
    </xf>
    <xf numFmtId="165" fontId="4" fillId="46" borderId="3" xfId="0" applyNumberFormat="1" applyFont="1" applyFill="1" applyBorder="1" applyAlignment="1">
      <alignment horizontal="center" wrapText="1"/>
    </xf>
    <xf numFmtId="166" fontId="4" fillId="46" borderId="3" xfId="0" applyNumberFormat="1" applyFont="1" applyFill="1" applyBorder="1" applyAlignment="1">
      <alignment horizontal="center" wrapText="1"/>
    </xf>
    <xf numFmtId="166" fontId="4" fillId="46" borderId="3" xfId="0" applyNumberFormat="1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11" fontId="4" fillId="46" borderId="3" xfId="0" applyNumberFormat="1" applyFont="1" applyFill="1" applyBorder="1" applyAlignment="1">
      <alignment horizontal="center" wrapText="1"/>
    </xf>
    <xf numFmtId="11" fontId="1" fillId="46" borderId="3" xfId="0" applyNumberFormat="1" applyFont="1" applyFill="1" applyBorder="1" applyAlignment="1">
      <alignment horizontal="center" wrapText="1"/>
    </xf>
    <xf numFmtId="11" fontId="5" fillId="46" borderId="3" xfId="0" applyNumberFormat="1" applyFont="1" applyFill="1" applyBorder="1" applyAlignment="1">
      <alignment horizontal="center" wrapText="1"/>
    </xf>
    <xf numFmtId="11" fontId="16" fillId="46" borderId="3" xfId="0" applyNumberFormat="1" applyFont="1" applyFill="1" applyBorder="1" applyAlignment="1">
      <alignment horizontal="center" wrapText="1"/>
    </xf>
    <xf numFmtId="0" fontId="4" fillId="46" borderId="3" xfId="0" applyFont="1" applyFill="1" applyBorder="1" applyAlignment="1">
      <alignment horizontal="center" wrapText="1"/>
    </xf>
    <xf numFmtId="14" fontId="4" fillId="46" borderId="3" xfId="0" applyNumberFormat="1" applyFont="1" applyFill="1" applyBorder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164" fontId="4" fillId="75" borderId="0" xfId="0" applyNumberFormat="1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165" fontId="4" fillId="75" borderId="0" xfId="0" applyNumberFormat="1" applyFont="1" applyFill="1" applyAlignment="1">
      <alignment horizontal="center" wrapText="1"/>
    </xf>
    <xf numFmtId="166" fontId="4" fillId="75" borderId="0" xfId="0" applyNumberFormat="1" applyFont="1" applyFill="1" applyAlignment="1">
      <alignment horizontal="center" wrapText="1"/>
    </xf>
    <xf numFmtId="164" fontId="1" fillId="75" borderId="0" xfId="0" applyNumberFormat="1" applyFont="1" applyFill="1" applyAlignment="1">
      <alignment horizontal="center" wrapText="1"/>
    </xf>
    <xf numFmtId="11" fontId="4" fillId="75" borderId="0" xfId="0" applyNumberFormat="1" applyFont="1" applyFill="1" applyAlignment="1">
      <alignment horizontal="center" wrapText="1"/>
    </xf>
    <xf numFmtId="11" fontId="1" fillId="75" borderId="0" xfId="0" applyNumberFormat="1" applyFont="1" applyFill="1" applyAlignment="1">
      <alignment horizontal="center" wrapText="1"/>
    </xf>
    <xf numFmtId="11" fontId="16" fillId="75" borderId="0" xfId="0" applyNumberFormat="1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4" fillId="78" borderId="3" xfId="0" applyFont="1" applyFill="1" applyBorder="1" applyAlignment="1">
      <alignment horizontal="center" wrapText="1"/>
    </xf>
    <xf numFmtId="0" fontId="4" fillId="78" borderId="3" xfId="0" applyFont="1" applyFill="1" applyBorder="1" applyAlignment="1">
      <alignment horizontal="center" wrapText="1"/>
    </xf>
    <xf numFmtId="164" fontId="4" fillId="78" borderId="3" xfId="0" applyNumberFormat="1" applyFont="1" applyFill="1" applyBorder="1" applyAlignment="1">
      <alignment horizontal="center" wrapText="1"/>
    </xf>
    <xf numFmtId="0" fontId="4" fillId="78" borderId="3" xfId="0" applyFont="1" applyFill="1" applyBorder="1" applyAlignment="1">
      <alignment horizontal="center" wrapText="1"/>
    </xf>
    <xf numFmtId="165" fontId="4" fillId="78" borderId="3" xfId="0" applyNumberFormat="1" applyFont="1" applyFill="1" applyBorder="1" applyAlignment="1">
      <alignment horizontal="center" wrapText="1"/>
    </xf>
    <xf numFmtId="166" fontId="4" fillId="78" borderId="3" xfId="0" applyNumberFormat="1" applyFont="1" applyFill="1" applyBorder="1" applyAlignment="1">
      <alignment horizontal="center" wrapText="1"/>
    </xf>
    <xf numFmtId="164" fontId="1" fillId="78" borderId="3" xfId="0" applyNumberFormat="1" applyFont="1" applyFill="1" applyBorder="1" applyAlignment="1">
      <alignment horizontal="center" wrapText="1"/>
    </xf>
    <xf numFmtId="11" fontId="4" fillId="78" borderId="3" xfId="0" applyNumberFormat="1" applyFont="1" applyFill="1" applyBorder="1" applyAlignment="1">
      <alignment horizontal="center" wrapText="1"/>
    </xf>
    <xf numFmtId="11" fontId="1" fillId="78" borderId="3" xfId="0" applyNumberFormat="1" applyFont="1" applyFill="1" applyBorder="1" applyAlignment="1">
      <alignment horizontal="center" wrapText="1"/>
    </xf>
    <xf numFmtId="11" fontId="16" fillId="78" borderId="3" xfId="0" applyNumberFormat="1" applyFont="1" applyFill="1" applyBorder="1" applyAlignment="1">
      <alignment horizontal="center" wrapText="1"/>
    </xf>
    <xf numFmtId="0" fontId="4" fillId="78" borderId="3" xfId="0" applyFont="1" applyFill="1" applyBorder="1" applyAlignment="1">
      <alignment horizontal="center" wrapText="1"/>
    </xf>
    <xf numFmtId="0" fontId="4" fillId="78" borderId="3" xfId="0" applyFont="1" applyFill="1" applyBorder="1" applyAlignment="1">
      <alignment horizontal="center" wrapText="1"/>
    </xf>
    <xf numFmtId="0" fontId="4" fillId="78" borderId="3" xfId="0" applyFont="1" applyFill="1" applyBorder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11" fontId="11" fillId="32" borderId="0" xfId="0" applyNumberFormat="1" applyFont="1" applyFill="1" applyAlignment="1">
      <alignment horizontal="center" wrapText="1"/>
    </xf>
    <xf numFmtId="11" fontId="16" fillId="32" borderId="0" xfId="0" applyNumberFormat="1" applyFont="1" applyFill="1" applyAlignment="1">
      <alignment horizontal="center" wrapText="1"/>
    </xf>
    <xf numFmtId="164" fontId="10" fillId="32" borderId="0" xfId="0" applyNumberFormat="1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164" fontId="4" fillId="7" borderId="0" xfId="0" applyNumberFormat="1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165" fontId="4" fillId="7" borderId="0" xfId="0" applyNumberFormat="1" applyFont="1" applyFill="1" applyAlignment="1">
      <alignment horizontal="center" wrapText="1"/>
    </xf>
    <xf numFmtId="166" fontId="4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 applyAlignment="1">
      <alignment horizontal="center" wrapText="1"/>
    </xf>
    <xf numFmtId="11" fontId="4" fillId="7" borderId="0" xfId="0" applyNumberFormat="1" applyFont="1" applyFill="1" applyAlignment="1">
      <alignment horizontal="center" wrapText="1"/>
    </xf>
    <xf numFmtId="11" fontId="1" fillId="7" borderId="0" xfId="0" applyNumberFormat="1" applyFont="1" applyFill="1" applyAlignment="1">
      <alignment horizontal="center" wrapText="1"/>
    </xf>
    <xf numFmtId="11" fontId="4" fillId="7" borderId="0" xfId="0" applyNumberFormat="1" applyFont="1" applyFill="1" applyAlignment="1">
      <alignment horizontal="center" wrapText="1"/>
    </xf>
    <xf numFmtId="11" fontId="16" fillId="7" borderId="0" xfId="0" applyNumberFormat="1" applyFont="1" applyFill="1" applyAlignment="1">
      <alignment horizontal="center" wrapText="1"/>
    </xf>
    <xf numFmtId="164" fontId="4" fillId="7" borderId="0" xfId="0" applyNumberFormat="1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11" fontId="1" fillId="43" borderId="0" xfId="0" applyNumberFormat="1" applyFont="1" applyFill="1" applyAlignment="1">
      <alignment horizontal="center" wrapText="1"/>
    </xf>
    <xf numFmtId="11" fontId="16" fillId="43" borderId="0" xfId="0" applyNumberFormat="1" applyFont="1" applyFill="1" applyAlignment="1">
      <alignment horizontal="center" wrapText="1"/>
    </xf>
    <xf numFmtId="11" fontId="11" fillId="32" borderId="0" xfId="0" applyNumberFormat="1" applyFont="1" applyFill="1" applyAlignment="1">
      <alignment horizontal="center" wrapText="1"/>
    </xf>
    <xf numFmtId="11" fontId="10" fillId="32" borderId="0" xfId="0" applyNumberFormat="1" applyFont="1" applyFill="1" applyAlignment="1">
      <alignment horizontal="center" wrapText="1"/>
    </xf>
    <xf numFmtId="0" fontId="10" fillId="37" borderId="0" xfId="0" applyFont="1" applyFill="1" applyAlignment="1">
      <alignment horizontal="center" wrapText="1"/>
    </xf>
    <xf numFmtId="11" fontId="10" fillId="37" borderId="0" xfId="0" applyNumberFormat="1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164" fontId="10" fillId="13" borderId="0" xfId="0" applyNumberFormat="1" applyFont="1" applyFill="1" applyAlignment="1">
      <alignment horizontal="center" wrapText="1"/>
    </xf>
    <xf numFmtId="0" fontId="12" fillId="13" borderId="0" xfId="0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165" fontId="10" fillId="13" borderId="0" xfId="0" applyNumberFormat="1" applyFont="1" applyFill="1" applyAlignment="1">
      <alignment horizontal="center" wrapText="1"/>
    </xf>
    <xf numFmtId="166" fontId="10" fillId="13" borderId="0" xfId="0" applyNumberFormat="1" applyFont="1" applyFill="1" applyAlignment="1">
      <alignment horizontal="center" wrapText="1"/>
    </xf>
    <xf numFmtId="166" fontId="10" fillId="13" borderId="0" xfId="0" applyNumberFormat="1" applyFont="1" applyFill="1" applyAlignment="1">
      <alignment horizontal="center" wrapText="1"/>
    </xf>
    <xf numFmtId="0" fontId="11" fillId="13" borderId="0" xfId="0" applyFont="1" applyFill="1" applyAlignment="1">
      <alignment horizontal="center" wrapText="1"/>
    </xf>
    <xf numFmtId="11" fontId="10" fillId="13" borderId="0" xfId="0" applyNumberFormat="1" applyFont="1" applyFill="1" applyAlignment="1">
      <alignment horizontal="center" wrapText="1"/>
    </xf>
    <xf numFmtId="11" fontId="11" fillId="13" borderId="0" xfId="0" applyNumberFormat="1" applyFont="1" applyFill="1" applyAlignment="1">
      <alignment horizontal="center" wrapText="1"/>
    </xf>
    <xf numFmtId="11" fontId="12" fillId="13" borderId="0" xfId="0" applyNumberFormat="1" applyFont="1" applyFill="1" applyAlignment="1">
      <alignment horizontal="center" wrapText="1"/>
    </xf>
    <xf numFmtId="11" fontId="10" fillId="13" borderId="0" xfId="0" applyNumberFormat="1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0" fontId="10" fillId="13" borderId="0" xfId="0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164" fontId="69" fillId="7" borderId="0" xfId="0" applyNumberFormat="1" applyFont="1" applyFill="1" applyAlignment="1">
      <alignment horizontal="center" wrapText="1"/>
    </xf>
    <xf numFmtId="11" fontId="1" fillId="7" borderId="0" xfId="0" applyNumberFormat="1" applyFont="1" applyFill="1" applyAlignment="1">
      <alignment horizontal="center" wrapText="1"/>
    </xf>
    <xf numFmtId="11" fontId="4" fillId="7" borderId="0" xfId="0" applyNumberFormat="1" applyFont="1" applyFill="1" applyAlignment="1">
      <alignment horizontal="center" wrapText="1"/>
    </xf>
    <xf numFmtId="0" fontId="9" fillId="0" borderId="0" xfId="0" applyFont="1" applyAlignment="1">
      <alignment horizontal="center" wrapText="1"/>
    </xf>
    <xf numFmtId="0" fontId="5" fillId="14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11" fontId="1" fillId="14" borderId="0" xfId="0" applyNumberFormat="1" applyFont="1" applyFill="1" applyAlignment="1">
      <alignment horizontal="center" wrapText="1"/>
    </xf>
    <xf numFmtId="11" fontId="5" fillId="14" borderId="0" xfId="0" applyNumberFormat="1" applyFont="1" applyFill="1" applyAlignment="1">
      <alignment horizontal="center" wrapText="1"/>
    </xf>
    <xf numFmtId="0" fontId="10" fillId="45" borderId="0" xfId="0" applyFont="1" applyFill="1" applyAlignment="1">
      <alignment horizontal="center" wrapText="1"/>
    </xf>
    <xf numFmtId="11" fontId="16" fillId="45" borderId="0" xfId="0" applyNumberFormat="1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11" fontId="4" fillId="43" borderId="0" xfId="0" applyNumberFormat="1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11" fontId="1" fillId="16" borderId="0" xfId="0" applyNumberFormat="1" applyFont="1" applyFill="1" applyAlignment="1">
      <alignment horizontal="center" wrapText="1"/>
    </xf>
    <xf numFmtId="11" fontId="16" fillId="16" borderId="0" xfId="0" applyNumberFormat="1" applyFont="1" applyFill="1" applyAlignment="1">
      <alignment horizontal="center"/>
    </xf>
    <xf numFmtId="11" fontId="16" fillId="16" borderId="0" xfId="0" applyNumberFormat="1" applyFont="1" applyFill="1" applyAlignment="1">
      <alignment horizontal="center" wrapText="1"/>
    </xf>
    <xf numFmtId="14" fontId="4" fillId="16" borderId="0" xfId="0" applyNumberFormat="1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14" fontId="4" fillId="16" borderId="0" xfId="0" applyNumberFormat="1" applyFont="1" applyFill="1" applyAlignment="1">
      <alignment horizontal="center" wrapText="1"/>
    </xf>
    <xf numFmtId="11" fontId="16" fillId="54" borderId="0" xfId="0" applyNumberFormat="1" applyFont="1" applyFill="1" applyAlignment="1">
      <alignment horizontal="center" wrapText="1"/>
    </xf>
    <xf numFmtId="14" fontId="4" fillId="14" borderId="0" xfId="0" applyNumberFormat="1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164" fontId="10" fillId="62" borderId="0" xfId="0" applyNumberFormat="1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165" fontId="10" fillId="62" borderId="0" xfId="0" applyNumberFormat="1" applyFont="1" applyFill="1" applyAlignment="1">
      <alignment horizontal="center" wrapText="1"/>
    </xf>
    <xf numFmtId="166" fontId="10" fillId="62" borderId="0" xfId="0" applyNumberFormat="1" applyFont="1" applyFill="1" applyAlignment="1">
      <alignment horizontal="center" wrapText="1"/>
    </xf>
    <xf numFmtId="164" fontId="11" fillId="62" borderId="0" xfId="0" applyNumberFormat="1" applyFont="1" applyFill="1" applyAlignment="1">
      <alignment horizontal="center" wrapText="1"/>
    </xf>
    <xf numFmtId="11" fontId="10" fillId="62" borderId="0" xfId="0" applyNumberFormat="1" applyFont="1" applyFill="1" applyAlignment="1">
      <alignment horizontal="center" wrapText="1"/>
    </xf>
    <xf numFmtId="11" fontId="11" fillId="62" borderId="0" xfId="0" applyNumberFormat="1" applyFont="1" applyFill="1" applyAlignment="1">
      <alignment horizontal="center" wrapText="1"/>
    </xf>
    <xf numFmtId="11" fontId="10" fillId="62" borderId="0" xfId="0" applyNumberFormat="1" applyFont="1" applyFill="1" applyAlignment="1">
      <alignment horizontal="center" wrapText="1"/>
    </xf>
    <xf numFmtId="11" fontId="10" fillId="62" borderId="0" xfId="0" applyNumberFormat="1" applyFont="1" applyFill="1" applyAlignment="1">
      <alignment horizontal="center" wrapText="1"/>
    </xf>
    <xf numFmtId="164" fontId="10" fillId="62" borderId="0" xfId="0" applyNumberFormat="1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14" fontId="10" fillId="62" borderId="0" xfId="0" applyNumberFormat="1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165" fontId="16" fillId="18" borderId="0" xfId="0" applyNumberFormat="1" applyFont="1" applyFill="1" applyAlignment="1">
      <alignment horizontal="center" wrapText="1"/>
    </xf>
    <xf numFmtId="164" fontId="44" fillId="18" borderId="0" xfId="0" applyNumberFormat="1" applyFont="1" applyFill="1" applyAlignment="1">
      <alignment horizontal="center" wrapText="1"/>
    </xf>
    <xf numFmtId="164" fontId="16" fillId="18" borderId="0" xfId="0" applyNumberFormat="1" applyFont="1" applyFill="1" applyAlignment="1">
      <alignment horizontal="center" wrapText="1"/>
    </xf>
    <xf numFmtId="11" fontId="16" fillId="18" borderId="0" xfId="0" applyNumberFormat="1" applyFont="1" applyFill="1" applyAlignment="1">
      <alignment horizontal="center" wrapText="1"/>
    </xf>
    <xf numFmtId="14" fontId="16" fillId="18" borderId="0" xfId="0" applyNumberFormat="1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164" fontId="16" fillId="18" borderId="0" xfId="0" applyNumberFormat="1" applyFont="1" applyFill="1" applyAlignment="1">
      <alignment horizontal="center" wrapText="1"/>
    </xf>
    <xf numFmtId="0" fontId="10" fillId="62" borderId="3" xfId="0" applyFont="1" applyFill="1" applyBorder="1" applyAlignment="1">
      <alignment horizontal="center" wrapText="1"/>
    </xf>
    <xf numFmtId="0" fontId="10" fillId="62" borderId="3" xfId="0" applyFont="1" applyFill="1" applyBorder="1" applyAlignment="1">
      <alignment horizontal="center" wrapText="1"/>
    </xf>
    <xf numFmtId="0" fontId="10" fillId="62" borderId="3" xfId="0" applyFont="1" applyFill="1" applyBorder="1" applyAlignment="1">
      <alignment horizontal="center" wrapText="1"/>
    </xf>
    <xf numFmtId="164" fontId="10" fillId="62" borderId="3" xfId="0" applyNumberFormat="1" applyFont="1" applyFill="1" applyBorder="1" applyAlignment="1">
      <alignment horizontal="center" wrapText="1"/>
    </xf>
    <xf numFmtId="0" fontId="10" fillId="62" borderId="3" xfId="0" applyFont="1" applyFill="1" applyBorder="1" applyAlignment="1">
      <alignment horizontal="center" wrapText="1"/>
    </xf>
    <xf numFmtId="0" fontId="10" fillId="62" borderId="3" xfId="0" applyFont="1" applyFill="1" applyBorder="1" applyAlignment="1">
      <alignment horizontal="center" wrapText="1"/>
    </xf>
    <xf numFmtId="165" fontId="10" fillId="62" borderId="3" xfId="0" applyNumberFormat="1" applyFont="1" applyFill="1" applyBorder="1" applyAlignment="1">
      <alignment horizontal="center" wrapText="1"/>
    </xf>
    <xf numFmtId="166" fontId="10" fillId="62" borderId="3" xfId="0" applyNumberFormat="1" applyFont="1" applyFill="1" applyBorder="1" applyAlignment="1">
      <alignment horizontal="center" wrapText="1"/>
    </xf>
    <xf numFmtId="164" fontId="11" fillId="62" borderId="3" xfId="0" applyNumberFormat="1" applyFont="1" applyFill="1" applyBorder="1" applyAlignment="1">
      <alignment horizontal="center" wrapText="1"/>
    </xf>
    <xf numFmtId="11" fontId="10" fillId="62" borderId="3" xfId="0" applyNumberFormat="1" applyFont="1" applyFill="1" applyBorder="1" applyAlignment="1">
      <alignment horizontal="center" wrapText="1"/>
    </xf>
    <xf numFmtId="11" fontId="11" fillId="62" borderId="3" xfId="0" applyNumberFormat="1" applyFont="1" applyFill="1" applyBorder="1" applyAlignment="1">
      <alignment horizontal="center" wrapText="1"/>
    </xf>
    <xf numFmtId="11" fontId="10" fillId="62" borderId="3" xfId="0" applyNumberFormat="1" applyFont="1" applyFill="1" applyBorder="1" applyAlignment="1">
      <alignment horizontal="center" wrapText="1"/>
    </xf>
    <xf numFmtId="11" fontId="10" fillId="62" borderId="3" xfId="0" applyNumberFormat="1" applyFont="1" applyFill="1" applyBorder="1" applyAlignment="1">
      <alignment horizontal="center" wrapText="1"/>
    </xf>
    <xf numFmtId="164" fontId="10" fillId="62" borderId="3" xfId="0" applyNumberFormat="1" applyFont="1" applyFill="1" applyBorder="1" applyAlignment="1">
      <alignment horizontal="center" wrapText="1"/>
    </xf>
    <xf numFmtId="0" fontId="10" fillId="62" borderId="3" xfId="0" applyFont="1" applyFill="1" applyBorder="1" applyAlignment="1">
      <alignment horizontal="center" wrapText="1"/>
    </xf>
    <xf numFmtId="14" fontId="10" fillId="62" borderId="3" xfId="0" applyNumberFormat="1" applyFont="1" applyFill="1" applyBorder="1" applyAlignment="1">
      <alignment horizontal="center" wrapText="1"/>
    </xf>
    <xf numFmtId="0" fontId="10" fillId="62" borderId="4" xfId="0" applyFont="1" applyFill="1" applyBorder="1" applyAlignment="1">
      <alignment horizontal="center" wrapText="1"/>
    </xf>
    <xf numFmtId="0" fontId="10" fillId="62" borderId="4" xfId="0" applyFont="1" applyFill="1" applyBorder="1" applyAlignment="1">
      <alignment horizontal="center" wrapText="1"/>
    </xf>
    <xf numFmtId="0" fontId="10" fillId="62" borderId="4" xfId="0" applyFont="1" applyFill="1" applyBorder="1" applyAlignment="1">
      <alignment horizontal="center" wrapText="1"/>
    </xf>
    <xf numFmtId="164" fontId="10" fillId="62" borderId="4" xfId="0" applyNumberFormat="1" applyFont="1" applyFill="1" applyBorder="1" applyAlignment="1">
      <alignment horizontal="center" wrapText="1"/>
    </xf>
    <xf numFmtId="0" fontId="10" fillId="62" borderId="4" xfId="0" applyFont="1" applyFill="1" applyBorder="1" applyAlignment="1">
      <alignment horizontal="center" wrapText="1"/>
    </xf>
    <xf numFmtId="0" fontId="10" fillId="62" borderId="4" xfId="0" applyFont="1" applyFill="1" applyBorder="1" applyAlignment="1">
      <alignment horizontal="center" wrapText="1"/>
    </xf>
    <xf numFmtId="165" fontId="10" fillId="62" borderId="4" xfId="0" applyNumberFormat="1" applyFont="1" applyFill="1" applyBorder="1" applyAlignment="1">
      <alignment horizontal="center" wrapText="1"/>
    </xf>
    <xf numFmtId="166" fontId="10" fillId="62" borderId="4" xfId="0" applyNumberFormat="1" applyFont="1" applyFill="1" applyBorder="1" applyAlignment="1">
      <alignment horizontal="center" wrapText="1"/>
    </xf>
    <xf numFmtId="164" fontId="11" fillId="62" borderId="4" xfId="0" applyNumberFormat="1" applyFont="1" applyFill="1" applyBorder="1" applyAlignment="1">
      <alignment horizontal="center" wrapText="1"/>
    </xf>
    <xf numFmtId="11" fontId="10" fillId="62" borderId="4" xfId="0" applyNumberFormat="1" applyFont="1" applyFill="1" applyBorder="1" applyAlignment="1">
      <alignment horizontal="center" wrapText="1"/>
    </xf>
    <xf numFmtId="11" fontId="11" fillId="62" borderId="4" xfId="0" applyNumberFormat="1" applyFont="1" applyFill="1" applyBorder="1" applyAlignment="1">
      <alignment horizontal="center" wrapText="1"/>
    </xf>
    <xf numFmtId="11" fontId="10" fillId="62" borderId="4" xfId="0" applyNumberFormat="1" applyFont="1" applyFill="1" applyBorder="1" applyAlignment="1">
      <alignment horizontal="center" wrapText="1"/>
    </xf>
    <xf numFmtId="11" fontId="10" fillId="62" borderId="4" xfId="0" applyNumberFormat="1" applyFont="1" applyFill="1" applyBorder="1" applyAlignment="1">
      <alignment horizontal="center" wrapText="1"/>
    </xf>
    <xf numFmtId="164" fontId="10" fillId="62" borderId="4" xfId="0" applyNumberFormat="1" applyFont="1" applyFill="1" applyBorder="1" applyAlignment="1">
      <alignment horizontal="center" wrapText="1"/>
    </xf>
    <xf numFmtId="0" fontId="10" fillId="62" borderId="4" xfId="0" applyFont="1" applyFill="1" applyBorder="1" applyAlignment="1">
      <alignment horizontal="center" wrapText="1"/>
    </xf>
    <xf numFmtId="14" fontId="10" fillId="62" borderId="4" xfId="0" applyNumberFormat="1" applyFont="1" applyFill="1" applyBorder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164" fontId="10" fillId="16" borderId="0" xfId="0" applyNumberFormat="1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165" fontId="10" fillId="16" borderId="0" xfId="0" applyNumberFormat="1" applyFont="1" applyFill="1" applyAlignment="1">
      <alignment horizontal="center" wrapText="1"/>
    </xf>
    <xf numFmtId="166" fontId="10" fillId="16" borderId="0" xfId="0" applyNumberFormat="1" applyFont="1" applyFill="1" applyAlignment="1">
      <alignment horizontal="center" wrapText="1"/>
    </xf>
    <xf numFmtId="164" fontId="11" fillId="16" borderId="0" xfId="0" applyNumberFormat="1" applyFont="1" applyFill="1" applyAlignment="1">
      <alignment horizontal="center" wrapText="1"/>
    </xf>
    <xf numFmtId="11" fontId="10" fillId="16" borderId="0" xfId="0" applyNumberFormat="1" applyFont="1" applyFill="1" applyAlignment="1">
      <alignment horizontal="center" wrapText="1"/>
    </xf>
    <xf numFmtId="11" fontId="11" fillId="16" borderId="0" xfId="0" applyNumberFormat="1" applyFont="1" applyFill="1" applyAlignment="1">
      <alignment horizontal="center" wrapText="1"/>
    </xf>
    <xf numFmtId="11" fontId="10" fillId="16" borderId="0" xfId="0" applyNumberFormat="1" applyFont="1" applyFill="1" applyAlignment="1">
      <alignment horizontal="center" wrapText="1"/>
    </xf>
    <xf numFmtId="11" fontId="10" fillId="16" borderId="0" xfId="0" applyNumberFormat="1" applyFont="1" applyFill="1" applyAlignment="1">
      <alignment horizontal="center" wrapText="1"/>
    </xf>
    <xf numFmtId="164" fontId="10" fillId="16" borderId="0" xfId="0" applyNumberFormat="1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14" fontId="10" fillId="16" borderId="0" xfId="0" applyNumberFormat="1" applyFont="1" applyFill="1" applyAlignment="1">
      <alignment horizontal="center" wrapText="1"/>
    </xf>
    <xf numFmtId="0" fontId="10" fillId="16" borderId="3" xfId="0" applyFont="1" applyFill="1" applyBorder="1" applyAlignment="1">
      <alignment horizontal="center" wrapText="1"/>
    </xf>
    <xf numFmtId="0" fontId="10" fillId="16" borderId="3" xfId="0" applyFont="1" applyFill="1" applyBorder="1" applyAlignment="1">
      <alignment horizontal="center" wrapText="1"/>
    </xf>
    <xf numFmtId="0" fontId="10" fillId="16" borderId="3" xfId="0" applyFont="1" applyFill="1" applyBorder="1" applyAlignment="1">
      <alignment horizontal="center" wrapText="1"/>
    </xf>
    <xf numFmtId="164" fontId="10" fillId="16" borderId="3" xfId="0" applyNumberFormat="1" applyFont="1" applyFill="1" applyBorder="1" applyAlignment="1">
      <alignment horizontal="center" wrapText="1"/>
    </xf>
    <xf numFmtId="0" fontId="10" fillId="16" borderId="3" xfId="0" applyFont="1" applyFill="1" applyBorder="1" applyAlignment="1">
      <alignment horizontal="center" wrapText="1"/>
    </xf>
    <xf numFmtId="0" fontId="10" fillId="16" borderId="3" xfId="0" applyFont="1" applyFill="1" applyBorder="1" applyAlignment="1">
      <alignment horizontal="center" wrapText="1"/>
    </xf>
    <xf numFmtId="0" fontId="10" fillId="16" borderId="3" xfId="0" applyFont="1" applyFill="1" applyBorder="1" applyAlignment="1">
      <alignment horizontal="center" wrapText="1"/>
    </xf>
    <xf numFmtId="165" fontId="10" fillId="16" borderId="3" xfId="0" applyNumberFormat="1" applyFont="1" applyFill="1" applyBorder="1" applyAlignment="1">
      <alignment horizontal="center" wrapText="1"/>
    </xf>
    <xf numFmtId="166" fontId="10" fillId="16" borderId="3" xfId="0" applyNumberFormat="1" applyFont="1" applyFill="1" applyBorder="1" applyAlignment="1">
      <alignment horizontal="center" wrapText="1"/>
    </xf>
    <xf numFmtId="164" fontId="11" fillId="16" borderId="3" xfId="0" applyNumberFormat="1" applyFont="1" applyFill="1" applyBorder="1" applyAlignment="1">
      <alignment horizontal="center" wrapText="1"/>
    </xf>
    <xf numFmtId="164" fontId="70" fillId="16" borderId="3" xfId="0" applyNumberFormat="1" applyFont="1" applyFill="1" applyBorder="1" applyAlignment="1">
      <alignment horizontal="center" wrapText="1"/>
    </xf>
    <xf numFmtId="11" fontId="10" fillId="16" borderId="3" xfId="0" applyNumberFormat="1" applyFont="1" applyFill="1" applyBorder="1" applyAlignment="1">
      <alignment horizontal="center" wrapText="1"/>
    </xf>
    <xf numFmtId="11" fontId="11" fillId="16" borderId="3" xfId="0" applyNumberFormat="1" applyFont="1" applyFill="1" applyBorder="1" applyAlignment="1">
      <alignment horizontal="center" wrapText="1"/>
    </xf>
    <xf numFmtId="11" fontId="10" fillId="16" borderId="3" xfId="0" applyNumberFormat="1" applyFont="1" applyFill="1" applyBorder="1" applyAlignment="1">
      <alignment horizontal="center" wrapText="1"/>
    </xf>
    <xf numFmtId="11" fontId="10" fillId="16" borderId="3" xfId="0" applyNumberFormat="1" applyFont="1" applyFill="1" applyBorder="1" applyAlignment="1">
      <alignment horizontal="center" wrapText="1"/>
    </xf>
    <xf numFmtId="164" fontId="10" fillId="16" borderId="3" xfId="0" applyNumberFormat="1" applyFont="1" applyFill="1" applyBorder="1" applyAlignment="1">
      <alignment horizontal="center" wrapText="1"/>
    </xf>
    <xf numFmtId="0" fontId="10" fillId="16" borderId="3" xfId="0" applyFont="1" applyFill="1" applyBorder="1" applyAlignment="1">
      <alignment horizontal="center" wrapText="1"/>
    </xf>
    <xf numFmtId="14" fontId="10" fillId="16" borderId="3" xfId="0" applyNumberFormat="1" applyFont="1" applyFill="1" applyBorder="1" applyAlignment="1">
      <alignment horizontal="center" wrapText="1"/>
    </xf>
    <xf numFmtId="0" fontId="71" fillId="55" borderId="0" xfId="0" applyFont="1" applyFill="1" applyAlignment="1">
      <alignment horizontal="center" vertical="center" wrapText="1"/>
    </xf>
    <xf numFmtId="164" fontId="11" fillId="55" borderId="0" xfId="0" applyNumberFormat="1" applyFont="1" applyFill="1" applyAlignment="1">
      <alignment horizontal="center" wrapText="1"/>
    </xf>
    <xf numFmtId="164" fontId="72" fillId="55" borderId="0" xfId="0" applyNumberFormat="1" applyFont="1" applyFill="1" applyAlignment="1">
      <alignment horizontal="center" wrapText="1"/>
    </xf>
    <xf numFmtId="11" fontId="13" fillId="55" borderId="0" xfId="0" applyNumberFormat="1" applyFont="1" applyFill="1" applyAlignment="1">
      <alignment horizontal="center" wrapText="1"/>
    </xf>
    <xf numFmtId="11" fontId="57" fillId="55" borderId="0" xfId="0" applyNumberFormat="1" applyFont="1" applyFill="1" applyAlignment="1">
      <alignment horizontal="center"/>
    </xf>
    <xf numFmtId="164" fontId="10" fillId="55" borderId="0" xfId="0" applyNumberFormat="1" applyFont="1" applyFill="1" applyAlignment="1">
      <alignment horizontal="center" wrapText="1"/>
    </xf>
    <xf numFmtId="11" fontId="13" fillId="62" borderId="0" xfId="0" applyNumberFormat="1" applyFont="1" applyFill="1" applyAlignment="1">
      <alignment horizontal="center" wrapText="1"/>
    </xf>
    <xf numFmtId="11" fontId="57" fillId="62" borderId="0" xfId="0" applyNumberFormat="1" applyFont="1" applyFill="1" applyAlignment="1">
      <alignment horizontal="center"/>
    </xf>
    <xf numFmtId="164" fontId="73" fillId="45" borderId="0" xfId="0" applyNumberFormat="1" applyFont="1" applyFill="1" applyAlignment="1">
      <alignment horizontal="center" wrapText="1"/>
    </xf>
    <xf numFmtId="11" fontId="13" fillId="45" borderId="4" xfId="0" applyNumberFormat="1" applyFont="1" applyFill="1" applyBorder="1" applyAlignment="1">
      <alignment horizontal="center" wrapText="1"/>
    </xf>
    <xf numFmtId="11" fontId="57" fillId="45" borderId="4" xfId="0" applyNumberFormat="1" applyFont="1" applyFill="1" applyBorder="1" applyAlignment="1">
      <alignment horizontal="center"/>
    </xf>
    <xf numFmtId="11" fontId="10" fillId="45" borderId="4" xfId="0" applyNumberFormat="1" applyFont="1" applyFill="1" applyBorder="1" applyAlignment="1">
      <alignment horizontal="center" wrapText="1"/>
    </xf>
    <xf numFmtId="164" fontId="70" fillId="32" borderId="0" xfId="0" applyNumberFormat="1" applyFont="1" applyFill="1" applyAlignment="1">
      <alignment horizontal="center" wrapText="1"/>
    </xf>
    <xf numFmtId="11" fontId="13" fillId="32" borderId="0" xfId="0" applyNumberFormat="1" applyFont="1" applyFill="1" applyAlignment="1">
      <alignment horizontal="center" wrapText="1"/>
    </xf>
    <xf numFmtId="11" fontId="57" fillId="32" borderId="0" xfId="0" applyNumberFormat="1" applyFont="1" applyFill="1" applyAlignment="1">
      <alignment horizontal="center"/>
    </xf>
    <xf numFmtId="0" fontId="4" fillId="32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11" fontId="20" fillId="69" borderId="0" xfId="0" applyNumberFormat="1" applyFont="1" applyFill="1" applyAlignment="1">
      <alignment horizontal="center" wrapText="1"/>
    </xf>
    <xf numFmtId="11" fontId="13" fillId="45" borderId="0" xfId="0" applyNumberFormat="1" applyFont="1" applyFill="1" applyAlignment="1">
      <alignment horizontal="center" wrapText="1"/>
    </xf>
    <xf numFmtId="11" fontId="57" fillId="45" borderId="0" xfId="0" applyNumberFormat="1" applyFont="1" applyFill="1" applyAlignment="1">
      <alignment horizontal="center"/>
    </xf>
    <xf numFmtId="0" fontId="4" fillId="45" borderId="0" xfId="0" applyFont="1" applyFill="1" applyAlignment="1">
      <alignment horizontal="center" wrapText="1"/>
    </xf>
    <xf numFmtId="11" fontId="16" fillId="45" borderId="0" xfId="0" applyNumberFormat="1" applyFont="1" applyFill="1" applyAlignment="1">
      <alignment horizontal="center"/>
    </xf>
    <xf numFmtId="0" fontId="57" fillId="69" borderId="0" xfId="0" applyFont="1" applyFill="1" applyAlignment="1">
      <alignment horizontal="center" wrapText="1"/>
    </xf>
    <xf numFmtId="11" fontId="13" fillId="69" borderId="3" xfId="0" applyNumberFormat="1" applyFont="1" applyFill="1" applyBorder="1" applyAlignment="1">
      <alignment horizontal="center" wrapText="1"/>
    </xf>
    <xf numFmtId="11" fontId="57" fillId="69" borderId="3" xfId="0" applyNumberFormat="1" applyFont="1" applyFill="1" applyBorder="1" applyAlignment="1">
      <alignment horizontal="center"/>
    </xf>
    <xf numFmtId="11" fontId="10" fillId="69" borderId="3" xfId="0" applyNumberFormat="1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0" fontId="4" fillId="45" borderId="4" xfId="0" applyFont="1" applyFill="1" applyBorder="1" applyAlignment="1">
      <alignment horizontal="center" wrapText="1"/>
    </xf>
    <xf numFmtId="14" fontId="4" fillId="35" borderId="0" xfId="0" applyNumberFormat="1" applyFont="1" applyFill="1" applyAlignment="1">
      <alignment horizontal="center" wrapText="1"/>
    </xf>
    <xf numFmtId="11" fontId="4" fillId="78" borderId="3" xfId="0" applyNumberFormat="1" applyFont="1" applyFill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165" fontId="4" fillId="0" borderId="4" xfId="0" applyNumberFormat="1" applyFont="1" applyBorder="1" applyAlignment="1">
      <alignment horizontal="center" wrapText="1"/>
    </xf>
    <xf numFmtId="14" fontId="4" fillId="14" borderId="4" xfId="0" applyNumberFormat="1" applyFont="1" applyFill="1" applyBorder="1" applyAlignment="1">
      <alignment horizontal="center" wrapText="1"/>
    </xf>
    <xf numFmtId="166" fontId="4" fillId="13" borderId="4" xfId="0" applyNumberFormat="1" applyFont="1" applyFill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164" fontId="4" fillId="0" borderId="4" xfId="0" applyNumberFormat="1" applyFont="1" applyBorder="1" applyAlignment="1">
      <alignment horizontal="center" wrapText="1"/>
    </xf>
    <xf numFmtId="11" fontId="4" fillId="0" borderId="4" xfId="0" applyNumberFormat="1" applyFont="1" applyBorder="1" applyAlignment="1">
      <alignment horizontal="center" wrapText="1"/>
    </xf>
    <xf numFmtId="11" fontId="1" fillId="0" borderId="4" xfId="0" applyNumberFormat="1" applyFont="1" applyBorder="1" applyAlignment="1">
      <alignment horizontal="center" wrapText="1"/>
    </xf>
    <xf numFmtId="11" fontId="4" fillId="0" borderId="4" xfId="0" applyNumberFormat="1" applyFont="1" applyBorder="1" applyAlignment="1">
      <alignment horizontal="center" wrapText="1"/>
    </xf>
    <xf numFmtId="11" fontId="16" fillId="14" borderId="4" xfId="0" applyNumberFormat="1" applyFont="1" applyFill="1" applyBorder="1" applyAlignment="1">
      <alignment horizontal="center" wrapText="1"/>
    </xf>
    <xf numFmtId="14" fontId="4" fillId="0" borderId="4" xfId="0" applyNumberFormat="1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14" fontId="4" fillId="0" borderId="4" xfId="0" applyNumberFormat="1" applyFont="1" applyBorder="1" applyAlignment="1">
      <alignment horizontal="center" wrapText="1"/>
    </xf>
    <xf numFmtId="0" fontId="16" fillId="69" borderId="0" xfId="0" applyFont="1" applyFill="1" applyAlignment="1">
      <alignment horizontal="center" wrapText="1"/>
    </xf>
    <xf numFmtId="0" fontId="16" fillId="69" borderId="0" xfId="0" applyFont="1" applyFill="1" applyAlignment="1">
      <alignment horizontal="center" wrapText="1"/>
    </xf>
    <xf numFmtId="11" fontId="11" fillId="14" borderId="0" xfId="0" applyNumberFormat="1" applyFont="1" applyFill="1" applyAlignment="1">
      <alignment horizontal="center" wrapText="1"/>
    </xf>
    <xf numFmtId="11" fontId="10" fillId="14" borderId="0" xfId="0" applyNumberFormat="1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10" fillId="14" borderId="3" xfId="0" applyFont="1" applyFill="1" applyBorder="1" applyAlignment="1">
      <alignment horizontal="center" wrapText="1"/>
    </xf>
    <xf numFmtId="0" fontId="10" fillId="14" borderId="3" xfId="0" applyFont="1" applyFill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164" fontId="10" fillId="14" borderId="3" xfId="0" applyNumberFormat="1" applyFont="1" applyFill="1" applyBorder="1" applyAlignment="1">
      <alignment horizontal="center" wrapText="1"/>
    </xf>
    <xf numFmtId="0" fontId="10" fillId="14" borderId="3" xfId="0" applyFont="1" applyFill="1" applyBorder="1" applyAlignment="1">
      <alignment horizontal="center" wrapText="1"/>
    </xf>
    <xf numFmtId="0" fontId="10" fillId="14" borderId="3" xfId="0" applyFont="1" applyFill="1" applyBorder="1" applyAlignment="1">
      <alignment horizontal="center" wrapText="1"/>
    </xf>
    <xf numFmtId="165" fontId="10" fillId="14" borderId="3" xfId="0" applyNumberFormat="1" applyFont="1" applyFill="1" applyBorder="1" applyAlignment="1">
      <alignment horizontal="center" wrapText="1"/>
    </xf>
    <xf numFmtId="166" fontId="10" fillId="14" borderId="3" xfId="0" applyNumberFormat="1" applyFont="1" applyFill="1" applyBorder="1" applyAlignment="1">
      <alignment horizontal="center" wrapText="1"/>
    </xf>
    <xf numFmtId="166" fontId="10" fillId="14" borderId="3" xfId="0" applyNumberFormat="1" applyFont="1" applyFill="1" applyBorder="1" applyAlignment="1">
      <alignment horizontal="center" wrapText="1"/>
    </xf>
    <xf numFmtId="164" fontId="11" fillId="14" borderId="3" xfId="0" applyNumberFormat="1" applyFont="1" applyFill="1" applyBorder="1" applyAlignment="1">
      <alignment horizontal="center" wrapText="1"/>
    </xf>
    <xf numFmtId="11" fontId="10" fillId="14" borderId="3" xfId="0" applyNumberFormat="1" applyFont="1" applyFill="1" applyBorder="1" applyAlignment="1">
      <alignment horizontal="center" wrapText="1"/>
    </xf>
    <xf numFmtId="11" fontId="11" fillId="0" borderId="3" xfId="0" applyNumberFormat="1" applyFont="1" applyBorder="1" applyAlignment="1">
      <alignment horizontal="center" wrapText="1"/>
    </xf>
    <xf numFmtId="11" fontId="10" fillId="0" borderId="3" xfId="0" applyNumberFormat="1" applyFont="1" applyBorder="1" applyAlignment="1">
      <alignment horizontal="center" wrapText="1"/>
    </xf>
    <xf numFmtId="11" fontId="10" fillId="14" borderId="3" xfId="0" applyNumberFormat="1" applyFont="1" applyFill="1" applyBorder="1" applyAlignment="1">
      <alignment horizontal="center" wrapText="1"/>
    </xf>
    <xf numFmtId="0" fontId="10" fillId="14" borderId="3" xfId="0" applyFont="1" applyFill="1" applyBorder="1" applyAlignment="1">
      <alignment horizontal="center" wrapText="1"/>
    </xf>
    <xf numFmtId="0" fontId="10" fillId="14" borderId="3" xfId="0" applyFont="1" applyFill="1" applyBorder="1" applyAlignment="1">
      <alignment horizontal="center" wrapText="1"/>
    </xf>
    <xf numFmtId="0" fontId="4" fillId="14" borderId="3" xfId="0" applyFont="1" applyFill="1" applyBorder="1" applyAlignment="1">
      <alignment horizontal="center" wrapText="1"/>
    </xf>
    <xf numFmtId="0" fontId="10" fillId="14" borderId="3" xfId="0" applyFont="1" applyFill="1" applyBorder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164" fontId="21" fillId="14" borderId="0" xfId="0" applyNumberFormat="1" applyFont="1" applyFill="1" applyAlignment="1">
      <alignment horizontal="center" wrapText="1"/>
    </xf>
    <xf numFmtId="0" fontId="10" fillId="14" borderId="0" xfId="0" applyFont="1" applyFill="1" applyAlignment="1">
      <alignment horizontal="center" wrapText="1"/>
    </xf>
    <xf numFmtId="164" fontId="37" fillId="14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164" fontId="37" fillId="32" borderId="0" xfId="0" applyNumberFormat="1" applyFont="1" applyFill="1" applyAlignment="1">
      <alignment horizontal="center" wrapText="1"/>
    </xf>
    <xf numFmtId="11" fontId="11" fillId="32" borderId="0" xfId="0" applyNumberFormat="1" applyFont="1" applyFill="1" applyAlignment="1">
      <alignment horizontal="center" wrapText="1"/>
    </xf>
    <xf numFmtId="11" fontId="10" fillId="32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164" fontId="10" fillId="26" borderId="3" xfId="0" applyNumberFormat="1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165" fontId="10" fillId="26" borderId="3" xfId="0" applyNumberFormat="1" applyFont="1" applyFill="1" applyBorder="1" applyAlignment="1">
      <alignment horizontal="center" wrapText="1"/>
    </xf>
    <xf numFmtId="166" fontId="10" fillId="26" borderId="3" xfId="0" applyNumberFormat="1" applyFont="1" applyFill="1" applyBorder="1" applyAlignment="1">
      <alignment horizontal="center" wrapText="1"/>
    </xf>
    <xf numFmtId="166" fontId="10" fillId="26" borderId="3" xfId="0" applyNumberFormat="1" applyFont="1" applyFill="1" applyBorder="1" applyAlignment="1">
      <alignment horizontal="center" wrapText="1"/>
    </xf>
    <xf numFmtId="164" fontId="11" fillId="26" borderId="3" xfId="0" applyNumberFormat="1" applyFont="1" applyFill="1" applyBorder="1" applyAlignment="1">
      <alignment horizontal="center" wrapText="1"/>
    </xf>
    <xf numFmtId="164" fontId="37" fillId="26" borderId="3" xfId="0" applyNumberFormat="1" applyFont="1" applyFill="1" applyBorder="1" applyAlignment="1">
      <alignment horizontal="center" wrapText="1"/>
    </xf>
    <xf numFmtId="11" fontId="10" fillId="26" borderId="3" xfId="0" applyNumberFormat="1" applyFont="1" applyFill="1" applyBorder="1" applyAlignment="1">
      <alignment horizontal="center" wrapText="1"/>
    </xf>
    <xf numFmtId="11" fontId="11" fillId="26" borderId="3" xfId="0" applyNumberFormat="1" applyFont="1" applyFill="1" applyBorder="1" applyAlignment="1">
      <alignment horizontal="center" wrapText="1"/>
    </xf>
    <xf numFmtId="11" fontId="10" fillId="26" borderId="3" xfId="0" applyNumberFormat="1" applyFont="1" applyFill="1" applyBorder="1" applyAlignment="1">
      <alignment horizontal="center" wrapText="1"/>
    </xf>
    <xf numFmtId="11" fontId="10" fillId="26" borderId="3" xfId="0" applyNumberFormat="1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6" borderId="3" xfId="0" applyFont="1" applyFill="1" applyBorder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165" fontId="10" fillId="23" borderId="0" xfId="0" applyNumberFormat="1" applyFont="1" applyFill="1" applyAlignment="1">
      <alignment horizontal="center" wrapText="1"/>
    </xf>
    <xf numFmtId="166" fontId="10" fillId="23" borderId="0" xfId="0" applyNumberFormat="1" applyFont="1" applyFill="1" applyAlignment="1">
      <alignment horizontal="center" wrapText="1"/>
    </xf>
    <xf numFmtId="166" fontId="10" fillId="23" borderId="0" xfId="0" applyNumberFormat="1" applyFont="1" applyFill="1" applyAlignment="1">
      <alignment horizontal="center" wrapText="1"/>
    </xf>
    <xf numFmtId="164" fontId="11" fillId="23" borderId="0" xfId="0" applyNumberFormat="1" applyFont="1" applyFill="1" applyAlignment="1">
      <alignment horizontal="center" wrapText="1"/>
    </xf>
    <xf numFmtId="164" fontId="10" fillId="23" borderId="0" xfId="0" applyNumberFormat="1" applyFont="1" applyFill="1" applyAlignment="1">
      <alignment horizontal="center" wrapText="1"/>
    </xf>
    <xf numFmtId="11" fontId="10" fillId="23" borderId="0" xfId="0" applyNumberFormat="1" applyFont="1" applyFill="1" applyAlignment="1">
      <alignment horizontal="center" wrapText="1"/>
    </xf>
    <xf numFmtId="11" fontId="11" fillId="23" borderId="0" xfId="0" applyNumberFormat="1" applyFont="1" applyFill="1" applyAlignment="1">
      <alignment horizontal="center" wrapText="1"/>
    </xf>
    <xf numFmtId="11" fontId="10" fillId="23" borderId="0" xfId="0" applyNumberFormat="1" applyFont="1" applyFill="1" applyAlignment="1">
      <alignment horizontal="center" wrapText="1"/>
    </xf>
    <xf numFmtId="11" fontId="10" fillId="23" borderId="0" xfId="0" applyNumberFormat="1" applyFont="1" applyFill="1" applyAlignment="1">
      <alignment horizontal="center" wrapText="1"/>
    </xf>
    <xf numFmtId="14" fontId="10" fillId="23" borderId="0" xfId="0" applyNumberFormat="1" applyFont="1" applyFill="1" applyAlignment="1">
      <alignment horizontal="center" wrapText="1"/>
    </xf>
    <xf numFmtId="164" fontId="24" fillId="23" borderId="0" xfId="0" applyNumberFormat="1" applyFont="1" applyFill="1" applyAlignment="1">
      <alignment horizontal="center" wrapText="1"/>
    </xf>
    <xf numFmtId="0" fontId="4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164" fontId="10" fillId="20" borderId="0" xfId="0" applyNumberFormat="1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166" fontId="10" fillId="20" borderId="0" xfId="0" applyNumberFormat="1" applyFont="1" applyFill="1" applyAlignment="1">
      <alignment horizontal="center" wrapText="1"/>
    </xf>
    <xf numFmtId="166" fontId="10" fillId="20" borderId="0" xfId="0" applyNumberFormat="1" applyFont="1" applyFill="1" applyAlignment="1">
      <alignment horizontal="center" wrapText="1"/>
    </xf>
    <xf numFmtId="0" fontId="11" fillId="20" borderId="0" xfId="0" applyFont="1" applyFill="1" applyAlignment="1">
      <alignment horizontal="center" wrapText="1"/>
    </xf>
    <xf numFmtId="11" fontId="10" fillId="20" borderId="0" xfId="0" applyNumberFormat="1" applyFont="1" applyFill="1" applyAlignment="1">
      <alignment horizontal="center" wrapText="1"/>
    </xf>
    <xf numFmtId="11" fontId="11" fillId="20" borderId="0" xfId="0" applyNumberFormat="1" applyFont="1" applyFill="1" applyAlignment="1">
      <alignment horizontal="center" wrapText="1"/>
    </xf>
    <xf numFmtId="11" fontId="57" fillId="20" borderId="0" xfId="0" applyNumberFormat="1" applyFont="1" applyFill="1" applyAlignment="1">
      <alignment horizontal="center"/>
    </xf>
    <xf numFmtId="11" fontId="57" fillId="20" borderId="0" xfId="0" applyNumberFormat="1" applyFont="1" applyFill="1" applyAlignment="1">
      <alignment horizontal="center" wrapText="1"/>
    </xf>
    <xf numFmtId="14" fontId="10" fillId="20" borderId="0" xfId="0" applyNumberFormat="1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0" fontId="16" fillId="69" borderId="3" xfId="0" applyFont="1" applyFill="1" applyBorder="1" applyAlignment="1">
      <alignment horizontal="center" wrapText="1"/>
    </xf>
    <xf numFmtId="0" fontId="16" fillId="69" borderId="3" xfId="0" applyFont="1" applyFill="1" applyBorder="1" applyAlignment="1">
      <alignment horizontal="center" wrapText="1"/>
    </xf>
    <xf numFmtId="0" fontId="16" fillId="69" borderId="3" xfId="0" applyFont="1" applyFill="1" applyBorder="1" applyAlignment="1">
      <alignment horizontal="center" wrapText="1"/>
    </xf>
    <xf numFmtId="164" fontId="16" fillId="69" borderId="3" xfId="0" applyNumberFormat="1" applyFont="1" applyFill="1" applyBorder="1" applyAlignment="1">
      <alignment horizontal="center" wrapText="1"/>
    </xf>
    <xf numFmtId="0" fontId="16" fillId="69" borderId="3" xfId="0" applyFont="1" applyFill="1" applyBorder="1" applyAlignment="1">
      <alignment horizontal="center" wrapText="1"/>
    </xf>
    <xf numFmtId="0" fontId="62" fillId="69" borderId="3" xfId="0" applyFont="1" applyFill="1" applyBorder="1" applyAlignment="1">
      <alignment horizontal="center" wrapText="1"/>
    </xf>
    <xf numFmtId="0" fontId="16" fillId="69" borderId="3" xfId="0" applyFont="1" applyFill="1" applyBorder="1" applyAlignment="1">
      <alignment horizontal="center" wrapText="1"/>
    </xf>
    <xf numFmtId="0" fontId="16" fillId="69" borderId="3" xfId="0" applyFont="1" applyFill="1" applyBorder="1" applyAlignment="1">
      <alignment horizontal="center" wrapText="1"/>
    </xf>
    <xf numFmtId="165" fontId="16" fillId="69" borderId="3" xfId="0" applyNumberFormat="1" applyFont="1" applyFill="1" applyBorder="1" applyAlignment="1">
      <alignment horizontal="center" wrapText="1"/>
    </xf>
    <xf numFmtId="166" fontId="4" fillId="69" borderId="3" xfId="0" applyNumberFormat="1" applyFont="1" applyFill="1" applyBorder="1" applyAlignment="1">
      <alignment horizontal="center" wrapText="1"/>
    </xf>
    <xf numFmtId="166" fontId="4" fillId="69" borderId="3" xfId="0" applyNumberFormat="1" applyFont="1" applyFill="1" applyBorder="1" applyAlignment="1">
      <alignment horizontal="center" wrapText="1"/>
    </xf>
    <xf numFmtId="164" fontId="44" fillId="69" borderId="3" xfId="0" applyNumberFormat="1" applyFont="1" applyFill="1" applyBorder="1" applyAlignment="1">
      <alignment horizontal="center" wrapText="1"/>
    </xf>
    <xf numFmtId="11" fontId="16" fillId="69" borderId="3" xfId="0" applyNumberFormat="1" applyFont="1" applyFill="1" applyBorder="1" applyAlignment="1">
      <alignment horizontal="center" wrapText="1"/>
    </xf>
    <xf numFmtId="11" fontId="44" fillId="69" borderId="3" xfId="0" applyNumberFormat="1" applyFont="1" applyFill="1" applyBorder="1" applyAlignment="1">
      <alignment horizontal="center"/>
    </xf>
    <xf numFmtId="11" fontId="16" fillId="69" borderId="3" xfId="0" applyNumberFormat="1" applyFont="1" applyFill="1" applyBorder="1" applyAlignment="1">
      <alignment horizontal="center"/>
    </xf>
    <xf numFmtId="11" fontId="4" fillId="69" borderId="3" xfId="0" applyNumberFormat="1" applyFont="1" applyFill="1" applyBorder="1" applyAlignment="1">
      <alignment horizontal="center" wrapText="1"/>
    </xf>
    <xf numFmtId="14" fontId="16" fillId="69" borderId="3" xfId="0" applyNumberFormat="1" applyFont="1" applyFill="1" applyBorder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164" fontId="4" fillId="50" borderId="0" xfId="0" applyNumberFormat="1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165" fontId="4" fillId="50" borderId="0" xfId="0" applyNumberFormat="1" applyFont="1" applyFill="1" applyAlignment="1">
      <alignment horizontal="center" wrapText="1"/>
    </xf>
    <xf numFmtId="166" fontId="4" fillId="50" borderId="0" xfId="0" applyNumberFormat="1" applyFont="1" applyFill="1" applyAlignment="1">
      <alignment horizontal="center" wrapText="1"/>
    </xf>
    <xf numFmtId="166" fontId="4" fillId="50" borderId="0" xfId="0" applyNumberFormat="1" applyFont="1" applyFill="1" applyAlignment="1">
      <alignment horizontal="center" wrapText="1"/>
    </xf>
    <xf numFmtId="164" fontId="1" fillId="50" borderId="0" xfId="0" applyNumberFormat="1" applyFont="1" applyFill="1" applyAlignment="1">
      <alignment horizontal="center" wrapText="1"/>
    </xf>
    <xf numFmtId="11" fontId="4" fillId="50" borderId="0" xfId="0" applyNumberFormat="1" applyFont="1" applyFill="1" applyAlignment="1">
      <alignment horizontal="center" wrapText="1"/>
    </xf>
    <xf numFmtId="11" fontId="1" fillId="50" borderId="0" xfId="0" applyNumberFormat="1" applyFont="1" applyFill="1" applyAlignment="1">
      <alignment horizontal="center" wrapText="1"/>
    </xf>
    <xf numFmtId="11" fontId="4" fillId="50" borderId="0" xfId="0" applyNumberFormat="1" applyFont="1" applyFill="1" applyAlignment="1">
      <alignment horizontal="center" wrapText="1"/>
    </xf>
    <xf numFmtId="11" fontId="16" fillId="50" borderId="0" xfId="0" applyNumberFormat="1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4" fillId="62" borderId="4" xfId="0" applyFont="1" applyFill="1" applyBorder="1" applyAlignment="1">
      <alignment horizontal="center" wrapText="1"/>
    </xf>
    <xf numFmtId="0" fontId="4" fillId="62" borderId="4" xfId="0" applyFont="1" applyFill="1" applyBorder="1" applyAlignment="1">
      <alignment horizontal="center" wrapText="1"/>
    </xf>
    <xf numFmtId="0" fontId="4" fillId="62" borderId="4" xfId="0" applyFont="1" applyFill="1" applyBorder="1" applyAlignment="1">
      <alignment horizontal="center" wrapText="1"/>
    </xf>
    <xf numFmtId="164" fontId="4" fillId="62" borderId="4" xfId="0" applyNumberFormat="1" applyFont="1" applyFill="1" applyBorder="1" applyAlignment="1">
      <alignment horizontal="center" wrapText="1"/>
    </xf>
    <xf numFmtId="0" fontId="4" fillId="62" borderId="4" xfId="0" applyFont="1" applyFill="1" applyBorder="1" applyAlignment="1">
      <alignment horizontal="center" wrapText="1"/>
    </xf>
    <xf numFmtId="0" fontId="4" fillId="62" borderId="4" xfId="0" applyFont="1" applyFill="1" applyBorder="1" applyAlignment="1">
      <alignment horizontal="center" wrapText="1"/>
    </xf>
    <xf numFmtId="0" fontId="4" fillId="62" borderId="4" xfId="0" applyFont="1" applyFill="1" applyBorder="1" applyAlignment="1">
      <alignment horizontal="center" wrapText="1"/>
    </xf>
    <xf numFmtId="165" fontId="4" fillId="62" borderId="4" xfId="0" applyNumberFormat="1" applyFont="1" applyFill="1" applyBorder="1" applyAlignment="1">
      <alignment horizontal="center" wrapText="1"/>
    </xf>
    <xf numFmtId="166" fontId="4" fillId="62" borderId="4" xfId="0" applyNumberFormat="1" applyFont="1" applyFill="1" applyBorder="1" applyAlignment="1">
      <alignment horizontal="center" wrapText="1"/>
    </xf>
    <xf numFmtId="164" fontId="1" fillId="62" borderId="4" xfId="0" applyNumberFormat="1" applyFont="1" applyFill="1" applyBorder="1" applyAlignment="1">
      <alignment horizontal="center" wrapText="1"/>
    </xf>
    <xf numFmtId="11" fontId="4" fillId="62" borderId="4" xfId="0" applyNumberFormat="1" applyFont="1" applyFill="1" applyBorder="1" applyAlignment="1">
      <alignment horizontal="center" wrapText="1"/>
    </xf>
    <xf numFmtId="11" fontId="20" fillId="62" borderId="4" xfId="0" applyNumberFormat="1" applyFont="1" applyFill="1" applyBorder="1" applyAlignment="1">
      <alignment horizontal="center" wrapText="1"/>
    </xf>
    <xf numFmtId="11" fontId="16" fillId="62" borderId="4" xfId="0" applyNumberFormat="1" applyFont="1" applyFill="1" applyBorder="1" applyAlignment="1">
      <alignment horizontal="center"/>
    </xf>
    <xf numFmtId="11" fontId="4" fillId="62" borderId="4" xfId="0" applyNumberFormat="1" applyFont="1" applyFill="1" applyBorder="1" applyAlignment="1">
      <alignment horizontal="center" wrapText="1"/>
    </xf>
    <xf numFmtId="164" fontId="4" fillId="62" borderId="4" xfId="0" applyNumberFormat="1" applyFont="1" applyFill="1" applyBorder="1" applyAlignment="1">
      <alignment horizontal="center" wrapText="1"/>
    </xf>
    <xf numFmtId="0" fontId="4" fillId="62" borderId="4" xfId="0" applyFont="1" applyFill="1" applyBorder="1" applyAlignment="1">
      <alignment horizontal="center" wrapText="1"/>
    </xf>
    <xf numFmtId="14" fontId="4" fillId="62" borderId="4" xfId="0" applyNumberFormat="1" applyFont="1" applyFill="1" applyBorder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164" fontId="4" fillId="70" borderId="0" xfId="0" applyNumberFormat="1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165" fontId="4" fillId="70" borderId="0" xfId="0" applyNumberFormat="1" applyFont="1" applyFill="1" applyAlignment="1">
      <alignment horizontal="center" wrapText="1"/>
    </xf>
    <xf numFmtId="166" fontId="4" fillId="70" borderId="0" xfId="0" applyNumberFormat="1" applyFont="1" applyFill="1" applyAlignment="1">
      <alignment horizontal="center" wrapText="1"/>
    </xf>
    <xf numFmtId="166" fontId="4" fillId="70" borderId="0" xfId="0" applyNumberFormat="1" applyFont="1" applyFill="1" applyAlignment="1">
      <alignment horizontal="center" wrapText="1"/>
    </xf>
    <xf numFmtId="164" fontId="1" fillId="70" borderId="0" xfId="0" applyNumberFormat="1" applyFont="1" applyFill="1" applyAlignment="1">
      <alignment horizontal="center" wrapText="1"/>
    </xf>
    <xf numFmtId="11" fontId="4" fillId="70" borderId="0" xfId="0" applyNumberFormat="1" applyFont="1" applyFill="1" applyAlignment="1">
      <alignment horizontal="center" wrapText="1"/>
    </xf>
    <xf numFmtId="11" fontId="20" fillId="70" borderId="0" xfId="0" applyNumberFormat="1" applyFont="1" applyFill="1" applyAlignment="1">
      <alignment horizontal="center" wrapText="1"/>
    </xf>
    <xf numFmtId="11" fontId="16" fillId="70" borderId="0" xfId="0" applyNumberFormat="1" applyFont="1" applyFill="1" applyAlignment="1">
      <alignment horizontal="center"/>
    </xf>
    <xf numFmtId="11" fontId="16" fillId="70" borderId="0" xfId="0" applyNumberFormat="1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0" fontId="4" fillId="70" borderId="0" xfId="0" applyFont="1" applyFill="1" applyAlignment="1">
      <alignment horizontal="center" wrapText="1"/>
    </xf>
    <xf numFmtId="0" fontId="4" fillId="75" borderId="4" xfId="0" applyFont="1" applyFill="1" applyBorder="1" applyAlignment="1">
      <alignment horizontal="center" wrapText="1"/>
    </xf>
    <xf numFmtId="0" fontId="4" fillId="75" borderId="4" xfId="0" applyFont="1" applyFill="1" applyBorder="1" applyAlignment="1">
      <alignment horizontal="center" wrapText="1"/>
    </xf>
    <xf numFmtId="0" fontId="4" fillId="75" borderId="4" xfId="0" applyFont="1" applyFill="1" applyBorder="1" applyAlignment="1">
      <alignment horizontal="center" wrapText="1"/>
    </xf>
    <xf numFmtId="164" fontId="4" fillId="75" borderId="4" xfId="0" applyNumberFormat="1" applyFont="1" applyFill="1" applyBorder="1" applyAlignment="1">
      <alignment horizontal="center" wrapText="1"/>
    </xf>
    <xf numFmtId="0" fontId="4" fillId="75" borderId="4" xfId="0" applyFont="1" applyFill="1" applyBorder="1" applyAlignment="1">
      <alignment horizontal="center" wrapText="1"/>
    </xf>
    <xf numFmtId="0" fontId="4" fillId="75" borderId="4" xfId="0" applyFont="1" applyFill="1" applyBorder="1" applyAlignment="1">
      <alignment horizontal="center" wrapText="1"/>
    </xf>
    <xf numFmtId="165" fontId="4" fillId="75" borderId="4" xfId="0" applyNumberFormat="1" applyFont="1" applyFill="1" applyBorder="1" applyAlignment="1">
      <alignment horizontal="center" wrapText="1"/>
    </xf>
    <xf numFmtId="166" fontId="4" fillId="75" borderId="4" xfId="0" applyNumberFormat="1" applyFont="1" applyFill="1" applyBorder="1" applyAlignment="1">
      <alignment horizontal="center" wrapText="1"/>
    </xf>
    <xf numFmtId="166" fontId="4" fillId="75" borderId="4" xfId="0" applyNumberFormat="1" applyFont="1" applyFill="1" applyBorder="1" applyAlignment="1">
      <alignment horizontal="center" wrapText="1"/>
    </xf>
    <xf numFmtId="164" fontId="1" fillId="75" borderId="4" xfId="0" applyNumberFormat="1" applyFont="1" applyFill="1" applyBorder="1" applyAlignment="1">
      <alignment horizontal="center" wrapText="1"/>
    </xf>
    <xf numFmtId="11" fontId="4" fillId="75" borderId="4" xfId="0" applyNumberFormat="1" applyFont="1" applyFill="1" applyBorder="1" applyAlignment="1">
      <alignment horizontal="center" wrapText="1"/>
    </xf>
    <xf numFmtId="11" fontId="20" fillId="75" borderId="4" xfId="0" applyNumberFormat="1" applyFont="1" applyFill="1" applyBorder="1" applyAlignment="1">
      <alignment horizontal="center" wrapText="1"/>
    </xf>
    <xf numFmtId="11" fontId="16" fillId="75" borderId="4" xfId="0" applyNumberFormat="1" applyFont="1" applyFill="1" applyBorder="1" applyAlignment="1">
      <alignment horizontal="center"/>
    </xf>
    <xf numFmtId="11" fontId="4" fillId="75" borderId="4" xfId="0" applyNumberFormat="1" applyFont="1" applyFill="1" applyBorder="1" applyAlignment="1">
      <alignment horizontal="center" wrapText="1"/>
    </xf>
    <xf numFmtId="0" fontId="4" fillId="75" borderId="4" xfId="0" applyFont="1" applyFill="1" applyBorder="1" applyAlignment="1">
      <alignment horizontal="center" wrapText="1"/>
    </xf>
    <xf numFmtId="0" fontId="4" fillId="75" borderId="4" xfId="0" applyFont="1" applyFill="1" applyBorder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166" fontId="4" fillId="75" borderId="0" xfId="0" applyNumberFormat="1" applyFont="1" applyFill="1" applyAlignment="1">
      <alignment horizontal="center" wrapText="1"/>
    </xf>
    <xf numFmtId="11" fontId="4" fillId="75" borderId="0" xfId="0" applyNumberFormat="1" applyFont="1" applyFill="1" applyAlignment="1">
      <alignment horizontal="center" wrapText="1"/>
    </xf>
    <xf numFmtId="11" fontId="20" fillId="75" borderId="0" xfId="0" applyNumberFormat="1" applyFont="1" applyFill="1" applyAlignment="1">
      <alignment horizontal="center" wrapText="1"/>
    </xf>
    <xf numFmtId="11" fontId="16" fillId="75" borderId="0" xfId="0" applyNumberFormat="1" applyFont="1" applyFill="1" applyAlignment="1">
      <alignment horizontal="center"/>
    </xf>
    <xf numFmtId="11" fontId="44" fillId="75" borderId="0" xfId="0" applyNumberFormat="1" applyFont="1" applyFill="1" applyAlignment="1">
      <alignment horizontal="center"/>
    </xf>
    <xf numFmtId="11" fontId="4" fillId="75" borderId="0" xfId="0" applyNumberFormat="1" applyFont="1" applyFill="1" applyAlignment="1">
      <alignment horizontal="center" wrapText="1"/>
    </xf>
    <xf numFmtId="0" fontId="62" fillId="75" borderId="0" xfId="0" applyFont="1" applyFill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164" fontId="4" fillId="75" borderId="3" xfId="0" applyNumberFormat="1" applyFont="1" applyFill="1" applyBorder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165" fontId="4" fillId="75" borderId="3" xfId="0" applyNumberFormat="1" applyFont="1" applyFill="1" applyBorder="1" applyAlignment="1">
      <alignment horizontal="center" wrapText="1"/>
    </xf>
    <xf numFmtId="166" fontId="4" fillId="75" borderId="3" xfId="0" applyNumberFormat="1" applyFont="1" applyFill="1" applyBorder="1" applyAlignment="1">
      <alignment horizontal="center" wrapText="1"/>
    </xf>
    <xf numFmtId="166" fontId="4" fillId="75" borderId="3" xfId="0" applyNumberFormat="1" applyFont="1" applyFill="1" applyBorder="1" applyAlignment="1">
      <alignment horizontal="center" wrapText="1"/>
    </xf>
    <xf numFmtId="164" fontId="1" fillId="75" borderId="3" xfId="0" applyNumberFormat="1" applyFont="1" applyFill="1" applyBorder="1" applyAlignment="1">
      <alignment horizontal="center" wrapText="1"/>
    </xf>
    <xf numFmtId="11" fontId="4" fillId="75" borderId="3" xfId="0" applyNumberFormat="1" applyFont="1" applyFill="1" applyBorder="1" applyAlignment="1">
      <alignment horizontal="center" wrapText="1"/>
    </xf>
    <xf numFmtId="11" fontId="44" fillId="75" borderId="3" xfId="0" applyNumberFormat="1" applyFont="1" applyFill="1" applyBorder="1" applyAlignment="1">
      <alignment horizontal="center"/>
    </xf>
    <xf numFmtId="11" fontId="16" fillId="75" borderId="3" xfId="0" applyNumberFormat="1" applyFont="1" applyFill="1" applyBorder="1" applyAlignment="1">
      <alignment horizontal="center"/>
    </xf>
    <xf numFmtId="11" fontId="16" fillId="75" borderId="3" xfId="0" applyNumberFormat="1" applyFont="1" applyFill="1" applyBorder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164" fontId="4" fillId="62" borderId="0" xfId="0" applyNumberFormat="1" applyFont="1" applyFill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165" fontId="4" fillId="62" borderId="0" xfId="0" applyNumberFormat="1" applyFont="1" applyFill="1" applyAlignment="1">
      <alignment horizontal="center" wrapText="1"/>
    </xf>
    <xf numFmtId="166" fontId="4" fillId="62" borderId="0" xfId="0" applyNumberFormat="1" applyFont="1" applyFill="1" applyAlignment="1">
      <alignment horizontal="center" wrapText="1"/>
    </xf>
    <xf numFmtId="164" fontId="1" fillId="62" borderId="0" xfId="0" applyNumberFormat="1" applyFont="1" applyFill="1" applyAlignment="1">
      <alignment horizontal="center" wrapText="1"/>
    </xf>
    <xf numFmtId="11" fontId="4" fillId="62" borderId="0" xfId="0" applyNumberFormat="1" applyFont="1" applyFill="1" applyAlignment="1">
      <alignment horizontal="center" wrapText="1"/>
    </xf>
    <xf numFmtId="11" fontId="1" fillId="62" borderId="0" xfId="0" applyNumberFormat="1" applyFont="1" applyFill="1" applyAlignment="1">
      <alignment horizontal="center" wrapText="1"/>
    </xf>
    <xf numFmtId="11" fontId="4" fillId="62" borderId="0" xfId="0" applyNumberFormat="1" applyFont="1" applyFill="1" applyAlignment="1">
      <alignment horizontal="center" wrapText="1"/>
    </xf>
    <xf numFmtId="11" fontId="4" fillId="62" borderId="0" xfId="0" applyNumberFormat="1" applyFont="1" applyFill="1" applyAlignment="1">
      <alignment horizontal="center" wrapText="1"/>
    </xf>
    <xf numFmtId="14" fontId="4" fillId="62" borderId="0" xfId="0" applyNumberFormat="1" applyFont="1" applyFill="1" applyAlignment="1">
      <alignment horizontal="center" wrapText="1"/>
    </xf>
    <xf numFmtId="0" fontId="4" fillId="62" borderId="3" xfId="0" applyFont="1" applyFill="1" applyBorder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11" fontId="1" fillId="75" borderId="4" xfId="0" applyNumberFormat="1" applyFont="1" applyFill="1" applyBorder="1" applyAlignment="1">
      <alignment horizontal="center" wrapText="1"/>
    </xf>
    <xf numFmtId="11" fontId="4" fillId="75" borderId="4" xfId="0" applyNumberFormat="1" applyFont="1" applyFill="1" applyBorder="1" applyAlignment="1">
      <alignment horizontal="center" wrapText="1"/>
    </xf>
    <xf numFmtId="11" fontId="5" fillId="75" borderId="4" xfId="0" applyNumberFormat="1" applyFont="1" applyFill="1" applyBorder="1" applyAlignment="1">
      <alignment horizontal="center" wrapText="1"/>
    </xf>
    <xf numFmtId="11" fontId="1" fillId="75" borderId="0" xfId="0" applyNumberFormat="1" applyFont="1" applyFill="1" applyAlignment="1">
      <alignment horizontal="center" wrapText="1"/>
    </xf>
    <xf numFmtId="11" fontId="4" fillId="75" borderId="0" xfId="0" applyNumberFormat="1" applyFont="1" applyFill="1" applyAlignment="1">
      <alignment horizontal="center" wrapText="1"/>
    </xf>
    <xf numFmtId="11" fontId="5" fillId="75" borderId="0" xfId="0" applyNumberFormat="1" applyFont="1" applyFill="1" applyAlignment="1">
      <alignment horizontal="center" wrapText="1"/>
    </xf>
    <xf numFmtId="11" fontId="4" fillId="37" borderId="0" xfId="0" applyNumberFormat="1" applyFont="1" applyFill="1" applyAlignment="1">
      <alignment horizontal="center" wrapText="1"/>
    </xf>
    <xf numFmtId="0" fontId="9" fillId="37" borderId="0" xfId="0" applyFont="1" applyFill="1" applyAlignment="1">
      <alignment horizontal="center" wrapText="1"/>
    </xf>
    <xf numFmtId="11" fontId="12" fillId="32" borderId="0" xfId="0" applyNumberFormat="1" applyFont="1" applyFill="1" applyAlignment="1">
      <alignment horizontal="center" wrapText="1"/>
    </xf>
    <xf numFmtId="11" fontId="1" fillId="54" borderId="0" xfId="0" applyNumberFormat="1" applyFont="1" applyFill="1" applyAlignment="1">
      <alignment horizontal="center" wrapText="1"/>
    </xf>
    <xf numFmtId="0" fontId="5" fillId="54" borderId="0" xfId="0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164" fontId="4" fillId="29" borderId="0" xfId="0" applyNumberFormat="1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165" fontId="4" fillId="29" borderId="0" xfId="0" applyNumberFormat="1" applyFont="1" applyFill="1" applyAlignment="1">
      <alignment horizontal="center" wrapText="1"/>
    </xf>
    <xf numFmtId="166" fontId="4" fillId="29" borderId="0" xfId="0" applyNumberFormat="1" applyFont="1" applyFill="1" applyAlignment="1">
      <alignment horizontal="center" wrapText="1"/>
    </xf>
    <xf numFmtId="166" fontId="4" fillId="29" borderId="0" xfId="0" applyNumberFormat="1" applyFont="1" applyFill="1" applyAlignment="1">
      <alignment horizontal="center" wrapText="1"/>
    </xf>
    <xf numFmtId="164" fontId="1" fillId="29" borderId="0" xfId="0" applyNumberFormat="1" applyFont="1" applyFill="1" applyAlignment="1">
      <alignment horizontal="center" wrapText="1"/>
    </xf>
    <xf numFmtId="11" fontId="4" fillId="29" borderId="0" xfId="0" applyNumberFormat="1" applyFont="1" applyFill="1" applyAlignment="1">
      <alignment horizontal="center" wrapText="1"/>
    </xf>
    <xf numFmtId="11" fontId="1" fillId="29" borderId="0" xfId="0" applyNumberFormat="1" applyFont="1" applyFill="1" applyAlignment="1">
      <alignment horizontal="center" wrapText="1"/>
    </xf>
    <xf numFmtId="11" fontId="4" fillId="29" borderId="0" xfId="0" applyNumberFormat="1" applyFont="1" applyFill="1" applyAlignment="1">
      <alignment horizontal="center" wrapText="1"/>
    </xf>
    <xf numFmtId="11" fontId="5" fillId="29" borderId="0" xfId="0" applyNumberFormat="1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0" fontId="4" fillId="29" borderId="0" xfId="0" applyFont="1" applyFill="1" applyAlignment="1">
      <alignment horizontal="center" wrapText="1"/>
    </xf>
    <xf numFmtId="0" fontId="4" fillId="5" borderId="4" xfId="0" applyFont="1" applyFill="1" applyBorder="1" applyAlignment="1">
      <alignment horizontal="center" wrapText="1"/>
    </xf>
    <xf numFmtId="0" fontId="4" fillId="5" borderId="4" xfId="0" applyFont="1" applyFill="1" applyBorder="1" applyAlignment="1">
      <alignment horizontal="center" wrapText="1"/>
    </xf>
    <xf numFmtId="0" fontId="4" fillId="5" borderId="4" xfId="0" applyFont="1" applyFill="1" applyBorder="1" applyAlignment="1">
      <alignment horizontal="center" wrapText="1"/>
    </xf>
    <xf numFmtId="164" fontId="4" fillId="5" borderId="4" xfId="0" applyNumberFormat="1" applyFont="1" applyFill="1" applyBorder="1" applyAlignment="1">
      <alignment horizontal="center" wrapText="1"/>
    </xf>
    <xf numFmtId="0" fontId="4" fillId="5" borderId="4" xfId="0" applyFont="1" applyFill="1" applyBorder="1" applyAlignment="1">
      <alignment horizontal="center" wrapText="1"/>
    </xf>
    <xf numFmtId="0" fontId="4" fillId="5" borderId="4" xfId="0" applyFont="1" applyFill="1" applyBorder="1" applyAlignment="1">
      <alignment horizontal="center" wrapText="1"/>
    </xf>
    <xf numFmtId="165" fontId="4" fillId="5" borderId="4" xfId="0" applyNumberFormat="1" applyFont="1" applyFill="1" applyBorder="1" applyAlignment="1">
      <alignment horizontal="center" wrapText="1"/>
    </xf>
    <xf numFmtId="14" fontId="4" fillId="5" borderId="4" xfId="0" applyNumberFormat="1" applyFont="1" applyFill="1" applyBorder="1" applyAlignment="1">
      <alignment horizontal="center" wrapText="1"/>
    </xf>
    <xf numFmtId="166" fontId="4" fillId="5" borderId="4" xfId="0" applyNumberFormat="1" applyFont="1" applyFill="1" applyBorder="1" applyAlignment="1">
      <alignment horizontal="center" wrapText="1"/>
    </xf>
    <xf numFmtId="164" fontId="1" fillId="5" borderId="4" xfId="0" applyNumberFormat="1" applyFont="1" applyFill="1" applyBorder="1" applyAlignment="1">
      <alignment horizontal="center" wrapText="1"/>
    </xf>
    <xf numFmtId="11" fontId="4" fillId="5" borderId="4" xfId="0" applyNumberFormat="1" applyFont="1" applyFill="1" applyBorder="1" applyAlignment="1">
      <alignment horizontal="center" wrapText="1"/>
    </xf>
    <xf numFmtId="11" fontId="1" fillId="5" borderId="4" xfId="0" applyNumberFormat="1" applyFont="1" applyFill="1" applyBorder="1" applyAlignment="1">
      <alignment horizontal="center" wrapText="1"/>
    </xf>
    <xf numFmtId="11" fontId="4" fillId="5" borderId="4" xfId="0" applyNumberFormat="1" applyFont="1" applyFill="1" applyBorder="1" applyAlignment="1">
      <alignment horizontal="center" wrapText="1"/>
    </xf>
    <xf numFmtId="11" fontId="4" fillId="5" borderId="4" xfId="0" applyNumberFormat="1" applyFont="1" applyFill="1" applyBorder="1" applyAlignment="1">
      <alignment horizontal="center" wrapText="1"/>
    </xf>
    <xf numFmtId="0" fontId="4" fillId="5" borderId="4" xfId="0" applyFont="1" applyFill="1" applyBorder="1" applyAlignment="1">
      <alignment horizontal="center" wrapText="1"/>
    </xf>
    <xf numFmtId="11" fontId="1" fillId="5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164" fontId="10" fillId="70" borderId="0" xfId="0" applyNumberFormat="1" applyFont="1" applyFill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165" fontId="10" fillId="70" borderId="0" xfId="0" applyNumberFormat="1" applyFont="1" applyFill="1" applyAlignment="1">
      <alignment horizontal="center" wrapText="1"/>
    </xf>
    <xf numFmtId="166" fontId="10" fillId="70" borderId="0" xfId="0" applyNumberFormat="1" applyFont="1" applyFill="1" applyAlignment="1">
      <alignment horizontal="center" wrapText="1"/>
    </xf>
    <xf numFmtId="166" fontId="10" fillId="70" borderId="0" xfId="0" applyNumberFormat="1" applyFont="1" applyFill="1" applyAlignment="1">
      <alignment horizontal="center" wrapText="1"/>
    </xf>
    <xf numFmtId="164" fontId="11" fillId="70" borderId="0" xfId="0" applyNumberFormat="1" applyFont="1" applyFill="1" applyAlignment="1">
      <alignment horizontal="center" wrapText="1"/>
    </xf>
    <xf numFmtId="11" fontId="10" fillId="70" borderId="0" xfId="0" applyNumberFormat="1" applyFont="1" applyFill="1" applyAlignment="1">
      <alignment horizontal="center" wrapText="1"/>
    </xf>
    <xf numFmtId="11" fontId="13" fillId="70" borderId="0" xfId="0" applyNumberFormat="1" applyFont="1" applyFill="1" applyAlignment="1">
      <alignment horizontal="center" wrapText="1"/>
    </xf>
    <xf numFmtId="11" fontId="57" fillId="70" borderId="0" xfId="0" applyNumberFormat="1" applyFont="1" applyFill="1" applyAlignment="1">
      <alignment horizontal="center"/>
    </xf>
    <xf numFmtId="11" fontId="57" fillId="70" borderId="0" xfId="0" applyNumberFormat="1" applyFont="1" applyFill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0" fontId="10" fillId="70" borderId="0" xfId="0" applyFont="1" applyFill="1" applyAlignment="1">
      <alignment horizontal="center" wrapText="1"/>
    </xf>
    <xf numFmtId="0" fontId="4" fillId="11" borderId="0" xfId="0" applyFont="1" applyFill="1" applyAlignment="1">
      <alignment horizontal="center" wrapText="1"/>
    </xf>
    <xf numFmtId="11" fontId="1" fillId="11" borderId="0" xfId="0" applyNumberFormat="1" applyFont="1" applyFill="1" applyAlignment="1">
      <alignment horizontal="center" wrapText="1"/>
    </xf>
    <xf numFmtId="11" fontId="4" fillId="11" borderId="0" xfId="0" applyNumberFormat="1" applyFont="1" applyFill="1" applyAlignment="1">
      <alignment horizontal="center" wrapText="1"/>
    </xf>
    <xf numFmtId="11" fontId="5" fillId="11" borderId="0" xfId="0" applyNumberFormat="1" applyFont="1" applyFill="1" applyAlignment="1">
      <alignment horizontal="center" wrapText="1"/>
    </xf>
    <xf numFmtId="0" fontId="4" fillId="11" borderId="0" xfId="0" applyFont="1" applyFill="1" applyAlignment="1">
      <alignment horizontal="center" wrapText="1"/>
    </xf>
    <xf numFmtId="0" fontId="4" fillId="11" borderId="0" xfId="0" applyFont="1" applyFill="1" applyAlignment="1">
      <alignment horizontal="center" wrapText="1"/>
    </xf>
    <xf numFmtId="164" fontId="54" fillId="70" borderId="0" xfId="0" applyNumberFormat="1" applyFont="1" applyFill="1" applyAlignment="1">
      <alignment horizontal="center" wrapText="1"/>
    </xf>
    <xf numFmtId="11" fontId="20" fillId="70" borderId="0" xfId="0" applyNumberFormat="1" applyFont="1" applyFill="1" applyAlignment="1">
      <alignment horizontal="center" wrapText="1"/>
    </xf>
    <xf numFmtId="11" fontId="5" fillId="70" borderId="0" xfId="0" applyNumberFormat="1" applyFont="1" applyFill="1" applyAlignment="1">
      <alignment horizontal="center" wrapText="1"/>
    </xf>
    <xf numFmtId="11" fontId="5" fillId="70" borderId="0" xfId="0" applyNumberFormat="1" applyFont="1" applyFill="1" applyAlignment="1">
      <alignment horizontal="center" wrapText="1"/>
    </xf>
    <xf numFmtId="11" fontId="20" fillId="29" borderId="0" xfId="0" applyNumberFormat="1" applyFont="1" applyFill="1" applyAlignment="1">
      <alignment horizontal="center" wrapText="1"/>
    </xf>
    <xf numFmtId="11" fontId="5" fillId="29" borderId="0" xfId="0" applyNumberFormat="1" applyFont="1" applyFill="1" applyAlignment="1">
      <alignment horizontal="center" wrapText="1"/>
    </xf>
    <xf numFmtId="0" fontId="10" fillId="29" borderId="0" xfId="0" applyFont="1" applyFill="1" applyAlignment="1">
      <alignment horizontal="center" wrapText="1"/>
    </xf>
    <xf numFmtId="11" fontId="1" fillId="62" borderId="0" xfId="0" applyNumberFormat="1" applyFont="1" applyFill="1" applyAlignment="1">
      <alignment horizontal="center" wrapText="1"/>
    </xf>
    <xf numFmtId="11" fontId="5" fillId="62" borderId="0" xfId="0" applyNumberFormat="1" applyFont="1" applyFill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11" fontId="20" fillId="62" borderId="0" xfId="0" applyNumberFormat="1" applyFont="1" applyFill="1" applyAlignment="1">
      <alignment horizontal="center" wrapText="1"/>
    </xf>
    <xf numFmtId="11" fontId="16" fillId="29" borderId="0" xfId="0" applyNumberFormat="1" applyFont="1" applyFill="1" applyAlignment="1">
      <alignment horizontal="center"/>
    </xf>
    <xf numFmtId="11" fontId="16" fillId="29" borderId="0" xfId="0" applyNumberFormat="1" applyFont="1" applyFill="1" applyAlignment="1">
      <alignment horizontal="center" wrapText="1"/>
    </xf>
    <xf numFmtId="164" fontId="74" fillId="75" borderId="0" xfId="0" applyNumberFormat="1" applyFont="1" applyFill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11" fontId="1" fillId="24" borderId="0" xfId="0" applyNumberFormat="1" applyFont="1" applyFill="1" applyAlignment="1">
      <alignment horizontal="center" wrapText="1"/>
    </xf>
    <xf numFmtId="11" fontId="5" fillId="24" borderId="0" xfId="0" applyNumberFormat="1" applyFont="1" applyFill="1" applyAlignment="1">
      <alignment horizontal="center" wrapText="1"/>
    </xf>
    <xf numFmtId="0" fontId="4" fillId="24" borderId="0" xfId="0" applyFont="1" applyFill="1" applyAlignment="1">
      <alignment horizontal="center" wrapText="1"/>
    </xf>
    <xf numFmtId="11" fontId="20" fillId="14" borderId="0" xfId="0" applyNumberFormat="1" applyFont="1" applyFill="1" applyAlignment="1">
      <alignment horizontal="center" wrapText="1"/>
    </xf>
    <xf numFmtId="164" fontId="54" fillId="50" borderId="0" xfId="0" applyNumberFormat="1" applyFont="1" applyFill="1" applyAlignment="1">
      <alignment horizontal="center" wrapText="1"/>
    </xf>
    <xf numFmtId="11" fontId="20" fillId="50" borderId="0" xfId="0" applyNumberFormat="1" applyFont="1" applyFill="1" applyAlignment="1">
      <alignment horizontal="center" wrapText="1"/>
    </xf>
    <xf numFmtId="11" fontId="16" fillId="50" borderId="0" xfId="0" applyNumberFormat="1" applyFont="1" applyFill="1" applyAlignment="1">
      <alignment horizontal="center"/>
    </xf>
    <xf numFmtId="164" fontId="54" fillId="62" borderId="0" xfId="0" applyNumberFormat="1" applyFont="1" applyFill="1" applyAlignment="1">
      <alignment horizontal="center" wrapText="1"/>
    </xf>
    <xf numFmtId="11" fontId="16" fillId="50" borderId="0" xfId="0" applyNumberFormat="1" applyFont="1" applyFill="1" applyAlignment="1">
      <alignment horizontal="center"/>
    </xf>
    <xf numFmtId="11" fontId="16" fillId="50" borderId="0" xfId="0" applyNumberFormat="1" applyFont="1" applyFill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164" fontId="54" fillId="14" borderId="0" xfId="0" applyNumberFormat="1" applyFont="1" applyFill="1" applyAlignment="1">
      <alignment horizontal="center" wrapText="1"/>
    </xf>
    <xf numFmtId="0" fontId="16" fillId="75" borderId="0" xfId="0" applyFont="1" applyFill="1" applyAlignment="1">
      <alignment horizontal="center" wrapText="1"/>
    </xf>
    <xf numFmtId="11" fontId="12" fillId="62" borderId="0" xfId="0" applyNumberFormat="1" applyFont="1" applyFill="1" applyAlignment="1">
      <alignment horizontal="center" wrapText="1"/>
    </xf>
    <xf numFmtId="0" fontId="10" fillId="62" borderId="0" xfId="0" applyFont="1" applyFill="1" applyAlignment="1">
      <alignment horizontal="center" wrapText="1"/>
    </xf>
    <xf numFmtId="0" fontId="4" fillId="62" borderId="0" xfId="0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166" fontId="10" fillId="16" borderId="0" xfId="0" applyNumberFormat="1" applyFont="1" applyFill="1" applyAlignment="1">
      <alignment horizontal="center" wrapText="1"/>
    </xf>
    <xf numFmtId="0" fontId="11" fillId="16" borderId="0" xfId="0" applyFont="1" applyFill="1" applyAlignment="1">
      <alignment horizontal="center" wrapText="1"/>
    </xf>
    <xf numFmtId="11" fontId="11" fillId="16" borderId="0" xfId="0" applyNumberFormat="1" applyFont="1" applyFill="1" applyAlignment="1">
      <alignment horizontal="center" wrapText="1"/>
    </xf>
    <xf numFmtId="11" fontId="57" fillId="16" borderId="0" xfId="0" applyNumberFormat="1" applyFont="1" applyFill="1" applyAlignment="1">
      <alignment horizontal="center"/>
    </xf>
    <xf numFmtId="11" fontId="57" fillId="16" borderId="0" xfId="0" applyNumberFormat="1" applyFont="1" applyFill="1" applyAlignment="1">
      <alignment horizontal="center" wrapText="1"/>
    </xf>
    <xf numFmtId="14" fontId="10" fillId="16" borderId="0" xfId="0" applyNumberFormat="1" applyFont="1" applyFill="1" applyAlignment="1">
      <alignment horizontal="center" wrapText="1"/>
    </xf>
    <xf numFmtId="0" fontId="10" fillId="16" borderId="0" xfId="0" applyFont="1" applyFill="1" applyAlignment="1">
      <alignment horizontal="center" wrapText="1"/>
    </xf>
    <xf numFmtId="0" fontId="4" fillId="69" borderId="0" xfId="0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11" fontId="11" fillId="62" borderId="0" xfId="0" applyNumberFormat="1" applyFont="1" applyFill="1" applyAlignment="1">
      <alignment horizontal="center" wrapText="1"/>
    </xf>
    <xf numFmtId="165" fontId="10" fillId="2" borderId="0" xfId="0" applyNumberFormat="1" applyFont="1" applyFill="1" applyAlignment="1">
      <alignment horizontal="center" wrapText="1"/>
    </xf>
    <xf numFmtId="0" fontId="75" fillId="0" borderId="0" xfId="0" applyFont="1" applyAlignment="1">
      <alignment horizontal="center" wrapText="1"/>
    </xf>
    <xf numFmtId="0" fontId="75" fillId="0" borderId="0" xfId="0" applyFont="1" applyAlignment="1">
      <alignment horizontal="center" wrapText="1"/>
    </xf>
    <xf numFmtId="0" fontId="75" fillId="0" borderId="0" xfId="0" applyFont="1" applyAlignment="1">
      <alignment horizontal="center" wrapText="1"/>
    </xf>
    <xf numFmtId="0" fontId="75" fillId="0" borderId="0" xfId="0" applyFont="1" applyAlignment="1">
      <alignment horizontal="center" wrapText="1"/>
    </xf>
    <xf numFmtId="0" fontId="75" fillId="0" borderId="0" xfId="0" applyFont="1" applyAlignment="1">
      <alignment horizontal="center" wrapText="1"/>
    </xf>
    <xf numFmtId="0" fontId="75" fillId="0" borderId="0" xfId="0" applyFont="1" applyAlignment="1">
      <alignment horizontal="center" wrapText="1"/>
    </xf>
    <xf numFmtId="0" fontId="76" fillId="0" borderId="0" xfId="0" applyFont="1" applyAlignment="1">
      <alignment horizontal="center" wrapText="1"/>
    </xf>
    <xf numFmtId="0" fontId="41" fillId="0" borderId="0" xfId="0" applyFont="1" applyAlignment="1">
      <alignment horizontal="center" wrapText="1"/>
    </xf>
    <xf numFmtId="165" fontId="75" fillId="0" borderId="0" xfId="0" applyNumberFormat="1" applyFont="1" applyAlignment="1">
      <alignment horizontal="center" wrapText="1"/>
    </xf>
    <xf numFmtId="166" fontId="41" fillId="0" borderId="0" xfId="0" applyNumberFormat="1" applyFont="1" applyAlignment="1">
      <alignment horizontal="center" wrapText="1"/>
    </xf>
    <xf numFmtId="166" fontId="41" fillId="0" borderId="0" xfId="0" applyNumberFormat="1" applyFont="1" applyAlignment="1">
      <alignment horizontal="center" wrapText="1"/>
    </xf>
    <xf numFmtId="164" fontId="77" fillId="0" borderId="0" xfId="0" applyNumberFormat="1" applyFont="1" applyAlignment="1">
      <alignment horizontal="center" wrapText="1"/>
    </xf>
    <xf numFmtId="164" fontId="75" fillId="0" borderId="0" xfId="0" applyNumberFormat="1" applyFont="1" applyAlignment="1">
      <alignment horizontal="center" wrapText="1"/>
    </xf>
    <xf numFmtId="11" fontId="75" fillId="0" borderId="0" xfId="0" applyNumberFormat="1" applyFont="1" applyAlignment="1">
      <alignment horizontal="center" wrapText="1"/>
    </xf>
    <xf numFmtId="11" fontId="21" fillId="0" borderId="0" xfId="0" applyNumberFormat="1" applyFont="1" applyAlignment="1">
      <alignment horizontal="center" wrapText="1"/>
    </xf>
    <xf numFmtId="11" fontId="22" fillId="0" borderId="0" xfId="0" applyNumberFormat="1" applyFont="1" applyAlignment="1">
      <alignment horizontal="center" wrapText="1"/>
    </xf>
    <xf numFmtId="11" fontId="41" fillId="0" borderId="0" xfId="0" applyNumberFormat="1" applyFont="1" applyAlignment="1">
      <alignment horizontal="center" wrapText="1"/>
    </xf>
    <xf numFmtId="14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 wrapText="1"/>
    </xf>
    <xf numFmtId="0" fontId="41" fillId="16" borderId="25" xfId="0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164" fontId="41" fillId="16" borderId="26" xfId="0" applyNumberFormat="1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166" fontId="41" fillId="16" borderId="26" xfId="0" applyNumberFormat="1" applyFont="1" applyFill="1" applyBorder="1" applyAlignment="1">
      <alignment horizontal="center" wrapText="1"/>
    </xf>
    <xf numFmtId="166" fontId="41" fillId="16" borderId="26" xfId="0" applyNumberFormat="1" applyFont="1" applyFill="1" applyBorder="1" applyAlignment="1">
      <alignment horizontal="center" wrapText="1"/>
    </xf>
    <xf numFmtId="0" fontId="21" fillId="16" borderId="26" xfId="0" applyFont="1" applyFill="1" applyBorder="1" applyAlignment="1">
      <alignment horizontal="center" wrapText="1"/>
    </xf>
    <xf numFmtId="11" fontId="41" fillId="16" borderId="26" xfId="0" applyNumberFormat="1" applyFont="1" applyFill="1" applyBorder="1" applyAlignment="1">
      <alignment horizontal="center" wrapText="1"/>
    </xf>
    <xf numFmtId="11" fontId="21" fillId="16" borderId="26" xfId="0" applyNumberFormat="1" applyFont="1" applyFill="1" applyBorder="1" applyAlignment="1">
      <alignment horizontal="center" wrapText="1"/>
    </xf>
    <xf numFmtId="11" fontId="75" fillId="16" borderId="26" xfId="0" applyNumberFormat="1" applyFont="1" applyFill="1" applyBorder="1" applyAlignment="1">
      <alignment horizontal="center"/>
    </xf>
    <xf numFmtId="11" fontId="75" fillId="16" borderId="26" xfId="0" applyNumberFormat="1" applyFont="1" applyFill="1" applyBorder="1" applyAlignment="1">
      <alignment horizontal="center" wrapText="1"/>
    </xf>
    <xf numFmtId="14" fontId="41" fillId="16" borderId="26" xfId="0" applyNumberFormat="1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0" fontId="41" fillId="16" borderId="26" xfId="0" applyFont="1" applyFill="1" applyBorder="1" applyAlignment="1">
      <alignment horizontal="center" wrapText="1"/>
    </xf>
    <xf numFmtId="166" fontId="41" fillId="16" borderId="26" xfId="0" applyNumberFormat="1" applyFont="1" applyFill="1" applyBorder="1" applyAlignment="1">
      <alignment horizontal="center" wrapText="1"/>
    </xf>
    <xf numFmtId="0" fontId="41" fillId="16" borderId="27" xfId="0" applyFont="1" applyFill="1" applyBorder="1" applyAlignment="1">
      <alignment horizontal="center" wrapText="1"/>
    </xf>
    <xf numFmtId="0" fontId="41" fillId="16" borderId="0" xfId="0" applyFont="1" applyFill="1" applyAlignment="1">
      <alignment horizontal="center" wrapText="1"/>
    </xf>
    <xf numFmtId="0" fontId="41" fillId="0" borderId="0" xfId="0" applyFont="1" applyAlignment="1">
      <alignment horizontal="center" wrapText="1"/>
    </xf>
    <xf numFmtId="0" fontId="41" fillId="0" borderId="0" xfId="0" applyFont="1" applyAlignment="1">
      <alignment horizontal="center" wrapText="1"/>
    </xf>
    <xf numFmtId="0" fontId="41" fillId="0" borderId="0" xfId="0" applyFont="1" applyAlignment="1">
      <alignment horizontal="center" wrapText="1"/>
    </xf>
    <xf numFmtId="164" fontId="41" fillId="0" borderId="0" xfId="0" applyNumberFormat="1" applyFont="1" applyAlignment="1">
      <alignment horizontal="center" wrapText="1"/>
    </xf>
    <xf numFmtId="0" fontId="41" fillId="0" borderId="0" xfId="0" applyFont="1" applyAlignment="1">
      <alignment horizontal="center" wrapText="1"/>
    </xf>
    <xf numFmtId="0" fontId="41" fillId="0" borderId="0" xfId="0" applyFont="1" applyAlignment="1">
      <alignment horizontal="center" wrapText="1"/>
    </xf>
    <xf numFmtId="0" fontId="41" fillId="0" borderId="0" xfId="0" applyFont="1" applyAlignment="1">
      <alignment horizontal="center" wrapText="1"/>
    </xf>
    <xf numFmtId="165" fontId="41" fillId="0" borderId="0" xfId="0" applyNumberFormat="1" applyFont="1" applyAlignment="1">
      <alignment horizontal="center" wrapText="1"/>
    </xf>
    <xf numFmtId="164" fontId="21" fillId="0" borderId="0" xfId="0" applyNumberFormat="1" applyFont="1" applyAlignment="1">
      <alignment horizontal="center" wrapText="1"/>
    </xf>
    <xf numFmtId="11" fontId="41" fillId="0" borderId="0" xfId="0" applyNumberFormat="1" applyFont="1" applyAlignment="1">
      <alignment horizontal="center" wrapText="1"/>
    </xf>
    <xf numFmtId="11" fontId="21" fillId="0" borderId="0" xfId="0" applyNumberFormat="1" applyFont="1" applyAlignment="1">
      <alignment horizontal="center" wrapText="1"/>
    </xf>
    <xf numFmtId="11" fontId="41" fillId="0" borderId="0" xfId="0" applyNumberFormat="1" applyFont="1" applyAlignment="1">
      <alignment horizontal="center" wrapText="1"/>
    </xf>
    <xf numFmtId="0" fontId="41" fillId="0" borderId="0" xfId="0" applyFont="1" applyAlignment="1">
      <alignment horizontal="center" wrapText="1"/>
    </xf>
    <xf numFmtId="0" fontId="41" fillId="0" borderId="0" xfId="0" applyFont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164" fontId="4" fillId="78" borderId="0" xfId="0" applyNumberFormat="1" applyFont="1" applyFill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165" fontId="4" fillId="78" borderId="0" xfId="0" applyNumberFormat="1" applyFont="1" applyFill="1" applyAlignment="1">
      <alignment horizontal="center" wrapText="1"/>
    </xf>
    <xf numFmtId="166" fontId="4" fillId="78" borderId="0" xfId="0" applyNumberFormat="1" applyFont="1" applyFill="1" applyAlignment="1">
      <alignment horizontal="center" wrapText="1"/>
    </xf>
    <xf numFmtId="164" fontId="1" fillId="78" borderId="0" xfId="0" applyNumberFormat="1" applyFont="1" applyFill="1" applyAlignment="1">
      <alignment horizontal="center" wrapText="1"/>
    </xf>
    <xf numFmtId="11" fontId="4" fillId="78" borderId="0" xfId="0" applyNumberFormat="1" applyFont="1" applyFill="1" applyAlignment="1">
      <alignment horizontal="center" wrapText="1"/>
    </xf>
    <xf numFmtId="11" fontId="1" fillId="78" borderId="0" xfId="0" applyNumberFormat="1" applyFont="1" applyFill="1" applyAlignment="1">
      <alignment horizontal="center" wrapText="1"/>
    </xf>
    <xf numFmtId="11" fontId="4" fillId="78" borderId="0" xfId="0" applyNumberFormat="1" applyFont="1" applyFill="1" applyAlignment="1">
      <alignment horizontal="center" wrapText="1"/>
    </xf>
    <xf numFmtId="11" fontId="5" fillId="78" borderId="0" xfId="0" applyNumberFormat="1" applyFont="1" applyFill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165" fontId="10" fillId="20" borderId="0" xfId="0" applyNumberFormat="1" applyFont="1" applyFill="1" applyAlignment="1">
      <alignment horizontal="center" wrapText="1"/>
    </xf>
    <xf numFmtId="164" fontId="11" fillId="20" borderId="0" xfId="0" applyNumberFormat="1" applyFont="1" applyFill="1" applyAlignment="1">
      <alignment horizontal="center" wrapText="1"/>
    </xf>
    <xf numFmtId="164" fontId="10" fillId="20" borderId="0" xfId="0" applyNumberFormat="1" applyFont="1" applyFill="1" applyAlignment="1">
      <alignment horizontal="center" wrapText="1"/>
    </xf>
    <xf numFmtId="11" fontId="10" fillId="20" borderId="0" xfId="0" applyNumberFormat="1" applyFont="1" applyFill="1" applyAlignment="1">
      <alignment horizontal="center" wrapText="1"/>
    </xf>
    <xf numFmtId="11" fontId="11" fillId="20" borderId="0" xfId="0" applyNumberFormat="1" applyFont="1" applyFill="1" applyAlignment="1">
      <alignment horizontal="center" wrapText="1"/>
    </xf>
    <xf numFmtId="11" fontId="10" fillId="20" borderId="0" xfId="0" applyNumberFormat="1" applyFont="1" applyFill="1" applyAlignment="1">
      <alignment horizontal="center" wrapText="1"/>
    </xf>
    <xf numFmtId="0" fontId="10" fillId="20" borderId="0" xfId="0" applyFont="1" applyFill="1" applyAlignment="1">
      <alignment horizontal="center" wrapText="1"/>
    </xf>
    <xf numFmtId="166" fontId="10" fillId="20" borderId="0" xfId="0" applyNumberFormat="1" applyFont="1" applyFill="1" applyAlignment="1">
      <alignment horizontal="center" wrapText="1"/>
    </xf>
    <xf numFmtId="0" fontId="75" fillId="14" borderId="25" xfId="0" applyFont="1" applyFill="1" applyBorder="1" applyAlignment="1">
      <alignment horizontal="center" wrapText="1"/>
    </xf>
    <xf numFmtId="0" fontId="75" fillId="14" borderId="26" xfId="0" applyFont="1" applyFill="1" applyBorder="1" applyAlignment="1">
      <alignment horizontal="center" wrapText="1"/>
    </xf>
    <xf numFmtId="0" fontId="75" fillId="14" borderId="26" xfId="0" applyFont="1" applyFill="1" applyBorder="1" applyAlignment="1">
      <alignment horizontal="center" wrapText="1"/>
    </xf>
    <xf numFmtId="0" fontId="75" fillId="14" borderId="26" xfId="0" applyFont="1" applyFill="1" applyBorder="1" applyAlignment="1">
      <alignment horizontal="center" wrapText="1"/>
    </xf>
    <xf numFmtId="164" fontId="75" fillId="14" borderId="26" xfId="0" applyNumberFormat="1" applyFont="1" applyFill="1" applyBorder="1" applyAlignment="1">
      <alignment horizontal="center" wrapText="1"/>
    </xf>
    <xf numFmtId="0" fontId="75" fillId="14" borderId="26" xfId="0" applyFont="1" applyFill="1" applyBorder="1" applyAlignment="1">
      <alignment horizontal="center" wrapText="1"/>
    </xf>
    <xf numFmtId="0" fontId="76" fillId="14" borderId="26" xfId="0" applyFont="1" applyFill="1" applyBorder="1" applyAlignment="1">
      <alignment horizontal="center" wrapText="1"/>
    </xf>
    <xf numFmtId="0" fontId="75" fillId="14" borderId="26" xfId="0" applyFont="1" applyFill="1" applyBorder="1" applyAlignment="1">
      <alignment horizontal="center" wrapText="1"/>
    </xf>
    <xf numFmtId="165" fontId="75" fillId="14" borderId="26" xfId="0" applyNumberFormat="1" applyFont="1" applyFill="1" applyBorder="1" applyAlignment="1">
      <alignment horizontal="center" wrapText="1"/>
    </xf>
    <xf numFmtId="166" fontId="41" fillId="14" borderId="26" xfId="0" applyNumberFormat="1" applyFont="1" applyFill="1" applyBorder="1" applyAlignment="1">
      <alignment horizontal="center" wrapText="1"/>
    </xf>
    <xf numFmtId="166" fontId="41" fillId="14" borderId="26" xfId="0" applyNumberFormat="1" applyFont="1" applyFill="1" applyBorder="1" applyAlignment="1">
      <alignment horizontal="center" wrapText="1"/>
    </xf>
    <xf numFmtId="164" fontId="77" fillId="14" borderId="26" xfId="0" applyNumberFormat="1" applyFont="1" applyFill="1" applyBorder="1" applyAlignment="1">
      <alignment horizontal="center" wrapText="1"/>
    </xf>
    <xf numFmtId="164" fontId="75" fillId="14" borderId="26" xfId="0" applyNumberFormat="1" applyFont="1" applyFill="1" applyBorder="1" applyAlignment="1">
      <alignment horizontal="center" wrapText="1"/>
    </xf>
    <xf numFmtId="11" fontId="75" fillId="14" borderId="26" xfId="0" applyNumberFormat="1" applyFont="1" applyFill="1" applyBorder="1" applyAlignment="1">
      <alignment horizontal="center" wrapText="1"/>
    </xf>
    <xf numFmtId="11" fontId="77" fillId="14" borderId="26" xfId="0" applyNumberFormat="1" applyFont="1" applyFill="1" applyBorder="1" applyAlignment="1">
      <alignment horizontal="center"/>
    </xf>
    <xf numFmtId="11" fontId="75" fillId="14" borderId="26" xfId="0" applyNumberFormat="1" applyFont="1" applyFill="1" applyBorder="1" applyAlignment="1">
      <alignment horizontal="center"/>
    </xf>
    <xf numFmtId="11" fontId="41" fillId="14" borderId="26" xfId="0" applyNumberFormat="1" applyFont="1" applyFill="1" applyBorder="1" applyAlignment="1">
      <alignment horizontal="center" wrapText="1"/>
    </xf>
    <xf numFmtId="14" fontId="75" fillId="14" borderId="26" xfId="0" applyNumberFormat="1" applyFont="1" applyFill="1" applyBorder="1" applyAlignment="1">
      <alignment horizontal="center" wrapText="1"/>
    </xf>
    <xf numFmtId="0" fontId="75" fillId="14" borderId="26" xfId="0" applyFont="1" applyFill="1" applyBorder="1" applyAlignment="1">
      <alignment horizontal="center" wrapText="1"/>
    </xf>
    <xf numFmtId="0" fontId="75" fillId="14" borderId="27" xfId="0" applyFont="1" applyFill="1" applyBorder="1" applyAlignment="1">
      <alignment horizontal="center" wrapText="1"/>
    </xf>
    <xf numFmtId="0" fontId="75" fillId="14" borderId="0" xfId="0" applyFont="1" applyFill="1" applyAlignment="1">
      <alignment horizontal="center" wrapText="1"/>
    </xf>
    <xf numFmtId="11" fontId="16" fillId="69" borderId="0" xfId="0" applyNumberFormat="1" applyFont="1" applyFill="1" applyAlignment="1">
      <alignment horizontal="center" wrapText="1"/>
    </xf>
    <xf numFmtId="11" fontId="44" fillId="16" borderId="0" xfId="0" applyNumberFormat="1" applyFont="1" applyFill="1" applyAlignment="1">
      <alignment horizontal="center"/>
    </xf>
    <xf numFmtId="11" fontId="16" fillId="16" borderId="0" xfId="0" applyNumberFormat="1" applyFont="1" applyFill="1" applyAlignment="1">
      <alignment horizontal="center"/>
    </xf>
    <xf numFmtId="11" fontId="5" fillId="16" borderId="0" xfId="0" applyNumberFormat="1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 wrapText="1"/>
    </xf>
    <xf numFmtId="166" fontId="12" fillId="0" borderId="0" xfId="0" applyNumberFormat="1" applyFont="1" applyAlignment="1">
      <alignment horizontal="center" wrapText="1"/>
    </xf>
    <xf numFmtId="0" fontId="13" fillId="0" borderId="0" xfId="0" applyFont="1" applyAlignment="1">
      <alignment horizontal="center" wrapText="1"/>
    </xf>
    <xf numFmtId="11" fontId="61" fillId="0" borderId="0" xfId="0" applyNumberFormat="1" applyFont="1" applyAlignment="1">
      <alignment horizontal="center"/>
    </xf>
    <xf numFmtId="11" fontId="57" fillId="0" borderId="0" xfId="0" applyNumberFormat="1" applyFont="1" applyAlignment="1">
      <alignment horizontal="center"/>
    </xf>
    <xf numFmtId="11" fontId="12" fillId="0" borderId="0" xfId="0" applyNumberFormat="1" applyFont="1" applyAlignment="1">
      <alignment horizontal="center" wrapText="1"/>
    </xf>
    <xf numFmtId="11" fontId="61" fillId="32" borderId="0" xfId="0" applyNumberFormat="1" applyFont="1" applyFill="1" applyAlignment="1">
      <alignment horizontal="center"/>
    </xf>
    <xf numFmtId="0" fontId="10" fillId="19" borderId="0" xfId="0" applyFont="1" applyFill="1" applyAlignment="1">
      <alignment horizontal="center" wrapText="1"/>
    </xf>
    <xf numFmtId="0" fontId="10" fillId="19" borderId="0" xfId="0" applyFont="1" applyFill="1" applyAlignment="1">
      <alignment horizontal="center" wrapText="1"/>
    </xf>
    <xf numFmtId="164" fontId="10" fillId="19" borderId="0" xfId="0" applyNumberFormat="1" applyFont="1" applyFill="1" applyAlignment="1">
      <alignment horizontal="center" wrapText="1"/>
    </xf>
    <xf numFmtId="0" fontId="10" fillId="19" borderId="0" xfId="0" applyFont="1" applyFill="1" applyAlignment="1">
      <alignment horizontal="center" wrapText="1"/>
    </xf>
    <xf numFmtId="165" fontId="10" fillId="19" borderId="0" xfId="0" applyNumberFormat="1" applyFont="1" applyFill="1" applyAlignment="1">
      <alignment horizontal="center" wrapText="1"/>
    </xf>
    <xf numFmtId="166" fontId="10" fillId="19" borderId="0" xfId="0" applyNumberFormat="1" applyFont="1" applyFill="1" applyAlignment="1">
      <alignment horizontal="center" wrapText="1"/>
    </xf>
    <xf numFmtId="166" fontId="10" fillId="19" borderId="0" xfId="0" applyNumberFormat="1" applyFont="1" applyFill="1" applyAlignment="1">
      <alignment horizontal="center" wrapText="1"/>
    </xf>
    <xf numFmtId="164" fontId="11" fillId="19" borderId="0" xfId="0" applyNumberFormat="1" applyFont="1" applyFill="1" applyAlignment="1">
      <alignment horizontal="center" wrapText="1"/>
    </xf>
    <xf numFmtId="164" fontId="10" fillId="19" borderId="0" xfId="0" applyNumberFormat="1" applyFont="1" applyFill="1" applyAlignment="1">
      <alignment horizontal="center" wrapText="1"/>
    </xf>
    <xf numFmtId="11" fontId="10" fillId="19" borderId="0" xfId="0" applyNumberFormat="1" applyFont="1" applyFill="1" applyAlignment="1">
      <alignment horizontal="center" wrapText="1"/>
    </xf>
    <xf numFmtId="11" fontId="61" fillId="19" borderId="0" xfId="0" applyNumberFormat="1" applyFont="1" applyFill="1" applyAlignment="1">
      <alignment horizontal="center"/>
    </xf>
    <xf numFmtId="11" fontId="10" fillId="19" borderId="0" xfId="0" applyNumberFormat="1" applyFont="1" applyFill="1" applyAlignment="1">
      <alignment horizontal="center" wrapText="1"/>
    </xf>
    <xf numFmtId="11" fontId="10" fillId="19" borderId="0" xfId="0" applyNumberFormat="1" applyFont="1" applyFill="1" applyAlignment="1">
      <alignment horizontal="center" wrapText="1"/>
    </xf>
    <xf numFmtId="14" fontId="10" fillId="19" borderId="0" xfId="0" applyNumberFormat="1" applyFont="1" applyFill="1" applyAlignment="1">
      <alignment horizontal="center" wrapText="1"/>
    </xf>
    <xf numFmtId="0" fontId="10" fillId="19" borderId="0" xfId="0" applyFont="1" applyFill="1" applyAlignment="1">
      <alignment horizontal="center" wrapText="1"/>
    </xf>
    <xf numFmtId="0" fontId="10" fillId="19" borderId="0" xfId="0" applyFont="1" applyFill="1" applyAlignment="1">
      <alignment horizontal="center" wrapText="1"/>
    </xf>
    <xf numFmtId="0" fontId="10" fillId="19" borderId="0" xfId="0" applyFont="1" applyFill="1" applyAlignment="1">
      <alignment horizontal="center" wrapText="1"/>
    </xf>
    <xf numFmtId="11" fontId="61" fillId="2" borderId="0" xfId="0" applyNumberFormat="1" applyFont="1" applyFill="1" applyAlignment="1">
      <alignment horizontal="center"/>
    </xf>
    <xf numFmtId="0" fontId="71" fillId="45" borderId="0" xfId="0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164" fontId="71" fillId="45" borderId="0" xfId="0" applyNumberFormat="1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165" fontId="71" fillId="45" borderId="0" xfId="0" applyNumberFormat="1" applyFont="1" applyFill="1" applyAlignment="1">
      <alignment horizontal="center" wrapText="1"/>
    </xf>
    <xf numFmtId="166" fontId="71" fillId="45" borderId="0" xfId="0" applyNumberFormat="1" applyFont="1" applyFill="1" applyAlignment="1">
      <alignment horizontal="center" wrapText="1"/>
    </xf>
    <xf numFmtId="166" fontId="71" fillId="45" borderId="0" xfId="0" applyNumberFormat="1" applyFont="1" applyFill="1" applyAlignment="1">
      <alignment horizontal="center" wrapText="1"/>
    </xf>
    <xf numFmtId="164" fontId="55" fillId="45" borderId="0" xfId="0" applyNumberFormat="1" applyFont="1" applyFill="1" applyAlignment="1">
      <alignment horizontal="center" wrapText="1"/>
    </xf>
    <xf numFmtId="11" fontId="71" fillId="45" borderId="0" xfId="0" applyNumberFormat="1" applyFont="1" applyFill="1" applyAlignment="1">
      <alignment horizontal="center" wrapText="1"/>
    </xf>
    <xf numFmtId="11" fontId="78" fillId="45" borderId="0" xfId="0" applyNumberFormat="1" applyFont="1" applyFill="1" applyAlignment="1">
      <alignment horizontal="center"/>
    </xf>
    <xf numFmtId="11" fontId="71" fillId="45" borderId="0" xfId="0" applyNumberFormat="1" applyFont="1" applyFill="1" applyAlignment="1">
      <alignment horizontal="center" wrapText="1"/>
    </xf>
    <xf numFmtId="11" fontId="71" fillId="45" borderId="0" xfId="0" applyNumberFormat="1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0" fontId="71" fillId="45" borderId="0" xfId="0" applyFont="1" applyFill="1" applyAlignment="1">
      <alignment horizontal="center" wrapText="1"/>
    </xf>
    <xf numFmtId="11" fontId="44" fillId="18" borderId="0" xfId="0" applyNumberFormat="1" applyFont="1" applyFill="1" applyAlignment="1">
      <alignment horizontal="center"/>
    </xf>
    <xf numFmtId="0" fontId="16" fillId="18" borderId="0" xfId="0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164" fontId="14" fillId="67" borderId="0" xfId="0" applyNumberFormat="1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165" fontId="14" fillId="67" borderId="0" xfId="0" applyNumberFormat="1" applyFont="1" applyFill="1" applyAlignment="1">
      <alignment horizontal="center" wrapText="1"/>
    </xf>
    <xf numFmtId="166" fontId="14" fillId="67" borderId="0" xfId="0" applyNumberFormat="1" applyFont="1" applyFill="1" applyAlignment="1">
      <alignment horizontal="center" wrapText="1"/>
    </xf>
    <xf numFmtId="166" fontId="14" fillId="67" borderId="0" xfId="0" applyNumberFormat="1" applyFont="1" applyFill="1" applyAlignment="1">
      <alignment horizontal="center" wrapText="1"/>
    </xf>
    <xf numFmtId="164" fontId="54" fillId="67" borderId="0" xfId="0" applyNumberFormat="1" applyFont="1" applyFill="1" applyAlignment="1">
      <alignment horizontal="center" wrapText="1"/>
    </xf>
    <xf numFmtId="164" fontId="79" fillId="67" borderId="0" xfId="0" applyNumberFormat="1" applyFont="1" applyFill="1" applyAlignment="1">
      <alignment horizontal="center" wrapText="1"/>
    </xf>
    <xf numFmtId="11" fontId="14" fillId="67" borderId="0" xfId="0" applyNumberFormat="1" applyFont="1" applyFill="1" applyAlignment="1">
      <alignment horizontal="center" wrapText="1"/>
    </xf>
    <xf numFmtId="11" fontId="45" fillId="67" borderId="0" xfId="0" applyNumberFormat="1" applyFont="1" applyFill="1" applyAlignment="1">
      <alignment horizontal="center"/>
    </xf>
    <xf numFmtId="11" fontId="14" fillId="67" borderId="0" xfId="0" applyNumberFormat="1" applyFont="1" applyFill="1" applyAlignment="1">
      <alignment horizontal="center" wrapText="1"/>
    </xf>
    <xf numFmtId="11" fontId="23" fillId="67" borderId="0" xfId="0" applyNumberFormat="1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0" fontId="14" fillId="67" borderId="0" xfId="0" applyFont="1" applyFill="1" applyAlignment="1">
      <alignment horizontal="center" wrapText="1"/>
    </xf>
    <xf numFmtId="0" fontId="57" fillId="69" borderId="3" xfId="0" applyFont="1" applyFill="1" applyBorder="1" applyAlignment="1">
      <alignment horizontal="center" wrapText="1"/>
    </xf>
    <xf numFmtId="0" fontId="57" fillId="69" borderId="3" xfId="0" applyFont="1" applyFill="1" applyBorder="1" applyAlignment="1">
      <alignment horizontal="center" wrapText="1"/>
    </xf>
    <xf numFmtId="0" fontId="57" fillId="69" borderId="3" xfId="0" applyFont="1" applyFill="1" applyBorder="1" applyAlignment="1">
      <alignment horizontal="center" wrapText="1"/>
    </xf>
    <xf numFmtId="164" fontId="57" fillId="69" borderId="3" xfId="0" applyNumberFormat="1" applyFont="1" applyFill="1" applyBorder="1" applyAlignment="1">
      <alignment horizontal="center" wrapText="1"/>
    </xf>
    <xf numFmtId="0" fontId="57" fillId="69" borderId="3" xfId="0" applyFont="1" applyFill="1" applyBorder="1" applyAlignment="1">
      <alignment horizontal="center" wrapText="1"/>
    </xf>
    <xf numFmtId="0" fontId="67" fillId="69" borderId="3" xfId="0" applyFont="1" applyFill="1" applyBorder="1" applyAlignment="1">
      <alignment horizontal="center" wrapText="1"/>
    </xf>
    <xf numFmtId="0" fontId="57" fillId="69" borderId="3" xfId="0" applyFont="1" applyFill="1" applyBorder="1" applyAlignment="1">
      <alignment horizontal="center" wrapText="1"/>
    </xf>
    <xf numFmtId="0" fontId="57" fillId="69" borderId="3" xfId="0" applyFont="1" applyFill="1" applyBorder="1" applyAlignment="1">
      <alignment horizontal="center" wrapText="1"/>
    </xf>
    <xf numFmtId="165" fontId="57" fillId="69" borderId="3" xfId="0" applyNumberFormat="1" applyFont="1" applyFill="1" applyBorder="1" applyAlignment="1">
      <alignment horizontal="center" wrapText="1"/>
    </xf>
    <xf numFmtId="166" fontId="10" fillId="69" borderId="3" xfId="0" applyNumberFormat="1" applyFont="1" applyFill="1" applyBorder="1" applyAlignment="1">
      <alignment horizontal="center" wrapText="1"/>
    </xf>
    <xf numFmtId="166" fontId="10" fillId="69" borderId="3" xfId="0" applyNumberFormat="1" applyFont="1" applyFill="1" applyBorder="1" applyAlignment="1">
      <alignment horizontal="center" wrapText="1"/>
    </xf>
    <xf numFmtId="164" fontId="61" fillId="69" borderId="3" xfId="0" applyNumberFormat="1" applyFont="1" applyFill="1" applyBorder="1" applyAlignment="1">
      <alignment horizontal="center" wrapText="1"/>
    </xf>
    <xf numFmtId="11" fontId="57" fillId="69" borderId="3" xfId="0" applyNumberFormat="1" applyFont="1" applyFill="1" applyBorder="1" applyAlignment="1">
      <alignment horizontal="center" wrapText="1"/>
    </xf>
    <xf numFmtId="11" fontId="61" fillId="69" borderId="3" xfId="0" applyNumberFormat="1" applyFont="1" applyFill="1" applyBorder="1" applyAlignment="1">
      <alignment horizontal="center"/>
    </xf>
    <xf numFmtId="14" fontId="57" fillId="69" borderId="3" xfId="0" applyNumberFormat="1" applyFont="1" applyFill="1" applyBorder="1" applyAlignment="1">
      <alignment horizontal="center" wrapText="1"/>
    </xf>
    <xf numFmtId="0" fontId="30" fillId="69" borderId="3" xfId="0" applyFont="1" applyFill="1" applyBorder="1" applyAlignment="1">
      <alignment horizontal="center" wrapText="1"/>
    </xf>
    <xf numFmtId="14" fontId="16" fillId="69" borderId="3" xfId="0" applyNumberFormat="1" applyFont="1" applyFill="1" applyBorder="1" applyAlignment="1">
      <alignment horizontal="center" wrapText="1"/>
    </xf>
    <xf numFmtId="0" fontId="16" fillId="69" borderId="3" xfId="0" applyFont="1" applyFill="1" applyBorder="1" applyAlignment="1">
      <alignment horizontal="center" wrapText="1"/>
    </xf>
    <xf numFmtId="11" fontId="4" fillId="67" borderId="0" xfId="0" applyNumberFormat="1" applyFont="1" applyFill="1" applyAlignment="1">
      <alignment horizontal="center" wrapText="1"/>
    </xf>
    <xf numFmtId="0" fontId="54" fillId="67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165" fontId="10" fillId="83" borderId="0" xfId="0" applyNumberFormat="1" applyFont="1" applyFill="1" applyAlignment="1">
      <alignment horizontal="center" wrapText="1"/>
    </xf>
    <xf numFmtId="166" fontId="10" fillId="83" borderId="0" xfId="0" applyNumberFormat="1" applyFont="1" applyFill="1" applyAlignment="1">
      <alignment horizontal="center" wrapText="1"/>
    </xf>
    <xf numFmtId="166" fontId="10" fillId="83" borderId="0" xfId="0" applyNumberFormat="1" applyFont="1" applyFill="1" applyAlignment="1">
      <alignment horizontal="center" wrapText="1"/>
    </xf>
    <xf numFmtId="0" fontId="11" fillId="83" borderId="0" xfId="0" applyFont="1" applyFill="1" applyAlignment="1">
      <alignment horizontal="center" wrapText="1"/>
    </xf>
    <xf numFmtId="164" fontId="10" fillId="83" borderId="0" xfId="0" applyNumberFormat="1" applyFont="1" applyFill="1" applyAlignment="1">
      <alignment horizontal="center" wrapText="1"/>
    </xf>
    <xf numFmtId="11" fontId="10" fillId="83" borderId="0" xfId="0" applyNumberFormat="1" applyFont="1" applyFill="1" applyAlignment="1">
      <alignment horizontal="center" wrapText="1"/>
    </xf>
    <xf numFmtId="11" fontId="57" fillId="84" borderId="0" xfId="0" applyNumberFormat="1" applyFont="1" applyFill="1" applyAlignment="1">
      <alignment horizontal="center"/>
    </xf>
    <xf numFmtId="11" fontId="71" fillId="83" borderId="0" xfId="0" applyNumberFormat="1" applyFont="1" applyFill="1" applyAlignment="1">
      <alignment horizontal="center" wrapText="1"/>
    </xf>
    <xf numFmtId="11" fontId="10" fillId="83" borderId="0" xfId="0" applyNumberFormat="1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0" fontId="10" fillId="83" borderId="0" xfId="0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165" fontId="4" fillId="83" borderId="0" xfId="0" applyNumberFormat="1" applyFont="1" applyFill="1" applyAlignment="1">
      <alignment horizontal="center" wrapText="1"/>
    </xf>
    <xf numFmtId="166" fontId="4" fillId="83" borderId="0" xfId="0" applyNumberFormat="1" applyFont="1" applyFill="1" applyAlignment="1">
      <alignment horizontal="center" wrapText="1"/>
    </xf>
    <xf numFmtId="166" fontId="4" fillId="83" borderId="0" xfId="0" applyNumberFormat="1" applyFont="1" applyFill="1" applyAlignment="1">
      <alignment horizontal="center" wrapText="1"/>
    </xf>
    <xf numFmtId="0" fontId="1" fillId="83" borderId="0" xfId="0" applyFont="1" applyFill="1" applyAlignment="1">
      <alignment horizontal="center" wrapText="1"/>
    </xf>
    <xf numFmtId="164" fontId="4" fillId="83" borderId="0" xfId="0" applyNumberFormat="1" applyFont="1" applyFill="1" applyAlignment="1">
      <alignment horizontal="center" wrapText="1"/>
    </xf>
    <xf numFmtId="11" fontId="4" fillId="83" borderId="0" xfId="0" applyNumberFormat="1" applyFont="1" applyFill="1" applyAlignment="1">
      <alignment horizontal="center" wrapText="1"/>
    </xf>
    <xf numFmtId="11" fontId="16" fillId="84" borderId="0" xfId="0" applyNumberFormat="1" applyFont="1" applyFill="1" applyAlignment="1">
      <alignment horizontal="center"/>
    </xf>
    <xf numFmtId="11" fontId="14" fillId="83" borderId="0" xfId="0" applyNumberFormat="1" applyFont="1" applyFill="1" applyAlignment="1">
      <alignment horizontal="center" wrapText="1"/>
    </xf>
    <xf numFmtId="11" fontId="4" fillId="83" borderId="0" xfId="0" applyNumberFormat="1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164" fontId="77" fillId="14" borderId="0" xfId="0" applyNumberFormat="1" applyFont="1" applyFill="1" applyAlignment="1">
      <alignment horizontal="center" wrapText="1"/>
    </xf>
    <xf numFmtId="11" fontId="16" fillId="3" borderId="0" xfId="0" applyNumberFormat="1" applyFont="1" applyFill="1" applyAlignment="1">
      <alignment horizontal="center"/>
    </xf>
    <xf numFmtId="11" fontId="16" fillId="83" borderId="0" xfId="0" applyNumberFormat="1" applyFont="1" applyFill="1" applyAlignment="1">
      <alignment horizontal="center"/>
    </xf>
    <xf numFmtId="166" fontId="4" fillId="38" borderId="0" xfId="0" applyNumberFormat="1" applyFont="1" applyFill="1" applyAlignment="1">
      <alignment horizontal="center" wrapText="1"/>
    </xf>
    <xf numFmtId="164" fontId="80" fillId="83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165" fontId="10" fillId="0" borderId="4" xfId="0" applyNumberFormat="1" applyFont="1" applyBorder="1" applyAlignment="1">
      <alignment horizontal="center" wrapText="1"/>
    </xf>
    <xf numFmtId="14" fontId="10" fillId="14" borderId="4" xfId="0" applyNumberFormat="1" applyFont="1" applyFill="1" applyBorder="1" applyAlignment="1">
      <alignment horizontal="center" wrapText="1"/>
    </xf>
    <xf numFmtId="166" fontId="10" fillId="13" borderId="4" xfId="0" applyNumberFormat="1" applyFont="1" applyFill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164" fontId="10" fillId="0" borderId="4" xfId="0" applyNumberFormat="1" applyFont="1" applyBorder="1" applyAlignment="1">
      <alignment horizontal="center" wrapText="1"/>
    </xf>
    <xf numFmtId="11" fontId="10" fillId="0" borderId="4" xfId="0" applyNumberFormat="1" applyFont="1" applyBorder="1" applyAlignment="1">
      <alignment horizontal="center" wrapText="1"/>
    </xf>
    <xf numFmtId="14" fontId="10" fillId="0" borderId="4" xfId="0" applyNumberFormat="1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14" fontId="10" fillId="0" borderId="4" xfId="0" applyNumberFormat="1" applyFont="1" applyBorder="1" applyAlignment="1">
      <alignment horizontal="center" wrapText="1"/>
    </xf>
    <xf numFmtId="11" fontId="75" fillId="0" borderId="0" xfId="0" applyNumberFormat="1" applyFont="1" applyAlignment="1">
      <alignment horizontal="center"/>
    </xf>
    <xf numFmtId="0" fontId="16" fillId="0" borderId="0" xfId="0" applyFont="1" applyAlignment="1">
      <alignment horizontal="center" wrapText="1"/>
    </xf>
    <xf numFmtId="0" fontId="16" fillId="0" borderId="0" xfId="0" applyFont="1" applyAlignment="1">
      <alignment horizontal="center" wrapText="1"/>
    </xf>
    <xf numFmtId="164" fontId="16" fillId="14" borderId="0" xfId="0" applyNumberFormat="1" applyFont="1" applyFill="1" applyAlignment="1">
      <alignment horizontal="center" wrapText="1"/>
    </xf>
    <xf numFmtId="0" fontId="16" fillId="14" borderId="0" xfId="0" applyFont="1" applyFill="1" applyAlignment="1">
      <alignment wrapText="1"/>
    </xf>
    <xf numFmtId="0" fontId="62" fillId="14" borderId="0" xfId="0" applyFont="1" applyFill="1" applyAlignment="1">
      <alignment horizontal="center" wrapText="1"/>
    </xf>
    <xf numFmtId="165" fontId="16" fillId="0" borderId="0" xfId="0" applyNumberFormat="1" applyFont="1" applyAlignment="1">
      <alignment wrapText="1"/>
    </xf>
    <xf numFmtId="14" fontId="16" fillId="0" borderId="0" xfId="0" applyNumberFormat="1" applyFont="1" applyAlignment="1">
      <alignment wrapText="1"/>
    </xf>
    <xf numFmtId="166" fontId="16" fillId="0" borderId="0" xfId="0" applyNumberFormat="1" applyFont="1" applyAlignment="1">
      <alignment horizontal="center" wrapText="1"/>
    </xf>
    <xf numFmtId="164" fontId="44" fillId="0" borderId="0" xfId="0" applyNumberFormat="1" applyFont="1" applyAlignment="1">
      <alignment horizontal="center" wrapText="1"/>
    </xf>
    <xf numFmtId="11" fontId="16" fillId="0" borderId="0" xfId="0" applyNumberFormat="1" applyFont="1" applyAlignment="1">
      <alignment wrapText="1"/>
    </xf>
    <xf numFmtId="0" fontId="16" fillId="0" borderId="0" xfId="0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16" fillId="0" borderId="0" xfId="0" applyFont="1" applyAlignment="1">
      <alignment wrapText="1"/>
    </xf>
    <xf numFmtId="0" fontId="4" fillId="32" borderId="0" xfId="0" applyFont="1" applyFill="1" applyAlignment="1">
      <alignment horizontal="center" wrapText="1"/>
    </xf>
    <xf numFmtId="11" fontId="16" fillId="0" borderId="28" xfId="0" applyNumberFormat="1" applyFont="1" applyBorder="1" applyAlignment="1">
      <alignment horizontal="center"/>
    </xf>
    <xf numFmtId="164" fontId="54" fillId="83" borderId="0" xfId="0" applyNumberFormat="1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164" fontId="4" fillId="81" borderId="0" xfId="0" applyNumberFormat="1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0" fontId="14" fillId="81" borderId="0" xfId="0" applyFont="1" applyFill="1" applyAlignment="1">
      <alignment horizontal="center" vertical="center" wrapText="1"/>
    </xf>
    <xf numFmtId="0" fontId="4" fillId="81" borderId="0" xfId="0" applyFont="1" applyFill="1" applyAlignment="1">
      <alignment horizontal="center" wrapText="1"/>
    </xf>
    <xf numFmtId="165" fontId="4" fillId="81" borderId="0" xfId="0" applyNumberFormat="1" applyFont="1" applyFill="1" applyAlignment="1">
      <alignment horizontal="center" wrapText="1"/>
    </xf>
    <xf numFmtId="166" fontId="4" fillId="81" borderId="0" xfId="0" applyNumberFormat="1" applyFont="1" applyFill="1" applyAlignment="1">
      <alignment horizontal="center" wrapText="1"/>
    </xf>
    <xf numFmtId="166" fontId="4" fillId="81" borderId="0" xfId="0" applyNumberFormat="1" applyFont="1" applyFill="1" applyAlignment="1">
      <alignment horizontal="center" wrapText="1"/>
    </xf>
    <xf numFmtId="164" fontId="1" fillId="81" borderId="0" xfId="0" applyNumberFormat="1" applyFont="1" applyFill="1" applyAlignment="1">
      <alignment horizontal="center" wrapText="1"/>
    </xf>
    <xf numFmtId="11" fontId="4" fillId="81" borderId="0" xfId="0" applyNumberFormat="1" applyFont="1" applyFill="1" applyAlignment="1">
      <alignment horizontal="center" wrapText="1"/>
    </xf>
    <xf numFmtId="11" fontId="4" fillId="81" borderId="0" xfId="0" applyNumberFormat="1" applyFont="1" applyFill="1" applyAlignment="1">
      <alignment horizontal="center" wrapText="1"/>
    </xf>
    <xf numFmtId="11" fontId="16" fillId="81" borderId="0" xfId="0" applyNumberFormat="1" applyFont="1" applyFill="1" applyAlignment="1">
      <alignment horizontal="center" wrapText="1"/>
    </xf>
    <xf numFmtId="11" fontId="4" fillId="81" borderId="0" xfId="0" applyNumberFormat="1" applyFont="1" applyFill="1" applyAlignment="1">
      <alignment horizontal="center" wrapText="1"/>
    </xf>
    <xf numFmtId="14" fontId="4" fillId="81" borderId="0" xfId="0" applyNumberFormat="1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11" fontId="4" fillId="81" borderId="0" xfId="0" applyNumberFormat="1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0" fontId="10" fillId="78" borderId="3" xfId="0" applyFont="1" applyFill="1" applyBorder="1" applyAlignment="1">
      <alignment horizontal="center" wrapText="1"/>
    </xf>
    <xf numFmtId="0" fontId="10" fillId="78" borderId="3" xfId="0" applyFont="1" applyFill="1" applyBorder="1" applyAlignment="1">
      <alignment horizontal="center" wrapText="1"/>
    </xf>
    <xf numFmtId="164" fontId="10" fillId="78" borderId="3" xfId="0" applyNumberFormat="1" applyFont="1" applyFill="1" applyBorder="1" applyAlignment="1">
      <alignment horizontal="center" wrapText="1"/>
    </xf>
    <xf numFmtId="0" fontId="10" fillId="78" borderId="3" xfId="0" applyFont="1" applyFill="1" applyBorder="1" applyAlignment="1">
      <alignment horizontal="center" wrapText="1"/>
    </xf>
    <xf numFmtId="165" fontId="10" fillId="78" borderId="3" xfId="0" applyNumberFormat="1" applyFont="1" applyFill="1" applyBorder="1" applyAlignment="1">
      <alignment horizontal="center" wrapText="1"/>
    </xf>
    <xf numFmtId="166" fontId="10" fillId="78" borderId="3" xfId="0" applyNumberFormat="1" applyFont="1" applyFill="1" applyBorder="1" applyAlignment="1">
      <alignment horizontal="center" wrapText="1"/>
    </xf>
    <xf numFmtId="164" fontId="11" fillId="78" borderId="3" xfId="0" applyNumberFormat="1" applyFont="1" applyFill="1" applyBorder="1" applyAlignment="1">
      <alignment horizontal="center" wrapText="1"/>
    </xf>
    <xf numFmtId="164" fontId="4" fillId="78" borderId="3" xfId="0" applyNumberFormat="1" applyFont="1" applyFill="1" applyBorder="1" applyAlignment="1">
      <alignment horizontal="center" wrapText="1"/>
    </xf>
    <xf numFmtId="11" fontId="10" fillId="78" borderId="3" xfId="0" applyNumberFormat="1" applyFont="1" applyFill="1" applyBorder="1" applyAlignment="1">
      <alignment horizontal="center" wrapText="1"/>
    </xf>
    <xf numFmtId="11" fontId="10" fillId="78" borderId="3" xfId="0" applyNumberFormat="1" applyFont="1" applyFill="1" applyBorder="1" applyAlignment="1">
      <alignment horizontal="center" wrapText="1"/>
    </xf>
    <xf numFmtId="11" fontId="10" fillId="78" borderId="3" xfId="0" applyNumberFormat="1" applyFont="1" applyFill="1" applyBorder="1" applyAlignment="1">
      <alignment horizontal="center" wrapText="1"/>
    </xf>
    <xf numFmtId="11" fontId="4" fillId="78" borderId="3" xfId="0" applyNumberFormat="1" applyFont="1" applyFill="1" applyBorder="1" applyAlignment="1">
      <alignment horizontal="center" wrapText="1"/>
    </xf>
    <xf numFmtId="0" fontId="10" fillId="78" borderId="3" xfId="0" applyFont="1" applyFill="1" applyBorder="1" applyAlignment="1">
      <alignment horizontal="center" wrapText="1"/>
    </xf>
    <xf numFmtId="0" fontId="10" fillId="78" borderId="3" xfId="0" applyFont="1" applyFill="1" applyBorder="1" applyAlignment="1">
      <alignment horizontal="center" wrapText="1"/>
    </xf>
    <xf numFmtId="0" fontId="4" fillId="78" borderId="3" xfId="0" applyFont="1" applyFill="1" applyBorder="1" applyAlignment="1">
      <alignment horizontal="center" wrapText="1"/>
    </xf>
    <xf numFmtId="0" fontId="10" fillId="78" borderId="3" xfId="0" applyFont="1" applyFill="1" applyBorder="1" applyAlignment="1">
      <alignment horizontal="center" wrapText="1"/>
    </xf>
    <xf numFmtId="0" fontId="10" fillId="78" borderId="0" xfId="0" applyFont="1" applyFill="1" applyAlignment="1">
      <alignment horizontal="center" wrapText="1"/>
    </xf>
    <xf numFmtId="11" fontId="23" fillId="0" borderId="0" xfId="0" applyNumberFormat="1" applyFont="1" applyAlignment="1">
      <alignment horizontal="center" wrapText="1"/>
    </xf>
    <xf numFmtId="11" fontId="45" fillId="0" borderId="0" xfId="0" applyNumberFormat="1" applyFont="1" applyAlignment="1">
      <alignment horizontal="center"/>
    </xf>
    <xf numFmtId="11" fontId="25" fillId="0" borderId="0" xfId="0" applyNumberFormat="1" applyFont="1" applyAlignment="1">
      <alignment horizontal="center"/>
    </xf>
    <xf numFmtId="177" fontId="4" fillId="14" borderId="0" xfId="0" applyNumberFormat="1" applyFont="1" applyFill="1" applyAlignment="1">
      <alignment horizontal="center" wrapText="1"/>
    </xf>
    <xf numFmtId="11" fontId="23" fillId="50" borderId="0" xfId="0" applyNumberFormat="1" applyFont="1" applyFill="1" applyAlignment="1">
      <alignment horizontal="center" wrapText="1"/>
    </xf>
    <xf numFmtId="11" fontId="45" fillId="50" borderId="0" xfId="0" applyNumberFormat="1" applyFont="1" applyFill="1" applyAlignment="1">
      <alignment horizontal="center"/>
    </xf>
    <xf numFmtId="11" fontId="4" fillId="50" borderId="0" xfId="0" applyNumberFormat="1" applyFont="1" applyFill="1" applyAlignment="1">
      <alignment horizontal="center" wrapText="1"/>
    </xf>
    <xf numFmtId="164" fontId="36" fillId="69" borderId="0" xfId="0" applyNumberFormat="1" applyFont="1" applyFill="1" applyAlignment="1">
      <alignment horizontal="center" wrapText="1"/>
    </xf>
    <xf numFmtId="11" fontId="23" fillId="69" borderId="0" xfId="0" applyNumberFormat="1" applyFont="1" applyFill="1" applyAlignment="1">
      <alignment horizontal="center" wrapText="1"/>
    </xf>
    <xf numFmtId="11" fontId="45" fillId="69" borderId="0" xfId="0" applyNumberFormat="1" applyFont="1" applyFill="1" applyAlignment="1">
      <alignment horizontal="center"/>
    </xf>
    <xf numFmtId="11" fontId="14" fillId="69" borderId="0" xfId="0" applyNumberFormat="1" applyFont="1" applyFill="1" applyAlignment="1">
      <alignment horizontal="center" wrapText="1"/>
    </xf>
    <xf numFmtId="166" fontId="25" fillId="69" borderId="0" xfId="0" applyNumberFormat="1" applyFont="1" applyFill="1" applyAlignment="1">
      <alignment horizontal="center" wrapText="1"/>
    </xf>
    <xf numFmtId="164" fontId="1" fillId="69" borderId="3" xfId="0" applyNumberFormat="1" applyFont="1" applyFill="1" applyBorder="1" applyAlignment="1">
      <alignment horizontal="center" wrapText="1"/>
    </xf>
    <xf numFmtId="164" fontId="44" fillId="14" borderId="0" xfId="0" applyNumberFormat="1" applyFont="1" applyFill="1" applyAlignment="1">
      <alignment horizontal="center" wrapText="1"/>
    </xf>
    <xf numFmtId="11" fontId="23" fillId="84" borderId="0" xfId="0" applyNumberFormat="1" applyFont="1" applyFill="1" applyAlignment="1">
      <alignment horizontal="center" wrapText="1"/>
    </xf>
    <xf numFmtId="11" fontId="45" fillId="84" borderId="0" xfId="0" applyNumberFormat="1" applyFont="1" applyFill="1" applyAlignment="1">
      <alignment horizontal="center"/>
    </xf>
    <xf numFmtId="11" fontId="4" fillId="84" borderId="0" xfId="0" applyNumberFormat="1" applyFont="1" applyFill="1" applyAlignment="1">
      <alignment horizontal="center" wrapText="1"/>
    </xf>
    <xf numFmtId="164" fontId="11" fillId="83" borderId="0" xfId="0" applyNumberFormat="1" applyFont="1" applyFill="1" applyAlignment="1">
      <alignment horizontal="center" wrapText="1"/>
    </xf>
    <xf numFmtId="11" fontId="10" fillId="83" borderId="0" xfId="0" applyNumberFormat="1" applyFont="1" applyFill="1" applyAlignment="1">
      <alignment horizontal="center" wrapText="1"/>
    </xf>
    <xf numFmtId="11" fontId="81" fillId="84" borderId="0" xfId="0" applyNumberFormat="1" applyFont="1" applyFill="1" applyAlignment="1">
      <alignment horizontal="center" wrapText="1"/>
    </xf>
    <xf numFmtId="11" fontId="78" fillId="84" borderId="0" xfId="0" applyNumberFormat="1" applyFont="1" applyFill="1" applyAlignment="1">
      <alignment horizontal="center"/>
    </xf>
    <xf numFmtId="11" fontId="10" fillId="84" borderId="0" xfId="0" applyNumberFormat="1" applyFont="1" applyFill="1" applyAlignment="1">
      <alignment horizontal="center" wrapText="1"/>
    </xf>
    <xf numFmtId="0" fontId="24" fillId="83" borderId="0" xfId="0" applyFont="1" applyFill="1" applyAlignment="1">
      <alignment horizontal="center" wrapText="1"/>
    </xf>
    <xf numFmtId="11" fontId="1" fillId="81" borderId="0" xfId="0" applyNumberFormat="1" applyFont="1" applyFill="1" applyAlignment="1">
      <alignment horizontal="center" wrapText="1"/>
    </xf>
    <xf numFmtId="11" fontId="5" fillId="81" borderId="0" xfId="0" applyNumberFormat="1" applyFont="1" applyFill="1" applyAlignment="1">
      <alignment horizontal="center" wrapText="1"/>
    </xf>
    <xf numFmtId="0" fontId="4" fillId="83" borderId="0" xfId="0" applyFont="1" applyFill="1" applyAlignment="1">
      <alignment horizontal="center" wrapText="1"/>
    </xf>
    <xf numFmtId="0" fontId="82" fillId="83" borderId="0" xfId="0" applyFont="1" applyFill="1" applyAlignment="1">
      <alignment horizontal="center" wrapText="1"/>
    </xf>
    <xf numFmtId="0" fontId="82" fillId="83" borderId="0" xfId="0" applyFont="1" applyFill="1" applyAlignment="1">
      <alignment horizontal="center" wrapText="1"/>
    </xf>
    <xf numFmtId="0" fontId="82" fillId="83" borderId="0" xfId="0" applyFont="1" applyFill="1" applyAlignment="1">
      <alignment horizontal="center" wrapText="1"/>
    </xf>
    <xf numFmtId="0" fontId="82" fillId="83" borderId="0" xfId="0" applyFont="1" applyFill="1" applyAlignment="1">
      <alignment horizontal="center" wrapText="1"/>
    </xf>
    <xf numFmtId="0" fontId="82" fillId="83" borderId="0" xfId="0" applyFont="1" applyFill="1" applyAlignment="1">
      <alignment horizontal="center" wrapText="1"/>
    </xf>
    <xf numFmtId="165" fontId="82" fillId="83" borderId="0" xfId="0" applyNumberFormat="1" applyFont="1" applyFill="1" applyAlignment="1">
      <alignment horizontal="center" wrapText="1"/>
    </xf>
    <xf numFmtId="166" fontId="82" fillId="83" borderId="0" xfId="0" applyNumberFormat="1" applyFont="1" applyFill="1" applyAlignment="1">
      <alignment horizontal="center" wrapText="1"/>
    </xf>
    <xf numFmtId="166" fontId="82" fillId="83" borderId="0" xfId="0" applyNumberFormat="1" applyFont="1" applyFill="1" applyAlignment="1">
      <alignment horizontal="center" wrapText="1"/>
    </xf>
    <xf numFmtId="0" fontId="83" fillId="83" borderId="0" xfId="0" applyFont="1" applyFill="1" applyAlignment="1">
      <alignment horizontal="center" wrapText="1"/>
    </xf>
    <xf numFmtId="164" fontId="82" fillId="83" borderId="0" xfId="0" applyNumberFormat="1" applyFont="1" applyFill="1" applyAlignment="1">
      <alignment horizontal="center" wrapText="1"/>
    </xf>
    <xf numFmtId="11" fontId="82" fillId="83" borderId="0" xfId="0" applyNumberFormat="1" applyFont="1" applyFill="1" applyAlignment="1">
      <alignment horizontal="center" wrapText="1"/>
    </xf>
    <xf numFmtId="11" fontId="84" fillId="84" borderId="0" xfId="0" applyNumberFormat="1" applyFont="1" applyFill="1" applyAlignment="1">
      <alignment horizontal="center"/>
    </xf>
    <xf numFmtId="0" fontId="82" fillId="83" borderId="0" xfId="0" applyFont="1" applyFill="1" applyAlignment="1">
      <alignment horizontal="center" wrapText="1"/>
    </xf>
    <xf numFmtId="0" fontId="82" fillId="83" borderId="0" xfId="0" applyFont="1" applyFill="1" applyAlignment="1">
      <alignment horizontal="center" wrapText="1"/>
    </xf>
    <xf numFmtId="0" fontId="82" fillId="83" borderId="0" xfId="0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11" fontId="1" fillId="81" borderId="0" xfId="0" applyNumberFormat="1" applyFont="1" applyFill="1" applyAlignment="1">
      <alignment horizontal="center" wrapText="1"/>
    </xf>
    <xf numFmtId="11" fontId="4" fillId="81" borderId="0" xfId="0" applyNumberFormat="1" applyFont="1" applyFill="1" applyAlignment="1">
      <alignment horizontal="center" wrapText="1"/>
    </xf>
    <xf numFmtId="11" fontId="16" fillId="81" borderId="0" xfId="0" applyNumberFormat="1" applyFont="1" applyFill="1" applyAlignment="1">
      <alignment horizontal="center" wrapText="1"/>
    </xf>
    <xf numFmtId="0" fontId="4" fillId="81" borderId="0" xfId="0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164" fontId="4" fillId="38" borderId="0" xfId="0" applyNumberFormat="1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165" fontId="4" fillId="38" borderId="0" xfId="0" applyNumberFormat="1" applyFont="1" applyFill="1" applyAlignment="1">
      <alignment horizontal="center" wrapText="1"/>
    </xf>
    <xf numFmtId="166" fontId="4" fillId="38" borderId="0" xfId="0" applyNumberFormat="1" applyFont="1" applyFill="1" applyAlignment="1">
      <alignment horizontal="center" wrapText="1"/>
    </xf>
    <xf numFmtId="164" fontId="1" fillId="38" borderId="0" xfId="0" applyNumberFormat="1" applyFont="1" applyFill="1" applyAlignment="1">
      <alignment horizontal="center" wrapText="1"/>
    </xf>
    <xf numFmtId="11" fontId="4" fillId="38" borderId="0" xfId="0" applyNumberFormat="1" applyFont="1" applyFill="1" applyAlignment="1">
      <alignment horizontal="center" wrapText="1"/>
    </xf>
    <xf numFmtId="11" fontId="1" fillId="38" borderId="0" xfId="0" applyNumberFormat="1" applyFont="1" applyFill="1" applyAlignment="1">
      <alignment horizontal="center" wrapText="1"/>
    </xf>
    <xf numFmtId="11" fontId="4" fillId="38" borderId="0" xfId="0" applyNumberFormat="1" applyFont="1" applyFill="1" applyAlignment="1">
      <alignment horizontal="center" wrapText="1"/>
    </xf>
    <xf numFmtId="11" fontId="5" fillId="38" borderId="0" xfId="0" applyNumberFormat="1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16" fillId="14" borderId="0" xfId="0" applyFont="1" applyFill="1" applyAlignment="1">
      <alignment wrapText="1"/>
    </xf>
    <xf numFmtId="165" fontId="16" fillId="14" borderId="0" xfId="0" applyNumberFormat="1" applyFont="1" applyFill="1" applyAlignment="1">
      <alignment wrapText="1"/>
    </xf>
    <xf numFmtId="166" fontId="16" fillId="14" borderId="0" xfId="0" applyNumberFormat="1" applyFont="1" applyFill="1" applyAlignment="1">
      <alignment wrapText="1"/>
    </xf>
    <xf numFmtId="166" fontId="16" fillId="14" borderId="0" xfId="0" applyNumberFormat="1" applyFont="1" applyFill="1" applyAlignment="1">
      <alignment horizontal="center" wrapText="1"/>
    </xf>
    <xf numFmtId="164" fontId="16" fillId="14" borderId="0" xfId="0" applyNumberFormat="1" applyFont="1" applyFill="1" applyAlignment="1">
      <alignment wrapText="1"/>
    </xf>
    <xf numFmtId="11" fontId="16" fillId="14" borderId="0" xfId="0" applyNumberFormat="1" applyFont="1" applyFill="1" applyAlignment="1">
      <alignment wrapText="1"/>
    </xf>
    <xf numFmtId="11" fontId="16" fillId="14" borderId="0" xfId="0" applyNumberFormat="1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26" fillId="0" borderId="0" xfId="0" applyFont="1" applyAlignment="1">
      <alignment horizontal="center" wrapText="1"/>
    </xf>
    <xf numFmtId="11" fontId="12" fillId="32" borderId="0" xfId="0" applyNumberFormat="1" applyFont="1" applyFill="1" applyAlignment="1">
      <alignment horizontal="center" wrapText="1"/>
    </xf>
    <xf numFmtId="0" fontId="4" fillId="32" borderId="0" xfId="0" applyFont="1" applyFill="1" applyAlignment="1">
      <alignment horizontal="center" wrapText="1"/>
    </xf>
    <xf numFmtId="11" fontId="5" fillId="81" borderId="0" xfId="0" applyNumberFormat="1" applyFont="1" applyFill="1" applyAlignment="1">
      <alignment horizontal="center" wrapText="1"/>
    </xf>
    <xf numFmtId="11" fontId="78" fillId="14" borderId="0" xfId="0" applyNumberFormat="1" applyFont="1" applyFill="1" applyAlignment="1">
      <alignment horizontal="center"/>
    </xf>
    <xf numFmtId="0" fontId="71" fillId="32" borderId="0" xfId="0" applyFont="1" applyFill="1" applyAlignment="1">
      <alignment horizontal="center" wrapText="1"/>
    </xf>
    <xf numFmtId="0" fontId="71" fillId="32" borderId="0" xfId="0" applyFont="1" applyFill="1" applyAlignment="1">
      <alignment horizontal="center" wrapText="1"/>
    </xf>
    <xf numFmtId="0" fontId="71" fillId="32" borderId="0" xfId="0" applyFont="1" applyFill="1" applyAlignment="1">
      <alignment horizontal="center" wrapText="1"/>
    </xf>
    <xf numFmtId="164" fontId="71" fillId="32" borderId="0" xfId="0" applyNumberFormat="1" applyFont="1" applyFill="1" applyAlignment="1">
      <alignment horizontal="center" wrapText="1"/>
    </xf>
    <xf numFmtId="0" fontId="71" fillId="32" borderId="0" xfId="0" applyFont="1" applyFill="1" applyAlignment="1">
      <alignment horizontal="center" wrapText="1"/>
    </xf>
    <xf numFmtId="0" fontId="71" fillId="32" borderId="0" xfId="0" applyFont="1" applyFill="1" applyAlignment="1">
      <alignment horizontal="center" wrapText="1"/>
    </xf>
    <xf numFmtId="165" fontId="71" fillId="32" borderId="0" xfId="0" applyNumberFormat="1" applyFont="1" applyFill="1" applyAlignment="1">
      <alignment horizontal="center" wrapText="1"/>
    </xf>
    <xf numFmtId="166" fontId="71" fillId="32" borderId="0" xfId="0" applyNumberFormat="1" applyFont="1" applyFill="1" applyAlignment="1">
      <alignment horizontal="center" wrapText="1"/>
    </xf>
    <xf numFmtId="166" fontId="71" fillId="32" borderId="0" xfId="0" applyNumberFormat="1" applyFont="1" applyFill="1" applyAlignment="1">
      <alignment horizontal="center" wrapText="1"/>
    </xf>
    <xf numFmtId="164" fontId="55" fillId="32" borderId="0" xfId="0" applyNumberFormat="1" applyFont="1" applyFill="1" applyAlignment="1">
      <alignment horizontal="center" wrapText="1"/>
    </xf>
    <xf numFmtId="164" fontId="85" fillId="32" borderId="0" xfId="0" applyNumberFormat="1" applyFont="1" applyFill="1" applyAlignment="1">
      <alignment horizontal="center" wrapText="1"/>
    </xf>
    <xf numFmtId="11" fontId="71" fillId="32" borderId="0" xfId="0" applyNumberFormat="1" applyFont="1" applyFill="1" applyAlignment="1">
      <alignment horizontal="center" wrapText="1"/>
    </xf>
    <xf numFmtId="11" fontId="71" fillId="32" borderId="0" xfId="0" applyNumberFormat="1" applyFont="1" applyFill="1" applyAlignment="1">
      <alignment horizontal="center" wrapText="1"/>
    </xf>
    <xf numFmtId="0" fontId="14" fillId="32" borderId="0" xfId="0" applyFont="1" applyFill="1" applyAlignment="1">
      <alignment horizontal="center" wrapText="1"/>
    </xf>
    <xf numFmtId="0" fontId="14" fillId="32" borderId="0" xfId="0" applyFont="1" applyFill="1" applyAlignment="1">
      <alignment horizontal="center" wrapText="1"/>
    </xf>
    <xf numFmtId="0" fontId="14" fillId="32" borderId="0" xfId="0" applyFont="1" applyFill="1" applyAlignment="1">
      <alignment horizontal="center" wrapText="1"/>
    </xf>
    <xf numFmtId="0" fontId="14" fillId="32" borderId="0" xfId="0" applyFont="1" applyFill="1" applyAlignment="1">
      <alignment horizontal="center" wrapText="1"/>
    </xf>
    <xf numFmtId="0" fontId="4" fillId="9" borderId="0" xfId="0" applyFont="1" applyFill="1" applyAlignment="1">
      <alignment horizontal="center" wrapText="1"/>
    </xf>
    <xf numFmtId="0" fontId="4" fillId="9" borderId="0" xfId="0" applyFont="1" applyFill="1" applyAlignment="1">
      <alignment horizontal="center" wrapText="1"/>
    </xf>
    <xf numFmtId="0" fontId="4" fillId="9" borderId="0" xfId="0" applyFont="1" applyFill="1" applyAlignment="1">
      <alignment horizontal="center" wrapText="1"/>
    </xf>
    <xf numFmtId="164" fontId="4" fillId="9" borderId="0" xfId="0" applyNumberFormat="1" applyFont="1" applyFill="1" applyAlignment="1">
      <alignment horizontal="center" wrapText="1"/>
    </xf>
    <xf numFmtId="0" fontId="4" fillId="9" borderId="0" xfId="0" applyFont="1" applyFill="1" applyAlignment="1">
      <alignment horizontal="center" wrapText="1"/>
    </xf>
    <xf numFmtId="165" fontId="4" fillId="9" borderId="0" xfId="0" applyNumberFormat="1" applyFont="1" applyFill="1" applyAlignment="1">
      <alignment horizontal="center" wrapText="1"/>
    </xf>
    <xf numFmtId="14" fontId="4" fillId="9" borderId="0" xfId="0" applyNumberFormat="1" applyFont="1" applyFill="1" applyAlignment="1">
      <alignment horizontal="center" wrapText="1"/>
    </xf>
    <xf numFmtId="166" fontId="4" fillId="9" borderId="0" xfId="0" applyNumberFormat="1" applyFont="1" applyFill="1" applyAlignment="1">
      <alignment horizontal="center" wrapText="1"/>
    </xf>
    <xf numFmtId="164" fontId="1" fillId="9" borderId="0" xfId="0" applyNumberFormat="1" applyFont="1" applyFill="1" applyAlignment="1">
      <alignment horizontal="center" wrapText="1"/>
    </xf>
    <xf numFmtId="11" fontId="4" fillId="9" borderId="0" xfId="0" applyNumberFormat="1" applyFont="1" applyFill="1" applyAlignment="1">
      <alignment horizontal="center" wrapText="1"/>
    </xf>
    <xf numFmtId="11" fontId="5" fillId="9" borderId="0" xfId="0" applyNumberFormat="1" applyFont="1" applyFill="1" applyAlignment="1">
      <alignment horizontal="center" wrapText="1"/>
    </xf>
    <xf numFmtId="11" fontId="5" fillId="9" borderId="0" xfId="0" applyNumberFormat="1" applyFont="1" applyFill="1" applyAlignment="1">
      <alignment horizontal="center" wrapText="1"/>
    </xf>
    <xf numFmtId="0" fontId="4" fillId="9" borderId="0" xfId="0" applyFont="1" applyFill="1" applyAlignment="1">
      <alignment horizontal="center" wrapText="1"/>
    </xf>
    <xf numFmtId="0" fontId="4" fillId="9" borderId="0" xfId="0" applyFont="1" applyFill="1" applyAlignment="1">
      <alignment horizontal="center" wrapText="1"/>
    </xf>
    <xf numFmtId="0" fontId="4" fillId="9" borderId="0" xfId="0" applyFont="1" applyFill="1" applyAlignment="1">
      <alignment horizontal="center" wrapText="1"/>
    </xf>
    <xf numFmtId="0" fontId="4" fillId="38" borderId="0" xfId="0" applyFont="1" applyFill="1" applyAlignment="1">
      <alignment horizontal="center" wrapText="1"/>
    </xf>
    <xf numFmtId="0" fontId="14" fillId="38" borderId="0" xfId="0" applyFont="1" applyFill="1" applyAlignment="1">
      <alignment horizontal="center" wrapText="1"/>
    </xf>
    <xf numFmtId="11" fontId="5" fillId="38" borderId="0" xfId="0" applyNumberFormat="1" applyFont="1" applyFill="1" applyAlignment="1">
      <alignment horizontal="center" wrapText="1"/>
    </xf>
    <xf numFmtId="0" fontId="14" fillId="14" borderId="0" xfId="0" applyFont="1" applyFill="1" applyAlignment="1">
      <alignment horizontal="center" wrapText="1"/>
    </xf>
    <xf numFmtId="11" fontId="1" fillId="2" borderId="0" xfId="0" applyNumberFormat="1" applyFont="1" applyFill="1" applyAlignment="1">
      <alignment horizontal="center" wrapText="1"/>
    </xf>
    <xf numFmtId="11" fontId="5" fillId="2" borderId="0" xfId="0" applyNumberFormat="1" applyFont="1" applyFill="1" applyAlignment="1">
      <alignment horizontal="center" wrapText="1"/>
    </xf>
    <xf numFmtId="0" fontId="86" fillId="35" borderId="0" xfId="0" applyFont="1" applyFill="1" applyAlignment="1">
      <alignment horizontal="center" wrapText="1"/>
    </xf>
    <xf numFmtId="14" fontId="10" fillId="13" borderId="0" xfId="0" applyNumberFormat="1" applyFont="1" applyFill="1" applyAlignment="1">
      <alignment horizontal="center" wrapText="1"/>
    </xf>
    <xf numFmtId="164" fontId="11" fillId="13" borderId="0" xfId="0" applyNumberFormat="1" applyFont="1" applyFill="1" applyAlignment="1">
      <alignment horizontal="center" wrapText="1"/>
    </xf>
    <xf numFmtId="11" fontId="11" fillId="35" borderId="0" xfId="0" applyNumberFormat="1" applyFont="1" applyFill="1" applyAlignment="1">
      <alignment horizontal="center" wrapText="1"/>
    </xf>
    <xf numFmtId="11" fontId="12" fillId="35" borderId="0" xfId="0" applyNumberFormat="1" applyFont="1" applyFill="1" applyAlignment="1">
      <alignment horizontal="center" wrapText="1"/>
    </xf>
    <xf numFmtId="11" fontId="10" fillId="13" borderId="0" xfId="0" applyNumberFormat="1" applyFont="1" applyFill="1" applyAlignment="1">
      <alignment horizontal="center" wrapText="1"/>
    </xf>
    <xf numFmtId="0" fontId="57" fillId="13" borderId="0" xfId="0" applyFont="1" applyFill="1" applyAlignment="1">
      <alignment horizontal="center" wrapText="1"/>
    </xf>
    <xf numFmtId="0" fontId="57" fillId="13" borderId="0" xfId="0" applyFont="1" applyFill="1" applyAlignment="1">
      <alignment horizontal="center" wrapText="1"/>
    </xf>
    <xf numFmtId="165" fontId="57" fillId="13" borderId="0" xfId="0" applyNumberFormat="1" applyFont="1" applyFill="1" applyAlignment="1">
      <alignment horizontal="center" wrapText="1"/>
    </xf>
    <xf numFmtId="164" fontId="61" fillId="13" borderId="0" xfId="0" applyNumberFormat="1" applyFont="1" applyFill="1" applyAlignment="1">
      <alignment horizontal="center" wrapText="1"/>
    </xf>
    <xf numFmtId="164" fontId="57" fillId="13" borderId="0" xfId="0" applyNumberFormat="1" applyFont="1" applyFill="1" applyAlignment="1">
      <alignment horizontal="center" wrapText="1"/>
    </xf>
    <xf numFmtId="11" fontId="57" fillId="13" borderId="0" xfId="0" applyNumberFormat="1" applyFont="1" applyFill="1" applyAlignment="1">
      <alignment horizontal="center" wrapText="1"/>
    </xf>
    <xf numFmtId="14" fontId="57" fillId="13" borderId="0" xfId="0" applyNumberFormat="1" applyFont="1" applyFill="1" applyAlignment="1">
      <alignment horizontal="center" wrapText="1"/>
    </xf>
    <xf numFmtId="0" fontId="57" fillId="13" borderId="0" xfId="0" applyFont="1" applyFill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11" fontId="4" fillId="78" borderId="0" xfId="0" applyNumberFormat="1" applyFont="1" applyFill="1" applyAlignment="1">
      <alignment horizontal="center" wrapText="1"/>
    </xf>
    <xf numFmtId="11" fontId="1" fillId="78" borderId="0" xfId="0" applyNumberFormat="1" applyFont="1" applyFill="1" applyAlignment="1">
      <alignment horizontal="center" wrapText="1"/>
    </xf>
    <xf numFmtId="11" fontId="16" fillId="78" borderId="0" xfId="0" applyNumberFormat="1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164" fontId="4" fillId="85" borderId="0" xfId="0" applyNumberFormat="1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41" fillId="85" borderId="0" xfId="0" applyFont="1" applyFill="1" applyAlignment="1">
      <alignment horizontal="center" wrapText="1"/>
    </xf>
    <xf numFmtId="165" fontId="4" fillId="85" borderId="0" xfId="0" applyNumberFormat="1" applyFont="1" applyFill="1" applyAlignment="1">
      <alignment horizontal="center" wrapText="1"/>
    </xf>
    <xf numFmtId="166" fontId="4" fillId="85" borderId="0" xfId="0" applyNumberFormat="1" applyFont="1" applyFill="1" applyAlignment="1">
      <alignment horizontal="center" wrapText="1"/>
    </xf>
    <xf numFmtId="166" fontId="4" fillId="85" borderId="0" xfId="0" applyNumberFormat="1" applyFont="1" applyFill="1" applyAlignment="1">
      <alignment horizontal="center" wrapText="1"/>
    </xf>
    <xf numFmtId="164" fontId="1" fillId="85" borderId="0" xfId="0" applyNumberFormat="1" applyFont="1" applyFill="1" applyAlignment="1">
      <alignment horizontal="center" wrapText="1"/>
    </xf>
    <xf numFmtId="11" fontId="4" fillId="85" borderId="0" xfId="0" applyNumberFormat="1" applyFont="1" applyFill="1" applyAlignment="1">
      <alignment horizontal="center" wrapText="1"/>
    </xf>
    <xf numFmtId="11" fontId="1" fillId="85" borderId="0" xfId="0" applyNumberFormat="1" applyFont="1" applyFill="1" applyAlignment="1">
      <alignment horizontal="center" wrapText="1"/>
    </xf>
    <xf numFmtId="11" fontId="16" fillId="85" borderId="0" xfId="0" applyNumberFormat="1" applyFont="1" applyFill="1" applyAlignment="1">
      <alignment horizontal="center" wrapText="1"/>
    </xf>
    <xf numFmtId="11" fontId="16" fillId="85" borderId="0" xfId="0" applyNumberFormat="1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4" fillId="85" borderId="0" xfId="0" applyFont="1" applyFill="1" applyAlignment="1">
      <alignment horizontal="center" wrapText="1"/>
    </xf>
    <xf numFmtId="0" fontId="10" fillId="65" borderId="0" xfId="0" applyFont="1" applyFill="1" applyAlignment="1">
      <alignment horizontal="center" wrapText="1"/>
    </xf>
    <xf numFmtId="0" fontId="10" fillId="65" borderId="0" xfId="0" applyFont="1" applyFill="1" applyAlignment="1">
      <alignment horizontal="center" wrapText="1"/>
    </xf>
    <xf numFmtId="0" fontId="10" fillId="65" borderId="0" xfId="0" applyFont="1" applyFill="1" applyAlignment="1">
      <alignment horizontal="center" wrapText="1"/>
    </xf>
    <xf numFmtId="164" fontId="10" fillId="65" borderId="0" xfId="0" applyNumberFormat="1" applyFont="1" applyFill="1" applyAlignment="1">
      <alignment horizontal="center" wrapText="1"/>
    </xf>
    <xf numFmtId="0" fontId="10" fillId="65" borderId="0" xfId="0" applyFont="1" applyFill="1" applyAlignment="1">
      <alignment horizontal="center" wrapText="1"/>
    </xf>
    <xf numFmtId="0" fontId="10" fillId="65" borderId="0" xfId="0" applyFont="1" applyFill="1" applyAlignment="1">
      <alignment horizontal="center" wrapText="1"/>
    </xf>
    <xf numFmtId="165" fontId="10" fillId="65" borderId="0" xfId="0" applyNumberFormat="1" applyFont="1" applyFill="1" applyAlignment="1">
      <alignment horizontal="center" wrapText="1"/>
    </xf>
    <xf numFmtId="166" fontId="10" fillId="65" borderId="0" xfId="0" applyNumberFormat="1" applyFont="1" applyFill="1" applyAlignment="1">
      <alignment horizontal="center" wrapText="1"/>
    </xf>
    <xf numFmtId="166" fontId="10" fillId="65" borderId="0" xfId="0" applyNumberFormat="1" applyFont="1" applyFill="1" applyAlignment="1">
      <alignment horizontal="center" wrapText="1"/>
    </xf>
    <xf numFmtId="164" fontId="11" fillId="65" borderId="0" xfId="0" applyNumberFormat="1" applyFont="1" applyFill="1" applyAlignment="1">
      <alignment horizontal="center" wrapText="1"/>
    </xf>
    <xf numFmtId="11" fontId="10" fillId="65" borderId="0" xfId="0" applyNumberFormat="1" applyFont="1" applyFill="1" applyAlignment="1">
      <alignment horizontal="center" wrapText="1"/>
    </xf>
    <xf numFmtId="11" fontId="13" fillId="65" borderId="0" xfId="0" applyNumberFormat="1" applyFont="1" applyFill="1" applyAlignment="1">
      <alignment horizontal="center" wrapText="1"/>
    </xf>
    <xf numFmtId="11" fontId="57" fillId="65" borderId="0" xfId="0" applyNumberFormat="1" applyFont="1" applyFill="1" applyAlignment="1">
      <alignment horizontal="center"/>
    </xf>
    <xf numFmtId="11" fontId="57" fillId="65" borderId="0" xfId="0" applyNumberFormat="1" applyFont="1" applyFill="1" applyAlignment="1">
      <alignment horizontal="center" wrapText="1"/>
    </xf>
    <xf numFmtId="0" fontId="10" fillId="65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0" fontId="10" fillId="65" borderId="0" xfId="0" applyFont="1" applyFill="1" applyAlignment="1">
      <alignment horizontal="center" wrapText="1"/>
    </xf>
    <xf numFmtId="11" fontId="11" fillId="65" borderId="0" xfId="0" applyNumberFormat="1" applyFont="1" applyFill="1" applyAlignment="1">
      <alignment horizontal="center" wrapText="1"/>
    </xf>
    <xf numFmtId="11" fontId="10" fillId="65" borderId="0" xfId="0" applyNumberFormat="1" applyFont="1" applyFill="1" applyAlignment="1">
      <alignment horizontal="center" wrapText="1"/>
    </xf>
    <xf numFmtId="11" fontId="10" fillId="65" borderId="0" xfId="0" applyNumberFormat="1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164" fontId="10" fillId="65" borderId="0" xfId="0" applyNumberFormat="1" applyFont="1" applyFill="1" applyAlignment="1">
      <alignment horizontal="center" wrapText="1"/>
    </xf>
    <xf numFmtId="14" fontId="10" fillId="65" borderId="0" xfId="0" applyNumberFormat="1" applyFont="1" applyFill="1" applyAlignment="1">
      <alignment horizontal="center" wrapText="1"/>
    </xf>
    <xf numFmtId="0" fontId="16" fillId="18" borderId="0" xfId="0" applyFont="1" applyFill="1" applyAlignment="1">
      <alignment horizontal="center" wrapText="1"/>
    </xf>
    <xf numFmtId="164" fontId="55" fillId="83" borderId="0" xfId="0" applyNumberFormat="1" applyFont="1" applyFill="1" applyAlignment="1">
      <alignment horizontal="center" wrapText="1"/>
    </xf>
    <xf numFmtId="166" fontId="4" fillId="27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vertical="center" wrapText="1"/>
    </xf>
    <xf numFmtId="0" fontId="10" fillId="32" borderId="0" xfId="0" applyFont="1" applyFill="1" applyAlignment="1">
      <alignment horizontal="center" vertical="center" wrapText="1"/>
    </xf>
    <xf numFmtId="0" fontId="10" fillId="32" borderId="0" xfId="0" applyFont="1" applyFill="1" applyAlignment="1">
      <alignment horizontal="center" vertical="center" wrapText="1"/>
    </xf>
    <xf numFmtId="164" fontId="10" fillId="32" borderId="0" xfId="0" applyNumberFormat="1" applyFont="1" applyFill="1" applyAlignment="1">
      <alignment horizontal="center" vertical="center" wrapText="1"/>
    </xf>
    <xf numFmtId="0" fontId="10" fillId="32" borderId="0" xfId="0" applyFont="1" applyFill="1" applyAlignment="1">
      <alignment horizontal="center" vertical="center" wrapText="1"/>
    </xf>
    <xf numFmtId="0" fontId="10" fillId="32" borderId="0" xfId="0" applyFont="1" applyFill="1" applyAlignment="1">
      <alignment horizontal="center" vertical="center" wrapText="1"/>
    </xf>
    <xf numFmtId="165" fontId="10" fillId="32" borderId="0" xfId="0" applyNumberFormat="1" applyFont="1" applyFill="1" applyAlignment="1">
      <alignment horizontal="center" vertical="center" wrapText="1"/>
    </xf>
    <xf numFmtId="14" fontId="10" fillId="32" borderId="0" xfId="0" applyNumberFormat="1" applyFont="1" applyFill="1" applyAlignment="1">
      <alignment horizontal="center" vertical="center" wrapText="1"/>
    </xf>
    <xf numFmtId="166" fontId="10" fillId="32" borderId="0" xfId="0" applyNumberFormat="1" applyFont="1" applyFill="1" applyAlignment="1">
      <alignment horizontal="center" vertical="center" wrapText="1"/>
    </xf>
    <xf numFmtId="164" fontId="11" fillId="32" borderId="0" xfId="0" applyNumberFormat="1" applyFont="1" applyFill="1" applyAlignment="1">
      <alignment horizontal="center" vertical="center" wrapText="1"/>
    </xf>
    <xf numFmtId="11" fontId="10" fillId="32" borderId="0" xfId="0" applyNumberFormat="1" applyFont="1" applyFill="1" applyAlignment="1">
      <alignment horizontal="center" vertical="center" wrapText="1"/>
    </xf>
    <xf numFmtId="11" fontId="11" fillId="32" borderId="0" xfId="0" applyNumberFormat="1" applyFont="1" applyFill="1" applyAlignment="1">
      <alignment horizontal="center" vertical="center" wrapText="1"/>
    </xf>
    <xf numFmtId="11" fontId="10" fillId="32" borderId="0" xfId="0" applyNumberFormat="1" applyFont="1" applyFill="1" applyAlignment="1">
      <alignment horizontal="center" vertical="center" wrapText="1"/>
    </xf>
    <xf numFmtId="11" fontId="10" fillId="32" borderId="0" xfId="0" applyNumberFormat="1" applyFont="1" applyFill="1" applyAlignment="1">
      <alignment horizontal="center" vertical="center" wrapText="1"/>
    </xf>
    <xf numFmtId="0" fontId="10" fillId="32" borderId="0" xfId="0" applyFont="1" applyFill="1" applyAlignment="1">
      <alignment horizontal="center" vertical="center" wrapText="1"/>
    </xf>
    <xf numFmtId="0" fontId="4" fillId="32" borderId="0" xfId="0" applyFont="1" applyFill="1" applyAlignment="1">
      <alignment horizontal="center" vertical="center" wrapText="1"/>
    </xf>
    <xf numFmtId="0" fontId="4" fillId="32" borderId="0" xfId="0" applyFont="1" applyFill="1" applyAlignment="1">
      <alignment horizontal="center" vertical="center" wrapText="1"/>
    </xf>
    <xf numFmtId="0" fontId="4" fillId="75" borderId="4" xfId="0" applyFont="1" applyFill="1" applyBorder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4" fillId="75" borderId="3" xfId="0" applyFont="1" applyFill="1" applyBorder="1" applyAlignment="1">
      <alignment horizontal="center" wrapText="1"/>
    </xf>
    <xf numFmtId="11" fontId="4" fillId="75" borderId="3" xfId="0" applyNumberFormat="1" applyFont="1" applyFill="1" applyBorder="1" applyAlignment="1">
      <alignment horizontal="center" wrapText="1"/>
    </xf>
    <xf numFmtId="11" fontId="1" fillId="75" borderId="3" xfId="0" applyNumberFormat="1" applyFont="1" applyFill="1" applyBorder="1" applyAlignment="1">
      <alignment horizontal="center" wrapText="1"/>
    </xf>
    <xf numFmtId="11" fontId="4" fillId="75" borderId="3" xfId="0" applyNumberFormat="1" applyFont="1" applyFill="1" applyBorder="1" applyAlignment="1">
      <alignment horizontal="center" wrapText="1"/>
    </xf>
    <xf numFmtId="11" fontId="5" fillId="75" borderId="3" xfId="0" applyNumberFormat="1" applyFont="1" applyFill="1" applyBorder="1" applyAlignment="1">
      <alignment horizontal="center" wrapText="1"/>
    </xf>
    <xf numFmtId="11" fontId="16" fillId="0" borderId="0" xfId="0" applyNumberFormat="1" applyFont="1" applyAlignment="1">
      <alignment horizontal="center"/>
    </xf>
    <xf numFmtId="11" fontId="14" fillId="67" borderId="0" xfId="0" applyNumberFormat="1" applyFont="1" applyFill="1" applyAlignment="1">
      <alignment horizontal="center" wrapText="1"/>
    </xf>
    <xf numFmtId="0" fontId="10" fillId="32" borderId="0" xfId="0" applyFont="1" applyFill="1" applyAlignment="1">
      <alignment horizontal="center" vertical="center" wrapText="1"/>
    </xf>
    <xf numFmtId="166" fontId="10" fillId="32" borderId="0" xfId="0" applyNumberFormat="1" applyFont="1" applyFill="1" applyAlignment="1">
      <alignment horizontal="center" vertical="center" wrapText="1"/>
    </xf>
    <xf numFmtId="11" fontId="12" fillId="32" borderId="0" xfId="0" applyNumberFormat="1" applyFont="1" applyFill="1" applyAlignment="1">
      <alignment horizontal="center" vertical="center" wrapText="1"/>
    </xf>
    <xf numFmtId="11" fontId="10" fillId="32" borderId="0" xfId="0" applyNumberFormat="1" applyFont="1" applyFill="1" applyAlignment="1">
      <alignment horizontal="center" vertical="center" wrapText="1"/>
    </xf>
    <xf numFmtId="0" fontId="4" fillId="32" borderId="0" xfId="0" applyFont="1" applyFill="1" applyAlignment="1">
      <alignment horizontal="center" vertical="center" wrapText="1"/>
    </xf>
    <xf numFmtId="11" fontId="10" fillId="32" borderId="0" xfId="0" applyNumberFormat="1" applyFont="1" applyFill="1" applyAlignment="1">
      <alignment horizontal="center" wrapText="1"/>
    </xf>
    <xf numFmtId="164" fontId="44" fillId="37" borderId="0" xfId="0" applyNumberFormat="1" applyFont="1" applyFill="1" applyAlignment="1">
      <alignment horizontal="center" wrapText="1"/>
    </xf>
    <xf numFmtId="165" fontId="10" fillId="14" borderId="0" xfId="0" applyNumberFormat="1" applyFont="1" applyFill="1" applyAlignment="1">
      <alignment horizontal="center" wrapText="1"/>
    </xf>
    <xf numFmtId="11" fontId="57" fillId="0" borderId="0" xfId="0" applyNumberFormat="1" applyFont="1" applyAlignment="1">
      <alignment horizontal="center"/>
    </xf>
    <xf numFmtId="11" fontId="10" fillId="14" borderId="0" xfId="0" applyNumberFormat="1" applyFont="1" applyFill="1" applyAlignment="1">
      <alignment horizontal="center" wrapText="1"/>
    </xf>
    <xf numFmtId="164" fontId="24" fillId="14" borderId="0" xfId="0" applyNumberFormat="1" applyFont="1" applyFill="1" applyAlignment="1">
      <alignment horizontal="center" wrapText="1"/>
    </xf>
    <xf numFmtId="0" fontId="4" fillId="78" borderId="0" xfId="0" applyFont="1" applyFill="1" applyAlignment="1">
      <alignment horizontal="center" wrapText="1"/>
    </xf>
    <xf numFmtId="166" fontId="4" fillId="78" borderId="0" xfId="0" applyNumberFormat="1" applyFont="1" applyFill="1" applyAlignment="1">
      <alignment horizontal="center" wrapText="1"/>
    </xf>
    <xf numFmtId="166" fontId="4" fillId="78" borderId="0" xfId="0" applyNumberFormat="1" applyFont="1" applyFill="1" applyAlignment="1">
      <alignment horizontal="center" vertical="center" wrapText="1"/>
    </xf>
    <xf numFmtId="11" fontId="5" fillId="78" borderId="0" xfId="0" applyNumberFormat="1" applyFont="1" applyFill="1" applyAlignment="1">
      <alignment horizontal="center" wrapText="1"/>
    </xf>
    <xf numFmtId="11" fontId="16" fillId="78" borderId="0" xfId="0" applyNumberFormat="1" applyFont="1" applyFill="1" applyAlignment="1">
      <alignment horizontal="center"/>
    </xf>
    <xf numFmtId="11" fontId="4" fillId="78" borderId="0" xfId="0" applyNumberFormat="1" applyFont="1" applyFill="1" applyAlignment="1">
      <alignment horizontal="center" wrapText="1"/>
    </xf>
    <xf numFmtId="0" fontId="5" fillId="75" borderId="0" xfId="0" applyFont="1" applyFill="1" applyAlignment="1">
      <alignment horizontal="center" wrapText="1"/>
    </xf>
    <xf numFmtId="166" fontId="4" fillId="75" borderId="0" xfId="0" applyNumberFormat="1" applyFont="1" applyFill="1" applyAlignment="1">
      <alignment horizontal="center" vertical="center" wrapText="1"/>
    </xf>
    <xf numFmtId="11" fontId="5" fillId="75" borderId="0" xfId="0" applyNumberFormat="1" applyFont="1" applyFill="1" applyAlignment="1">
      <alignment horizontal="center" wrapText="1"/>
    </xf>
    <xf numFmtId="11" fontId="16" fillId="75" borderId="0" xfId="0" applyNumberFormat="1" applyFont="1" applyFill="1" applyAlignment="1">
      <alignment horizontal="center"/>
    </xf>
    <xf numFmtId="11" fontId="4" fillId="75" borderId="0" xfId="0" applyNumberFormat="1" applyFont="1" applyFill="1" applyAlignment="1">
      <alignment horizontal="center" wrapText="1"/>
    </xf>
    <xf numFmtId="0" fontId="10" fillId="27" borderId="0" xfId="0" applyFont="1" applyFill="1" applyAlignment="1">
      <alignment horizontal="center" vertical="center" wrapText="1"/>
    </xf>
    <xf numFmtId="0" fontId="10" fillId="27" borderId="0" xfId="0" applyFont="1" applyFill="1" applyAlignment="1">
      <alignment horizontal="center" vertical="center" wrapText="1"/>
    </xf>
    <xf numFmtId="0" fontId="10" fillId="27" borderId="0" xfId="0" applyFont="1" applyFill="1" applyAlignment="1">
      <alignment horizontal="center" vertical="center" wrapText="1"/>
    </xf>
    <xf numFmtId="164" fontId="10" fillId="27" borderId="0" xfId="0" applyNumberFormat="1" applyFont="1" applyFill="1" applyAlignment="1">
      <alignment horizontal="center" vertical="center" wrapText="1"/>
    </xf>
    <xf numFmtId="0" fontId="10" fillId="27" borderId="0" xfId="0" applyFont="1" applyFill="1" applyAlignment="1">
      <alignment horizontal="center" vertical="center" wrapText="1"/>
    </xf>
    <xf numFmtId="165" fontId="10" fillId="27" borderId="0" xfId="0" applyNumberFormat="1" applyFont="1" applyFill="1" applyAlignment="1">
      <alignment horizontal="center" vertical="center" wrapText="1"/>
    </xf>
    <xf numFmtId="166" fontId="10" fillId="27" borderId="0" xfId="0" applyNumberFormat="1" applyFont="1" applyFill="1" applyAlignment="1">
      <alignment horizontal="center" vertical="center" wrapText="1"/>
    </xf>
    <xf numFmtId="166" fontId="10" fillId="27" borderId="0" xfId="0" applyNumberFormat="1" applyFont="1" applyFill="1" applyAlignment="1">
      <alignment horizontal="center" vertical="center" wrapText="1"/>
    </xf>
    <xf numFmtId="164" fontId="11" fillId="27" borderId="0" xfId="0" applyNumberFormat="1" applyFont="1" applyFill="1" applyAlignment="1">
      <alignment horizontal="center" vertical="center" wrapText="1"/>
    </xf>
    <xf numFmtId="11" fontId="10" fillId="27" borderId="0" xfId="0" applyNumberFormat="1" applyFont="1" applyFill="1" applyAlignment="1">
      <alignment horizontal="center" vertical="center" wrapText="1"/>
    </xf>
    <xf numFmtId="11" fontId="10" fillId="27" borderId="0" xfId="0" applyNumberFormat="1" applyFont="1" applyFill="1" applyAlignment="1">
      <alignment horizontal="center" vertical="center" wrapText="1"/>
    </xf>
    <xf numFmtId="0" fontId="10" fillId="27" borderId="0" xfId="0" applyFont="1" applyFill="1" applyAlignment="1">
      <alignment horizontal="center" vertical="center" wrapText="1"/>
    </xf>
    <xf numFmtId="0" fontId="10" fillId="27" borderId="0" xfId="0" applyFont="1" applyFill="1" applyAlignment="1">
      <alignment horizontal="center" vertical="center" wrapText="1"/>
    </xf>
    <xf numFmtId="0" fontId="30" fillId="27" borderId="0" xfId="0" applyFont="1" applyFill="1" applyAlignment="1">
      <alignment horizontal="center" wrapText="1"/>
    </xf>
    <xf numFmtId="0" fontId="71" fillId="83" borderId="0" xfId="0" applyFont="1" applyFill="1" applyAlignment="1">
      <alignment horizontal="center" wrapText="1"/>
    </xf>
    <xf numFmtId="0" fontId="71" fillId="83" borderId="0" xfId="0" applyFont="1" applyFill="1" applyAlignment="1">
      <alignment horizontal="center" wrapText="1"/>
    </xf>
    <xf numFmtId="0" fontId="71" fillId="83" borderId="0" xfId="0" applyFont="1" applyFill="1" applyAlignment="1">
      <alignment horizontal="center" wrapText="1"/>
    </xf>
    <xf numFmtId="0" fontId="71" fillId="83" borderId="0" xfId="0" applyFont="1" applyFill="1" applyAlignment="1">
      <alignment horizontal="center" wrapText="1"/>
    </xf>
    <xf numFmtId="0" fontId="71" fillId="83" borderId="0" xfId="0" applyFont="1" applyFill="1" applyAlignment="1">
      <alignment horizontal="center" wrapText="1"/>
    </xf>
    <xf numFmtId="165" fontId="71" fillId="83" borderId="0" xfId="0" applyNumberFormat="1" applyFont="1" applyFill="1" applyAlignment="1">
      <alignment horizontal="center" wrapText="1"/>
    </xf>
    <xf numFmtId="166" fontId="71" fillId="83" borderId="0" xfId="0" applyNumberFormat="1" applyFont="1" applyFill="1" applyAlignment="1">
      <alignment horizontal="center" wrapText="1"/>
    </xf>
    <xf numFmtId="166" fontId="71" fillId="83" borderId="0" xfId="0" applyNumberFormat="1" applyFont="1" applyFill="1" applyAlignment="1">
      <alignment horizontal="center" wrapText="1"/>
    </xf>
    <xf numFmtId="0" fontId="55" fillId="83" borderId="0" xfId="0" applyFont="1" applyFill="1" applyAlignment="1">
      <alignment horizontal="center" wrapText="1"/>
    </xf>
    <xf numFmtId="164" fontId="71" fillId="83" borderId="0" xfId="0" applyNumberFormat="1" applyFont="1" applyFill="1" applyAlignment="1">
      <alignment horizontal="center" wrapText="1"/>
    </xf>
    <xf numFmtId="11" fontId="71" fillId="83" borderId="0" xfId="0" applyNumberFormat="1" applyFont="1" applyFill="1" applyAlignment="1">
      <alignment horizontal="center" wrapText="1"/>
    </xf>
    <xf numFmtId="11" fontId="30" fillId="84" borderId="0" xfId="0" applyNumberFormat="1" applyFont="1" applyFill="1" applyAlignment="1">
      <alignment horizontal="center"/>
    </xf>
    <xf numFmtId="0" fontId="71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0" fontId="71" fillId="8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164" fontId="4" fillId="65" borderId="0" xfId="0" applyNumberFormat="1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165" fontId="4" fillId="65" borderId="0" xfId="0" applyNumberFormat="1" applyFont="1" applyFill="1" applyAlignment="1">
      <alignment horizontal="center" wrapText="1"/>
    </xf>
    <xf numFmtId="166" fontId="4" fillId="65" borderId="0" xfId="0" applyNumberFormat="1" applyFont="1" applyFill="1" applyAlignment="1">
      <alignment horizontal="center" wrapText="1"/>
    </xf>
    <xf numFmtId="166" fontId="4" fillId="65" borderId="0" xfId="0" applyNumberFormat="1" applyFont="1" applyFill="1" applyAlignment="1">
      <alignment horizontal="center" wrapText="1"/>
    </xf>
    <xf numFmtId="164" fontId="1" fillId="65" borderId="0" xfId="0" applyNumberFormat="1" applyFont="1" applyFill="1" applyAlignment="1">
      <alignment horizontal="center" wrapText="1"/>
    </xf>
    <xf numFmtId="11" fontId="4" fillId="65" borderId="0" xfId="0" applyNumberFormat="1" applyFont="1" applyFill="1" applyAlignment="1">
      <alignment horizontal="center" wrapText="1"/>
    </xf>
    <xf numFmtId="11" fontId="20" fillId="65" borderId="0" xfId="0" applyNumberFormat="1" applyFont="1" applyFill="1" applyAlignment="1">
      <alignment horizontal="center" wrapText="1"/>
    </xf>
    <xf numFmtId="11" fontId="16" fillId="65" borderId="0" xfId="0" applyNumberFormat="1" applyFont="1" applyFill="1" applyAlignment="1">
      <alignment horizontal="center"/>
    </xf>
    <xf numFmtId="11" fontId="16" fillId="65" borderId="0" xfId="0" applyNumberFormat="1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0" fontId="11" fillId="5" borderId="0" xfId="0" applyFont="1" applyFill="1" applyAlignment="1">
      <alignment horizontal="center" wrapText="1"/>
    </xf>
    <xf numFmtId="11" fontId="12" fillId="5" borderId="0" xfId="0" applyNumberFormat="1" applyFont="1" applyFill="1" applyAlignment="1">
      <alignment horizontal="center" wrapText="1"/>
    </xf>
    <xf numFmtId="0" fontId="71" fillId="83" borderId="0" xfId="0" applyFont="1" applyFill="1" applyAlignment="1">
      <alignment horizontal="center" wrapText="1"/>
    </xf>
    <xf numFmtId="0" fontId="10" fillId="23" borderId="0" xfId="0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0" fontId="14" fillId="26" borderId="0" xfId="0" applyFont="1" applyFill="1" applyAlignment="1">
      <alignment horizontal="center" vertical="center" wrapText="1"/>
    </xf>
    <xf numFmtId="11" fontId="4" fillId="26" borderId="0" xfId="0" applyNumberFormat="1" applyFont="1" applyFill="1" applyAlignment="1">
      <alignment horizontal="center" wrapText="1"/>
    </xf>
    <xf numFmtId="11" fontId="16" fillId="26" borderId="0" xfId="0" applyNumberFormat="1" applyFont="1" applyFill="1" applyAlignment="1">
      <alignment horizontal="center" wrapText="1"/>
    </xf>
    <xf numFmtId="11" fontId="4" fillId="26" borderId="0" xfId="0" applyNumberFormat="1" applyFont="1" applyFill="1" applyAlignment="1">
      <alignment horizontal="center" wrapText="1"/>
    </xf>
    <xf numFmtId="0" fontId="1" fillId="18" borderId="0" xfId="0" applyFont="1" applyFill="1" applyAlignment="1">
      <alignment horizontal="center" wrapText="1"/>
    </xf>
    <xf numFmtId="0" fontId="4" fillId="45" borderId="0" xfId="0" applyFont="1" applyFill="1" applyAlignment="1">
      <alignment horizontal="center" wrapText="1"/>
    </xf>
    <xf numFmtId="11" fontId="16" fillId="45" borderId="0" xfId="0" applyNumberFormat="1" applyFont="1" applyFill="1" applyAlignment="1">
      <alignment horizontal="center" wrapText="1"/>
    </xf>
    <xf numFmtId="14" fontId="4" fillId="32" borderId="0" xfId="0" applyNumberFormat="1" applyFont="1" applyFill="1" applyAlignment="1">
      <alignment horizontal="center" vertical="center" wrapText="1"/>
    </xf>
    <xf numFmtId="0" fontId="62" fillId="0" borderId="0" xfId="0" applyFont="1" applyAlignment="1">
      <alignment horizontal="center" wrapText="1"/>
    </xf>
    <xf numFmtId="165" fontId="4" fillId="14" borderId="0" xfId="0" applyNumberFormat="1" applyFont="1" applyFill="1" applyAlignment="1">
      <alignment horizontal="center" wrapText="1"/>
    </xf>
    <xf numFmtId="164" fontId="9" fillId="14" borderId="0" xfId="0" applyNumberFormat="1" applyFont="1" applyFill="1" applyAlignment="1">
      <alignment horizontal="center" wrapText="1"/>
    </xf>
    <xf numFmtId="0" fontId="4" fillId="60" borderId="0" xfId="0" applyFont="1" applyFill="1" applyAlignment="1">
      <alignment horizontal="center" wrapText="1"/>
    </xf>
    <xf numFmtId="164" fontId="4" fillId="60" borderId="0" xfId="0" applyNumberFormat="1" applyFont="1" applyFill="1" applyAlignment="1">
      <alignment horizontal="center" wrapText="1"/>
    </xf>
    <xf numFmtId="0" fontId="4" fillId="60" borderId="0" xfId="0" applyFont="1" applyFill="1" applyAlignment="1">
      <alignment horizontal="center" wrapText="1"/>
    </xf>
    <xf numFmtId="0" fontId="4" fillId="60" borderId="0" xfId="0" applyFont="1" applyFill="1" applyAlignment="1">
      <alignment horizontal="center" wrapText="1"/>
    </xf>
    <xf numFmtId="0" fontId="4" fillId="60" borderId="0" xfId="0" applyFont="1" applyFill="1" applyAlignment="1">
      <alignment horizontal="center" wrapText="1"/>
    </xf>
    <xf numFmtId="165" fontId="4" fillId="60" borderId="0" xfId="0" applyNumberFormat="1" applyFont="1" applyFill="1" applyAlignment="1">
      <alignment horizontal="center" wrapText="1"/>
    </xf>
    <xf numFmtId="166" fontId="4" fillId="60" borderId="0" xfId="0" applyNumberFormat="1" applyFont="1" applyFill="1" applyAlignment="1">
      <alignment horizontal="center" wrapText="1"/>
    </xf>
    <xf numFmtId="166" fontId="4" fillId="60" borderId="0" xfId="0" applyNumberFormat="1" applyFont="1" applyFill="1" applyAlignment="1">
      <alignment horizontal="center" wrapText="1"/>
    </xf>
    <xf numFmtId="164" fontId="1" fillId="60" borderId="0" xfId="0" applyNumberFormat="1" applyFont="1" applyFill="1" applyAlignment="1">
      <alignment horizontal="center" wrapText="1"/>
    </xf>
    <xf numFmtId="11" fontId="4" fillId="60" borderId="0" xfId="0" applyNumberFormat="1" applyFont="1" applyFill="1" applyAlignment="1">
      <alignment horizontal="center" wrapText="1"/>
    </xf>
    <xf numFmtId="11" fontId="1" fillId="60" borderId="0" xfId="0" applyNumberFormat="1" applyFont="1" applyFill="1" applyAlignment="1">
      <alignment horizontal="center" wrapText="1"/>
    </xf>
    <xf numFmtId="11" fontId="4" fillId="60" borderId="0" xfId="0" applyNumberFormat="1" applyFont="1" applyFill="1" applyAlignment="1">
      <alignment horizontal="center" wrapText="1"/>
    </xf>
    <xf numFmtId="11" fontId="5" fillId="60" borderId="0" xfId="0" applyNumberFormat="1" applyFont="1" applyFill="1" applyAlignment="1">
      <alignment horizontal="center" wrapText="1"/>
    </xf>
    <xf numFmtId="0" fontId="4" fillId="60" borderId="0" xfId="0" applyFont="1" applyFill="1" applyAlignment="1">
      <alignment horizontal="center" wrapText="1"/>
    </xf>
    <xf numFmtId="0" fontId="4" fillId="60" borderId="0" xfId="0" applyFont="1" applyFill="1" applyAlignment="1">
      <alignment horizontal="center" wrapText="1"/>
    </xf>
    <xf numFmtId="0" fontId="4" fillId="60" borderId="0" xfId="0" applyFont="1" applyFill="1" applyAlignment="1">
      <alignment horizontal="center" wrapText="1"/>
    </xf>
    <xf numFmtId="0" fontId="41" fillId="75" borderId="0" xfId="0" applyFont="1" applyFill="1" applyAlignment="1">
      <alignment horizontal="center" vertical="center" wrapText="1"/>
    </xf>
    <xf numFmtId="0" fontId="4" fillId="75" borderId="0" xfId="0" applyFont="1" applyFill="1" applyAlignment="1">
      <alignment horizontal="center" vertical="center" wrapText="1"/>
    </xf>
    <xf numFmtId="0" fontId="41" fillId="75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vertical="center" wrapText="1"/>
    </xf>
    <xf numFmtId="0" fontId="4" fillId="14" borderId="0" xfId="0" applyFont="1" applyFill="1" applyAlignment="1">
      <alignment horizontal="center" vertical="center" wrapText="1"/>
    </xf>
    <xf numFmtId="0" fontId="87" fillId="14" borderId="0" xfId="0" applyFont="1" applyFill="1" applyAlignment="1">
      <alignment horizontal="center" wrapText="1"/>
    </xf>
    <xf numFmtId="0" fontId="4" fillId="75" borderId="0" xfId="0" applyFont="1" applyFill="1" applyAlignment="1">
      <alignment horizontal="center" vertical="center" wrapText="1"/>
    </xf>
    <xf numFmtId="0" fontId="88" fillId="75" borderId="0" xfId="0" applyFont="1" applyFill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87" fillId="0" borderId="0" xfId="0" applyFont="1" applyAlignment="1">
      <alignment horizontal="center" wrapText="1"/>
    </xf>
    <xf numFmtId="11" fontId="12" fillId="32" borderId="0" xfId="0" applyNumberFormat="1" applyFont="1" applyFill="1" applyAlignment="1">
      <alignment horizontal="center" vertical="center" wrapText="1"/>
    </xf>
    <xf numFmtId="11" fontId="11" fillId="32" borderId="0" xfId="0" applyNumberFormat="1" applyFont="1" applyFill="1" applyAlignment="1">
      <alignment horizontal="center" vertical="center" wrapText="1"/>
    </xf>
    <xf numFmtId="0" fontId="4" fillId="65" borderId="0" xfId="0" applyFont="1" applyFill="1" applyAlignment="1">
      <alignment horizontal="center" vertical="center" wrapText="1"/>
    </xf>
    <xf numFmtId="11" fontId="16" fillId="14" borderId="0" xfId="0" applyNumberFormat="1" applyFont="1" applyFill="1" applyAlignment="1">
      <alignment horizontal="center" wrapText="1"/>
    </xf>
    <xf numFmtId="11" fontId="16" fillId="26" borderId="0" xfId="0" applyNumberFormat="1" applyFont="1" applyFill="1" applyAlignment="1">
      <alignment horizontal="center" wrapText="1"/>
    </xf>
    <xf numFmtId="11" fontId="4" fillId="26" borderId="0" xfId="0" applyNumberFormat="1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0" fontId="4" fillId="26" borderId="0" xfId="0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165" fontId="10" fillId="34" borderId="0" xfId="0" applyNumberFormat="1" applyFont="1" applyFill="1" applyAlignment="1">
      <alignment horizontal="center" wrapText="1"/>
    </xf>
    <xf numFmtId="166" fontId="10" fillId="34" borderId="0" xfId="0" applyNumberFormat="1" applyFont="1" applyFill="1" applyAlignment="1">
      <alignment horizontal="center" wrapText="1"/>
    </xf>
    <xf numFmtId="166" fontId="10" fillId="34" borderId="0" xfId="0" applyNumberFormat="1" applyFont="1" applyFill="1" applyAlignment="1">
      <alignment horizontal="center" wrapText="1"/>
    </xf>
    <xf numFmtId="164" fontId="55" fillId="34" borderId="0" xfId="0" applyNumberFormat="1" applyFont="1" applyFill="1" applyAlignment="1">
      <alignment horizontal="center" wrapText="1"/>
    </xf>
    <xf numFmtId="164" fontId="10" fillId="34" borderId="0" xfId="0" applyNumberFormat="1" applyFont="1" applyFill="1" applyAlignment="1">
      <alignment horizontal="center" wrapText="1"/>
    </xf>
    <xf numFmtId="11" fontId="10" fillId="34" borderId="0" xfId="0" applyNumberFormat="1" applyFont="1" applyFill="1" applyAlignment="1">
      <alignment horizontal="center" wrapText="1"/>
    </xf>
    <xf numFmtId="11" fontId="57" fillId="34" borderId="0" xfId="0" applyNumberFormat="1" applyFont="1" applyFill="1" applyAlignment="1">
      <alignment horizontal="center" wrapText="1"/>
    </xf>
    <xf numFmtId="11" fontId="57" fillId="34" borderId="0" xfId="0" applyNumberFormat="1" applyFont="1" applyFill="1" applyAlignment="1">
      <alignment horizontal="center"/>
    </xf>
    <xf numFmtId="11" fontId="10" fillId="34" borderId="0" xfId="0" applyNumberFormat="1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0" fontId="10" fillId="34" borderId="0" xfId="0" applyFont="1" applyFill="1" applyAlignment="1">
      <alignment horizontal="center" wrapText="1"/>
    </xf>
    <xf numFmtId="0" fontId="1" fillId="32" borderId="0" xfId="0" applyFont="1" applyFill="1" applyAlignment="1">
      <alignment horizontal="center" vertical="center" wrapText="1"/>
    </xf>
    <xf numFmtId="11" fontId="4" fillId="32" borderId="0" xfId="0" applyNumberFormat="1" applyFont="1" applyFill="1" applyAlignment="1">
      <alignment horizontal="center" vertical="center" wrapText="1"/>
    </xf>
    <xf numFmtId="0" fontId="4" fillId="32" borderId="0" xfId="0" applyFont="1" applyFill="1" applyAlignment="1">
      <alignment horizontal="center" vertical="center" wrapText="1"/>
    </xf>
    <xf numFmtId="0" fontId="4" fillId="32" borderId="0" xfId="0" applyFont="1" applyFill="1" applyAlignment="1">
      <alignment horizontal="center" vertical="center" wrapText="1"/>
    </xf>
    <xf numFmtId="164" fontId="4" fillId="32" borderId="0" xfId="0" applyNumberFormat="1" applyFont="1" applyFill="1" applyAlignment="1">
      <alignment horizontal="center" vertical="center" wrapText="1"/>
    </xf>
    <xf numFmtId="0" fontId="4" fillId="32" borderId="0" xfId="0" applyFont="1" applyFill="1" applyAlignment="1">
      <alignment horizontal="center" vertical="center" wrapText="1"/>
    </xf>
    <xf numFmtId="165" fontId="4" fillId="32" borderId="0" xfId="0" applyNumberFormat="1" applyFont="1" applyFill="1" applyAlignment="1">
      <alignment horizontal="center" vertical="center" wrapText="1"/>
    </xf>
    <xf numFmtId="164" fontId="1" fillId="32" borderId="0" xfId="0" applyNumberFormat="1" applyFont="1" applyFill="1" applyAlignment="1">
      <alignment horizontal="center" vertical="center" wrapText="1"/>
    </xf>
    <xf numFmtId="11" fontId="4" fillId="32" borderId="0" xfId="0" applyNumberFormat="1" applyFont="1" applyFill="1" applyAlignment="1">
      <alignment horizontal="center" vertical="center" wrapText="1"/>
    </xf>
    <xf numFmtId="11" fontId="1" fillId="32" borderId="0" xfId="0" applyNumberFormat="1" applyFont="1" applyFill="1" applyAlignment="1">
      <alignment horizontal="center" vertical="center" wrapText="1"/>
    </xf>
    <xf numFmtId="11" fontId="4" fillId="32" borderId="0" xfId="0" applyNumberFormat="1" applyFont="1" applyFill="1" applyAlignment="1">
      <alignment horizontal="center" vertical="center" wrapText="1"/>
    </xf>
    <xf numFmtId="166" fontId="4" fillId="32" borderId="0" xfId="0" applyNumberFormat="1" applyFont="1" applyFill="1" applyAlignment="1">
      <alignment horizontal="center" vertical="center" wrapText="1"/>
    </xf>
    <xf numFmtId="11" fontId="16" fillId="32" borderId="0" xfId="0" applyNumberFormat="1" applyFont="1" applyFill="1" applyAlignment="1">
      <alignment horizontal="center" vertical="center" wrapText="1"/>
    </xf>
    <xf numFmtId="0" fontId="4" fillId="32" borderId="0" xfId="0" applyFont="1" applyFill="1" applyAlignment="1">
      <alignment horizontal="center" vertical="center" wrapText="1"/>
    </xf>
    <xf numFmtId="164" fontId="4" fillId="32" borderId="0" xfId="0" applyNumberFormat="1" applyFont="1" applyFill="1" applyAlignment="1">
      <alignment horizontal="center" vertical="center" wrapText="1"/>
    </xf>
    <xf numFmtId="0" fontId="20" fillId="14" borderId="0" xfId="0" applyFont="1" applyFill="1" applyAlignment="1">
      <alignment horizontal="center" vertical="center" wrapText="1"/>
    </xf>
    <xf numFmtId="11" fontId="44" fillId="14" borderId="0" xfId="0" applyNumberFormat="1" applyFont="1" applyFill="1" applyAlignment="1">
      <alignment horizontal="center" vertical="center"/>
    </xf>
    <xf numFmtId="11" fontId="16" fillId="14" borderId="0" xfId="0" applyNumberFormat="1" applyFont="1" applyFill="1" applyAlignment="1">
      <alignment horizontal="center" vertical="center"/>
    </xf>
    <xf numFmtId="11" fontId="5" fillId="14" borderId="0" xfId="0" applyNumberFormat="1" applyFont="1" applyFill="1" applyAlignment="1">
      <alignment horizontal="center" vertical="center" wrapText="1"/>
    </xf>
    <xf numFmtId="0" fontId="5" fillId="14" borderId="0" xfId="0" applyFont="1" applyFill="1" applyAlignment="1">
      <alignment horizontal="center" vertical="center" wrapText="1"/>
    </xf>
    <xf numFmtId="0" fontId="25" fillId="9" borderId="0" xfId="0" applyFont="1" applyFill="1" applyAlignment="1">
      <alignment horizontal="center" wrapText="1"/>
    </xf>
    <xf numFmtId="14" fontId="43" fillId="9" borderId="0" xfId="0" applyNumberFormat="1" applyFont="1" applyFill="1" applyAlignment="1">
      <alignment horizontal="center" wrapText="1"/>
    </xf>
    <xf numFmtId="0" fontId="4" fillId="37" borderId="0" xfId="0" applyFont="1" applyFill="1" applyAlignment="1">
      <alignment horizontal="center" wrapText="1"/>
    </xf>
    <xf numFmtId="0" fontId="16" fillId="65" borderId="0" xfId="0" applyFont="1" applyFill="1" applyAlignment="1">
      <alignment horizontal="center" wrapText="1"/>
    </xf>
    <xf numFmtId="0" fontId="16" fillId="65" borderId="0" xfId="0" applyFont="1" applyFill="1" applyAlignment="1">
      <alignment horizontal="center" wrapText="1"/>
    </xf>
    <xf numFmtId="0" fontId="16" fillId="65" borderId="0" xfId="0" applyFont="1" applyFill="1" applyAlignment="1">
      <alignment wrapText="1"/>
    </xf>
    <xf numFmtId="0" fontId="16" fillId="65" borderId="0" xfId="0" applyFont="1" applyFill="1" applyAlignment="1">
      <alignment horizontal="center" wrapText="1"/>
    </xf>
    <xf numFmtId="164" fontId="16" fillId="65" borderId="0" xfId="0" applyNumberFormat="1" applyFont="1" applyFill="1" applyAlignment="1">
      <alignment horizontal="center" wrapText="1"/>
    </xf>
    <xf numFmtId="0" fontId="16" fillId="65" borderId="0" xfId="0" applyFont="1" applyFill="1" applyAlignment="1">
      <alignment wrapText="1"/>
    </xf>
    <xf numFmtId="0" fontId="16" fillId="65" borderId="0" xfId="0" applyFont="1" applyFill="1" applyAlignment="1">
      <alignment horizontal="center" wrapText="1"/>
    </xf>
    <xf numFmtId="0" fontId="16" fillId="65" borderId="0" xfId="0" applyFont="1" applyFill="1" applyAlignment="1">
      <alignment horizontal="center" wrapText="1"/>
    </xf>
    <xf numFmtId="165" fontId="16" fillId="65" borderId="0" xfId="0" applyNumberFormat="1" applyFont="1" applyFill="1" applyAlignment="1">
      <alignment wrapText="1"/>
    </xf>
    <xf numFmtId="166" fontId="16" fillId="65" borderId="0" xfId="0" applyNumberFormat="1" applyFont="1" applyFill="1" applyAlignment="1">
      <alignment wrapText="1"/>
    </xf>
    <xf numFmtId="166" fontId="16" fillId="65" borderId="0" xfId="0" applyNumberFormat="1" applyFont="1" applyFill="1" applyAlignment="1">
      <alignment horizontal="center" wrapText="1"/>
    </xf>
    <xf numFmtId="164" fontId="44" fillId="65" borderId="0" xfId="0" applyNumberFormat="1" applyFont="1" applyFill="1" applyAlignment="1">
      <alignment horizontal="center" wrapText="1"/>
    </xf>
    <xf numFmtId="164" fontId="16" fillId="65" borderId="0" xfId="0" applyNumberFormat="1" applyFont="1" applyFill="1" applyAlignment="1">
      <alignment wrapText="1"/>
    </xf>
    <xf numFmtId="11" fontId="16" fillId="65" borderId="0" xfId="0" applyNumberFormat="1" applyFont="1" applyFill="1" applyAlignment="1">
      <alignment wrapText="1"/>
    </xf>
    <xf numFmtId="11" fontId="44" fillId="65" borderId="0" xfId="0" applyNumberFormat="1" applyFont="1" applyFill="1" applyAlignment="1">
      <alignment horizontal="center" wrapText="1"/>
    </xf>
    <xf numFmtId="11" fontId="16" fillId="65" borderId="0" xfId="0" applyNumberFormat="1" applyFont="1" applyFill="1" applyAlignment="1">
      <alignment horizontal="center" wrapText="1"/>
    </xf>
    <xf numFmtId="11" fontId="16" fillId="65" borderId="0" xfId="0" applyNumberFormat="1" applyFont="1" applyFill="1" applyAlignment="1">
      <alignment wrapText="1"/>
    </xf>
    <xf numFmtId="0" fontId="16" fillId="65" borderId="0" xfId="0" applyFont="1" applyFill="1" applyAlignment="1">
      <alignment wrapText="1"/>
    </xf>
    <xf numFmtId="0" fontId="16" fillId="65" borderId="0" xfId="0" applyFont="1" applyFill="1" applyAlignment="1">
      <alignment wrapText="1"/>
    </xf>
    <xf numFmtId="11" fontId="5" fillId="38" borderId="0" xfId="0" applyNumberFormat="1" applyFont="1" applyFill="1" applyAlignment="1">
      <alignment horizontal="center" vertical="center" wrapText="1"/>
    </xf>
    <xf numFmtId="11" fontId="4" fillId="78" borderId="0" xfId="0" applyNumberFormat="1" applyFont="1" applyFill="1" applyAlignment="1">
      <alignment horizontal="center" vertical="center" wrapText="1"/>
    </xf>
    <xf numFmtId="0" fontId="10" fillId="37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0" fontId="39" fillId="4" borderId="0" xfId="0" applyFont="1" applyFill="1" applyAlignment="1">
      <alignment horizontal="center" wrapText="1"/>
    </xf>
    <xf numFmtId="11" fontId="11" fillId="4" borderId="0" xfId="0" applyNumberFormat="1" applyFont="1" applyFill="1" applyAlignment="1">
      <alignment horizontal="center" wrapText="1"/>
    </xf>
    <xf numFmtId="11" fontId="10" fillId="4" borderId="0" xfId="0" applyNumberFormat="1" applyFont="1" applyFill="1" applyAlignment="1">
      <alignment horizontal="center" wrapText="1"/>
    </xf>
    <xf numFmtId="11" fontId="12" fillId="4" borderId="0" xfId="0" applyNumberFormat="1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0" fontId="4" fillId="75" borderId="0" xfId="0" applyFont="1" applyFill="1" applyAlignment="1">
      <alignment horizontal="center" wrapText="1"/>
    </xf>
    <xf numFmtId="14" fontId="4" fillId="75" borderId="0" xfId="0" applyNumberFormat="1" applyFont="1" applyFill="1" applyAlignment="1">
      <alignment horizontal="center" wrapText="1"/>
    </xf>
    <xf numFmtId="0" fontId="10" fillId="4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164" fontId="10" fillId="4" borderId="0" xfId="0" applyNumberFormat="1" applyFont="1" applyFill="1" applyAlignment="1">
      <alignment horizontal="center" vertical="center" wrapText="1"/>
    </xf>
    <xf numFmtId="165" fontId="10" fillId="4" borderId="0" xfId="0" applyNumberFormat="1" applyFont="1" applyFill="1" applyAlignment="1">
      <alignment horizontal="center" vertical="center" wrapText="1"/>
    </xf>
    <xf numFmtId="166" fontId="10" fillId="4" borderId="0" xfId="0" applyNumberFormat="1" applyFont="1" applyFill="1" applyAlignment="1">
      <alignment horizontal="center" vertical="center" wrapText="1"/>
    </xf>
    <xf numFmtId="164" fontId="11" fillId="4" borderId="0" xfId="0" applyNumberFormat="1" applyFont="1" applyFill="1" applyAlignment="1">
      <alignment horizontal="center" vertical="center" wrapText="1"/>
    </xf>
    <xf numFmtId="11" fontId="10" fillId="4" borderId="0" xfId="0" applyNumberFormat="1" applyFont="1" applyFill="1" applyAlignment="1">
      <alignment horizontal="center" vertical="center" wrapText="1"/>
    </xf>
    <xf numFmtId="11" fontId="11" fillId="4" borderId="0" xfId="0" applyNumberFormat="1" applyFont="1" applyFill="1" applyAlignment="1">
      <alignment horizontal="center" vertical="center" wrapText="1"/>
    </xf>
    <xf numFmtId="11" fontId="10" fillId="4" borderId="0" xfId="0" applyNumberFormat="1" applyFont="1" applyFill="1" applyAlignment="1">
      <alignment horizontal="center" vertical="center" wrapText="1"/>
    </xf>
    <xf numFmtId="11" fontId="12" fillId="4" borderId="0" xfId="0" applyNumberFormat="1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164" fontId="4" fillId="4" borderId="0" xfId="0" applyNumberFormat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165" fontId="4" fillId="4" borderId="0" xfId="0" applyNumberFormat="1" applyFont="1" applyFill="1" applyAlignment="1">
      <alignment horizontal="center" vertical="center" wrapText="1"/>
    </xf>
    <xf numFmtId="166" fontId="4" fillId="4" borderId="0" xfId="0" applyNumberFormat="1" applyFont="1" applyFill="1" applyAlignment="1">
      <alignment horizontal="center" vertical="center" wrapText="1"/>
    </xf>
    <xf numFmtId="164" fontId="1" fillId="4" borderId="0" xfId="0" applyNumberFormat="1" applyFont="1" applyFill="1" applyAlignment="1">
      <alignment horizontal="center" vertical="center" wrapText="1"/>
    </xf>
    <xf numFmtId="11" fontId="4" fillId="4" borderId="0" xfId="0" applyNumberFormat="1" applyFont="1" applyFill="1" applyAlignment="1">
      <alignment horizontal="center" vertical="center" wrapText="1"/>
    </xf>
    <xf numFmtId="11" fontId="1" fillId="4" borderId="0" xfId="0" applyNumberFormat="1" applyFont="1" applyFill="1" applyAlignment="1">
      <alignment horizontal="center" vertical="center" wrapText="1"/>
    </xf>
    <xf numFmtId="11" fontId="4" fillId="4" borderId="0" xfId="0" applyNumberFormat="1" applyFont="1" applyFill="1" applyAlignment="1">
      <alignment horizontal="center" vertical="center" wrapText="1"/>
    </xf>
    <xf numFmtId="11" fontId="5" fillId="4" borderId="0" xfId="0" applyNumberFormat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86" borderId="0" xfId="0" applyFont="1" applyFill="1" applyAlignment="1">
      <alignment horizontal="center" wrapText="1"/>
    </xf>
    <xf numFmtId="0" fontId="4" fillId="86" borderId="0" xfId="0" applyFont="1" applyFill="1" applyAlignment="1">
      <alignment horizontal="center" wrapText="1"/>
    </xf>
    <xf numFmtId="0" fontId="4" fillId="86" borderId="0" xfId="0" applyFont="1" applyFill="1" applyAlignment="1">
      <alignment horizontal="center" wrapText="1"/>
    </xf>
    <xf numFmtId="0" fontId="4" fillId="86" borderId="0" xfId="0" applyFont="1" applyFill="1" applyAlignment="1">
      <alignment horizontal="center" wrapText="1"/>
    </xf>
    <xf numFmtId="0" fontId="4" fillId="86" borderId="0" xfId="0" applyFont="1" applyFill="1" applyAlignment="1">
      <alignment horizontal="center" wrapText="1"/>
    </xf>
    <xf numFmtId="0" fontId="4" fillId="86" borderId="0" xfId="0" applyFont="1" applyFill="1" applyAlignment="1">
      <alignment horizontal="center" wrapText="1"/>
    </xf>
    <xf numFmtId="165" fontId="4" fillId="86" borderId="0" xfId="0" applyNumberFormat="1" applyFont="1" applyFill="1" applyAlignment="1">
      <alignment horizontal="center" wrapText="1"/>
    </xf>
    <xf numFmtId="166" fontId="4" fillId="86" borderId="0" xfId="0" applyNumberFormat="1" applyFont="1" applyFill="1" applyAlignment="1">
      <alignment horizontal="center" wrapText="1"/>
    </xf>
    <xf numFmtId="166" fontId="4" fillId="86" borderId="0" xfId="0" applyNumberFormat="1" applyFont="1" applyFill="1" applyAlignment="1">
      <alignment horizontal="center" wrapText="1"/>
    </xf>
    <xf numFmtId="0" fontId="1" fillId="86" borderId="0" xfId="0" applyFont="1" applyFill="1" applyAlignment="1">
      <alignment horizontal="center" wrapText="1"/>
    </xf>
    <xf numFmtId="164" fontId="4" fillId="86" borderId="0" xfId="0" applyNumberFormat="1" applyFont="1" applyFill="1" applyAlignment="1">
      <alignment horizontal="center" wrapText="1"/>
    </xf>
    <xf numFmtId="11" fontId="4" fillId="86" borderId="0" xfId="0" applyNumberFormat="1" applyFont="1" applyFill="1" applyAlignment="1">
      <alignment horizontal="center" wrapText="1"/>
    </xf>
    <xf numFmtId="11" fontId="1" fillId="86" borderId="0" xfId="0" applyNumberFormat="1" applyFont="1" applyFill="1" applyAlignment="1">
      <alignment horizontal="center" wrapText="1"/>
    </xf>
    <xf numFmtId="11" fontId="4" fillId="86" borderId="0" xfId="0" applyNumberFormat="1" applyFont="1" applyFill="1" applyAlignment="1">
      <alignment horizontal="center" wrapText="1"/>
    </xf>
    <xf numFmtId="11" fontId="4" fillId="86" borderId="0" xfId="0" applyNumberFormat="1" applyFont="1" applyFill="1" applyAlignment="1">
      <alignment horizontal="center" wrapText="1"/>
    </xf>
    <xf numFmtId="0" fontId="9" fillId="86" borderId="0" xfId="0" applyFont="1" applyFill="1" applyAlignment="1">
      <alignment horizontal="center" wrapText="1"/>
    </xf>
    <xf numFmtId="0" fontId="4" fillId="86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0" fontId="4" fillId="65" borderId="0" xfId="0" applyFont="1" applyFill="1" applyAlignment="1">
      <alignment horizontal="center" wrapText="1"/>
    </xf>
    <xf numFmtId="11" fontId="1" fillId="65" borderId="0" xfId="0" applyNumberFormat="1" applyFont="1" applyFill="1" applyAlignment="1">
      <alignment horizontal="center" wrapText="1"/>
    </xf>
    <xf numFmtId="11" fontId="4" fillId="65" borderId="0" xfId="0" applyNumberFormat="1" applyFont="1" applyFill="1" applyAlignment="1">
      <alignment horizontal="center" wrapText="1"/>
    </xf>
    <xf numFmtId="11" fontId="5" fillId="65" borderId="0" xfId="0" applyNumberFormat="1" applyFont="1" applyFill="1" applyAlignment="1">
      <alignment horizontal="center" wrapText="1"/>
    </xf>
    <xf numFmtId="0" fontId="4" fillId="86" borderId="0" xfId="0" applyFont="1" applyFill="1" applyAlignment="1">
      <alignment horizontal="center" wrapText="1"/>
    </xf>
    <xf numFmtId="166" fontId="4" fillId="65" borderId="0" xfId="0" applyNumberFormat="1" applyFont="1" applyFill="1" applyAlignment="1">
      <alignment horizontal="center" wrapText="1"/>
    </xf>
    <xf numFmtId="0" fontId="4" fillId="14" borderId="0" xfId="0" applyFont="1" applyFill="1" applyAlignment="1">
      <alignment horizontal="center" vertical="center" wrapText="1"/>
    </xf>
    <xf numFmtId="0" fontId="14" fillId="32" borderId="0" xfId="0" applyFont="1" applyFill="1" applyAlignment="1">
      <alignment horizontal="center" vertical="center" wrapText="1"/>
    </xf>
    <xf numFmtId="0" fontId="14" fillId="32" borderId="0" xfId="0" applyFont="1" applyFill="1" applyAlignment="1">
      <alignment horizontal="center" vertical="center" wrapText="1"/>
    </xf>
    <xf numFmtId="0" fontId="14" fillId="32" borderId="0" xfId="0" applyFont="1" applyFill="1" applyAlignment="1">
      <alignment horizontal="center" vertical="center" wrapText="1"/>
    </xf>
    <xf numFmtId="164" fontId="14" fillId="32" borderId="0" xfId="0" applyNumberFormat="1" applyFont="1" applyFill="1" applyAlignment="1">
      <alignment horizontal="center" vertical="center" wrapText="1"/>
    </xf>
    <xf numFmtId="0" fontId="14" fillId="32" borderId="0" xfId="0" applyFont="1" applyFill="1" applyAlignment="1">
      <alignment horizontal="center" vertical="center" wrapText="1"/>
    </xf>
    <xf numFmtId="0" fontId="14" fillId="32" borderId="0" xfId="0" applyFont="1" applyFill="1" applyAlignment="1">
      <alignment horizontal="center" vertical="center" wrapText="1"/>
    </xf>
    <xf numFmtId="165" fontId="14" fillId="32" borderId="0" xfId="0" applyNumberFormat="1" applyFont="1" applyFill="1" applyAlignment="1">
      <alignment horizontal="center" vertical="center" wrapText="1"/>
    </xf>
    <xf numFmtId="166" fontId="14" fillId="32" borderId="0" xfId="0" applyNumberFormat="1" applyFont="1" applyFill="1" applyAlignment="1">
      <alignment horizontal="center" vertical="center" wrapText="1"/>
    </xf>
    <xf numFmtId="0" fontId="16" fillId="32" borderId="0" xfId="0" applyFont="1" applyFill="1" applyAlignment="1">
      <alignment horizontal="center" vertical="center" wrapText="1"/>
    </xf>
    <xf numFmtId="164" fontId="54" fillId="32" borderId="0" xfId="0" applyNumberFormat="1" applyFont="1" applyFill="1" applyAlignment="1">
      <alignment horizontal="center" vertical="center" wrapText="1"/>
    </xf>
    <xf numFmtId="164" fontId="79" fillId="32" borderId="0" xfId="0" applyNumberFormat="1" applyFont="1" applyFill="1" applyAlignment="1">
      <alignment horizontal="center" vertical="center" wrapText="1"/>
    </xf>
    <xf numFmtId="11" fontId="14" fillId="32" borderId="0" xfId="0" applyNumberFormat="1" applyFont="1" applyFill="1" applyAlignment="1">
      <alignment horizontal="center" vertical="center" wrapText="1"/>
    </xf>
    <xf numFmtId="11" fontId="5" fillId="32" borderId="0" xfId="0" applyNumberFormat="1" applyFont="1" applyFill="1" applyAlignment="1">
      <alignment horizontal="center" vertical="center" wrapText="1"/>
    </xf>
    <xf numFmtId="11" fontId="14" fillId="32" borderId="0" xfId="0" applyNumberFormat="1" applyFont="1" applyFill="1" applyAlignment="1">
      <alignment horizontal="center" vertical="center" wrapText="1"/>
    </xf>
    <xf numFmtId="0" fontId="14" fillId="32" borderId="0" xfId="0" applyFont="1" applyFill="1" applyAlignment="1">
      <alignment horizontal="center" vertical="center" wrapText="1"/>
    </xf>
    <xf numFmtId="0" fontId="14" fillId="39" borderId="0" xfId="0" applyFont="1" applyFill="1" applyAlignment="1">
      <alignment horizontal="center" vertical="center" wrapText="1"/>
    </xf>
    <xf numFmtId="0" fontId="14" fillId="39" borderId="0" xfId="0" applyFont="1" applyFill="1" applyAlignment="1">
      <alignment horizontal="center" vertical="center" wrapText="1"/>
    </xf>
    <xf numFmtId="0" fontId="14" fillId="39" borderId="0" xfId="0" applyFont="1" applyFill="1" applyAlignment="1">
      <alignment horizontal="center" vertical="center" wrapText="1"/>
    </xf>
    <xf numFmtId="164" fontId="14" fillId="39" borderId="0" xfId="0" applyNumberFormat="1" applyFont="1" applyFill="1" applyAlignment="1">
      <alignment horizontal="center" vertical="center" wrapText="1"/>
    </xf>
    <xf numFmtId="0" fontId="14" fillId="39" borderId="0" xfId="0" applyFont="1" applyFill="1" applyAlignment="1">
      <alignment horizontal="center" vertical="center" wrapText="1"/>
    </xf>
    <xf numFmtId="0" fontId="4" fillId="39" borderId="0" xfId="0" applyFont="1" applyFill="1" applyAlignment="1">
      <alignment horizontal="center" vertical="center" wrapText="1"/>
    </xf>
    <xf numFmtId="165" fontId="14" fillId="39" borderId="0" xfId="0" applyNumberFormat="1" applyFont="1" applyFill="1" applyAlignment="1">
      <alignment horizontal="center" vertical="center" wrapText="1"/>
    </xf>
    <xf numFmtId="166" fontId="14" fillId="39" borderId="0" xfId="0" applyNumberFormat="1" applyFont="1" applyFill="1" applyAlignment="1">
      <alignment horizontal="center" vertical="center" wrapText="1"/>
    </xf>
    <xf numFmtId="166" fontId="14" fillId="39" borderId="0" xfId="0" applyNumberFormat="1" applyFont="1" applyFill="1" applyAlignment="1">
      <alignment horizontal="center" vertical="center" wrapText="1"/>
    </xf>
    <xf numFmtId="164" fontId="54" fillId="39" borderId="0" xfId="0" applyNumberFormat="1" applyFont="1" applyFill="1" applyAlignment="1">
      <alignment horizontal="center" vertical="center" wrapText="1"/>
    </xf>
    <xf numFmtId="164" fontId="79" fillId="39" borderId="0" xfId="0" applyNumberFormat="1" applyFont="1" applyFill="1" applyAlignment="1">
      <alignment horizontal="center" vertical="center" wrapText="1"/>
    </xf>
    <xf numFmtId="11" fontId="14" fillId="39" borderId="0" xfId="0" applyNumberFormat="1" applyFont="1" applyFill="1" applyAlignment="1">
      <alignment horizontal="center" vertical="center" wrapText="1"/>
    </xf>
    <xf numFmtId="11" fontId="5" fillId="39" borderId="0" xfId="0" applyNumberFormat="1" applyFont="1" applyFill="1" applyAlignment="1">
      <alignment horizontal="center" vertical="center" wrapText="1"/>
    </xf>
    <xf numFmtId="11" fontId="14" fillId="39" borderId="0" xfId="0" applyNumberFormat="1" applyFont="1" applyFill="1" applyAlignment="1">
      <alignment horizontal="center" vertical="center" wrapText="1"/>
    </xf>
    <xf numFmtId="0" fontId="14" fillId="39" borderId="0" xfId="0" applyFont="1" applyFill="1" applyAlignment="1">
      <alignment horizontal="center" vertical="center" wrapText="1"/>
    </xf>
    <xf numFmtId="0" fontId="14" fillId="39" borderId="0" xfId="0" applyFont="1" applyFill="1" applyAlignment="1">
      <alignment horizontal="center" vertical="center" wrapText="1"/>
    </xf>
    <xf numFmtId="0" fontId="16" fillId="32" borderId="0" xfId="0" applyFont="1" applyFill="1" applyAlignment="1">
      <alignment horizontal="center" vertical="center" wrapText="1"/>
    </xf>
    <xf numFmtId="0" fontId="16" fillId="32" borderId="0" xfId="0" applyFont="1" applyFill="1" applyAlignment="1">
      <alignment horizontal="center" vertical="center" wrapText="1"/>
    </xf>
    <xf numFmtId="0" fontId="16" fillId="32" borderId="0" xfId="0" applyFont="1" applyFill="1" applyAlignment="1">
      <alignment horizontal="center" vertical="center" wrapText="1"/>
    </xf>
    <xf numFmtId="0" fontId="16" fillId="32" borderId="0" xfId="0" applyFont="1" applyFill="1" applyAlignment="1">
      <alignment horizontal="center" vertical="center" wrapText="1"/>
    </xf>
    <xf numFmtId="164" fontId="16" fillId="32" borderId="0" xfId="0" applyNumberFormat="1" applyFont="1" applyFill="1" applyAlignment="1">
      <alignment horizontal="center" vertical="center" wrapText="1"/>
    </xf>
    <xf numFmtId="0" fontId="16" fillId="32" borderId="0" xfId="0" applyFont="1" applyFill="1" applyAlignment="1">
      <alignment vertical="center" wrapText="1"/>
    </xf>
    <xf numFmtId="0" fontId="16" fillId="32" borderId="0" xfId="0" applyFont="1" applyFill="1" applyAlignment="1">
      <alignment horizontal="center" vertical="center" wrapText="1"/>
    </xf>
    <xf numFmtId="0" fontId="16" fillId="32" borderId="0" xfId="0" applyFont="1" applyFill="1" applyAlignment="1">
      <alignment vertical="center" wrapText="1"/>
    </xf>
    <xf numFmtId="165" fontId="16" fillId="32" borderId="0" xfId="0" applyNumberFormat="1" applyFont="1" applyFill="1" applyAlignment="1">
      <alignment vertical="center" wrapText="1"/>
    </xf>
    <xf numFmtId="166" fontId="16" fillId="32" borderId="0" xfId="0" applyNumberFormat="1" applyFont="1" applyFill="1" applyAlignment="1">
      <alignment vertical="center" wrapText="1"/>
    </xf>
    <xf numFmtId="164" fontId="44" fillId="32" borderId="0" xfId="0" applyNumberFormat="1" applyFont="1" applyFill="1" applyAlignment="1">
      <alignment horizontal="center" vertical="center" wrapText="1"/>
    </xf>
    <xf numFmtId="164" fontId="16" fillId="32" borderId="0" xfId="0" applyNumberFormat="1" applyFont="1" applyFill="1" applyAlignment="1">
      <alignment vertical="center" wrapText="1"/>
    </xf>
    <xf numFmtId="11" fontId="16" fillId="32" borderId="0" xfId="0" applyNumberFormat="1" applyFont="1" applyFill="1" applyAlignment="1">
      <alignment vertical="center" wrapText="1"/>
    </xf>
    <xf numFmtId="11" fontId="16" fillId="32" borderId="0" xfId="0" applyNumberFormat="1" applyFont="1" applyFill="1" applyAlignment="1">
      <alignment horizontal="center" vertical="center" wrapText="1"/>
    </xf>
    <xf numFmtId="0" fontId="16" fillId="32" borderId="0" xfId="0" applyFont="1" applyFill="1" applyAlignment="1">
      <alignment vertical="center" wrapText="1"/>
    </xf>
    <xf numFmtId="0" fontId="16" fillId="32" borderId="0" xfId="0" applyFont="1" applyFill="1" applyAlignment="1">
      <alignment horizontal="center" vertical="center" wrapText="1"/>
    </xf>
    <xf numFmtId="166" fontId="16" fillId="32" borderId="0" xfId="0" applyNumberFormat="1" applyFont="1" applyFill="1" applyAlignment="1">
      <alignment horizontal="center" vertical="center" wrapText="1"/>
    </xf>
    <xf numFmtId="0" fontId="4" fillId="53" borderId="0" xfId="0" applyFont="1" applyFill="1" applyAlignment="1">
      <alignment horizontal="center" wrapText="1"/>
    </xf>
    <xf numFmtId="0" fontId="4" fillId="53" borderId="0" xfId="0" applyFont="1" applyFill="1" applyAlignment="1">
      <alignment horizontal="center" wrapText="1"/>
    </xf>
    <xf numFmtId="0" fontId="4" fillId="53" borderId="0" xfId="0" applyFont="1" applyFill="1" applyAlignment="1">
      <alignment horizontal="center" vertical="center" wrapText="1"/>
    </xf>
    <xf numFmtId="164" fontId="4" fillId="53" borderId="0" xfId="0" applyNumberFormat="1" applyFont="1" applyFill="1" applyAlignment="1">
      <alignment horizontal="center" wrapText="1"/>
    </xf>
    <xf numFmtId="0" fontId="4" fillId="53" borderId="0" xfId="0" applyFont="1" applyFill="1" applyAlignment="1">
      <alignment horizontal="center" wrapText="1"/>
    </xf>
    <xf numFmtId="0" fontId="4" fillId="53" borderId="0" xfId="0" applyFont="1" applyFill="1" applyAlignment="1">
      <alignment horizontal="center" wrapText="1"/>
    </xf>
    <xf numFmtId="165" fontId="4" fillId="53" borderId="0" xfId="0" applyNumberFormat="1" applyFont="1" applyFill="1" applyAlignment="1">
      <alignment horizontal="center" wrapText="1"/>
    </xf>
    <xf numFmtId="166" fontId="4" fillId="53" borderId="0" xfId="0" applyNumberFormat="1" applyFont="1" applyFill="1" applyAlignment="1">
      <alignment horizontal="center" wrapText="1"/>
    </xf>
    <xf numFmtId="166" fontId="4" fillId="53" borderId="0" xfId="0" applyNumberFormat="1" applyFont="1" applyFill="1" applyAlignment="1">
      <alignment horizontal="center" wrapText="1"/>
    </xf>
    <xf numFmtId="164" fontId="1" fillId="53" borderId="0" xfId="0" applyNumberFormat="1" applyFont="1" applyFill="1" applyAlignment="1">
      <alignment horizontal="center" wrapText="1"/>
    </xf>
    <xf numFmtId="11" fontId="4" fillId="53" borderId="0" xfId="0" applyNumberFormat="1" applyFont="1" applyFill="1" applyAlignment="1">
      <alignment horizontal="center" wrapText="1"/>
    </xf>
    <xf numFmtId="11" fontId="1" fillId="53" borderId="0" xfId="0" applyNumberFormat="1" applyFont="1" applyFill="1" applyAlignment="1">
      <alignment horizontal="center" wrapText="1"/>
    </xf>
    <xf numFmtId="11" fontId="4" fillId="53" borderId="0" xfId="0" applyNumberFormat="1" applyFont="1" applyFill="1" applyAlignment="1">
      <alignment horizontal="center" wrapText="1"/>
    </xf>
    <xf numFmtId="0" fontId="5" fillId="53" borderId="0" xfId="0" applyFont="1" applyFill="1" applyAlignment="1">
      <alignment horizontal="center" wrapText="1"/>
    </xf>
    <xf numFmtId="0" fontId="4" fillId="53" borderId="0" xfId="0" applyFont="1" applyFill="1" applyAlignment="1">
      <alignment horizontal="center" wrapText="1"/>
    </xf>
    <xf numFmtId="0" fontId="4" fillId="53" borderId="0" xfId="0" applyFont="1" applyFill="1" applyAlignment="1">
      <alignment horizontal="center" wrapText="1"/>
    </xf>
    <xf numFmtId="0" fontId="4" fillId="5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165" fontId="14" fillId="83" borderId="0" xfId="0" applyNumberFormat="1" applyFont="1" applyFill="1" applyAlignment="1">
      <alignment horizontal="center" wrapText="1"/>
    </xf>
    <xf numFmtId="166" fontId="14" fillId="83" borderId="0" xfId="0" applyNumberFormat="1" applyFont="1" applyFill="1" applyAlignment="1">
      <alignment horizontal="center" wrapText="1"/>
    </xf>
    <xf numFmtId="166" fontId="14" fillId="83" borderId="0" xfId="0" applyNumberFormat="1" applyFont="1" applyFill="1" applyAlignment="1">
      <alignment horizontal="center" wrapText="1"/>
    </xf>
    <xf numFmtId="0" fontId="54" fillId="83" borderId="0" xfId="0" applyFont="1" applyFill="1" applyAlignment="1">
      <alignment horizontal="center" wrapText="1"/>
    </xf>
    <xf numFmtId="164" fontId="14" fillId="83" borderId="0" xfId="0" applyNumberFormat="1" applyFont="1" applyFill="1" applyAlignment="1">
      <alignment horizontal="center" wrapText="1"/>
    </xf>
    <xf numFmtId="11" fontId="14" fillId="83" borderId="0" xfId="0" applyNumberFormat="1" applyFont="1" applyFill="1" applyAlignment="1">
      <alignment horizontal="center" wrapText="1"/>
    </xf>
    <xf numFmtId="11" fontId="25" fillId="84" borderId="0" xfId="0" applyNumberFormat="1" applyFont="1" applyFill="1" applyAlignment="1">
      <alignment horizontal="center"/>
    </xf>
    <xf numFmtId="11" fontId="25" fillId="84" borderId="0" xfId="0" applyNumberFormat="1" applyFont="1" applyFill="1" applyAlignment="1">
      <alignment horizontal="center"/>
    </xf>
    <xf numFmtId="0" fontId="14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0" fontId="14" fillId="83" borderId="0" xfId="0" applyFont="1" applyFill="1" applyAlignment="1">
      <alignment horizontal="center" wrapText="1"/>
    </xf>
    <xf numFmtId="11" fontId="25" fillId="67" borderId="0" xfId="0" applyNumberFormat="1" applyFont="1" applyFill="1" applyAlignment="1">
      <alignment horizontal="center"/>
    </xf>
    <xf numFmtId="0" fontId="4" fillId="32" borderId="0" xfId="0" applyFont="1" applyFill="1" applyAlignment="1">
      <alignment horizontal="center" vertical="center" wrapText="1"/>
    </xf>
    <xf numFmtId="166" fontId="4" fillId="32" borderId="0" xfId="0" applyNumberFormat="1" applyFont="1" applyFill="1" applyAlignment="1">
      <alignment horizontal="center" vertical="center" wrapText="1"/>
    </xf>
    <xf numFmtId="11" fontId="1" fillId="32" borderId="0" xfId="0" applyNumberFormat="1" applyFont="1" applyFill="1" applyAlignment="1">
      <alignment horizontal="center" vertical="center" wrapText="1"/>
    </xf>
    <xf numFmtId="11" fontId="5" fillId="32" borderId="0" xfId="0" applyNumberFormat="1" applyFont="1" applyFill="1" applyAlignment="1">
      <alignment horizontal="center" vertical="center" wrapText="1"/>
    </xf>
    <xf numFmtId="0" fontId="4" fillId="39" borderId="0" xfId="0" applyFont="1" applyFill="1" applyAlignment="1">
      <alignment horizontal="center" wrapText="1"/>
    </xf>
    <xf numFmtId="0" fontId="4" fillId="39" borderId="0" xfId="0" applyFont="1" applyFill="1" applyAlignment="1">
      <alignment horizontal="center" wrapText="1"/>
    </xf>
    <xf numFmtId="0" fontId="4" fillId="39" borderId="0" xfId="0" applyFont="1" applyFill="1" applyAlignment="1">
      <alignment horizontal="center" vertical="center" wrapText="1"/>
    </xf>
    <xf numFmtId="164" fontId="4" fillId="39" borderId="0" xfId="0" applyNumberFormat="1" applyFont="1" applyFill="1" applyAlignment="1">
      <alignment horizontal="center" wrapText="1"/>
    </xf>
    <xf numFmtId="0" fontId="4" fillId="39" borderId="0" xfId="0" applyFont="1" applyFill="1" applyAlignment="1">
      <alignment horizontal="center" wrapText="1"/>
    </xf>
    <xf numFmtId="0" fontId="4" fillId="39" borderId="0" xfId="0" applyFont="1" applyFill="1" applyAlignment="1">
      <alignment horizontal="center" wrapText="1"/>
    </xf>
    <xf numFmtId="165" fontId="4" fillId="39" borderId="0" xfId="0" applyNumberFormat="1" applyFont="1" applyFill="1" applyAlignment="1">
      <alignment horizontal="center" wrapText="1"/>
    </xf>
    <xf numFmtId="166" fontId="4" fillId="39" borderId="0" xfId="0" applyNumberFormat="1" applyFont="1" applyFill="1" applyAlignment="1">
      <alignment horizontal="center" wrapText="1"/>
    </xf>
    <xf numFmtId="166" fontId="4" fillId="39" borderId="0" xfId="0" applyNumberFormat="1" applyFont="1" applyFill="1" applyAlignment="1">
      <alignment horizontal="center" wrapText="1"/>
    </xf>
    <xf numFmtId="164" fontId="1" fillId="39" borderId="0" xfId="0" applyNumberFormat="1" applyFont="1" applyFill="1" applyAlignment="1">
      <alignment horizontal="center" wrapText="1"/>
    </xf>
    <xf numFmtId="11" fontId="4" fillId="39" borderId="0" xfId="0" applyNumberFormat="1" applyFont="1" applyFill="1" applyAlignment="1">
      <alignment horizontal="center" wrapText="1"/>
    </xf>
    <xf numFmtId="11" fontId="1" fillId="39" borderId="0" xfId="0" applyNumberFormat="1" applyFont="1" applyFill="1" applyAlignment="1">
      <alignment horizontal="center" wrapText="1"/>
    </xf>
    <xf numFmtId="11" fontId="4" fillId="39" borderId="0" xfId="0" applyNumberFormat="1" applyFont="1" applyFill="1" applyAlignment="1">
      <alignment horizontal="center" wrapText="1"/>
    </xf>
    <xf numFmtId="0" fontId="4" fillId="39" borderId="0" xfId="0" applyFont="1" applyFill="1" applyAlignment="1">
      <alignment horizontal="center" wrapText="1"/>
    </xf>
    <xf numFmtId="0" fontId="4" fillId="39" borderId="0" xfId="0" applyFont="1" applyFill="1" applyAlignment="1">
      <alignment horizontal="center" wrapText="1"/>
    </xf>
    <xf numFmtId="0" fontId="4" fillId="39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vertical="center" wrapText="1"/>
    </xf>
    <xf numFmtId="11" fontId="1" fillId="20" borderId="0" xfId="0" applyNumberFormat="1" applyFont="1" applyFill="1" applyAlignment="1">
      <alignment horizontal="center" wrapText="1"/>
    </xf>
    <xf numFmtId="11" fontId="4" fillId="20" borderId="0" xfId="0" applyNumberFormat="1" applyFont="1" applyFill="1" applyAlignment="1">
      <alignment horizontal="center" wrapText="1"/>
    </xf>
    <xf numFmtId="0" fontId="5" fillId="20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4" fillId="20" borderId="0" xfId="0" applyFont="1" applyFill="1" applyAlignment="1">
      <alignment horizontal="center" wrapText="1"/>
    </xf>
    <xf numFmtId="0" fontId="14" fillId="23" borderId="0" xfId="0" applyFont="1" applyFill="1" applyAlignment="1">
      <alignment horizontal="center" wrapText="1"/>
    </xf>
    <xf numFmtId="0" fontId="14" fillId="23" borderId="0" xfId="0" applyFont="1" applyFill="1" applyAlignment="1">
      <alignment horizontal="center" wrapText="1"/>
    </xf>
    <xf numFmtId="0" fontId="14" fillId="23" borderId="0" xfId="0" applyFont="1" applyFill="1" applyAlignment="1">
      <alignment horizontal="center" wrapText="1"/>
    </xf>
    <xf numFmtId="0" fontId="14" fillId="23" borderId="0" xfId="0" applyFont="1" applyFill="1" applyAlignment="1">
      <alignment horizontal="center" wrapText="1"/>
    </xf>
    <xf numFmtId="0" fontId="14" fillId="23" borderId="0" xfId="0" applyFont="1" applyFill="1" applyAlignment="1">
      <alignment horizontal="center" wrapText="1"/>
    </xf>
    <xf numFmtId="165" fontId="14" fillId="23" borderId="0" xfId="0" applyNumberFormat="1" applyFont="1" applyFill="1" applyAlignment="1">
      <alignment horizontal="center" wrapText="1"/>
    </xf>
    <xf numFmtId="166" fontId="14" fillId="23" borderId="0" xfId="0" applyNumberFormat="1" applyFont="1" applyFill="1" applyAlignment="1">
      <alignment horizontal="center" wrapText="1"/>
    </xf>
    <xf numFmtId="166" fontId="14" fillId="23" borderId="0" xfId="0" applyNumberFormat="1" applyFont="1" applyFill="1" applyAlignment="1">
      <alignment horizontal="center" wrapText="1"/>
    </xf>
    <xf numFmtId="0" fontId="54" fillId="23" borderId="0" xfId="0" applyFont="1" applyFill="1" applyAlignment="1">
      <alignment horizontal="center" wrapText="1"/>
    </xf>
    <xf numFmtId="164" fontId="14" fillId="23" borderId="0" xfId="0" applyNumberFormat="1" applyFont="1" applyFill="1" applyAlignment="1">
      <alignment horizontal="center" wrapText="1"/>
    </xf>
    <xf numFmtId="11" fontId="14" fillId="23" borderId="0" xfId="0" applyNumberFormat="1" applyFont="1" applyFill="1" applyAlignment="1">
      <alignment horizontal="center" wrapText="1"/>
    </xf>
    <xf numFmtId="11" fontId="25" fillId="23" borderId="0" xfId="0" applyNumberFormat="1" applyFont="1" applyFill="1" applyAlignment="1">
      <alignment horizontal="center"/>
    </xf>
    <xf numFmtId="11" fontId="25" fillId="23" borderId="0" xfId="0" applyNumberFormat="1" applyFont="1" applyFill="1" applyAlignment="1">
      <alignment horizontal="center"/>
    </xf>
    <xf numFmtId="0" fontId="14" fillId="23" borderId="0" xfId="0" applyFont="1" applyFill="1" applyAlignment="1">
      <alignment horizontal="center" wrapText="1"/>
    </xf>
    <xf numFmtId="0" fontId="14" fillId="23" borderId="0" xfId="0" applyFont="1" applyFill="1" applyAlignment="1">
      <alignment horizontal="center" wrapText="1"/>
    </xf>
    <xf numFmtId="0" fontId="14" fillId="23" borderId="0" xfId="0" applyFont="1" applyFill="1" applyAlignment="1">
      <alignment horizontal="center" wrapText="1"/>
    </xf>
    <xf numFmtId="0" fontId="4" fillId="37" borderId="0" xfId="0" applyFont="1" applyFill="1" applyAlignment="1">
      <alignment horizontal="center" vertical="center" wrapText="1"/>
    </xf>
    <xf numFmtId="0" fontId="0" fillId="0" borderId="0" xfId="0" applyFont="1" applyAlignment="1">
      <alignment wrapText="1"/>
    </xf>
    <xf numFmtId="0" fontId="4" fillId="29" borderId="0" xfId="0" applyFont="1" applyFill="1" applyAlignment="1">
      <alignment horizontal="center" wrapText="1"/>
    </xf>
    <xf numFmtId="164" fontId="1" fillId="75" borderId="0" xfId="0" applyNumberFormat="1" applyFont="1" applyFill="1" applyAlignment="1">
      <alignment horizontal="center" vertical="center" wrapText="1"/>
    </xf>
    <xf numFmtId="0" fontId="4" fillId="75" borderId="0" xfId="0" applyFont="1" applyFill="1" applyAlignment="1">
      <alignment horizontal="center" vertical="center" wrapText="1"/>
    </xf>
    <xf numFmtId="0" fontId="11" fillId="12" borderId="0" xfId="0" applyFont="1" applyFill="1" applyAlignment="1">
      <alignment wrapText="1"/>
    </xf>
    <xf numFmtId="0" fontId="5" fillId="0" borderId="0" xfId="0" applyFont="1" applyAlignment="1">
      <alignment horizontal="center" wrapText="1"/>
    </xf>
    <xf numFmtId="0" fontId="56" fillId="39" borderId="0" xfId="0" applyFont="1" applyFill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11" fontId="20" fillId="0" borderId="0" xfId="0" applyNumberFormat="1" applyFont="1" applyAlignment="1">
      <alignment horizontal="center" vertical="center" wrapText="1"/>
    </xf>
    <xf numFmtId="0" fontId="16" fillId="35" borderId="1" xfId="0" applyFont="1" applyFill="1" applyBorder="1" applyAlignment="1">
      <alignment horizontal="center"/>
    </xf>
    <xf numFmtId="0" fontId="5" fillId="0" borderId="1" xfId="0" applyFont="1" applyBorder="1" applyAlignment="1">
      <alignment wrapText="1"/>
    </xf>
  </cellXfs>
  <cellStyles count="3">
    <cellStyle name="Lien hypertexte" xfId="1" builtinId="8" hidden="1"/>
    <cellStyle name="Lien hypertexte visité" xfId="2" builtinId="9" hidden="1"/>
    <cellStyle name="Normal" xfId="0" builtinId="0"/>
  </cellStyles>
  <dxfs count="126">
    <dxf>
      <fill>
        <patternFill patternType="solid">
          <fgColor rgb="FFB7E1CD"/>
          <bgColor rgb="FFB7E1CD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alignment wrapText="1"/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alignment wrapText="1"/>
      <border>
        <left/>
        <right/>
        <top/>
        <bottom/>
      </border>
    </dxf>
    <dxf>
      <fill>
        <patternFill patternType="solid">
          <fgColor rgb="FFFF00FF"/>
          <bgColor rgb="FFFF00FF"/>
        </patternFill>
      </fill>
      <alignment wrapText="1"/>
      <border>
        <left/>
        <right/>
        <top/>
        <bottom/>
      </border>
    </dxf>
    <dxf>
      <fill>
        <patternFill patternType="solid">
          <fgColor rgb="FFFF00FF"/>
          <bgColor rgb="FFFF00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BDBDBD"/>
          <bgColor rgb="FFBDBDBD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alignment wrapText="1"/>
      <border>
        <left/>
        <right/>
        <top/>
        <bottom/>
      </border>
    </dxf>
    <dxf>
      <fill>
        <patternFill patternType="solid">
          <fgColor rgb="FFF3F3F3"/>
          <bgColor rgb="FFF3F3F3"/>
        </patternFill>
      </fill>
      <alignment wrapText="1"/>
      <border>
        <left/>
        <right/>
        <top/>
        <bottom/>
      </border>
    </dxf>
  </dxfs>
  <tableStyles count="24" defaultPivotStyle="PivotStyleMedium4">
    <tableStyle name="plasmids-style" pivot="0" count="2">
      <tableStyleElement type="firstRowStripe" dxfId="125"/>
      <tableStyleElement type="secondRowStripe" dxfId="124"/>
    </tableStyle>
    <tableStyle name="Suivi clonages-style" pivot="0" count="2">
      <tableStyleElement type="firstRowStripe" dxfId="123"/>
      <tableStyleElement type="secondRowStripe" dxfId="122"/>
    </tableStyle>
    <tableStyle name="Clonages-style" pivot="0" count="2">
      <tableStyleElement type="firstRowStripe" dxfId="121"/>
      <tableStyleElement type="secondRowStripe" dxfId="120"/>
    </tableStyle>
    <tableStyle name="Clonages-style 2" pivot="0" count="3">
      <tableStyleElement type="headerRow" dxfId="119"/>
      <tableStyleElement type="firstRowStripe" dxfId="118"/>
      <tableStyleElement type="secondRowStripe" dxfId="117"/>
    </tableStyle>
    <tableStyle name="Clonages-style 3" pivot="0" count="2">
      <tableStyleElement type="firstRowStripe" dxfId="116"/>
      <tableStyleElement type="secondRowStripe" dxfId="115"/>
    </tableStyle>
    <tableStyle name="Clonages-style 4" pivot="0" count="2">
      <tableStyleElement type="firstRowStripe" dxfId="114"/>
      <tableStyleElement type="secondRowStripe" dxfId="113"/>
    </tableStyle>
    <tableStyle name="Clonages-style 5" pivot="0" count="2">
      <tableStyleElement type="firstRowStripe" dxfId="112"/>
      <tableStyleElement type="secondRowStripe" dxfId="111"/>
    </tableStyle>
    <tableStyle name="AAV-style" pivot="0" count="2">
      <tableStyleElement type="firstRowStripe" dxfId="110"/>
      <tableStyleElement type="secondRowStripe" dxfId="109"/>
    </tableStyle>
    <tableStyle name="AAV-style 2" pivot="0" count="2">
      <tableStyleElement type="firstRowStripe" dxfId="108"/>
      <tableStyleElement type="secondRowStripe" dxfId="107"/>
    </tableStyle>
    <tableStyle name="AAV-style 3" pivot="0" count="2">
      <tableStyleElement type="firstRowStripe" dxfId="106"/>
      <tableStyleElement type="secondRowStripe" dxfId="105"/>
    </tableStyle>
    <tableStyle name="AAV-style 4" pivot="0" count="2">
      <tableStyleElement type="firstRowStripe" dxfId="104"/>
      <tableStyleElement type="secondRowStripe" dxfId="103"/>
    </tableStyle>
    <tableStyle name="AAV-style 5" pivot="0" count="2">
      <tableStyleElement type="firstRowStripe" dxfId="102"/>
      <tableStyleElement type="secondRowStripe" dxfId="101"/>
    </tableStyle>
    <tableStyle name="AAV-style 6" pivot="0" count="2">
      <tableStyleElement type="firstRowStripe" dxfId="100"/>
      <tableStyleElement type="secondRowStripe" dxfId="99"/>
    </tableStyle>
    <tableStyle name="AAV-style 7" pivot="0" count="2">
      <tableStyleElement type="firstRowStripe" dxfId="98"/>
      <tableStyleElement type="secondRowStripe" dxfId="97"/>
    </tableStyle>
    <tableStyle name="AAV-style 8" pivot="0" count="2">
      <tableStyleElement type="firstRowStripe" dxfId="96"/>
      <tableStyleElement type="secondRowStripe" dxfId="95"/>
    </tableStyle>
    <tableStyle name="AAV-style 9" pivot="0" count="2">
      <tableStyleElement type="firstRowStripe" dxfId="94"/>
      <tableStyleElement type="secondRowStripe" dxfId="93"/>
    </tableStyle>
    <tableStyle name="AAV-style 10" pivot="0" count="2">
      <tableStyleElement type="firstRowStripe" dxfId="92"/>
      <tableStyleElement type="secondRowStripe" dxfId="91"/>
    </tableStyle>
    <tableStyle name="AAV-style 11" pivot="0" count="2">
      <tableStyleElement type="firstRowStripe" dxfId="90"/>
      <tableStyleElement type="secondRowStripe" dxfId="89"/>
    </tableStyle>
    <tableStyle name="AAV-style 12" pivot="0" count="2">
      <tableStyleElement type="firstRowStripe" dxfId="88"/>
      <tableStyleElement type="secondRowStripe" dxfId="87"/>
    </tableStyle>
    <tableStyle name="AAV-style 13" pivot="0" count="2">
      <tableStyleElement type="firstRowStripe" dxfId="86"/>
      <tableStyleElement type="secondRowStripe" dxfId="85"/>
    </tableStyle>
    <tableStyle name="AAV-style 14" pivot="0" count="2">
      <tableStyleElement type="firstRowStripe" dxfId="84"/>
      <tableStyleElement type="secondRowStripe" dxfId="83"/>
    </tableStyle>
    <tableStyle name="AAV-style 15" pivot="0" count="2">
      <tableStyleElement type="firstRowStripe" dxfId="82"/>
      <tableStyleElement type="secondRowStripe" dxfId="81"/>
    </tableStyle>
    <tableStyle name="AAV-style 16" pivot="0" count="2">
      <tableStyleElement type="firstRowStripe" dxfId="80"/>
      <tableStyleElement type="secondRowStripe" dxfId="79"/>
    </tableStyle>
    <tableStyle name="AAV-style 17" pivot="0" count="2">
      <tableStyleElement type="firstRowStripe" dxfId="78"/>
      <tableStyleElement type="secondRowStripe" dxfId="77"/>
    </tableStyle>
  </tableStyle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342900</xdr:colOff>
      <xdr:row>339</xdr:row>
      <xdr:rowOff>88900</xdr:rowOff>
    </xdr:to>
    <xdr:sp macro="" textlink="">
      <xdr:nvSpPr>
        <xdr:cNvPr id="3093" name="Rectangle 21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fr-FR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1219200</xdr:colOff>
      <xdr:row>269</xdr:row>
      <xdr:rowOff>50800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fr-FR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83</xdr:row>
      <xdr:rowOff>50800</xdr:rowOff>
    </xdr:to>
    <xdr:sp macro="" textlink="">
      <xdr:nvSpPr>
        <xdr:cNvPr id="2049" name="Rectangle 1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fr-FR"/>
        </a:p>
      </xdr:txBody>
    </xdr:sp>
    <xdr:clientData/>
  </xdr:twoCellAnchor>
</xdr:wsDr>
</file>

<file path=xl/tables/table1.xml><?xml version="1.0" encoding="utf-8"?>
<table xmlns="http://schemas.openxmlformats.org/spreadsheetml/2006/main" id="8" name="Table_8" displayName="Table_8" ref="H992:I992" headerRowCount="0">
  <tableColumns count="2">
    <tableColumn id="1" name="pssAAV-pR1.7-Gik2-GFP-hGHpA"/>
    <tableColumn id="2" name="Column2"/>
  </tableColumns>
  <tableStyleInfo name="AAV-style" showFirstColumn="1" showLastColumn="1" showRowStripes="1" showColumnStripes="0"/>
</table>
</file>

<file path=xl/tables/table2.xml><?xml version="1.0" encoding="utf-8"?>
<table xmlns="http://schemas.openxmlformats.org/spreadsheetml/2006/main" id="9" name="Table_9" displayName="Table_9" ref="H981" headerRowCount="0">
  <tableColumns count="1">
    <tableColumn id="1" name="pAAV-CAG-hRdCVFs"/>
  </tableColumns>
  <tableStyleInfo name="AAV-style 2" showFirstColumn="1" showLastColumn="1" showRowStripes="1" showColumnStripes="0"/>
</table>
</file>

<file path=xl/tables/table3.xml><?xml version="1.0" encoding="utf-8"?>
<table xmlns="http://schemas.openxmlformats.org/spreadsheetml/2006/main" id="10" name="Table_10" displayName="Table_10" ref="H990:I990" headerRowCount="0">
  <tableColumns count="2">
    <tableColumn id="1" name="SWO - WPRE"/>
    <tableColumn id="2" name="en cours"/>
  </tableColumns>
  <tableStyleInfo name="AAV-style 3" showFirstColumn="1" showLastColumn="1" showRowStripes="1" showColumnStripes="0"/>
</table>
</file>

<file path=xl/tables/table4.xml><?xml version="1.0" encoding="utf-8"?>
<table xmlns="http://schemas.openxmlformats.org/spreadsheetml/2006/main" id="11" name="Table_11" displayName="Table_11" ref="H991:I991" headerRowCount="0">
  <tableColumns count="2">
    <tableColumn id="1" name="pssAAV-pR1.7-Gik2-GFP-hGHpA"/>
    <tableColumn id="2" name="Column2"/>
  </tableColumns>
  <tableStyleInfo name="AAV-style 4" showFirstColumn="1" showLastColumn="1" showRowStripes="1" showColumnStripes="0"/>
</table>
</file>

<file path=xl/tables/table5.xml><?xml version="1.0" encoding="utf-8"?>
<table xmlns="http://schemas.openxmlformats.org/spreadsheetml/2006/main" id="12" name="Table_12" displayName="Table_12" ref="H959:J959" headerRowCount="0">
  <tableColumns count="3">
    <tableColumn id="1" name="pAAV-CAG-Cre-NLS"/>
    <tableColumn id="2" name="Column2"/>
    <tableColumn id="3" name="Column3"/>
  </tableColumns>
  <tableStyleInfo name="AAV-style 5" showFirstColumn="1" showLastColumn="1" showRowStripes="1" showColumnStripes="0"/>
</table>
</file>

<file path=xl/tables/table6.xml><?xml version="1.0" encoding="utf-8"?>
<table xmlns="http://schemas.openxmlformats.org/spreadsheetml/2006/main" id="13" name="Table_13" displayName="Table_13" ref="H946:J954" headerRowCount="0">
  <tableColumns count="3">
    <tableColumn id="1" name="pTR-scCMV-luciférase"/>
    <tableColumn id="2" name="Column2"/>
    <tableColumn id="3" name="Column3"/>
  </tableColumns>
  <tableStyleInfo name="AAV-style 6" showFirstColumn="1" showLastColumn="1" showRowStripes="1" showColumnStripes="0"/>
</table>
</file>

<file path=xl/tables/table7.xml><?xml version="1.0" encoding="utf-8"?>
<table xmlns="http://schemas.openxmlformats.org/spreadsheetml/2006/main" id="14" name="Table_14" displayName="Table_14" ref="H843" headerRowCount="0">
  <tableColumns count="1">
    <tableColumn id="1" name="RdCVF-Stuffer (CT37)"/>
  </tableColumns>
  <tableStyleInfo name="AAV-style 7" showFirstColumn="1" showLastColumn="1" showRowStripes="1" showColumnStripes="0"/>
</table>
</file>

<file path=xl/tables/table8.xml><?xml version="1.0" encoding="utf-8"?>
<table xmlns="http://schemas.openxmlformats.org/spreadsheetml/2006/main" id="15" name="Table_15" displayName="Table_15" ref="H842" headerRowCount="0">
  <tableColumns count="1">
    <tableColumn id="1" name="RdCVF-Stuffer (CT37)"/>
  </tableColumns>
  <tableStyleInfo name="AAV-style 8" showFirstColumn="1" showLastColumn="1" showRowStripes="1" showColumnStripes="0"/>
</table>
</file>

<file path=xl/tables/table9.xml><?xml version="1.0" encoding="utf-8"?>
<table xmlns="http://schemas.openxmlformats.org/spreadsheetml/2006/main" id="16" name="Table_16" displayName="Table_16" ref="H841" headerRowCount="0">
  <tableColumns count="1">
    <tableColumn id="1" name="pAAV-CAG-hRdCVFs"/>
  </tableColumns>
  <tableStyleInfo name="AAV-style 9" showFirstColumn="1" showLastColumn="1" showRowStripes="1" showColumnStripes="0"/>
</table>
</file>

<file path=xl/tables/table10.xml><?xml version="1.0" encoding="utf-8"?>
<table xmlns="http://schemas.openxmlformats.org/spreadsheetml/2006/main" id="17" name="Table_17" displayName="Table_17" ref="H844:H845" headerRowCount="0">
  <tableColumns count="1">
    <tableColumn id="1" name="pssAAV-hRho-SuperNova"/>
  </tableColumns>
  <tableStyleInfo name="AAV-style 10" showFirstColumn="1" showLastColumn="1" showRowStripes="1" showColumnStripes="0"/>
</table>
</file>

<file path=xl/tables/table11.xml><?xml version="1.0" encoding="utf-8"?>
<table xmlns="http://schemas.openxmlformats.org/spreadsheetml/2006/main" id="18" name="Table_18" displayName="Table_18" ref="H839:I840" headerRowCount="0">
  <tableColumns count="2">
    <tableColumn id="1" name="pssAAV-pR1.7-GFP"/>
    <tableColumn id="2" name="Column2"/>
  </tableColumns>
  <tableStyleInfo name="AAV-style 11" showFirstColumn="1" showLastColumn="1" showRowStripes="1" showColumnStripes="0"/>
</table>
</file>

<file path=xl/tables/table12.xml><?xml version="1.0" encoding="utf-8"?>
<table xmlns="http://schemas.openxmlformats.org/spreadsheetml/2006/main" id="19" name="Table_19" displayName="Table_19" ref="H808:I808" headerRowCount="0">
  <tableColumns count="2">
    <tableColumn id="1" name="pssAAV-pR1.7-SWO-FLAG"/>
    <tableColumn id="2" name="Column2"/>
  </tableColumns>
  <tableStyleInfo name="AAV-style 12" showFirstColumn="1" showLastColumn="1" showRowStripes="1" showColumnStripes="0"/>
</table>
</file>

<file path=xl/tables/table13.xml><?xml version="1.0" encoding="utf-8"?>
<table xmlns="http://schemas.openxmlformats.org/spreadsheetml/2006/main" id="20" name="Table_20" displayName="Table_20" ref="H823:I824" headerRowCount="0">
  <tableColumns count="2">
    <tableColumn id="1" name="pssAAV-pR1.7-Girk2-FLAG"/>
    <tableColumn id="2" name="Column2"/>
  </tableColumns>
  <tableStyleInfo name="AAV-style 13" showFirstColumn="1" showLastColumn="1" showRowStripes="1" showColumnStripes="0"/>
</table>
</file>

<file path=xl/tables/table14.xml><?xml version="1.0" encoding="utf-8"?>
<table xmlns="http://schemas.openxmlformats.org/spreadsheetml/2006/main" id="21" name="Table_21" displayName="Table_21" ref="H855:J855" headerRowCount="0">
  <tableColumns count="3">
    <tableColumn id="1" name="pTR-scCMV-luciférase"/>
    <tableColumn id="2" name="Column2"/>
    <tableColumn id="3" name="gros volume"/>
  </tableColumns>
  <tableStyleInfo name="AAV-style 14" showFirstColumn="1" showLastColumn="1" showRowStripes="1" showColumnStripes="0"/>
</table>
</file>

<file path=xl/tables/table15.xml><?xml version="1.0" encoding="utf-8"?>
<table xmlns="http://schemas.openxmlformats.org/spreadsheetml/2006/main" id="22" name="Table_22" displayName="Table_22" ref="H900:J920" headerRowCount="0">
  <tableColumns count="3">
    <tableColumn id="1" name="pssAAV-mCAR-Girk2-GFP"/>
    <tableColumn id="2" name="Column2"/>
    <tableColumn id="3" name="Column3"/>
  </tableColumns>
  <tableStyleInfo name="AAV-style 15" showFirstColumn="1" showLastColumn="1" showRowStripes="1" showColumnStripes="0"/>
</table>
</file>

<file path=xl/tables/table16.xml><?xml version="1.0" encoding="utf-8"?>
<table xmlns="http://schemas.openxmlformats.org/spreadsheetml/2006/main" id="23" name="Table_23" displayName="Table_23" ref="H807:I807" headerRowCount="0">
  <tableColumns count="2">
    <tableColumn id="1" name="pssAAV-pR1.7-Girk2-FLAG"/>
    <tableColumn id="2" name="Column2"/>
  </tableColumns>
  <tableStyleInfo name="AAV-style 16" showFirstColumn="1" showLastColumn="1" showRowStripes="1" showColumnStripes="0"/>
</table>
</file>

<file path=xl/tables/table17.xml><?xml version="1.0" encoding="utf-8"?>
<table xmlns="http://schemas.openxmlformats.org/spreadsheetml/2006/main" id="24" name="Table_24" displayName="Table_24" ref="H809:I809" headerRowCount="0">
  <tableColumns count="2">
    <tableColumn id="1" name="pssAAV-pR1.7-Girk2-FLAG"/>
    <tableColumn id="2" name="Column2"/>
  </tableColumns>
  <tableStyleInfo name="AAV-style 17" showFirstColumn="1" showLastColumn="1" showRowStripes="1" showColumnStripes="0"/>
</table>
</file>

<file path=xl/tables/table18.xml><?xml version="1.0" encoding="utf-8"?>
<table xmlns="http://schemas.openxmlformats.org/spreadsheetml/2006/main" id="1" name="Table_1" displayName="Table_1" ref="B768:B789" headerRowCount="0">
  <tableColumns count="1">
    <tableColumn id="1" name="Rhodopsin-cGMP Sponge"/>
  </tableColumns>
  <tableStyleInfo name="plasmids-style" showFirstColumn="1" showLastColumn="1" showRowStripes="1" showColumnStripes="0"/>
</table>
</file>

<file path=xl/tables/table19.xml><?xml version="1.0" encoding="utf-8"?>
<table xmlns="http://schemas.openxmlformats.org/spreadsheetml/2006/main" id="3" name="Table_3" displayName="Table_3" ref="K170:K174" headerRowCount="0">
  <tableColumns count="1">
    <tableColumn id="1" name="pss-AAV-GRK1-luciferase-HY"/>
  </tableColumns>
  <tableStyleInfo name="Clonages-style" showFirstColumn="1" showLastColumn="1" showRowStripes="1" showColumnStripes="0"/>
</table>
</file>

<file path=xl/tables/table20.xml><?xml version="1.0" encoding="utf-8"?>
<table xmlns="http://schemas.openxmlformats.org/spreadsheetml/2006/main" id="4" name="Table_4" displayName="Table_4" ref="A1:X154" headerRowCount="0">
  <tableColumns count="24">
    <tableColumn id="1" name=" ,"/>
    <tableColumn id="2" name="Projet"/>
    <tableColumn id="3" name="Modele animal"/>
    <tableColumn id="4" name="Cellule cible"/>
    <tableColumn id="5" name="Numéro de plasmide (backbone)"/>
    <tableColumn id="6" name="Enzyme(s) utilisée(s pour la digestion"/>
    <tableColumn id="7" name="Numero de plasmide (insert)"/>
    <tableColumn id="8" name="Amorce F"/>
    <tableColumn id="9" name="Amorce R"/>
    <tableColumn id="10" name="Type de plasmide"/>
    <tableColumn id="11" name="Construction voulu"/>
    <tableColumn id="12" name="Date de la demande"/>
    <tableColumn id="13" name="Date de séquençage"/>
    <tableColumn id="14" name="Numero de plasmide (vérifié)"/>
    <tableColumn id="15" name="Numéro du clonage"/>
    <tableColumn id="16" name="Resultat sur HEK"/>
    <tableColumn id="17" name="Notes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</tableColumns>
  <tableStyleInfo name="Clonages-style 2" showFirstColumn="1" showLastColumn="1" showRowStripes="1" showColumnStripes="0"/>
</table>
</file>

<file path=xl/tables/table21.xml><?xml version="1.0" encoding="utf-8"?>
<table xmlns="http://schemas.openxmlformats.org/spreadsheetml/2006/main" id="5" name="Table_5" displayName="Table_5" ref="L155:O161" headerRowCount="0">
  <tableColumns count="4">
    <tableColumn id="1" name="Column1"/>
    <tableColumn id="2" name="Column2"/>
    <tableColumn id="3" name="Column3"/>
    <tableColumn id="4" name="Infusion 107"/>
  </tableColumns>
  <tableStyleInfo name="Clonages-style 3" showFirstColumn="1" showLastColumn="1" showRowStripes="1" showColumnStripes="0"/>
</table>
</file>

<file path=xl/tables/table22.xml><?xml version="1.0" encoding="utf-8"?>
<table xmlns="http://schemas.openxmlformats.org/spreadsheetml/2006/main" id="6" name="Table_6" displayName="Table_6" ref="K156:K161" headerRowCount="0">
  <tableColumns count="1">
    <tableColumn id="1" name="pssAAV-CAG-FastChrimson(KYS)-tdTomato"/>
  </tableColumns>
  <tableStyleInfo name="Clonages-style 4" showFirstColumn="1" showLastColumn="1" showRowStripes="1" showColumnStripes="0"/>
</table>
</file>

<file path=xl/tables/table23.xml><?xml version="1.0" encoding="utf-8"?>
<table xmlns="http://schemas.openxmlformats.org/spreadsheetml/2006/main" id="7" name="Table_7" displayName="Table_7" ref="L170:O173" headerRowCount="0">
  <tableColumns count="4">
    <tableColumn id="1" name="Column1"/>
    <tableColumn id="2" name="Column2"/>
    <tableColumn id="3" name="Column3"/>
    <tableColumn id="4" name="Column4"/>
  </tableColumns>
  <tableStyleInfo name="Clonages-style 5" showFirstColumn="1" showLastColumn="1" showRowStripes="1" showColumnStripes="0"/>
</table>
</file>

<file path=xl/tables/table24.xml><?xml version="1.0" encoding="utf-8"?>
<table xmlns="http://schemas.openxmlformats.org/spreadsheetml/2006/main" id="2" name="Table_2" displayName="Table_2" ref="B127:C133" headerRowCount="0">
  <tableColumns count="2">
    <tableColumn id="1" name="scCAG-GCamp6f"/>
    <tableColumn id="2" name="Column2"/>
  </tableColumns>
  <tableStyleInfo name="Suivi clonages-style" showFirstColumn="1" showLastColumn="1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table" Target="../tables/table7.xml"/><Relationship Id="rId20" Type="http://schemas.openxmlformats.org/officeDocument/2006/relationships/comments" Target="../comments1.xml"/><Relationship Id="rId10" Type="http://schemas.openxmlformats.org/officeDocument/2006/relationships/table" Target="../tables/table8.xml"/><Relationship Id="rId11" Type="http://schemas.openxmlformats.org/officeDocument/2006/relationships/table" Target="../tables/table9.xml"/><Relationship Id="rId12" Type="http://schemas.openxmlformats.org/officeDocument/2006/relationships/table" Target="../tables/table10.xml"/><Relationship Id="rId13" Type="http://schemas.openxmlformats.org/officeDocument/2006/relationships/table" Target="../tables/table11.xml"/><Relationship Id="rId14" Type="http://schemas.openxmlformats.org/officeDocument/2006/relationships/table" Target="../tables/table12.xml"/><Relationship Id="rId15" Type="http://schemas.openxmlformats.org/officeDocument/2006/relationships/table" Target="../tables/table13.xml"/><Relationship Id="rId16" Type="http://schemas.openxmlformats.org/officeDocument/2006/relationships/table" Target="../tables/table14.xml"/><Relationship Id="rId17" Type="http://schemas.openxmlformats.org/officeDocument/2006/relationships/table" Target="../tables/table15.xml"/><Relationship Id="rId18" Type="http://schemas.openxmlformats.org/officeDocument/2006/relationships/table" Target="../tables/table16.xml"/><Relationship Id="rId19" Type="http://schemas.openxmlformats.org/officeDocument/2006/relationships/table" Target="../tables/table17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8" Type="http://schemas.openxmlformats.org/officeDocument/2006/relationships/table" Target="../tables/table6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4" Type="http://schemas.openxmlformats.org/officeDocument/2006/relationships/comments" Target="../comments2.xml"/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4" Type="http://schemas.openxmlformats.org/officeDocument/2006/relationships/table" Target="../tables/table22.xml"/><Relationship Id="rId5" Type="http://schemas.openxmlformats.org/officeDocument/2006/relationships/table" Target="../tables/table23.xml"/><Relationship Id="rId1" Type="http://schemas.openxmlformats.org/officeDocument/2006/relationships/table" Target="../tables/table19.xml"/><Relationship Id="rId2" Type="http://schemas.openxmlformats.org/officeDocument/2006/relationships/table" Target="../tables/table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I1771"/>
  <sheetViews>
    <sheetView workbookViewId="0">
      <pane ySplit="1" topLeftCell="A2" activePane="bottomLeft" state="frozen"/>
      <selection pane="bottomLeft" activeCell="H1" sqref="H1"/>
    </sheetView>
  </sheetViews>
  <sheetFormatPr baseColWidth="10" defaultColWidth="14.5" defaultRowHeight="12.75" customHeight="1" x14ac:dyDescent="0"/>
  <cols>
    <col min="1" max="1" width="18.83203125" customWidth="1"/>
    <col min="2" max="2" width="16.1640625" customWidth="1"/>
    <col min="3" max="3" width="12.33203125" customWidth="1"/>
    <col min="4" max="4" width="13.5" customWidth="1"/>
    <col min="5" max="5" width="25.5" customWidth="1"/>
    <col min="6" max="6" width="11.5" customWidth="1"/>
    <col min="7" max="7" width="15.5" hidden="1" customWidth="1"/>
    <col min="8" max="8" width="41.1640625" customWidth="1"/>
    <col min="9" max="9" width="11.33203125" customWidth="1"/>
    <col min="10" max="10" width="11.83203125" customWidth="1"/>
    <col min="11" max="11" width="12.6640625" hidden="1" customWidth="1"/>
    <col min="12" max="12" width="9.5" customWidth="1"/>
    <col min="13" max="13" width="12.33203125" customWidth="1"/>
    <col min="14" max="14" width="10.83203125" customWidth="1"/>
    <col min="15" max="15" width="14.6640625" customWidth="1"/>
    <col min="16" max="16" width="8.5" customWidth="1"/>
    <col min="17" max="17" width="13.1640625" customWidth="1"/>
    <col min="18" max="18" width="11" customWidth="1"/>
    <col min="19" max="19" width="11.1640625" customWidth="1"/>
    <col min="20" max="20" width="17" customWidth="1"/>
    <col min="21" max="21" width="12.83203125" customWidth="1"/>
    <col min="22" max="22" width="25" customWidth="1"/>
    <col min="23" max="23" width="15" customWidth="1"/>
    <col min="24" max="24" width="22" customWidth="1"/>
    <col min="25" max="61" width="17.33203125" customWidth="1"/>
  </cols>
  <sheetData>
    <row r="1" spans="1:61" ht="45" customHeight="1">
      <c r="A1" s="1"/>
      <c r="B1" s="4" t="s">
        <v>1</v>
      </c>
      <c r="C1" s="6" t="s">
        <v>3</v>
      </c>
      <c r="D1" s="4" t="s">
        <v>5</v>
      </c>
      <c r="E1" s="4" t="s">
        <v>6</v>
      </c>
      <c r="F1" s="8" t="s">
        <v>7</v>
      </c>
      <c r="G1" s="1" t="s">
        <v>11</v>
      </c>
      <c r="H1" s="6" t="s">
        <v>12</v>
      </c>
      <c r="I1" s="4" t="s">
        <v>13</v>
      </c>
      <c r="J1" s="4" t="s">
        <v>14</v>
      </c>
      <c r="K1" s="10" t="s">
        <v>15</v>
      </c>
      <c r="L1" s="1" t="s">
        <v>11</v>
      </c>
      <c r="M1" s="12" t="s">
        <v>18</v>
      </c>
      <c r="N1" s="8" t="s">
        <v>20</v>
      </c>
      <c r="O1" s="14"/>
      <c r="P1" s="15" t="s">
        <v>23</v>
      </c>
      <c r="Q1" s="15" t="s">
        <v>24</v>
      </c>
      <c r="R1" s="15" t="s">
        <v>25</v>
      </c>
      <c r="S1" s="17" t="s">
        <v>26</v>
      </c>
      <c r="T1" s="4" t="s">
        <v>27</v>
      </c>
      <c r="U1" s="4" t="s">
        <v>28</v>
      </c>
      <c r="V1" s="8" t="s">
        <v>29</v>
      </c>
      <c r="W1" s="19" t="s">
        <v>30</v>
      </c>
      <c r="X1" s="19" t="s">
        <v>32</v>
      </c>
      <c r="Y1" s="23" t="s">
        <v>33</v>
      </c>
      <c r="Z1" s="25"/>
      <c r="AA1" s="25"/>
      <c r="AB1" s="25"/>
      <c r="AC1" s="25"/>
      <c r="AD1" s="25"/>
      <c r="AE1" s="25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</row>
    <row r="2" spans="1:61" ht="24" hidden="1">
      <c r="A2" s="29" t="s">
        <v>52</v>
      </c>
      <c r="B2" s="29" t="s">
        <v>54</v>
      </c>
      <c r="C2" s="31" t="s">
        <v>55</v>
      </c>
      <c r="D2" s="29" t="s">
        <v>57</v>
      </c>
      <c r="E2" s="29" t="s">
        <v>58</v>
      </c>
      <c r="F2" s="33">
        <v>178</v>
      </c>
      <c r="G2" s="31"/>
      <c r="H2" s="31" t="s">
        <v>59</v>
      </c>
      <c r="I2" s="29">
        <v>93</v>
      </c>
      <c r="J2" s="29" t="s">
        <v>60</v>
      </c>
      <c r="K2" s="35">
        <v>40914</v>
      </c>
      <c r="L2" s="36"/>
      <c r="M2" s="38">
        <v>41074</v>
      </c>
      <c r="N2" s="40">
        <v>35</v>
      </c>
      <c r="O2" s="42"/>
      <c r="P2" s="44">
        <v>316000000000000</v>
      </c>
      <c r="Q2" s="46"/>
      <c r="R2" s="48"/>
      <c r="S2" s="55" t="e">
        <f t="shared" ref="S2:S743" si="0">(32800000000/R2)*Q2</f>
        <v>#DIV/0!</v>
      </c>
      <c r="T2" s="29" t="s">
        <v>88</v>
      </c>
      <c r="U2" s="57"/>
      <c r="V2" s="42"/>
      <c r="W2" s="58" t="s">
        <v>104</v>
      </c>
      <c r="X2" s="61"/>
      <c r="Y2" s="61"/>
      <c r="Z2" s="61"/>
      <c r="AA2" s="61"/>
      <c r="AB2" s="61"/>
      <c r="AC2" s="61"/>
      <c r="AD2" s="61"/>
      <c r="AE2" s="61"/>
      <c r="AF2" s="61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</row>
    <row r="3" spans="1:61" ht="24" hidden="1">
      <c r="A3" s="29" t="s">
        <v>52</v>
      </c>
      <c r="B3" s="29" t="s">
        <v>54</v>
      </c>
      <c r="C3" s="31" t="s">
        <v>55</v>
      </c>
      <c r="D3" s="29" t="s">
        <v>57</v>
      </c>
      <c r="E3" s="29" t="s">
        <v>143</v>
      </c>
      <c r="F3" s="33">
        <v>170</v>
      </c>
      <c r="G3" s="31"/>
      <c r="H3" s="31" t="s">
        <v>59</v>
      </c>
      <c r="I3" s="29">
        <v>93</v>
      </c>
      <c r="J3" s="29" t="s">
        <v>146</v>
      </c>
      <c r="K3" s="35">
        <v>40914</v>
      </c>
      <c r="L3" s="36"/>
      <c r="M3" s="38">
        <v>41074</v>
      </c>
      <c r="N3" s="40">
        <v>36</v>
      </c>
      <c r="O3" s="42"/>
      <c r="P3" s="44">
        <v>162000000000000</v>
      </c>
      <c r="Q3" s="46"/>
      <c r="R3" s="48"/>
      <c r="S3" s="55" t="e">
        <f t="shared" si="0"/>
        <v>#DIV/0!</v>
      </c>
      <c r="T3" s="29" t="s">
        <v>88</v>
      </c>
      <c r="U3" s="57"/>
      <c r="V3" s="42"/>
      <c r="W3" s="58" t="s">
        <v>104</v>
      </c>
      <c r="X3" s="58" t="s">
        <v>160</v>
      </c>
      <c r="Y3" s="61"/>
      <c r="Z3" s="61"/>
      <c r="AA3" s="61"/>
      <c r="AB3" s="61"/>
      <c r="AC3" s="61"/>
      <c r="AD3" s="61"/>
      <c r="AE3" s="61"/>
      <c r="AF3" s="61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</row>
    <row r="4" spans="1:61" ht="24" hidden="1">
      <c r="A4" s="64" t="s">
        <v>52</v>
      </c>
      <c r="B4" s="64" t="s">
        <v>177</v>
      </c>
      <c r="C4" s="66" t="s">
        <v>178</v>
      </c>
      <c r="D4" s="64" t="s">
        <v>187</v>
      </c>
      <c r="E4" s="64" t="s">
        <v>143</v>
      </c>
      <c r="F4" s="67">
        <v>170</v>
      </c>
      <c r="G4" s="66"/>
      <c r="H4" s="66" t="s">
        <v>197</v>
      </c>
      <c r="I4" s="64">
        <v>120</v>
      </c>
      <c r="J4" s="64" t="s">
        <v>60</v>
      </c>
      <c r="K4" s="68">
        <v>40914</v>
      </c>
      <c r="L4" s="68"/>
      <c r="M4" s="70">
        <v>40975</v>
      </c>
      <c r="N4" s="71">
        <v>37</v>
      </c>
      <c r="O4" s="72"/>
      <c r="P4" s="74">
        <v>106000000000000</v>
      </c>
      <c r="Q4" s="76"/>
      <c r="R4" s="78"/>
      <c r="S4" s="82" t="e">
        <f t="shared" si="0"/>
        <v>#DIV/0!</v>
      </c>
      <c r="T4" s="84"/>
      <c r="U4" s="84"/>
      <c r="V4" s="67" t="s">
        <v>279</v>
      </c>
      <c r="W4" s="85" t="s">
        <v>280</v>
      </c>
      <c r="X4" s="86"/>
      <c r="Y4" s="86"/>
      <c r="Z4" s="86"/>
      <c r="AA4" s="86"/>
      <c r="AB4" s="86"/>
      <c r="AC4" s="86"/>
      <c r="AD4" s="86"/>
      <c r="AE4" s="86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</row>
    <row r="5" spans="1:61" ht="20.25" hidden="1" customHeight="1">
      <c r="A5" s="29" t="s">
        <v>52</v>
      </c>
      <c r="B5" s="29" t="s">
        <v>54</v>
      </c>
      <c r="C5" s="31" t="s">
        <v>301</v>
      </c>
      <c r="D5" s="29" t="s">
        <v>301</v>
      </c>
      <c r="E5" s="29" t="s">
        <v>302</v>
      </c>
      <c r="F5" s="33">
        <v>110</v>
      </c>
      <c r="G5" s="31"/>
      <c r="H5" s="31" t="s">
        <v>304</v>
      </c>
      <c r="I5" s="29">
        <v>22</v>
      </c>
      <c r="J5" s="29" t="s">
        <v>306</v>
      </c>
      <c r="K5" s="36" t="s">
        <v>307</v>
      </c>
      <c r="L5" s="35"/>
      <c r="M5" s="38">
        <v>40975</v>
      </c>
      <c r="N5" s="40">
        <v>38</v>
      </c>
      <c r="O5" s="42"/>
      <c r="P5" s="44">
        <v>55900000000000</v>
      </c>
      <c r="Q5" s="46"/>
      <c r="R5" s="48"/>
      <c r="S5" s="55" t="e">
        <f t="shared" si="0"/>
        <v>#DIV/0!</v>
      </c>
      <c r="T5" s="29" t="s">
        <v>317</v>
      </c>
      <c r="U5" s="57"/>
      <c r="V5" s="42"/>
      <c r="W5" s="58" t="s">
        <v>82</v>
      </c>
      <c r="X5" s="61"/>
      <c r="Y5" s="61"/>
      <c r="Z5" s="61"/>
      <c r="AA5" s="61"/>
      <c r="AB5" s="61"/>
      <c r="AC5" s="61"/>
      <c r="AD5" s="61"/>
      <c r="AE5" s="61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</row>
    <row r="6" spans="1:61" ht="18.75" hidden="1" customHeight="1">
      <c r="A6" s="88" t="s">
        <v>52</v>
      </c>
      <c r="B6" s="88" t="s">
        <v>69</v>
      </c>
      <c r="C6" s="89" t="s">
        <v>178</v>
      </c>
      <c r="D6" s="88" t="s">
        <v>345</v>
      </c>
      <c r="E6" s="88" t="s">
        <v>58</v>
      </c>
      <c r="F6" s="90">
        <v>178</v>
      </c>
      <c r="G6" s="89"/>
      <c r="H6" s="89" t="s">
        <v>197</v>
      </c>
      <c r="I6" s="88">
        <v>120</v>
      </c>
      <c r="J6" s="88" t="s">
        <v>60</v>
      </c>
      <c r="K6" s="92" t="s">
        <v>307</v>
      </c>
      <c r="L6" s="94"/>
      <c r="M6" s="96">
        <v>41036</v>
      </c>
      <c r="N6" s="98">
        <v>39</v>
      </c>
      <c r="O6" s="100"/>
      <c r="P6" s="102">
        <v>135000000000000</v>
      </c>
      <c r="Q6" s="104"/>
      <c r="R6" s="105"/>
      <c r="S6" s="107" t="e">
        <f t="shared" si="0"/>
        <v>#DIV/0!</v>
      </c>
      <c r="T6" s="110"/>
      <c r="U6" s="110"/>
      <c r="V6" s="90">
        <v>20</v>
      </c>
      <c r="W6" s="112" t="s">
        <v>475</v>
      </c>
      <c r="X6" s="112" t="s">
        <v>483</v>
      </c>
      <c r="Y6" s="113"/>
      <c r="Z6" s="113"/>
      <c r="AA6" s="113"/>
      <c r="AB6" s="113"/>
      <c r="AC6" s="113"/>
      <c r="AD6" s="113"/>
      <c r="AE6" s="113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</row>
    <row r="7" spans="1:61" ht="24" hidden="1">
      <c r="A7" s="64" t="s">
        <v>52</v>
      </c>
      <c r="B7" s="64" t="s">
        <v>177</v>
      </c>
      <c r="C7" s="66" t="s">
        <v>178</v>
      </c>
      <c r="D7" s="64" t="s">
        <v>187</v>
      </c>
      <c r="E7" s="64" t="s">
        <v>490</v>
      </c>
      <c r="F7" s="67">
        <v>168</v>
      </c>
      <c r="G7" s="66"/>
      <c r="H7" s="66" t="s">
        <v>197</v>
      </c>
      <c r="I7" s="64">
        <v>120</v>
      </c>
      <c r="J7" s="64" t="s">
        <v>60</v>
      </c>
      <c r="K7" s="68">
        <v>40914</v>
      </c>
      <c r="L7" s="68"/>
      <c r="M7" s="70">
        <v>41189</v>
      </c>
      <c r="N7" s="71">
        <v>40</v>
      </c>
      <c r="O7" s="72"/>
      <c r="P7" s="74">
        <v>205000000000000</v>
      </c>
      <c r="Q7" s="76"/>
      <c r="R7" s="78"/>
      <c r="S7" s="82" t="e">
        <f t="shared" si="0"/>
        <v>#DIV/0!</v>
      </c>
      <c r="T7" s="64" t="s">
        <v>88</v>
      </c>
      <c r="U7" s="84"/>
      <c r="V7" s="67" t="s">
        <v>499</v>
      </c>
      <c r="W7" s="85" t="s">
        <v>501</v>
      </c>
      <c r="X7" s="85" t="s">
        <v>503</v>
      </c>
      <c r="Y7" s="86"/>
      <c r="Z7" s="86"/>
      <c r="AA7" s="86"/>
      <c r="AB7" s="86"/>
      <c r="AC7" s="86"/>
      <c r="AD7" s="86"/>
      <c r="AE7" s="86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</row>
    <row r="8" spans="1:61" ht="24" hidden="1">
      <c r="A8" s="116" t="s">
        <v>52</v>
      </c>
      <c r="B8" s="116" t="s">
        <v>177</v>
      </c>
      <c r="C8" s="118" t="s">
        <v>178</v>
      </c>
      <c r="D8" s="116" t="s">
        <v>187</v>
      </c>
      <c r="E8" s="116" t="s">
        <v>490</v>
      </c>
      <c r="F8" s="120">
        <v>168</v>
      </c>
      <c r="G8" s="118"/>
      <c r="H8" s="118" t="s">
        <v>531</v>
      </c>
      <c r="I8" s="116">
        <v>189</v>
      </c>
      <c r="J8" s="116" t="s">
        <v>60</v>
      </c>
      <c r="K8" s="121">
        <v>41188</v>
      </c>
      <c r="L8" s="121"/>
      <c r="M8" s="122">
        <v>41189</v>
      </c>
      <c r="N8" s="123">
        <v>41</v>
      </c>
      <c r="O8" s="124"/>
      <c r="P8" s="125">
        <v>28100000000000</v>
      </c>
      <c r="Q8" s="126"/>
      <c r="R8" s="127"/>
      <c r="S8" s="129" t="e">
        <f t="shared" si="0"/>
        <v>#DIV/0!</v>
      </c>
      <c r="T8" s="116" t="s">
        <v>88</v>
      </c>
      <c r="U8" s="131"/>
      <c r="V8" s="124"/>
      <c r="W8" s="132"/>
      <c r="X8" s="133" t="s">
        <v>595</v>
      </c>
      <c r="Y8" s="132"/>
      <c r="Z8" s="132"/>
      <c r="AA8" s="132"/>
      <c r="AB8" s="132"/>
      <c r="AC8" s="132"/>
      <c r="AD8" s="132"/>
      <c r="AE8" s="132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</row>
    <row r="9" spans="1:61" ht="36" hidden="1">
      <c r="A9" s="135" t="s">
        <v>607</v>
      </c>
      <c r="B9" s="135" t="s">
        <v>625</v>
      </c>
      <c r="C9" s="137" t="s">
        <v>626</v>
      </c>
      <c r="D9" s="135" t="s">
        <v>655</v>
      </c>
      <c r="E9" s="135" t="s">
        <v>516</v>
      </c>
      <c r="F9" s="139">
        <v>140</v>
      </c>
      <c r="G9" s="137"/>
      <c r="H9" s="137" t="s">
        <v>672</v>
      </c>
      <c r="I9" s="135">
        <v>22</v>
      </c>
      <c r="J9" s="135" t="s">
        <v>60</v>
      </c>
      <c r="K9" s="141" t="s">
        <v>674</v>
      </c>
      <c r="L9" s="143"/>
      <c r="M9" s="144"/>
      <c r="N9" s="145">
        <v>42</v>
      </c>
      <c r="O9" s="147"/>
      <c r="P9" s="149">
        <v>320000000000000</v>
      </c>
      <c r="Q9" s="150">
        <v>67200000000000</v>
      </c>
      <c r="R9" s="149">
        <v>91000000000</v>
      </c>
      <c r="S9" s="153">
        <f t="shared" si="0"/>
        <v>24221538461538.461</v>
      </c>
      <c r="T9" s="135" t="s">
        <v>88</v>
      </c>
      <c r="U9" s="156">
        <f t="shared" ref="U9:U10" si="1">P9/Q9</f>
        <v>4.7619047619047619</v>
      </c>
      <c r="V9" s="139">
        <f>40-17</f>
        <v>23</v>
      </c>
      <c r="W9" s="158"/>
      <c r="X9" s="162" t="s">
        <v>859</v>
      </c>
      <c r="Y9" s="158"/>
      <c r="Z9" s="158"/>
      <c r="AA9" s="158"/>
      <c r="AB9" s="158"/>
      <c r="AC9" s="158"/>
      <c r="AD9" s="158"/>
      <c r="AE9" s="158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</row>
    <row r="10" spans="1:61" ht="36" hidden="1">
      <c r="A10" s="135" t="s">
        <v>607</v>
      </c>
      <c r="B10" s="135" t="s">
        <v>625</v>
      </c>
      <c r="C10" s="137" t="s">
        <v>626</v>
      </c>
      <c r="D10" s="135" t="s">
        <v>655</v>
      </c>
      <c r="E10" s="164" t="s">
        <v>882</v>
      </c>
      <c r="F10" s="139">
        <v>142</v>
      </c>
      <c r="G10" s="137"/>
      <c r="H10" s="137" t="s">
        <v>197</v>
      </c>
      <c r="I10" s="135">
        <v>120</v>
      </c>
      <c r="J10" s="135" t="s">
        <v>60</v>
      </c>
      <c r="K10" s="141" t="s">
        <v>674</v>
      </c>
      <c r="L10" s="143"/>
      <c r="M10" s="144"/>
      <c r="N10" s="145">
        <v>43</v>
      </c>
      <c r="O10" s="147"/>
      <c r="P10" s="149">
        <v>110000000000000</v>
      </c>
      <c r="Q10" s="150">
        <v>7610000000000</v>
      </c>
      <c r="R10" s="149">
        <v>39400000000</v>
      </c>
      <c r="S10" s="153">
        <f t="shared" si="0"/>
        <v>6335228426395.9395</v>
      </c>
      <c r="T10" s="135" t="s">
        <v>88</v>
      </c>
      <c r="U10" s="156">
        <f t="shared" si="1"/>
        <v>14.45466491458607</v>
      </c>
      <c r="V10" s="147"/>
      <c r="W10" s="158"/>
      <c r="X10" s="158"/>
      <c r="Y10" s="158"/>
      <c r="Z10" s="158"/>
      <c r="AA10" s="158"/>
      <c r="AB10" s="158"/>
      <c r="AC10" s="158"/>
      <c r="AD10" s="158"/>
      <c r="AE10" s="158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</row>
    <row r="11" spans="1:61" ht="18" hidden="1" customHeight="1">
      <c r="A11" s="165" t="s">
        <v>52</v>
      </c>
      <c r="B11" s="165" t="s">
        <v>491</v>
      </c>
      <c r="C11" s="167" t="s">
        <v>55</v>
      </c>
      <c r="D11" s="165" t="s">
        <v>187</v>
      </c>
      <c r="E11" s="165" t="s">
        <v>58</v>
      </c>
      <c r="F11" s="169">
        <v>178</v>
      </c>
      <c r="G11" s="167"/>
      <c r="H11" s="167" t="s">
        <v>476</v>
      </c>
      <c r="I11" s="165">
        <v>121</v>
      </c>
      <c r="J11" s="165" t="s">
        <v>60</v>
      </c>
      <c r="K11" s="171" t="s">
        <v>923</v>
      </c>
      <c r="L11" s="171"/>
      <c r="M11" s="173">
        <v>41109</v>
      </c>
      <c r="N11" s="175">
        <v>44</v>
      </c>
      <c r="O11" s="176"/>
      <c r="P11" s="178">
        <v>1400000000000000</v>
      </c>
      <c r="Q11" s="179">
        <v>65300000000000</v>
      </c>
      <c r="R11" s="181">
        <v>116000000000</v>
      </c>
      <c r="S11" s="182">
        <f t="shared" si="0"/>
        <v>18464137931034.484</v>
      </c>
      <c r="T11" s="165" t="s">
        <v>953</v>
      </c>
      <c r="U11" s="183"/>
      <c r="V11" s="185">
        <f>230-2</f>
        <v>228</v>
      </c>
      <c r="W11" s="186"/>
      <c r="X11" s="187" t="s">
        <v>973</v>
      </c>
      <c r="Y11" s="186"/>
      <c r="Z11" s="186"/>
      <c r="AA11" s="186"/>
      <c r="AB11" s="186"/>
      <c r="AC11" s="186"/>
      <c r="AD11" s="186"/>
      <c r="AE11" s="186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</row>
    <row r="12" spans="1:61" ht="24" hidden="1">
      <c r="A12" s="188" t="s">
        <v>978</v>
      </c>
      <c r="B12" s="188" t="s">
        <v>985</v>
      </c>
      <c r="C12" s="189" t="s">
        <v>986</v>
      </c>
      <c r="D12" s="188" t="s">
        <v>987</v>
      </c>
      <c r="E12" s="190" t="s">
        <v>988</v>
      </c>
      <c r="F12" s="191">
        <v>177</v>
      </c>
      <c r="G12" s="189"/>
      <c r="H12" s="189" t="s">
        <v>1002</v>
      </c>
      <c r="I12" s="192"/>
      <c r="J12" s="188" t="s">
        <v>1012</v>
      </c>
      <c r="K12" s="194" t="s">
        <v>674</v>
      </c>
      <c r="L12" s="194"/>
      <c r="M12" s="196">
        <v>41117</v>
      </c>
      <c r="N12" s="197">
        <v>45</v>
      </c>
      <c r="O12" s="198"/>
      <c r="P12" s="199">
        <v>930000000000000</v>
      </c>
      <c r="Q12" s="201"/>
      <c r="R12" s="202"/>
      <c r="S12" s="203" t="e">
        <f t="shared" si="0"/>
        <v>#DIV/0!</v>
      </c>
      <c r="T12" s="188" t="s">
        <v>88</v>
      </c>
      <c r="U12" s="192"/>
      <c r="V12" s="191">
        <v>0</v>
      </c>
      <c r="W12" s="204">
        <v>41662</v>
      </c>
      <c r="X12" s="205"/>
      <c r="Y12" s="205"/>
      <c r="Z12" s="205"/>
      <c r="AA12" s="205"/>
      <c r="AB12" s="205"/>
      <c r="AC12" s="205"/>
      <c r="AD12" s="205"/>
      <c r="AE12" s="205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</row>
    <row r="13" spans="1:61" ht="24" hidden="1">
      <c r="A13" s="207" t="s">
        <v>52</v>
      </c>
      <c r="B13" s="207" t="s">
        <v>69</v>
      </c>
      <c r="C13" s="208" t="s">
        <v>178</v>
      </c>
      <c r="D13" s="207" t="s">
        <v>1045</v>
      </c>
      <c r="E13" s="207" t="s">
        <v>58</v>
      </c>
      <c r="F13" s="209">
        <v>178</v>
      </c>
      <c r="G13" s="211"/>
      <c r="H13" s="211" t="s">
        <v>1061</v>
      </c>
      <c r="I13" s="207">
        <v>190</v>
      </c>
      <c r="J13" s="207" t="s">
        <v>1012</v>
      </c>
      <c r="K13" s="212" t="s">
        <v>1065</v>
      </c>
      <c r="L13" s="212"/>
      <c r="M13" s="213">
        <v>41117</v>
      </c>
      <c r="N13" s="215">
        <v>46</v>
      </c>
      <c r="O13" s="216"/>
      <c r="P13" s="217">
        <v>4000000000000000</v>
      </c>
      <c r="Q13" s="218"/>
      <c r="R13" s="220"/>
      <c r="S13" s="222" t="e">
        <f t="shared" si="0"/>
        <v>#DIV/0!</v>
      </c>
      <c r="T13" s="207" t="s">
        <v>88</v>
      </c>
      <c r="U13" s="223"/>
      <c r="V13" s="216"/>
      <c r="W13" s="225" t="s">
        <v>499</v>
      </c>
      <c r="X13" s="225" t="s">
        <v>1150</v>
      </c>
      <c r="Y13" s="232"/>
      <c r="Z13" s="232"/>
      <c r="AA13" s="232"/>
      <c r="AB13" s="232"/>
      <c r="AC13" s="232"/>
      <c r="AD13" s="232"/>
      <c r="AE13" s="232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</row>
    <row r="14" spans="1:61" ht="24" hidden="1">
      <c r="A14" s="235" t="s">
        <v>52</v>
      </c>
      <c r="B14" s="235" t="s">
        <v>177</v>
      </c>
      <c r="C14" s="236" t="s">
        <v>178</v>
      </c>
      <c r="D14" s="235" t="s">
        <v>1197</v>
      </c>
      <c r="E14" s="235" t="s">
        <v>1198</v>
      </c>
      <c r="F14" s="237">
        <v>174</v>
      </c>
      <c r="G14" s="236"/>
      <c r="H14" s="236" t="s">
        <v>197</v>
      </c>
      <c r="I14" s="235">
        <v>120</v>
      </c>
      <c r="J14" s="235" t="s">
        <v>60</v>
      </c>
      <c r="K14" s="238">
        <v>41036</v>
      </c>
      <c r="L14" s="238"/>
      <c r="M14" s="241">
        <v>40947</v>
      </c>
      <c r="N14" s="242">
        <v>47</v>
      </c>
      <c r="O14" s="244"/>
      <c r="P14" s="245">
        <v>3800000000000000</v>
      </c>
      <c r="Q14" s="246"/>
      <c r="R14" s="248"/>
      <c r="S14" s="250" t="e">
        <f t="shared" si="0"/>
        <v>#DIV/0!</v>
      </c>
      <c r="T14" s="235" t="s">
        <v>88</v>
      </c>
      <c r="U14" s="252"/>
      <c r="V14" s="244"/>
      <c r="W14" s="254" t="s">
        <v>499</v>
      </c>
      <c r="X14" s="255"/>
      <c r="Y14" s="255"/>
      <c r="Z14" s="255"/>
      <c r="AA14" s="255"/>
      <c r="AB14" s="255"/>
      <c r="AC14" s="255"/>
      <c r="AD14" s="255"/>
      <c r="AE14" s="255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</row>
    <row r="15" spans="1:61" ht="24" hidden="1">
      <c r="A15" s="116" t="s">
        <v>52</v>
      </c>
      <c r="B15" s="116" t="s">
        <v>177</v>
      </c>
      <c r="C15" s="118" t="s">
        <v>178</v>
      </c>
      <c r="D15" s="116" t="s">
        <v>187</v>
      </c>
      <c r="E15" s="116" t="s">
        <v>490</v>
      </c>
      <c r="F15" s="120">
        <v>168</v>
      </c>
      <c r="G15" s="118"/>
      <c r="H15" s="118" t="s">
        <v>1242</v>
      </c>
      <c r="I15" s="116">
        <v>191</v>
      </c>
      <c r="J15" s="116" t="s">
        <v>60</v>
      </c>
      <c r="K15" s="121">
        <v>41188</v>
      </c>
      <c r="L15" s="121"/>
      <c r="M15" s="122">
        <v>40947</v>
      </c>
      <c r="N15" s="123">
        <v>48</v>
      </c>
      <c r="O15" s="124"/>
      <c r="P15" s="125">
        <v>2500000000000000</v>
      </c>
      <c r="Q15" s="126"/>
      <c r="R15" s="127"/>
      <c r="S15" s="129" t="e">
        <f t="shared" si="0"/>
        <v>#DIV/0!</v>
      </c>
      <c r="T15" s="116" t="s">
        <v>88</v>
      </c>
      <c r="U15" s="131"/>
      <c r="V15" s="124"/>
      <c r="W15" s="132"/>
      <c r="X15" s="133" t="s">
        <v>595</v>
      </c>
      <c r="Y15" s="132"/>
      <c r="Z15" s="132"/>
      <c r="AA15" s="132"/>
      <c r="AB15" s="132"/>
      <c r="AC15" s="132"/>
      <c r="AD15" s="132"/>
      <c r="AE15" s="132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</row>
    <row r="16" spans="1:61" ht="36" hidden="1">
      <c r="A16" s="263" t="s">
        <v>1245</v>
      </c>
      <c r="B16" s="263" t="s">
        <v>1262</v>
      </c>
      <c r="C16" s="265" t="s">
        <v>626</v>
      </c>
      <c r="D16" s="263" t="s">
        <v>187</v>
      </c>
      <c r="E16" s="263" t="s">
        <v>1277</v>
      </c>
      <c r="F16" s="269">
        <v>193</v>
      </c>
      <c r="G16" s="265"/>
      <c r="H16" s="265" t="s">
        <v>1288</v>
      </c>
      <c r="I16" s="271"/>
      <c r="J16" s="263" t="s">
        <v>1295</v>
      </c>
      <c r="K16" s="274">
        <v>41219</v>
      </c>
      <c r="L16" s="275"/>
      <c r="M16" s="277">
        <v>41143</v>
      </c>
      <c r="N16" s="278">
        <v>49</v>
      </c>
      <c r="O16" s="280"/>
      <c r="P16" s="281">
        <v>1300000000000000</v>
      </c>
      <c r="Q16" s="282"/>
      <c r="R16" s="292"/>
      <c r="S16" s="293" t="e">
        <f t="shared" si="0"/>
        <v>#DIV/0!</v>
      </c>
      <c r="T16" s="263" t="s">
        <v>88</v>
      </c>
      <c r="U16" s="271"/>
      <c r="V16" s="280"/>
      <c r="W16" s="294" t="s">
        <v>280</v>
      </c>
      <c r="X16" s="294" t="s">
        <v>1373</v>
      </c>
      <c r="Y16" s="295"/>
      <c r="Z16" s="295"/>
      <c r="AA16" s="295"/>
      <c r="AB16" s="295"/>
      <c r="AC16" s="295"/>
      <c r="AD16" s="295"/>
      <c r="AE16" s="295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</row>
    <row r="17" spans="1:61" ht="36" hidden="1">
      <c r="A17" s="263" t="s">
        <v>1245</v>
      </c>
      <c r="B17" s="263" t="s">
        <v>1262</v>
      </c>
      <c r="C17" s="265" t="s">
        <v>626</v>
      </c>
      <c r="D17" s="263" t="s">
        <v>187</v>
      </c>
      <c r="E17" s="263" t="s">
        <v>1277</v>
      </c>
      <c r="F17" s="269">
        <v>193</v>
      </c>
      <c r="G17" s="265"/>
      <c r="H17" s="265" t="s">
        <v>1374</v>
      </c>
      <c r="I17" s="271"/>
      <c r="J17" s="263" t="s">
        <v>1295</v>
      </c>
      <c r="K17" s="274">
        <v>41219</v>
      </c>
      <c r="L17" s="275"/>
      <c r="M17" s="277">
        <v>41143</v>
      </c>
      <c r="N17" s="278">
        <v>50</v>
      </c>
      <c r="O17" s="280"/>
      <c r="P17" s="281">
        <v>1700000000000000</v>
      </c>
      <c r="Q17" s="282"/>
      <c r="R17" s="292"/>
      <c r="S17" s="293" t="e">
        <f t="shared" si="0"/>
        <v>#DIV/0!</v>
      </c>
      <c r="T17" s="263" t="s">
        <v>88</v>
      </c>
      <c r="U17" s="271"/>
      <c r="V17" s="280"/>
      <c r="W17" s="295"/>
      <c r="X17" s="294" t="s">
        <v>1373</v>
      </c>
      <c r="Y17" s="295"/>
      <c r="Z17" s="295"/>
      <c r="AA17" s="295"/>
      <c r="AB17" s="295"/>
      <c r="AC17" s="295"/>
      <c r="AD17" s="295"/>
      <c r="AE17" s="295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</row>
    <row r="18" spans="1:61" ht="36" hidden="1">
      <c r="A18" s="263" t="s">
        <v>1245</v>
      </c>
      <c r="B18" s="263" t="s">
        <v>1262</v>
      </c>
      <c r="C18" s="265" t="s">
        <v>626</v>
      </c>
      <c r="D18" s="263" t="s">
        <v>187</v>
      </c>
      <c r="E18" s="263" t="s">
        <v>1277</v>
      </c>
      <c r="F18" s="269">
        <v>193</v>
      </c>
      <c r="G18" s="265"/>
      <c r="H18" s="265" t="s">
        <v>1379</v>
      </c>
      <c r="I18" s="271"/>
      <c r="J18" s="263" t="s">
        <v>1295</v>
      </c>
      <c r="K18" s="274">
        <v>41219</v>
      </c>
      <c r="L18" s="275"/>
      <c r="M18" s="277">
        <v>41143</v>
      </c>
      <c r="N18" s="278">
        <v>51</v>
      </c>
      <c r="O18" s="280"/>
      <c r="P18" s="281">
        <v>600000000000000</v>
      </c>
      <c r="Q18" s="282"/>
      <c r="R18" s="292"/>
      <c r="S18" s="293" t="e">
        <f t="shared" si="0"/>
        <v>#DIV/0!</v>
      </c>
      <c r="T18" s="263" t="s">
        <v>88</v>
      </c>
      <c r="U18" s="271"/>
      <c r="V18" s="280"/>
      <c r="W18" s="295"/>
      <c r="X18" s="294" t="s">
        <v>1373</v>
      </c>
      <c r="Y18" s="295"/>
      <c r="Z18" s="295"/>
      <c r="AA18" s="295"/>
      <c r="AB18" s="295"/>
      <c r="AC18" s="295"/>
      <c r="AD18" s="295"/>
      <c r="AE18" s="295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</row>
    <row r="19" spans="1:61" ht="36" hidden="1">
      <c r="A19" s="263" t="s">
        <v>1245</v>
      </c>
      <c r="B19" s="263" t="s">
        <v>1262</v>
      </c>
      <c r="C19" s="265" t="s">
        <v>626</v>
      </c>
      <c r="D19" s="263" t="s">
        <v>187</v>
      </c>
      <c r="E19" s="263" t="s">
        <v>1277</v>
      </c>
      <c r="F19" s="269">
        <v>193</v>
      </c>
      <c r="G19" s="265"/>
      <c r="H19" s="265" t="s">
        <v>1380</v>
      </c>
      <c r="I19" s="271"/>
      <c r="J19" s="263" t="s">
        <v>1295</v>
      </c>
      <c r="K19" s="274">
        <v>41219</v>
      </c>
      <c r="L19" s="275"/>
      <c r="M19" s="277">
        <v>41143</v>
      </c>
      <c r="N19" s="278">
        <v>52</v>
      </c>
      <c r="O19" s="280"/>
      <c r="P19" s="281">
        <v>685000000000000</v>
      </c>
      <c r="Q19" s="282"/>
      <c r="R19" s="292"/>
      <c r="S19" s="293" t="e">
        <f t="shared" si="0"/>
        <v>#DIV/0!</v>
      </c>
      <c r="T19" s="263" t="s">
        <v>88</v>
      </c>
      <c r="U19" s="271"/>
      <c r="V19" s="280"/>
      <c r="W19" s="294" t="s">
        <v>280</v>
      </c>
      <c r="X19" s="294" t="s">
        <v>1373</v>
      </c>
      <c r="Y19" s="295"/>
      <c r="Z19" s="295"/>
      <c r="AA19" s="295"/>
      <c r="AB19" s="295"/>
      <c r="AC19" s="295"/>
      <c r="AD19" s="295"/>
      <c r="AE19" s="295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</row>
    <row r="20" spans="1:61" ht="36" hidden="1">
      <c r="A20" s="301" t="s">
        <v>607</v>
      </c>
      <c r="B20" s="301" t="s">
        <v>625</v>
      </c>
      <c r="C20" s="302" t="s">
        <v>626</v>
      </c>
      <c r="D20" s="301" t="s">
        <v>655</v>
      </c>
      <c r="E20" s="304" t="s">
        <v>882</v>
      </c>
      <c r="F20" s="305">
        <v>142</v>
      </c>
      <c r="G20" s="302"/>
      <c r="H20" s="302" t="s">
        <v>1417</v>
      </c>
      <c r="I20" s="301">
        <v>192</v>
      </c>
      <c r="J20" s="301" t="s">
        <v>60</v>
      </c>
      <c r="K20" s="307" t="s">
        <v>1419</v>
      </c>
      <c r="L20" s="307"/>
      <c r="M20" s="308">
        <v>41151</v>
      </c>
      <c r="N20" s="309">
        <v>53</v>
      </c>
      <c r="O20" s="311"/>
      <c r="P20" s="312">
        <v>17500000000000</v>
      </c>
      <c r="Q20" s="313"/>
      <c r="R20" s="315"/>
      <c r="S20" s="317" t="e">
        <f t="shared" si="0"/>
        <v>#DIV/0!</v>
      </c>
      <c r="T20" s="301" t="s">
        <v>88</v>
      </c>
      <c r="U20" s="318"/>
      <c r="V20" s="305" t="s">
        <v>1474</v>
      </c>
      <c r="W20" s="319"/>
      <c r="X20" s="320" t="s">
        <v>1373</v>
      </c>
      <c r="Y20" s="319"/>
      <c r="Z20" s="319"/>
      <c r="AA20" s="319"/>
      <c r="AB20" s="319"/>
      <c r="AC20" s="319"/>
      <c r="AD20" s="319"/>
      <c r="AE20" s="319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</row>
    <row r="21" spans="1:61" ht="16.5" hidden="1" customHeight="1">
      <c r="A21" s="165" t="s">
        <v>52</v>
      </c>
      <c r="B21" s="165" t="s">
        <v>491</v>
      </c>
      <c r="C21" s="167" t="s">
        <v>55</v>
      </c>
      <c r="D21" s="165" t="s">
        <v>187</v>
      </c>
      <c r="E21" s="165" t="s">
        <v>58</v>
      </c>
      <c r="F21" s="169">
        <v>178</v>
      </c>
      <c r="G21" s="167"/>
      <c r="H21" s="167" t="s">
        <v>1488</v>
      </c>
      <c r="I21" s="165">
        <v>93</v>
      </c>
      <c r="J21" s="165" t="s">
        <v>60</v>
      </c>
      <c r="K21" s="171" t="s">
        <v>923</v>
      </c>
      <c r="L21" s="171"/>
      <c r="M21" s="173">
        <v>41151</v>
      </c>
      <c r="N21" s="175">
        <v>54</v>
      </c>
      <c r="O21" s="176"/>
      <c r="P21" s="178">
        <v>45000000000000</v>
      </c>
      <c r="Q21" s="324"/>
      <c r="R21" s="326"/>
      <c r="S21" s="182" t="e">
        <f t="shared" si="0"/>
        <v>#DIV/0!</v>
      </c>
      <c r="T21" s="165" t="s">
        <v>88</v>
      </c>
      <c r="U21" s="183"/>
      <c r="V21" s="176"/>
      <c r="W21" s="186"/>
      <c r="X21" s="187" t="s">
        <v>1494</v>
      </c>
      <c r="Y21" s="186"/>
      <c r="Z21" s="186"/>
      <c r="AA21" s="186"/>
      <c r="AB21" s="186"/>
      <c r="AC21" s="186"/>
      <c r="AD21" s="186"/>
      <c r="AE21" s="186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</row>
    <row r="22" spans="1:61" ht="36" hidden="1">
      <c r="A22" s="343" t="s">
        <v>1245</v>
      </c>
      <c r="B22" s="343" t="s">
        <v>1262</v>
      </c>
      <c r="C22" s="345" t="s">
        <v>626</v>
      </c>
      <c r="D22" s="343" t="s">
        <v>187</v>
      </c>
      <c r="E22" s="343" t="s">
        <v>1277</v>
      </c>
      <c r="F22" s="347">
        <v>193</v>
      </c>
      <c r="G22" s="345"/>
      <c r="H22" s="345" t="s">
        <v>304</v>
      </c>
      <c r="I22" s="343">
        <v>22</v>
      </c>
      <c r="J22" s="343" t="s">
        <v>1295</v>
      </c>
      <c r="K22" s="349">
        <v>41219</v>
      </c>
      <c r="L22" s="350"/>
      <c r="M22" s="352">
        <v>41151</v>
      </c>
      <c r="N22" s="357">
        <v>55</v>
      </c>
      <c r="O22" s="359"/>
      <c r="P22" s="361">
        <v>95000000000000</v>
      </c>
      <c r="Q22" s="363"/>
      <c r="R22" s="365"/>
      <c r="S22" s="367" t="e">
        <f t="shared" si="0"/>
        <v>#DIV/0!</v>
      </c>
      <c r="T22" s="343" t="s">
        <v>88</v>
      </c>
      <c r="U22" s="369"/>
      <c r="V22" s="347" t="s">
        <v>499</v>
      </c>
      <c r="W22" s="371" t="s">
        <v>501</v>
      </c>
      <c r="X22" s="373" t="s">
        <v>1494</v>
      </c>
      <c r="Y22" s="371" t="s">
        <v>503</v>
      </c>
      <c r="Z22" s="375"/>
      <c r="AA22" s="375"/>
      <c r="AB22" s="375"/>
      <c r="AC22" s="375"/>
      <c r="AD22" s="375"/>
      <c r="AE22" s="375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  <c r="BI22" s="377"/>
    </row>
    <row r="23" spans="1:61" ht="48" hidden="1">
      <c r="A23" s="301" t="s">
        <v>607</v>
      </c>
      <c r="B23" s="301" t="s">
        <v>625</v>
      </c>
      <c r="C23" s="302" t="s">
        <v>626</v>
      </c>
      <c r="D23" s="301" t="s">
        <v>655</v>
      </c>
      <c r="E23" s="304" t="s">
        <v>882</v>
      </c>
      <c r="F23" s="305">
        <v>142</v>
      </c>
      <c r="G23" s="302"/>
      <c r="H23" s="302" t="s">
        <v>1417</v>
      </c>
      <c r="I23" s="301">
        <v>192</v>
      </c>
      <c r="J23" s="301" t="s">
        <v>60</v>
      </c>
      <c r="K23" s="307" t="s">
        <v>1419</v>
      </c>
      <c r="L23" s="379"/>
      <c r="M23" s="308">
        <v>41098</v>
      </c>
      <c r="N23" s="309">
        <v>56</v>
      </c>
      <c r="O23" s="311"/>
      <c r="P23" s="312">
        <v>417000000000000</v>
      </c>
      <c r="Q23" s="313"/>
      <c r="R23" s="315"/>
      <c r="S23" s="317" t="e">
        <f t="shared" si="0"/>
        <v>#DIV/0!</v>
      </c>
      <c r="T23" s="301" t="s">
        <v>88</v>
      </c>
      <c r="U23" s="318"/>
      <c r="V23" s="311"/>
      <c r="W23" s="320" t="s">
        <v>1621</v>
      </c>
      <c r="X23" s="381" t="s">
        <v>1622</v>
      </c>
      <c r="Y23" s="319"/>
      <c r="Z23" s="319"/>
      <c r="AA23" s="319"/>
      <c r="AB23" s="319"/>
      <c r="AC23" s="319"/>
      <c r="AD23" s="319"/>
      <c r="AE23" s="319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</row>
    <row r="24" spans="1:61" ht="20.25" hidden="1" customHeight="1">
      <c r="A24" s="383" t="s">
        <v>52</v>
      </c>
      <c r="B24" s="383" t="s">
        <v>1670</v>
      </c>
      <c r="C24" s="385"/>
      <c r="D24" s="383" t="s">
        <v>301</v>
      </c>
      <c r="E24" s="383" t="s">
        <v>575</v>
      </c>
      <c r="F24" s="387">
        <v>122</v>
      </c>
      <c r="G24" s="389"/>
      <c r="H24" s="389" t="s">
        <v>197</v>
      </c>
      <c r="I24" s="383">
        <v>120</v>
      </c>
      <c r="J24" s="383" t="s">
        <v>1675</v>
      </c>
      <c r="K24" s="397">
        <v>41150</v>
      </c>
      <c r="L24" s="397"/>
      <c r="M24" s="399">
        <v>41098</v>
      </c>
      <c r="N24" s="401">
        <v>57</v>
      </c>
      <c r="O24" s="403"/>
      <c r="P24" s="405">
        <v>811000000000000</v>
      </c>
      <c r="Q24" s="407"/>
      <c r="R24" s="409"/>
      <c r="S24" s="411" t="e">
        <f t="shared" si="0"/>
        <v>#DIV/0!</v>
      </c>
      <c r="T24" s="383" t="s">
        <v>88</v>
      </c>
      <c r="U24" s="413"/>
      <c r="V24" s="387" t="s">
        <v>1738</v>
      </c>
      <c r="W24" s="415"/>
      <c r="X24" s="416" t="s">
        <v>1622</v>
      </c>
      <c r="Y24" s="415"/>
      <c r="Z24" s="415"/>
      <c r="AA24" s="415"/>
      <c r="AB24" s="415"/>
      <c r="AC24" s="415"/>
      <c r="AD24" s="415"/>
      <c r="AE24" s="415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</row>
    <row r="25" spans="1:61" ht="48" hidden="1">
      <c r="A25" s="263" t="s">
        <v>1245</v>
      </c>
      <c r="B25" s="263" t="s">
        <v>1262</v>
      </c>
      <c r="C25" s="265" t="s">
        <v>626</v>
      </c>
      <c r="D25" s="263" t="s">
        <v>187</v>
      </c>
      <c r="E25" s="263" t="s">
        <v>1277</v>
      </c>
      <c r="F25" s="269">
        <v>193</v>
      </c>
      <c r="G25" s="265"/>
      <c r="H25" s="265" t="s">
        <v>304</v>
      </c>
      <c r="I25" s="263">
        <v>22</v>
      </c>
      <c r="J25" s="263" t="s">
        <v>1295</v>
      </c>
      <c r="K25" s="274">
        <v>41219</v>
      </c>
      <c r="L25" s="274"/>
      <c r="M25" s="277">
        <v>41099</v>
      </c>
      <c r="N25" s="278">
        <v>58</v>
      </c>
      <c r="O25" s="280"/>
      <c r="P25" s="281">
        <v>950000000000000</v>
      </c>
      <c r="Q25" s="282"/>
      <c r="R25" s="292"/>
      <c r="S25" s="293" t="e">
        <f t="shared" si="0"/>
        <v>#DIV/0!</v>
      </c>
      <c r="T25" s="263" t="s">
        <v>88</v>
      </c>
      <c r="U25" s="271"/>
      <c r="V25" s="269" t="s">
        <v>499</v>
      </c>
      <c r="W25" s="295"/>
      <c r="X25" s="421" t="s">
        <v>1622</v>
      </c>
      <c r="Y25" s="295"/>
      <c r="Z25" s="295"/>
      <c r="AA25" s="295"/>
      <c r="AB25" s="295"/>
      <c r="AC25" s="295"/>
      <c r="AD25" s="295"/>
      <c r="AE25" s="295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</row>
    <row r="26" spans="1:61" ht="25.5" hidden="1" customHeight="1">
      <c r="A26" s="29" t="s">
        <v>52</v>
      </c>
      <c r="B26" s="29" t="s">
        <v>54</v>
      </c>
      <c r="C26" s="31" t="s">
        <v>301</v>
      </c>
      <c r="D26" s="29" t="s">
        <v>301</v>
      </c>
      <c r="E26" s="29" t="s">
        <v>580</v>
      </c>
      <c r="F26" s="33">
        <v>166</v>
      </c>
      <c r="G26" s="31"/>
      <c r="H26" s="31" t="s">
        <v>304</v>
      </c>
      <c r="I26" s="29">
        <v>22</v>
      </c>
      <c r="J26" s="29" t="s">
        <v>1809</v>
      </c>
      <c r="K26" s="36" t="s">
        <v>1810</v>
      </c>
      <c r="L26" s="36"/>
      <c r="M26" s="38">
        <v>41172</v>
      </c>
      <c r="N26" s="40">
        <v>63</v>
      </c>
      <c r="O26" s="42"/>
      <c r="P26" s="44">
        <v>17000000000000</v>
      </c>
      <c r="Q26" s="46"/>
      <c r="R26" s="48"/>
      <c r="S26" s="55" t="e">
        <f t="shared" si="0"/>
        <v>#DIV/0!</v>
      </c>
      <c r="T26" s="29" t="s">
        <v>88</v>
      </c>
      <c r="U26" s="57"/>
      <c r="V26" s="42"/>
      <c r="W26" s="61"/>
      <c r="X26" s="61"/>
      <c r="Y26" s="61"/>
      <c r="Z26" s="61"/>
      <c r="AA26" s="61"/>
      <c r="AB26" s="61"/>
      <c r="AC26" s="61"/>
      <c r="AD26" s="61"/>
      <c r="AE26" s="61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</row>
    <row r="27" spans="1:61" ht="20.25" hidden="1" customHeight="1">
      <c r="A27" s="64" t="s">
        <v>52</v>
      </c>
      <c r="B27" s="64" t="s">
        <v>177</v>
      </c>
      <c r="C27" s="66" t="s">
        <v>178</v>
      </c>
      <c r="D27" s="64" t="s">
        <v>187</v>
      </c>
      <c r="E27" s="64" t="s">
        <v>490</v>
      </c>
      <c r="F27" s="67">
        <v>168</v>
      </c>
      <c r="G27" s="66"/>
      <c r="H27" s="66" t="s">
        <v>197</v>
      </c>
      <c r="I27" s="64">
        <v>120</v>
      </c>
      <c r="J27" s="64" t="s">
        <v>1675</v>
      </c>
      <c r="K27" s="426" t="s">
        <v>1821</v>
      </c>
      <c r="L27" s="426"/>
      <c r="M27" s="70">
        <v>41179</v>
      </c>
      <c r="N27" s="71">
        <v>64</v>
      </c>
      <c r="O27" s="72"/>
      <c r="P27" s="74">
        <v>40500000000000</v>
      </c>
      <c r="Q27" s="76"/>
      <c r="R27" s="78"/>
      <c r="S27" s="82" t="e">
        <f t="shared" si="0"/>
        <v>#DIV/0!</v>
      </c>
      <c r="T27" s="64" t="s">
        <v>88</v>
      </c>
      <c r="U27" s="84"/>
      <c r="V27" s="72"/>
      <c r="W27" s="85" t="s">
        <v>501</v>
      </c>
      <c r="X27" s="86"/>
      <c r="Y27" s="86"/>
      <c r="Z27" s="86"/>
      <c r="AA27" s="86"/>
      <c r="AB27" s="86"/>
      <c r="AC27" s="86"/>
      <c r="AD27" s="86"/>
      <c r="AE27" s="86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</row>
    <row r="28" spans="1:61" ht="20.25" hidden="1" customHeight="1">
      <c r="A28" s="64" t="s">
        <v>52</v>
      </c>
      <c r="B28" s="64" t="s">
        <v>177</v>
      </c>
      <c r="C28" s="66" t="s">
        <v>178</v>
      </c>
      <c r="D28" s="64" t="s">
        <v>187</v>
      </c>
      <c r="E28" s="64" t="s">
        <v>1198</v>
      </c>
      <c r="F28" s="67">
        <v>174</v>
      </c>
      <c r="G28" s="66"/>
      <c r="H28" s="66" t="s">
        <v>197</v>
      </c>
      <c r="I28" s="64">
        <v>120</v>
      </c>
      <c r="J28" s="64" t="s">
        <v>1675</v>
      </c>
      <c r="K28" s="426" t="s">
        <v>1821</v>
      </c>
      <c r="L28" s="426"/>
      <c r="M28" s="70">
        <v>41179</v>
      </c>
      <c r="N28" s="71">
        <v>65</v>
      </c>
      <c r="O28" s="72"/>
      <c r="P28" s="74" t="s">
        <v>1835</v>
      </c>
      <c r="Q28" s="76"/>
      <c r="R28" s="78"/>
      <c r="S28" s="82" t="e">
        <f t="shared" si="0"/>
        <v>#DIV/0!</v>
      </c>
      <c r="T28" s="64" t="s">
        <v>88</v>
      </c>
      <c r="U28" s="84"/>
      <c r="V28" s="67" t="s">
        <v>1840</v>
      </c>
      <c r="W28" s="85" t="s">
        <v>1842</v>
      </c>
      <c r="X28" s="86"/>
      <c r="Y28" s="86"/>
      <c r="Z28" s="86"/>
      <c r="AA28" s="86"/>
      <c r="AB28" s="86"/>
      <c r="AC28" s="86"/>
      <c r="AD28" s="86"/>
      <c r="AE28" s="86"/>
      <c r="AF28" s="86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</row>
    <row r="29" spans="1:61" ht="20.25" hidden="1" customHeight="1">
      <c r="A29" s="432" t="s">
        <v>52</v>
      </c>
      <c r="B29" s="432" t="s">
        <v>1670</v>
      </c>
      <c r="C29" s="434"/>
      <c r="D29" s="432" t="s">
        <v>301</v>
      </c>
      <c r="E29" s="432" t="s">
        <v>516</v>
      </c>
      <c r="F29" s="436">
        <v>140</v>
      </c>
      <c r="G29" s="438"/>
      <c r="H29" s="438" t="s">
        <v>197</v>
      </c>
      <c r="I29" s="432">
        <v>120</v>
      </c>
      <c r="J29" s="432" t="s">
        <v>1675</v>
      </c>
      <c r="K29" s="440">
        <v>41150</v>
      </c>
      <c r="L29" s="442"/>
      <c r="M29" s="444">
        <v>41179</v>
      </c>
      <c r="N29" s="445">
        <v>66</v>
      </c>
      <c r="O29" s="447"/>
      <c r="P29" s="449" t="s">
        <v>1863</v>
      </c>
      <c r="Q29" s="450"/>
      <c r="R29" s="451"/>
      <c r="S29" s="453" t="e">
        <f t="shared" si="0"/>
        <v>#DIV/0!</v>
      </c>
      <c r="T29" s="432" t="s">
        <v>88</v>
      </c>
      <c r="U29" s="456"/>
      <c r="V29" s="436" t="s">
        <v>1892</v>
      </c>
      <c r="W29" s="458" t="s">
        <v>499</v>
      </c>
      <c r="X29" s="458" t="s">
        <v>1903</v>
      </c>
      <c r="Y29" s="460"/>
      <c r="Z29" s="460"/>
      <c r="AA29" s="460"/>
      <c r="AB29" s="460"/>
      <c r="AC29" s="460"/>
      <c r="AD29" s="460"/>
      <c r="AE29" s="460"/>
      <c r="AF29" s="234"/>
      <c r="AG29" s="234"/>
      <c r="AH29" s="234"/>
      <c r="AI29" s="234"/>
      <c r="AJ29" s="234"/>
      <c r="AK29" s="234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4"/>
      <c r="BB29" s="234"/>
      <c r="BC29" s="234"/>
      <c r="BD29" s="234"/>
      <c r="BE29" s="234"/>
      <c r="BF29" s="234"/>
      <c r="BG29" s="234"/>
      <c r="BH29" s="234"/>
      <c r="BI29" s="234"/>
    </row>
    <row r="30" spans="1:61" ht="36" hidden="1">
      <c r="A30" s="64" t="s">
        <v>52</v>
      </c>
      <c r="B30" s="64" t="s">
        <v>177</v>
      </c>
      <c r="C30" s="66" t="s">
        <v>178</v>
      </c>
      <c r="D30" s="64" t="s">
        <v>187</v>
      </c>
      <c r="E30" s="64" t="s">
        <v>1915</v>
      </c>
      <c r="F30" s="67">
        <v>197</v>
      </c>
      <c r="G30" s="66"/>
      <c r="H30" s="66" t="s">
        <v>197</v>
      </c>
      <c r="I30" s="64">
        <v>120</v>
      </c>
      <c r="J30" s="64" t="s">
        <v>1675</v>
      </c>
      <c r="K30" s="426" t="s">
        <v>1821</v>
      </c>
      <c r="L30" s="68"/>
      <c r="M30" s="70">
        <v>41009</v>
      </c>
      <c r="N30" s="71">
        <v>67</v>
      </c>
      <c r="O30" s="72"/>
      <c r="P30" s="462">
        <v>23800000000000</v>
      </c>
      <c r="Q30" s="464"/>
      <c r="R30" s="466"/>
      <c r="S30" s="468" t="e">
        <f t="shared" si="0"/>
        <v>#DIV/0!</v>
      </c>
      <c r="T30" s="470" t="s">
        <v>88</v>
      </c>
      <c r="U30" s="471"/>
      <c r="V30" s="67" t="s">
        <v>1945</v>
      </c>
      <c r="W30" s="474">
        <v>41614</v>
      </c>
      <c r="X30" s="476" t="s">
        <v>1955</v>
      </c>
      <c r="Y30" s="86"/>
      <c r="Z30" s="86"/>
      <c r="AA30" s="86"/>
      <c r="AB30" s="86"/>
      <c r="AC30" s="86"/>
      <c r="AD30" s="86"/>
      <c r="AE30" s="86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</row>
    <row r="31" spans="1:61" ht="24" hidden="1">
      <c r="A31" s="64" t="s">
        <v>52</v>
      </c>
      <c r="B31" s="64" t="s">
        <v>177</v>
      </c>
      <c r="C31" s="66" t="s">
        <v>178</v>
      </c>
      <c r="D31" s="64" t="s">
        <v>187</v>
      </c>
      <c r="E31" s="64" t="s">
        <v>1956</v>
      </c>
      <c r="F31" s="67">
        <v>198</v>
      </c>
      <c r="G31" s="66"/>
      <c r="H31" s="66" t="s">
        <v>197</v>
      </c>
      <c r="I31" s="64">
        <v>120</v>
      </c>
      <c r="J31" s="64" t="s">
        <v>1675</v>
      </c>
      <c r="K31" s="426" t="s">
        <v>1821</v>
      </c>
      <c r="L31" s="68"/>
      <c r="M31" s="70">
        <v>41009</v>
      </c>
      <c r="N31" s="71">
        <v>68</v>
      </c>
      <c r="O31" s="72"/>
      <c r="P31" s="462">
        <v>3000000000000</v>
      </c>
      <c r="Q31" s="464"/>
      <c r="R31" s="466"/>
      <c r="S31" s="468" t="e">
        <f t="shared" si="0"/>
        <v>#DIV/0!</v>
      </c>
      <c r="T31" s="470" t="s">
        <v>88</v>
      </c>
      <c r="U31" s="471"/>
      <c r="V31" s="67" t="s">
        <v>1957</v>
      </c>
      <c r="W31" s="86"/>
      <c r="X31" s="479"/>
      <c r="Y31" s="86"/>
      <c r="Z31" s="86"/>
      <c r="AA31" s="86"/>
      <c r="AB31" s="86"/>
      <c r="AC31" s="86"/>
      <c r="AD31" s="86"/>
      <c r="AE31" s="86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</row>
    <row r="32" spans="1:61" ht="24" hidden="1">
      <c r="A32" s="64" t="s">
        <v>52</v>
      </c>
      <c r="B32" s="64" t="s">
        <v>177</v>
      </c>
      <c r="C32" s="66" t="s">
        <v>178</v>
      </c>
      <c r="D32" s="64" t="s">
        <v>187</v>
      </c>
      <c r="E32" s="64" t="s">
        <v>490</v>
      </c>
      <c r="F32" s="67">
        <v>168</v>
      </c>
      <c r="G32" s="66"/>
      <c r="H32" s="66" t="s">
        <v>197</v>
      </c>
      <c r="I32" s="64">
        <v>120</v>
      </c>
      <c r="J32" s="64" t="s">
        <v>1675</v>
      </c>
      <c r="K32" s="426" t="s">
        <v>1821</v>
      </c>
      <c r="L32" s="68"/>
      <c r="M32" s="70">
        <v>41009</v>
      </c>
      <c r="N32" s="71">
        <v>69</v>
      </c>
      <c r="O32" s="72"/>
      <c r="P32" s="462">
        <v>150000000000000</v>
      </c>
      <c r="Q32" s="464"/>
      <c r="R32" s="466"/>
      <c r="S32" s="468" t="e">
        <f t="shared" si="0"/>
        <v>#DIV/0!</v>
      </c>
      <c r="T32" s="470" t="s">
        <v>88</v>
      </c>
      <c r="U32" s="471"/>
      <c r="V32" s="67" t="s">
        <v>1959</v>
      </c>
      <c r="W32" s="86"/>
      <c r="X32" s="479"/>
      <c r="Y32" s="86"/>
      <c r="Z32" s="86"/>
      <c r="AA32" s="86"/>
      <c r="AB32" s="86"/>
      <c r="AC32" s="86"/>
      <c r="AD32" s="86"/>
      <c r="AE32" s="86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</row>
    <row r="33" spans="1:61" ht="23.25" hidden="1" customHeight="1">
      <c r="A33" s="483" t="s">
        <v>52</v>
      </c>
      <c r="B33" s="483" t="s">
        <v>54</v>
      </c>
      <c r="C33" s="485" t="s">
        <v>1967</v>
      </c>
      <c r="D33" s="483" t="s">
        <v>568</v>
      </c>
      <c r="E33" s="483" t="s">
        <v>580</v>
      </c>
      <c r="F33" s="490">
        <v>166</v>
      </c>
      <c r="G33" s="485"/>
      <c r="H33" s="485" t="s">
        <v>1995</v>
      </c>
      <c r="I33" s="483">
        <v>90</v>
      </c>
      <c r="J33" s="483" t="s">
        <v>1996</v>
      </c>
      <c r="K33" s="492">
        <v>41223</v>
      </c>
      <c r="L33" s="492"/>
      <c r="M33" s="496">
        <v>41223</v>
      </c>
      <c r="N33" s="498">
        <v>70</v>
      </c>
      <c r="O33" s="499"/>
      <c r="P33" s="501">
        <v>230000000000000</v>
      </c>
      <c r="Q33" s="502"/>
      <c r="R33" s="504"/>
      <c r="S33" s="506" t="e">
        <f t="shared" si="0"/>
        <v>#DIV/0!</v>
      </c>
      <c r="T33" s="483" t="s">
        <v>88</v>
      </c>
      <c r="U33" s="508"/>
      <c r="V33" s="490" t="s">
        <v>2072</v>
      </c>
      <c r="W33" s="510" t="s">
        <v>2073</v>
      </c>
      <c r="X33" s="510" t="s">
        <v>2074</v>
      </c>
      <c r="Y33" s="512"/>
      <c r="Z33" s="512"/>
      <c r="AA33" s="512"/>
      <c r="AB33" s="512"/>
      <c r="AC33" s="512"/>
      <c r="AD33" s="512"/>
      <c r="AE33" s="512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  <c r="BD33" s="377"/>
      <c r="BE33" s="377"/>
      <c r="BF33" s="377"/>
      <c r="BG33" s="377"/>
      <c r="BH33" s="377"/>
      <c r="BI33" s="377"/>
    </row>
    <row r="34" spans="1:61" ht="21" hidden="1" customHeight="1">
      <c r="A34" s="483" t="s">
        <v>52</v>
      </c>
      <c r="B34" s="483" t="s">
        <v>54</v>
      </c>
      <c r="C34" s="485" t="s">
        <v>1967</v>
      </c>
      <c r="D34" s="483" t="s">
        <v>568</v>
      </c>
      <c r="E34" s="483" t="s">
        <v>580</v>
      </c>
      <c r="F34" s="490">
        <v>166</v>
      </c>
      <c r="G34" s="485"/>
      <c r="H34" s="485" t="s">
        <v>2076</v>
      </c>
      <c r="I34" s="483">
        <v>91</v>
      </c>
      <c r="J34" s="483" t="s">
        <v>1996</v>
      </c>
      <c r="K34" s="492">
        <v>41223</v>
      </c>
      <c r="L34" s="492"/>
      <c r="M34" s="496">
        <v>41223</v>
      </c>
      <c r="N34" s="498">
        <v>71</v>
      </c>
      <c r="O34" s="499"/>
      <c r="P34" s="501">
        <v>350000000000000</v>
      </c>
      <c r="Q34" s="502"/>
      <c r="R34" s="504"/>
      <c r="S34" s="506" t="e">
        <f t="shared" si="0"/>
        <v>#DIV/0!</v>
      </c>
      <c r="T34" s="483" t="s">
        <v>88</v>
      </c>
      <c r="U34" s="508"/>
      <c r="V34" s="490" t="s">
        <v>2072</v>
      </c>
      <c r="W34" s="510" t="s">
        <v>2073</v>
      </c>
      <c r="X34" s="510" t="s">
        <v>2074</v>
      </c>
      <c r="Y34" s="512"/>
      <c r="Z34" s="512"/>
      <c r="AA34" s="512"/>
      <c r="AB34" s="512"/>
      <c r="AC34" s="512"/>
      <c r="AD34" s="512"/>
      <c r="AE34" s="512"/>
      <c r="AF34" s="377"/>
      <c r="AG34" s="377"/>
      <c r="AH34" s="377"/>
      <c r="AI34" s="377"/>
      <c r="AJ34" s="377"/>
      <c r="AK34" s="377"/>
      <c r="AL34" s="377"/>
      <c r="AM34" s="377"/>
      <c r="AN34" s="377"/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/>
      <c r="AZ34" s="377"/>
      <c r="BA34" s="377"/>
      <c r="BB34" s="377"/>
      <c r="BC34" s="377"/>
      <c r="BD34" s="377"/>
      <c r="BE34" s="377"/>
      <c r="BF34" s="377"/>
      <c r="BG34" s="377"/>
      <c r="BH34" s="377"/>
      <c r="BI34" s="377"/>
    </row>
    <row r="35" spans="1:61" ht="21" hidden="1" customHeight="1">
      <c r="A35" s="483" t="s">
        <v>52</v>
      </c>
      <c r="B35" s="483" t="s">
        <v>54</v>
      </c>
      <c r="C35" s="485" t="s">
        <v>1967</v>
      </c>
      <c r="D35" s="483" t="s">
        <v>568</v>
      </c>
      <c r="E35" s="483" t="s">
        <v>580</v>
      </c>
      <c r="F35" s="490">
        <v>166</v>
      </c>
      <c r="G35" s="485"/>
      <c r="H35" s="485" t="s">
        <v>2077</v>
      </c>
      <c r="I35" s="483">
        <v>89</v>
      </c>
      <c r="J35" s="483" t="s">
        <v>1996</v>
      </c>
      <c r="K35" s="492">
        <v>41223</v>
      </c>
      <c r="L35" s="492"/>
      <c r="M35" s="496">
        <v>41223</v>
      </c>
      <c r="N35" s="498">
        <v>72</v>
      </c>
      <c r="O35" s="499"/>
      <c r="P35" s="501">
        <v>200000000000000</v>
      </c>
      <c r="Q35" s="502"/>
      <c r="R35" s="504"/>
      <c r="S35" s="506" t="e">
        <f t="shared" si="0"/>
        <v>#DIV/0!</v>
      </c>
      <c r="T35" s="483" t="s">
        <v>88</v>
      </c>
      <c r="U35" s="508"/>
      <c r="V35" s="518" t="s">
        <v>2072</v>
      </c>
      <c r="W35" s="512"/>
      <c r="X35" s="510" t="s">
        <v>2074</v>
      </c>
      <c r="Y35" s="61"/>
      <c r="Z35" s="61"/>
      <c r="AA35" s="61"/>
      <c r="AB35" s="61"/>
      <c r="AC35" s="61"/>
      <c r="AD35" s="61"/>
      <c r="AE35" s="61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</row>
    <row r="36" spans="1:61" ht="48" hidden="1">
      <c r="A36" s="520" t="s">
        <v>52</v>
      </c>
      <c r="B36" s="520" t="s">
        <v>177</v>
      </c>
      <c r="C36" s="521" t="s">
        <v>178</v>
      </c>
      <c r="D36" s="520" t="s">
        <v>187</v>
      </c>
      <c r="E36" s="520" t="s">
        <v>2087</v>
      </c>
      <c r="F36" s="522">
        <v>196</v>
      </c>
      <c r="G36" s="521"/>
      <c r="H36" s="521" t="s">
        <v>197</v>
      </c>
      <c r="I36" s="520">
        <v>120</v>
      </c>
      <c r="J36" s="520" t="s">
        <v>1675</v>
      </c>
      <c r="K36" s="523" t="s">
        <v>1821</v>
      </c>
      <c r="L36" s="523"/>
      <c r="M36" s="524">
        <v>41200</v>
      </c>
      <c r="N36" s="525">
        <v>73</v>
      </c>
      <c r="O36" s="526"/>
      <c r="P36" s="527">
        <v>65600000000000</v>
      </c>
      <c r="Q36" s="529"/>
      <c r="R36" s="530"/>
      <c r="S36" s="531" t="e">
        <f t="shared" si="0"/>
        <v>#DIV/0!</v>
      </c>
      <c r="T36" s="520" t="s">
        <v>88</v>
      </c>
      <c r="U36" s="532"/>
      <c r="V36" s="533"/>
      <c r="W36" s="534"/>
      <c r="X36" s="535" t="s">
        <v>2125</v>
      </c>
      <c r="Y36" s="86"/>
      <c r="Z36" s="86"/>
      <c r="AA36" s="86"/>
      <c r="AB36" s="86"/>
      <c r="AC36" s="86"/>
      <c r="AD36" s="86"/>
      <c r="AE36" s="86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</row>
    <row r="37" spans="1:61" ht="48" hidden="1">
      <c r="A37" s="64" t="s">
        <v>52</v>
      </c>
      <c r="B37" s="64" t="s">
        <v>177</v>
      </c>
      <c r="C37" s="66" t="s">
        <v>178</v>
      </c>
      <c r="D37" s="64" t="s">
        <v>187</v>
      </c>
      <c r="E37" s="64" t="s">
        <v>1915</v>
      </c>
      <c r="F37" s="64">
        <v>197</v>
      </c>
      <c r="G37" s="66"/>
      <c r="H37" s="66" t="s">
        <v>197</v>
      </c>
      <c r="I37" s="64">
        <v>120</v>
      </c>
      <c r="J37" s="64" t="s">
        <v>1675</v>
      </c>
      <c r="K37" s="426" t="s">
        <v>1821</v>
      </c>
      <c r="L37" s="426"/>
      <c r="M37" s="70">
        <v>41200</v>
      </c>
      <c r="N37" s="71">
        <v>74</v>
      </c>
      <c r="O37" s="72"/>
      <c r="P37" s="74">
        <v>21800000000000</v>
      </c>
      <c r="Q37" s="76"/>
      <c r="R37" s="78"/>
      <c r="S37" s="82" t="e">
        <f t="shared" si="0"/>
        <v>#DIV/0!</v>
      </c>
      <c r="T37" s="64" t="s">
        <v>88</v>
      </c>
      <c r="U37" s="84"/>
      <c r="V37" s="536" t="s">
        <v>2142</v>
      </c>
      <c r="W37" s="474">
        <v>41614</v>
      </c>
      <c r="X37" s="537" t="s">
        <v>2125</v>
      </c>
      <c r="Y37" s="86"/>
      <c r="Z37" s="86"/>
      <c r="AA37" s="86"/>
      <c r="AB37" s="86"/>
      <c r="AC37" s="86"/>
      <c r="AD37" s="86"/>
      <c r="AE37" s="86"/>
      <c r="AF37" s="86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</row>
    <row r="38" spans="1:61" ht="48" hidden="1">
      <c r="A38" s="64" t="s">
        <v>52</v>
      </c>
      <c r="B38" s="64" t="s">
        <v>177</v>
      </c>
      <c r="C38" s="66" t="s">
        <v>178</v>
      </c>
      <c r="D38" s="64" t="s">
        <v>187</v>
      </c>
      <c r="E38" s="64" t="s">
        <v>1956</v>
      </c>
      <c r="F38" s="64">
        <v>198</v>
      </c>
      <c r="G38" s="66"/>
      <c r="H38" s="66" t="s">
        <v>197</v>
      </c>
      <c r="I38" s="64">
        <v>120</v>
      </c>
      <c r="J38" s="64" t="s">
        <v>1675</v>
      </c>
      <c r="K38" s="426" t="s">
        <v>1821</v>
      </c>
      <c r="L38" s="426"/>
      <c r="M38" s="70">
        <v>41200</v>
      </c>
      <c r="N38" s="71">
        <v>75</v>
      </c>
      <c r="O38" s="72"/>
      <c r="P38" s="74">
        <v>1030000000000</v>
      </c>
      <c r="Q38" s="76"/>
      <c r="R38" s="78"/>
      <c r="S38" s="82" t="e">
        <f t="shared" si="0"/>
        <v>#DIV/0!</v>
      </c>
      <c r="T38" s="64" t="s">
        <v>88</v>
      </c>
      <c r="U38" s="84"/>
      <c r="V38" s="538">
        <f>30</f>
        <v>30</v>
      </c>
      <c r="W38" s="86"/>
      <c r="X38" s="537" t="s">
        <v>2125</v>
      </c>
      <c r="Y38" s="86"/>
      <c r="Z38" s="86"/>
      <c r="AA38" s="86"/>
      <c r="AB38" s="86"/>
      <c r="AC38" s="86"/>
      <c r="AD38" s="86"/>
      <c r="AE38" s="86"/>
      <c r="AF38" s="86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</row>
    <row r="39" spans="1:61" ht="36" hidden="1">
      <c r="A39" s="539" t="s">
        <v>691</v>
      </c>
      <c r="B39" s="539" t="s">
        <v>2176</v>
      </c>
      <c r="C39" s="540" t="s">
        <v>178</v>
      </c>
      <c r="D39" s="539" t="s">
        <v>70</v>
      </c>
      <c r="E39" s="539" t="s">
        <v>516</v>
      </c>
      <c r="F39" s="539">
        <v>140</v>
      </c>
      <c r="G39" s="541"/>
      <c r="H39" s="541" t="s">
        <v>2183</v>
      </c>
      <c r="I39" s="539">
        <v>132</v>
      </c>
      <c r="J39" s="539" t="s">
        <v>60</v>
      </c>
      <c r="K39" s="542" t="s">
        <v>2185</v>
      </c>
      <c r="L39" s="542"/>
      <c r="M39" s="544">
        <v>41207</v>
      </c>
      <c r="N39" s="546">
        <v>76</v>
      </c>
      <c r="O39" s="547"/>
      <c r="P39" s="548">
        <v>2300000000000</v>
      </c>
      <c r="Q39" s="549"/>
      <c r="R39" s="550"/>
      <c r="S39" s="551" t="e">
        <f t="shared" si="0"/>
        <v>#DIV/0!</v>
      </c>
      <c r="T39" s="539" t="s">
        <v>88</v>
      </c>
      <c r="U39" s="552"/>
      <c r="V39" s="553" t="s">
        <v>2072</v>
      </c>
      <c r="W39" s="554" t="s">
        <v>280</v>
      </c>
      <c r="X39" s="555" t="s">
        <v>2219</v>
      </c>
      <c r="Y39" s="556"/>
      <c r="Z39" s="556"/>
      <c r="AA39" s="556"/>
      <c r="AB39" s="556"/>
      <c r="AC39" s="556"/>
      <c r="AD39" s="556"/>
      <c r="AE39" s="556"/>
      <c r="AF39" s="556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</row>
    <row r="40" spans="1:61" ht="36" hidden="1">
      <c r="A40" s="557" t="s">
        <v>691</v>
      </c>
      <c r="B40" s="557" t="s">
        <v>2176</v>
      </c>
      <c r="C40" s="558" t="s">
        <v>178</v>
      </c>
      <c r="D40" s="557" t="s">
        <v>70</v>
      </c>
      <c r="E40" s="557" t="s">
        <v>516</v>
      </c>
      <c r="F40" s="557">
        <v>140</v>
      </c>
      <c r="G40" s="559"/>
      <c r="H40" s="559" t="s">
        <v>2238</v>
      </c>
      <c r="I40" s="557">
        <v>133</v>
      </c>
      <c r="J40" s="557" t="s">
        <v>146</v>
      </c>
      <c r="K40" s="563" t="s">
        <v>2185</v>
      </c>
      <c r="L40" s="563"/>
      <c r="M40" s="564">
        <v>41207</v>
      </c>
      <c r="N40" s="565">
        <v>77</v>
      </c>
      <c r="O40" s="566"/>
      <c r="P40" s="567">
        <v>1390000000000</v>
      </c>
      <c r="Q40" s="568"/>
      <c r="R40" s="569"/>
      <c r="S40" s="570" t="e">
        <f t="shared" si="0"/>
        <v>#DIV/0!</v>
      </c>
      <c r="T40" s="557" t="s">
        <v>88</v>
      </c>
      <c r="U40" s="571"/>
      <c r="V40" s="572">
        <f>30</f>
        <v>30</v>
      </c>
      <c r="W40" s="574" t="s">
        <v>280</v>
      </c>
      <c r="X40" s="576" t="s">
        <v>2219</v>
      </c>
      <c r="Y40" s="556"/>
      <c r="Z40" s="556"/>
      <c r="AA40" s="556"/>
      <c r="AB40" s="556"/>
      <c r="AC40" s="556"/>
      <c r="AD40" s="556"/>
      <c r="AE40" s="556"/>
      <c r="AF40" s="556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</row>
    <row r="41" spans="1:61" ht="36" hidden="1">
      <c r="A41" s="578" t="s">
        <v>52</v>
      </c>
      <c r="B41" s="578" t="s">
        <v>54</v>
      </c>
      <c r="C41" s="579" t="s">
        <v>55</v>
      </c>
      <c r="D41" s="578" t="s">
        <v>57</v>
      </c>
      <c r="E41" s="578" t="s">
        <v>58</v>
      </c>
      <c r="F41" s="578">
        <v>178</v>
      </c>
      <c r="G41" s="579"/>
      <c r="H41" s="579" t="s">
        <v>59</v>
      </c>
      <c r="I41" s="578">
        <v>93</v>
      </c>
      <c r="J41" s="578" t="s">
        <v>2340</v>
      </c>
      <c r="K41" s="580" t="s">
        <v>2341</v>
      </c>
      <c r="L41" s="580"/>
      <c r="M41" s="581">
        <v>41207</v>
      </c>
      <c r="N41" s="582">
        <v>78</v>
      </c>
      <c r="O41" s="583"/>
      <c r="P41" s="584">
        <v>12700000000000</v>
      </c>
      <c r="Q41" s="585"/>
      <c r="R41" s="587"/>
      <c r="S41" s="589" t="e">
        <f t="shared" si="0"/>
        <v>#DIV/0!</v>
      </c>
      <c r="T41" s="578" t="s">
        <v>88</v>
      </c>
      <c r="U41" s="590"/>
      <c r="V41" s="591">
        <f>115</f>
        <v>115</v>
      </c>
      <c r="W41" s="592" t="s">
        <v>2386</v>
      </c>
      <c r="X41" s="594" t="s">
        <v>2388</v>
      </c>
      <c r="Y41" s="596"/>
      <c r="Z41" s="596"/>
      <c r="AA41" s="596"/>
      <c r="AB41" s="596"/>
      <c r="AC41" s="596"/>
      <c r="AD41" s="596"/>
      <c r="AE41" s="596"/>
      <c r="AF41" s="596"/>
      <c r="AG41" s="234"/>
      <c r="AH41" s="234"/>
      <c r="AI41" s="234"/>
      <c r="AJ41" s="234"/>
      <c r="AK41" s="234"/>
      <c r="AL41" s="234"/>
      <c r="AM41" s="234"/>
      <c r="AN41" s="234"/>
      <c r="AO41" s="234"/>
      <c r="AP41" s="234"/>
      <c r="AQ41" s="234"/>
      <c r="AR41" s="234"/>
      <c r="AS41" s="234"/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</row>
    <row r="42" spans="1:61" ht="24" hidden="1">
      <c r="A42" s="483" t="s">
        <v>52</v>
      </c>
      <c r="B42" s="483" t="s">
        <v>54</v>
      </c>
      <c r="C42" s="485" t="s">
        <v>55</v>
      </c>
      <c r="D42" s="483" t="s">
        <v>57</v>
      </c>
      <c r="E42" s="483" t="s">
        <v>58</v>
      </c>
      <c r="F42" s="483">
        <v>178</v>
      </c>
      <c r="G42" s="485"/>
      <c r="H42" s="485" t="s">
        <v>59</v>
      </c>
      <c r="I42" s="483">
        <v>93</v>
      </c>
      <c r="J42" s="483" t="s">
        <v>2340</v>
      </c>
      <c r="K42" s="598" t="s">
        <v>2341</v>
      </c>
      <c r="L42" s="492"/>
      <c r="M42" s="496">
        <v>41132</v>
      </c>
      <c r="N42" s="498">
        <v>79</v>
      </c>
      <c r="O42" s="499"/>
      <c r="P42" s="501">
        <v>91000000000000</v>
      </c>
      <c r="Q42" s="502"/>
      <c r="R42" s="504"/>
      <c r="S42" s="506" t="e">
        <f t="shared" si="0"/>
        <v>#DIV/0!</v>
      </c>
      <c r="T42" s="483" t="s">
        <v>88</v>
      </c>
      <c r="U42" s="508"/>
      <c r="V42" s="518" t="s">
        <v>2399</v>
      </c>
      <c r="W42" s="512"/>
      <c r="X42" s="510" t="s">
        <v>2401</v>
      </c>
      <c r="Y42" s="61"/>
      <c r="Z42" s="61"/>
      <c r="AA42" s="61"/>
      <c r="AB42" s="61"/>
      <c r="AC42" s="61"/>
      <c r="AD42" s="61"/>
      <c r="AE42" s="61"/>
      <c r="AF42" s="61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</row>
    <row r="43" spans="1:61" ht="24" hidden="1">
      <c r="A43" s="29" t="s">
        <v>52</v>
      </c>
      <c r="B43" s="29" t="s">
        <v>54</v>
      </c>
      <c r="C43" s="31" t="s">
        <v>55</v>
      </c>
      <c r="D43" s="29" t="s">
        <v>57</v>
      </c>
      <c r="E43" s="29" t="s">
        <v>143</v>
      </c>
      <c r="F43" s="29">
        <v>170</v>
      </c>
      <c r="G43" s="31"/>
      <c r="H43" s="31" t="s">
        <v>59</v>
      </c>
      <c r="I43" s="29">
        <v>93</v>
      </c>
      <c r="J43" s="29" t="s">
        <v>60</v>
      </c>
      <c r="K43" s="36" t="s">
        <v>2341</v>
      </c>
      <c r="L43" s="35"/>
      <c r="M43" s="38">
        <v>41132</v>
      </c>
      <c r="N43" s="40">
        <v>80</v>
      </c>
      <c r="O43" s="42"/>
      <c r="P43" s="44">
        <v>1260000000000000</v>
      </c>
      <c r="Q43" s="46"/>
      <c r="R43" s="48"/>
      <c r="S43" s="55" t="e">
        <f t="shared" si="0"/>
        <v>#DIV/0!</v>
      </c>
      <c r="T43" s="29" t="s">
        <v>88</v>
      </c>
      <c r="U43" s="57"/>
      <c r="V43" s="600">
        <f>5</f>
        <v>5</v>
      </c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</row>
    <row r="44" spans="1:61" ht="24" hidden="1">
      <c r="A44" s="29" t="s">
        <v>52</v>
      </c>
      <c r="B44" s="29" t="s">
        <v>54</v>
      </c>
      <c r="C44" s="31" t="s">
        <v>55</v>
      </c>
      <c r="D44" s="29" t="s">
        <v>57</v>
      </c>
      <c r="E44" s="29" t="s">
        <v>580</v>
      </c>
      <c r="F44" s="29">
        <v>166</v>
      </c>
      <c r="G44" s="31"/>
      <c r="H44" s="31" t="s">
        <v>59</v>
      </c>
      <c r="I44" s="29">
        <v>93</v>
      </c>
      <c r="J44" s="29" t="s">
        <v>60</v>
      </c>
      <c r="K44" s="36" t="s">
        <v>2341</v>
      </c>
      <c r="L44" s="36"/>
      <c r="M44" s="38">
        <v>41228</v>
      </c>
      <c r="N44" s="40">
        <v>81</v>
      </c>
      <c r="O44" s="42"/>
      <c r="P44" s="44">
        <v>580000000000000</v>
      </c>
      <c r="Q44" s="46"/>
      <c r="R44" s="48"/>
      <c r="S44" s="55" t="e">
        <f t="shared" si="0"/>
        <v>#DIV/0!</v>
      </c>
      <c r="T44" s="29" t="s">
        <v>88</v>
      </c>
      <c r="U44" s="57"/>
      <c r="V44" s="601" t="s">
        <v>1957</v>
      </c>
      <c r="W44" s="58" t="s">
        <v>475</v>
      </c>
      <c r="X44" s="58" t="s">
        <v>483</v>
      </c>
      <c r="Y44" s="61"/>
      <c r="Z44" s="61"/>
      <c r="AA44" s="61"/>
      <c r="AB44" s="61"/>
      <c r="AC44" s="61"/>
      <c r="AD44" s="61"/>
      <c r="AE44" s="61"/>
      <c r="AF44" s="61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</row>
    <row r="45" spans="1:61" ht="21" hidden="1" customHeight="1">
      <c r="A45" s="29" t="s">
        <v>52</v>
      </c>
      <c r="B45" s="29" t="s">
        <v>54</v>
      </c>
      <c r="C45" s="31" t="s">
        <v>55</v>
      </c>
      <c r="D45" s="29" t="s">
        <v>57</v>
      </c>
      <c r="E45" s="29" t="s">
        <v>580</v>
      </c>
      <c r="F45" s="33">
        <v>166</v>
      </c>
      <c r="G45" s="31"/>
      <c r="H45" s="31" t="s">
        <v>2415</v>
      </c>
      <c r="I45" s="29">
        <v>199</v>
      </c>
      <c r="J45" s="29" t="s">
        <v>60</v>
      </c>
      <c r="K45" s="36" t="s">
        <v>2341</v>
      </c>
      <c r="L45" s="36"/>
      <c r="M45" s="38">
        <v>41228</v>
      </c>
      <c r="N45" s="40">
        <v>82</v>
      </c>
      <c r="O45" s="42"/>
      <c r="P45" s="44">
        <v>1000000000000000</v>
      </c>
      <c r="Q45" s="46"/>
      <c r="R45" s="48"/>
      <c r="S45" s="55" t="e">
        <f t="shared" si="0"/>
        <v>#DIV/0!</v>
      </c>
      <c r="T45" s="29" t="s">
        <v>88</v>
      </c>
      <c r="U45" s="57"/>
      <c r="V45" s="600">
        <f>12</f>
        <v>12</v>
      </c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</row>
    <row r="46" spans="1:61" ht="21" hidden="1" customHeight="1">
      <c r="A46" s="578" t="s">
        <v>52</v>
      </c>
      <c r="B46" s="578" t="s">
        <v>54</v>
      </c>
      <c r="C46" s="579" t="s">
        <v>55</v>
      </c>
      <c r="D46" s="578" t="s">
        <v>57</v>
      </c>
      <c r="E46" s="578" t="s">
        <v>58</v>
      </c>
      <c r="F46" s="578">
        <v>178</v>
      </c>
      <c r="G46" s="579"/>
      <c r="H46" s="579" t="s">
        <v>59</v>
      </c>
      <c r="I46" s="578">
        <v>93</v>
      </c>
      <c r="J46" s="578" t="s">
        <v>2340</v>
      </c>
      <c r="K46" s="580" t="s">
        <v>2341</v>
      </c>
      <c r="L46" s="580"/>
      <c r="M46" s="581">
        <v>41239</v>
      </c>
      <c r="N46" s="582">
        <v>83</v>
      </c>
      <c r="O46" s="583"/>
      <c r="P46" s="584">
        <v>12000000000000</v>
      </c>
      <c r="Q46" s="585"/>
      <c r="R46" s="587"/>
      <c r="S46" s="589" t="e">
        <f t="shared" si="0"/>
        <v>#DIV/0!</v>
      </c>
      <c r="T46" s="578" t="s">
        <v>2416</v>
      </c>
      <c r="U46" s="590"/>
      <c r="V46" s="591">
        <f>83</f>
        <v>83</v>
      </c>
      <c r="W46" s="592" t="s">
        <v>2386</v>
      </c>
      <c r="X46" s="594" t="s">
        <v>2417</v>
      </c>
      <c r="Y46" s="596"/>
      <c r="Z46" s="596"/>
      <c r="AA46" s="596"/>
      <c r="AB46" s="596"/>
      <c r="AC46" s="596"/>
      <c r="AD46" s="596"/>
      <c r="AE46" s="596"/>
      <c r="AF46" s="596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/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</row>
    <row r="47" spans="1:61" ht="21" hidden="1" customHeight="1">
      <c r="A47" s="29" t="s">
        <v>52</v>
      </c>
      <c r="B47" s="29" t="s">
        <v>54</v>
      </c>
      <c r="C47" s="31" t="s">
        <v>55</v>
      </c>
      <c r="D47" s="29" t="s">
        <v>57</v>
      </c>
      <c r="E47" s="29" t="s">
        <v>143</v>
      </c>
      <c r="F47" s="29">
        <v>170</v>
      </c>
      <c r="G47" s="31"/>
      <c r="H47" s="31" t="s">
        <v>2415</v>
      </c>
      <c r="I47" s="29">
        <v>199</v>
      </c>
      <c r="J47" s="29" t="s">
        <v>60</v>
      </c>
      <c r="K47" s="36" t="s">
        <v>2341</v>
      </c>
      <c r="L47" s="36"/>
      <c r="M47" s="38">
        <v>41239</v>
      </c>
      <c r="N47" s="40">
        <v>84</v>
      </c>
      <c r="O47" s="42"/>
      <c r="P47" s="44">
        <v>290000000000000</v>
      </c>
      <c r="Q47" s="46"/>
      <c r="R47" s="48"/>
      <c r="S47" s="55" t="e">
        <f t="shared" si="0"/>
        <v>#DIV/0!</v>
      </c>
      <c r="T47" s="29" t="s">
        <v>2416</v>
      </c>
      <c r="U47" s="57"/>
      <c r="V47" s="601">
        <v>0</v>
      </c>
      <c r="W47" s="58" t="s">
        <v>499</v>
      </c>
      <c r="X47" s="61"/>
      <c r="Y47" s="61"/>
      <c r="Z47" s="61"/>
      <c r="AA47" s="61"/>
      <c r="AB47" s="61"/>
      <c r="AC47" s="61"/>
      <c r="AD47" s="61"/>
      <c r="AE47" s="61"/>
      <c r="AF47" s="61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</row>
    <row r="48" spans="1:61" ht="21" hidden="1" customHeight="1">
      <c r="A48" s="483" t="s">
        <v>52</v>
      </c>
      <c r="B48" s="483" t="s">
        <v>54</v>
      </c>
      <c r="C48" s="485" t="s">
        <v>55</v>
      </c>
      <c r="D48" s="483" t="s">
        <v>57</v>
      </c>
      <c r="E48" s="483" t="s">
        <v>58</v>
      </c>
      <c r="F48" s="483">
        <v>178</v>
      </c>
      <c r="G48" s="485"/>
      <c r="H48" s="485" t="s">
        <v>2415</v>
      </c>
      <c r="I48" s="483">
        <v>199</v>
      </c>
      <c r="J48" s="483" t="s">
        <v>2418</v>
      </c>
      <c r="K48" s="598" t="s">
        <v>2341</v>
      </c>
      <c r="L48" s="598"/>
      <c r="M48" s="496">
        <v>41235</v>
      </c>
      <c r="N48" s="498">
        <v>85</v>
      </c>
      <c r="O48" s="499"/>
      <c r="P48" s="501">
        <v>1480000000000000</v>
      </c>
      <c r="Q48" s="502"/>
      <c r="R48" s="504"/>
      <c r="S48" s="506" t="e">
        <f t="shared" si="0"/>
        <v>#DIV/0!</v>
      </c>
      <c r="T48" s="483" t="s">
        <v>2416</v>
      </c>
      <c r="U48" s="508"/>
      <c r="V48" s="518" t="s">
        <v>2419</v>
      </c>
      <c r="W48" s="510">
        <v>0</v>
      </c>
      <c r="X48" s="512"/>
      <c r="Y48" s="61"/>
      <c r="Z48" s="61"/>
      <c r="AA48" s="61"/>
      <c r="AB48" s="61"/>
      <c r="AC48" s="61"/>
      <c r="AD48" s="61"/>
      <c r="AE48" s="61"/>
      <c r="AF48" s="61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</row>
    <row r="49" spans="1:61" ht="24" hidden="1">
      <c r="A49" s="483" t="s">
        <v>52</v>
      </c>
      <c r="B49" s="483" t="s">
        <v>54</v>
      </c>
      <c r="C49" s="485" t="s">
        <v>55</v>
      </c>
      <c r="D49" s="483" t="s">
        <v>57</v>
      </c>
      <c r="E49" s="483" t="s">
        <v>58</v>
      </c>
      <c r="F49" s="483">
        <v>178</v>
      </c>
      <c r="G49" s="485"/>
      <c r="H49" s="485" t="s">
        <v>59</v>
      </c>
      <c r="I49" s="483">
        <v>93</v>
      </c>
      <c r="J49" s="483" t="s">
        <v>2340</v>
      </c>
      <c r="K49" s="598" t="s">
        <v>2341</v>
      </c>
      <c r="L49" s="598"/>
      <c r="M49" s="496">
        <v>41235</v>
      </c>
      <c r="N49" s="498">
        <v>86</v>
      </c>
      <c r="O49" s="499"/>
      <c r="P49" s="501">
        <v>1190000000000000</v>
      </c>
      <c r="Q49" s="502"/>
      <c r="R49" s="504"/>
      <c r="S49" s="506" t="e">
        <f t="shared" si="0"/>
        <v>#DIV/0!</v>
      </c>
      <c r="T49" s="483" t="s">
        <v>2416</v>
      </c>
      <c r="U49" s="508"/>
      <c r="V49" s="518" t="s">
        <v>2420</v>
      </c>
      <c r="W49" s="512"/>
      <c r="X49" s="512"/>
      <c r="Y49" s="61"/>
      <c r="Z49" s="61"/>
      <c r="AA49" s="61"/>
      <c r="AB49" s="61"/>
      <c r="AC49" s="61"/>
      <c r="AD49" s="61"/>
      <c r="AE49" s="61"/>
      <c r="AF49" s="61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</row>
    <row r="50" spans="1:61" ht="36" hidden="1">
      <c r="A50" s="539" t="s">
        <v>691</v>
      </c>
      <c r="B50" s="539" t="s">
        <v>2176</v>
      </c>
      <c r="C50" s="540" t="s">
        <v>178</v>
      </c>
      <c r="D50" s="539" t="s">
        <v>70</v>
      </c>
      <c r="E50" s="539" t="s">
        <v>516</v>
      </c>
      <c r="F50" s="539">
        <v>140</v>
      </c>
      <c r="G50" s="541"/>
      <c r="H50" s="541" t="s">
        <v>2183</v>
      </c>
      <c r="I50" s="539">
        <v>132</v>
      </c>
      <c r="J50" s="539" t="s">
        <v>60</v>
      </c>
      <c r="K50" s="542" t="s">
        <v>2185</v>
      </c>
      <c r="L50" s="542"/>
      <c r="M50" s="544">
        <v>41242</v>
      </c>
      <c r="N50" s="546">
        <v>87</v>
      </c>
      <c r="O50" s="547"/>
      <c r="P50" s="548" t="s">
        <v>2421</v>
      </c>
      <c r="Q50" s="549"/>
      <c r="R50" s="550"/>
      <c r="S50" s="551" t="e">
        <f t="shared" si="0"/>
        <v>#DIV/0!</v>
      </c>
      <c r="T50" s="552"/>
      <c r="U50" s="552"/>
      <c r="V50" s="602"/>
      <c r="W50" s="603"/>
      <c r="X50" s="555" t="s">
        <v>2219</v>
      </c>
      <c r="Y50" s="556"/>
      <c r="Z50" s="556"/>
      <c r="AA50" s="556"/>
      <c r="AB50" s="556"/>
      <c r="AC50" s="556"/>
      <c r="AD50" s="556"/>
      <c r="AE50" s="556"/>
      <c r="AF50" s="556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</row>
    <row r="51" spans="1:61" ht="36" hidden="1">
      <c r="A51" s="557" t="s">
        <v>691</v>
      </c>
      <c r="B51" s="557" t="s">
        <v>2176</v>
      </c>
      <c r="C51" s="558" t="s">
        <v>178</v>
      </c>
      <c r="D51" s="557" t="s">
        <v>70</v>
      </c>
      <c r="E51" s="557" t="s">
        <v>516</v>
      </c>
      <c r="F51" s="557">
        <v>140</v>
      </c>
      <c r="G51" s="559"/>
      <c r="H51" s="559" t="s">
        <v>2238</v>
      </c>
      <c r="I51" s="557">
        <v>133</v>
      </c>
      <c r="J51" s="557" t="s">
        <v>146</v>
      </c>
      <c r="K51" s="563" t="s">
        <v>2185</v>
      </c>
      <c r="L51" s="563"/>
      <c r="M51" s="564">
        <v>41242</v>
      </c>
      <c r="N51" s="565">
        <v>88</v>
      </c>
      <c r="O51" s="566"/>
      <c r="P51" s="567" t="s">
        <v>2422</v>
      </c>
      <c r="Q51" s="568"/>
      <c r="R51" s="569"/>
      <c r="S51" s="570" t="e">
        <f t="shared" si="0"/>
        <v>#DIV/0!</v>
      </c>
      <c r="T51" s="604" t="s">
        <v>2423</v>
      </c>
      <c r="U51" s="571"/>
      <c r="V51" s="572">
        <f>30</f>
        <v>30</v>
      </c>
      <c r="W51" s="556"/>
      <c r="X51" s="576" t="s">
        <v>2219</v>
      </c>
      <c r="Y51" s="556"/>
      <c r="Z51" s="556"/>
      <c r="AA51" s="556"/>
      <c r="AB51" s="556"/>
      <c r="AC51" s="556"/>
      <c r="AD51" s="556"/>
      <c r="AE51" s="556"/>
      <c r="AF51" s="556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</row>
    <row r="52" spans="1:61" ht="24" hidden="1">
      <c r="A52" s="343" t="s">
        <v>1245</v>
      </c>
      <c r="B52" s="343" t="s">
        <v>1262</v>
      </c>
      <c r="C52" s="345" t="s">
        <v>626</v>
      </c>
      <c r="D52" s="343" t="s">
        <v>187</v>
      </c>
      <c r="E52" s="343" t="s">
        <v>490</v>
      </c>
      <c r="F52" s="347">
        <v>168</v>
      </c>
      <c r="G52" s="345"/>
      <c r="H52" s="345" t="s">
        <v>2424</v>
      </c>
      <c r="I52" s="343">
        <v>248</v>
      </c>
      <c r="J52" s="343" t="s">
        <v>2425</v>
      </c>
      <c r="K52" s="349">
        <v>41219</v>
      </c>
      <c r="L52" s="349"/>
      <c r="M52" s="352">
        <v>40980</v>
      </c>
      <c r="N52" s="357">
        <v>89</v>
      </c>
      <c r="O52" s="359"/>
      <c r="P52" s="361" t="s">
        <v>2426</v>
      </c>
      <c r="Q52" s="363"/>
      <c r="R52" s="365"/>
      <c r="S52" s="367" t="e">
        <f t="shared" si="0"/>
        <v>#DIV/0!</v>
      </c>
      <c r="T52" s="343" t="s">
        <v>400</v>
      </c>
      <c r="U52" s="369"/>
      <c r="V52" s="605"/>
      <c r="W52" s="371" t="s">
        <v>2427</v>
      </c>
      <c r="X52" s="375"/>
      <c r="Y52" s="295"/>
      <c r="Z52" s="295"/>
      <c r="AA52" s="295"/>
      <c r="AB52" s="295"/>
      <c r="AC52" s="295"/>
      <c r="AD52" s="295"/>
      <c r="AE52" s="295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</row>
    <row r="53" spans="1:61" ht="24" hidden="1">
      <c r="A53" s="606" t="s">
        <v>1245</v>
      </c>
      <c r="B53" s="606" t="s">
        <v>1262</v>
      </c>
      <c r="C53" s="607" t="s">
        <v>626</v>
      </c>
      <c r="D53" s="606" t="s">
        <v>187</v>
      </c>
      <c r="E53" s="606" t="s">
        <v>490</v>
      </c>
      <c r="F53" s="608">
        <v>168</v>
      </c>
      <c r="G53" s="607"/>
      <c r="H53" s="607" t="s">
        <v>2428</v>
      </c>
      <c r="I53" s="606">
        <v>247</v>
      </c>
      <c r="J53" s="606" t="s">
        <v>2425</v>
      </c>
      <c r="K53" s="609">
        <v>41219</v>
      </c>
      <c r="L53" s="609"/>
      <c r="M53" s="610">
        <v>40980</v>
      </c>
      <c r="N53" s="611">
        <v>90</v>
      </c>
      <c r="O53" s="612"/>
      <c r="P53" s="613" t="s">
        <v>2429</v>
      </c>
      <c r="Q53" s="614"/>
      <c r="R53" s="615"/>
      <c r="S53" s="616" t="e">
        <f t="shared" si="0"/>
        <v>#DIV/0!</v>
      </c>
      <c r="T53" s="617"/>
      <c r="U53" s="617"/>
      <c r="V53" s="618">
        <f>15</f>
        <v>15</v>
      </c>
      <c r="W53" s="619"/>
      <c r="X53" s="619"/>
      <c r="Y53" s="619"/>
      <c r="Z53" s="619"/>
      <c r="AA53" s="619"/>
      <c r="AB53" s="619"/>
      <c r="AC53" s="619"/>
      <c r="AD53" s="619"/>
      <c r="AE53" s="619"/>
      <c r="AF53" s="234"/>
      <c r="AG53" s="234"/>
      <c r="AH53" s="234"/>
      <c r="AI53" s="234"/>
      <c r="AJ53" s="234"/>
      <c r="AK53" s="234"/>
      <c r="AL53" s="234"/>
      <c r="AM53" s="234"/>
      <c r="AN53" s="234"/>
      <c r="AO53" s="234"/>
      <c r="AP53" s="234"/>
      <c r="AQ53" s="234"/>
      <c r="AR53" s="234"/>
      <c r="AS53" s="234"/>
      <c r="AT53" s="234"/>
      <c r="AU53" s="234"/>
      <c r="AV53" s="234"/>
      <c r="AW53" s="234"/>
      <c r="AX53" s="234"/>
      <c r="AY53" s="234"/>
      <c r="AZ53" s="234"/>
      <c r="BA53" s="234"/>
      <c r="BB53" s="234"/>
      <c r="BC53" s="234"/>
      <c r="BD53" s="234"/>
      <c r="BE53" s="234"/>
      <c r="BF53" s="234"/>
      <c r="BG53" s="234"/>
      <c r="BH53" s="234"/>
      <c r="BI53" s="234"/>
    </row>
    <row r="54" spans="1:61" ht="24" hidden="1">
      <c r="A54" s="263" t="s">
        <v>1245</v>
      </c>
      <c r="B54" s="263" t="s">
        <v>1262</v>
      </c>
      <c r="C54" s="265" t="s">
        <v>626</v>
      </c>
      <c r="D54" s="263" t="s">
        <v>187</v>
      </c>
      <c r="E54" s="263" t="s">
        <v>490</v>
      </c>
      <c r="F54" s="269">
        <v>168</v>
      </c>
      <c r="G54" s="265"/>
      <c r="H54" s="265" t="s">
        <v>2430</v>
      </c>
      <c r="I54" s="263">
        <v>246</v>
      </c>
      <c r="J54" s="263" t="s">
        <v>2425</v>
      </c>
      <c r="K54" s="274">
        <v>41219</v>
      </c>
      <c r="L54" s="274"/>
      <c r="M54" s="277">
        <v>40980</v>
      </c>
      <c r="N54" s="278">
        <v>91</v>
      </c>
      <c r="O54" s="280"/>
      <c r="P54" s="281" t="s">
        <v>2431</v>
      </c>
      <c r="Q54" s="282"/>
      <c r="R54" s="292"/>
      <c r="S54" s="293" t="e">
        <f t="shared" si="0"/>
        <v>#DIV/0!</v>
      </c>
      <c r="T54" s="263" t="s">
        <v>400</v>
      </c>
      <c r="U54" s="271"/>
      <c r="V54" s="620"/>
      <c r="W54" s="294" t="s">
        <v>483</v>
      </c>
      <c r="X54" s="295"/>
      <c r="Y54" s="295"/>
      <c r="Z54" s="295"/>
      <c r="AA54" s="295"/>
      <c r="AB54" s="295"/>
      <c r="AC54" s="295"/>
      <c r="AD54" s="295"/>
      <c r="AE54" s="295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</row>
    <row r="55" spans="1:61" ht="24" hidden="1">
      <c r="A55" s="263" t="s">
        <v>1245</v>
      </c>
      <c r="B55" s="263" t="s">
        <v>1262</v>
      </c>
      <c r="C55" s="265" t="s">
        <v>626</v>
      </c>
      <c r="D55" s="263" t="s">
        <v>187</v>
      </c>
      <c r="E55" s="263" t="s">
        <v>490</v>
      </c>
      <c r="F55" s="269">
        <v>168</v>
      </c>
      <c r="G55" s="265"/>
      <c r="H55" s="265" t="s">
        <v>2432</v>
      </c>
      <c r="I55" s="263">
        <v>245</v>
      </c>
      <c r="J55" s="263" t="s">
        <v>2425</v>
      </c>
      <c r="K55" s="274">
        <v>41219</v>
      </c>
      <c r="L55" s="274"/>
      <c r="M55" s="277">
        <v>40980</v>
      </c>
      <c r="N55" s="278">
        <v>92</v>
      </c>
      <c r="O55" s="280"/>
      <c r="P55" s="281" t="s">
        <v>2433</v>
      </c>
      <c r="Q55" s="282"/>
      <c r="R55" s="292"/>
      <c r="S55" s="293" t="e">
        <f t="shared" si="0"/>
        <v>#DIV/0!</v>
      </c>
      <c r="T55" s="263" t="s">
        <v>400</v>
      </c>
      <c r="U55" s="271"/>
      <c r="V55" s="620">
        <f>28</f>
        <v>28</v>
      </c>
      <c r="W55" s="295"/>
      <c r="X55" s="295"/>
      <c r="Y55" s="295"/>
      <c r="Z55" s="295"/>
      <c r="AA55" s="295"/>
      <c r="AB55" s="295"/>
      <c r="AC55" s="295"/>
      <c r="AD55" s="295"/>
      <c r="AE55" s="295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</row>
    <row r="56" spans="1:61" ht="36" hidden="1">
      <c r="A56" s="539" t="s">
        <v>691</v>
      </c>
      <c r="B56" s="539" t="s">
        <v>2176</v>
      </c>
      <c r="C56" s="540" t="s">
        <v>178</v>
      </c>
      <c r="D56" s="539" t="s">
        <v>70</v>
      </c>
      <c r="E56" s="622" t="s">
        <v>988</v>
      </c>
      <c r="F56" s="539">
        <v>177</v>
      </c>
      <c r="G56" s="540"/>
      <c r="H56" s="540" t="s">
        <v>2444</v>
      </c>
      <c r="I56" s="552"/>
      <c r="J56" s="539" t="s">
        <v>146</v>
      </c>
      <c r="K56" s="542" t="s">
        <v>2185</v>
      </c>
      <c r="L56" s="623"/>
      <c r="M56" s="544">
        <v>41072</v>
      </c>
      <c r="N56" s="546">
        <v>93</v>
      </c>
      <c r="O56" s="624" t="s">
        <v>2449</v>
      </c>
      <c r="P56" s="548">
        <v>35200000000000</v>
      </c>
      <c r="Q56" s="549"/>
      <c r="R56" s="550"/>
      <c r="S56" s="551" t="e">
        <f t="shared" si="0"/>
        <v>#DIV/0!</v>
      </c>
      <c r="T56" s="539" t="s">
        <v>2416</v>
      </c>
      <c r="U56" s="552"/>
      <c r="V56" s="602"/>
      <c r="W56" s="603"/>
      <c r="X56" s="555" t="s">
        <v>2219</v>
      </c>
      <c r="Y56" s="556"/>
      <c r="Z56" s="556"/>
      <c r="AA56" s="556"/>
      <c r="AB56" s="556"/>
      <c r="AC56" s="556"/>
      <c r="AD56" s="556"/>
      <c r="AE56" s="556"/>
      <c r="AF56" s="556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</row>
    <row r="57" spans="1:61" ht="24" hidden="1">
      <c r="A57" s="188" t="s">
        <v>978</v>
      </c>
      <c r="B57" s="188" t="s">
        <v>985</v>
      </c>
      <c r="C57" s="189" t="s">
        <v>986</v>
      </c>
      <c r="D57" s="188" t="s">
        <v>987</v>
      </c>
      <c r="E57" s="190" t="s">
        <v>988</v>
      </c>
      <c r="F57" s="191">
        <v>177</v>
      </c>
      <c r="G57" s="189"/>
      <c r="H57" s="189" t="s">
        <v>2467</v>
      </c>
      <c r="I57" s="192"/>
      <c r="J57" s="188" t="s">
        <v>1012</v>
      </c>
      <c r="K57" s="194" t="s">
        <v>2470</v>
      </c>
      <c r="L57" s="194"/>
      <c r="M57" s="196">
        <v>41261</v>
      </c>
      <c r="N57" s="197">
        <v>94</v>
      </c>
      <c r="O57" s="198"/>
      <c r="P57" s="199" t="s">
        <v>2471</v>
      </c>
      <c r="Q57" s="201"/>
      <c r="R57" s="202"/>
      <c r="S57" s="203" t="e">
        <f t="shared" si="0"/>
        <v>#DIV/0!</v>
      </c>
      <c r="T57" s="192"/>
      <c r="U57" s="192"/>
      <c r="V57" s="626"/>
      <c r="W57" s="627" t="s">
        <v>503</v>
      </c>
      <c r="X57" s="205"/>
      <c r="Y57" s="205"/>
      <c r="Z57" s="205"/>
      <c r="AA57" s="205"/>
      <c r="AB57" s="205"/>
      <c r="AC57" s="205"/>
      <c r="AD57" s="205"/>
      <c r="AE57" s="205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</row>
    <row r="58" spans="1:61" ht="24" hidden="1">
      <c r="A58" s="628" t="s">
        <v>52</v>
      </c>
      <c r="B58" s="628" t="s">
        <v>2508</v>
      </c>
      <c r="C58" s="629" t="s">
        <v>2510</v>
      </c>
      <c r="D58" s="628" t="s">
        <v>70</v>
      </c>
      <c r="E58" s="628" t="s">
        <v>516</v>
      </c>
      <c r="F58" s="628">
        <v>140</v>
      </c>
      <c r="G58" s="629"/>
      <c r="H58" s="629" t="s">
        <v>2520</v>
      </c>
      <c r="I58" s="628">
        <v>99</v>
      </c>
      <c r="J58" s="628" t="s">
        <v>2521</v>
      </c>
      <c r="K58" s="630" t="s">
        <v>2522</v>
      </c>
      <c r="L58" s="630"/>
      <c r="M58" s="631">
        <v>41288</v>
      </c>
      <c r="N58" s="633">
        <v>95</v>
      </c>
      <c r="O58" s="634" t="s">
        <v>2544</v>
      </c>
      <c r="P58" s="635">
        <v>1470000000000</v>
      </c>
      <c r="Q58" s="636"/>
      <c r="R58" s="638"/>
      <c r="S58" s="640" t="e">
        <f t="shared" si="0"/>
        <v>#DIV/0!</v>
      </c>
      <c r="T58" s="628" t="s">
        <v>2416</v>
      </c>
      <c r="U58" s="642"/>
      <c r="V58" s="643">
        <f>56</f>
        <v>56</v>
      </c>
      <c r="W58" s="645"/>
      <c r="X58" s="645"/>
      <c r="Y58" s="645"/>
      <c r="Z58" s="645"/>
      <c r="AA58" s="645"/>
      <c r="AB58" s="645"/>
      <c r="AC58" s="645"/>
      <c r="AD58" s="645"/>
      <c r="AE58" s="645"/>
      <c r="AF58" s="645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</row>
    <row r="59" spans="1:61" ht="24" hidden="1">
      <c r="A59" s="628" t="s">
        <v>52</v>
      </c>
      <c r="B59" s="628" t="s">
        <v>2508</v>
      </c>
      <c r="C59" s="629" t="s">
        <v>2510</v>
      </c>
      <c r="D59" s="628" t="s">
        <v>70</v>
      </c>
      <c r="E59" s="628" t="s">
        <v>2590</v>
      </c>
      <c r="F59" s="628">
        <v>154</v>
      </c>
      <c r="G59" s="629"/>
      <c r="H59" s="629" t="s">
        <v>77</v>
      </c>
      <c r="I59" s="628">
        <v>53</v>
      </c>
      <c r="J59" s="628" t="s">
        <v>2521</v>
      </c>
      <c r="K59" s="630" t="s">
        <v>2522</v>
      </c>
      <c r="L59" s="630"/>
      <c r="M59" s="631">
        <v>41291</v>
      </c>
      <c r="N59" s="633">
        <v>96</v>
      </c>
      <c r="O59" s="634" t="s">
        <v>2591</v>
      </c>
      <c r="P59" s="635">
        <v>25900000000000</v>
      </c>
      <c r="Q59" s="636"/>
      <c r="R59" s="638"/>
      <c r="S59" s="640" t="e">
        <f t="shared" si="0"/>
        <v>#DIV/0!</v>
      </c>
      <c r="T59" s="628" t="s">
        <v>2416</v>
      </c>
      <c r="U59" s="642"/>
      <c r="V59" s="643">
        <f>32</f>
        <v>32</v>
      </c>
      <c r="W59" s="645"/>
      <c r="X59" s="648" t="s">
        <v>2602</v>
      </c>
      <c r="Y59" s="645"/>
      <c r="Z59" s="645"/>
      <c r="AA59" s="645"/>
      <c r="AB59" s="645"/>
      <c r="AC59" s="645"/>
      <c r="AD59" s="645"/>
      <c r="AE59" s="645"/>
      <c r="AF59" s="645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</row>
    <row r="60" spans="1:61" ht="24" hidden="1">
      <c r="A60" s="520" t="s">
        <v>52</v>
      </c>
      <c r="B60" s="520" t="s">
        <v>177</v>
      </c>
      <c r="C60" s="521" t="s">
        <v>178</v>
      </c>
      <c r="D60" s="520" t="s">
        <v>187</v>
      </c>
      <c r="E60" s="520" t="s">
        <v>1198</v>
      </c>
      <c r="F60" s="520">
        <v>174</v>
      </c>
      <c r="G60" s="521"/>
      <c r="H60" s="521" t="s">
        <v>197</v>
      </c>
      <c r="I60" s="520">
        <v>120</v>
      </c>
      <c r="J60" s="520" t="s">
        <v>1675</v>
      </c>
      <c r="K60" s="649"/>
      <c r="L60" s="523"/>
      <c r="M60" s="524">
        <v>41291</v>
      </c>
      <c r="N60" s="525">
        <v>97</v>
      </c>
      <c r="O60" s="522" t="s">
        <v>2621</v>
      </c>
      <c r="P60" s="527">
        <v>775000000000000</v>
      </c>
      <c r="Q60" s="529"/>
      <c r="R60" s="530"/>
      <c r="S60" s="531" t="e">
        <f t="shared" si="0"/>
        <v>#DIV/0!</v>
      </c>
      <c r="T60" s="520" t="s">
        <v>2416</v>
      </c>
      <c r="U60" s="532"/>
      <c r="V60" s="652">
        <v>20</v>
      </c>
      <c r="W60" s="654" t="s">
        <v>2625</v>
      </c>
      <c r="X60" s="656" t="s">
        <v>2627</v>
      </c>
      <c r="Y60" s="86"/>
      <c r="Z60" s="86"/>
      <c r="AA60" s="86"/>
      <c r="AB60" s="86"/>
      <c r="AC60" s="86"/>
      <c r="AD60" s="86"/>
      <c r="AE60" s="86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</row>
    <row r="61" spans="1:61" ht="24" hidden="1">
      <c r="A61" s="628" t="s">
        <v>52</v>
      </c>
      <c r="B61" s="628" t="s">
        <v>2508</v>
      </c>
      <c r="C61" s="629" t="s">
        <v>2510</v>
      </c>
      <c r="D61" s="628" t="s">
        <v>70</v>
      </c>
      <c r="E61" s="628" t="s">
        <v>2634</v>
      </c>
      <c r="F61" s="628">
        <v>141</v>
      </c>
      <c r="G61" s="629"/>
      <c r="H61" s="629" t="s">
        <v>77</v>
      </c>
      <c r="I61" s="628">
        <v>53</v>
      </c>
      <c r="J61" s="628" t="s">
        <v>2521</v>
      </c>
      <c r="K61" s="630" t="s">
        <v>2522</v>
      </c>
      <c r="L61" s="630"/>
      <c r="M61" s="631">
        <v>41298</v>
      </c>
      <c r="N61" s="633">
        <v>98</v>
      </c>
      <c r="O61" s="634">
        <v>6</v>
      </c>
      <c r="P61" s="635">
        <v>229000000000000</v>
      </c>
      <c r="Q61" s="636"/>
      <c r="R61" s="638"/>
      <c r="S61" s="640" t="e">
        <f t="shared" si="0"/>
        <v>#DIV/0!</v>
      </c>
      <c r="T61" s="628" t="s">
        <v>2416</v>
      </c>
      <c r="U61" s="642"/>
      <c r="V61" s="643">
        <f>32</f>
        <v>32</v>
      </c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</row>
    <row r="62" spans="1:61" ht="24" hidden="1">
      <c r="A62" s="628" t="s">
        <v>52</v>
      </c>
      <c r="B62" s="628" t="s">
        <v>2508</v>
      </c>
      <c r="C62" s="629" t="s">
        <v>2510</v>
      </c>
      <c r="D62" s="628" t="s">
        <v>70</v>
      </c>
      <c r="E62" s="628" t="s">
        <v>516</v>
      </c>
      <c r="F62" s="628">
        <v>140</v>
      </c>
      <c r="G62" s="629"/>
      <c r="H62" s="629" t="s">
        <v>77</v>
      </c>
      <c r="I62" s="628">
        <v>53</v>
      </c>
      <c r="J62" s="628" t="s">
        <v>2521</v>
      </c>
      <c r="K62" s="630" t="s">
        <v>2522</v>
      </c>
      <c r="L62" s="630"/>
      <c r="M62" s="631">
        <v>41298</v>
      </c>
      <c r="N62" s="633">
        <v>99</v>
      </c>
      <c r="O62" s="634">
        <v>6</v>
      </c>
      <c r="P62" s="635">
        <v>202000000000000</v>
      </c>
      <c r="Q62" s="660">
        <v>25100000000000</v>
      </c>
      <c r="R62" s="635">
        <v>91000000000</v>
      </c>
      <c r="S62" s="640">
        <f t="shared" si="0"/>
        <v>9047032967032.9668</v>
      </c>
      <c r="T62" s="628" t="s">
        <v>2416</v>
      </c>
      <c r="U62" s="642"/>
      <c r="V62" s="643">
        <f>55-44</f>
        <v>11</v>
      </c>
      <c r="W62" s="645"/>
      <c r="X62" s="648" t="s">
        <v>859</v>
      </c>
      <c r="Y62" s="645"/>
      <c r="Z62" s="645"/>
      <c r="AA62" s="645"/>
      <c r="AB62" s="645"/>
      <c r="AC62" s="645"/>
      <c r="AD62" s="645"/>
      <c r="AE62" s="645"/>
      <c r="AF62" s="645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</row>
    <row r="63" spans="1:61" ht="24" hidden="1">
      <c r="A63" s="664" t="s">
        <v>52</v>
      </c>
      <c r="B63" s="664" t="s">
        <v>69</v>
      </c>
      <c r="C63" s="666" t="s">
        <v>178</v>
      </c>
      <c r="D63" s="664" t="s">
        <v>1045</v>
      </c>
      <c r="E63" s="664" t="s">
        <v>58</v>
      </c>
      <c r="F63" s="668">
        <v>178</v>
      </c>
      <c r="G63" s="670"/>
      <c r="H63" s="670" t="s">
        <v>1061</v>
      </c>
      <c r="I63" s="664">
        <v>190</v>
      </c>
      <c r="J63" s="664" t="s">
        <v>1012</v>
      </c>
      <c r="K63" s="673" t="s">
        <v>2661</v>
      </c>
      <c r="L63" s="673"/>
      <c r="M63" s="674">
        <v>41298</v>
      </c>
      <c r="N63" s="675">
        <v>100</v>
      </c>
      <c r="O63" s="668">
        <v>6</v>
      </c>
      <c r="P63" s="676">
        <v>14600000000000</v>
      </c>
      <c r="Q63" s="677"/>
      <c r="R63" s="679"/>
      <c r="S63" s="681" t="e">
        <f t="shared" si="0"/>
        <v>#DIV/0!</v>
      </c>
      <c r="T63" s="664" t="s">
        <v>2416</v>
      </c>
      <c r="U63" s="683"/>
      <c r="V63" s="685"/>
      <c r="W63" s="686"/>
      <c r="X63" s="686"/>
      <c r="Y63" s="113"/>
      <c r="Z63" s="113"/>
      <c r="AA63" s="113"/>
      <c r="AB63" s="113"/>
      <c r="AC63" s="113"/>
      <c r="AD63" s="113"/>
      <c r="AE63" s="113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</row>
    <row r="64" spans="1:61" ht="24" hidden="1">
      <c r="A64" s="687" t="s">
        <v>52</v>
      </c>
      <c r="B64" s="687" t="s">
        <v>2698</v>
      </c>
      <c r="C64" s="689" t="s">
        <v>178</v>
      </c>
      <c r="D64" s="687" t="s">
        <v>187</v>
      </c>
      <c r="E64" s="687" t="s">
        <v>1277</v>
      </c>
      <c r="F64" s="687">
        <v>193</v>
      </c>
      <c r="G64" s="689"/>
      <c r="H64" s="689" t="s">
        <v>197</v>
      </c>
      <c r="I64" s="687">
        <v>120</v>
      </c>
      <c r="J64" s="687" t="s">
        <v>1675</v>
      </c>
      <c r="K64" s="691" t="s">
        <v>2700</v>
      </c>
      <c r="L64" s="691"/>
      <c r="M64" s="693">
        <v>41298</v>
      </c>
      <c r="N64" s="694">
        <v>101</v>
      </c>
      <c r="O64" s="696">
        <v>6</v>
      </c>
      <c r="P64" s="698">
        <v>3720000000000000</v>
      </c>
      <c r="Q64" s="700"/>
      <c r="R64" s="702"/>
      <c r="S64" s="704" t="e">
        <f t="shared" si="0"/>
        <v>#DIV/0!</v>
      </c>
      <c r="T64" s="687" t="s">
        <v>2416</v>
      </c>
      <c r="U64" s="706"/>
      <c r="V64" s="708">
        <f>75</f>
        <v>75</v>
      </c>
      <c r="W64" s="709"/>
      <c r="X64" s="710"/>
      <c r="Y64" s="709"/>
      <c r="Z64" s="709"/>
      <c r="AA64" s="709"/>
      <c r="AB64" s="709"/>
      <c r="AC64" s="709"/>
      <c r="AD64" s="709"/>
      <c r="AE64" s="709"/>
      <c r="AF64" s="709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</row>
    <row r="65" spans="1:61" ht="24" hidden="1">
      <c r="A65" s="711" t="s">
        <v>707</v>
      </c>
      <c r="B65" s="711" t="s">
        <v>2724</v>
      </c>
      <c r="C65" s="717" t="s">
        <v>178</v>
      </c>
      <c r="D65" s="711" t="s">
        <v>345</v>
      </c>
      <c r="E65" s="711" t="s">
        <v>58</v>
      </c>
      <c r="F65" s="711">
        <v>178</v>
      </c>
      <c r="G65" s="717"/>
      <c r="H65" s="717" t="s">
        <v>2750</v>
      </c>
      <c r="I65" s="711">
        <v>183</v>
      </c>
      <c r="J65" s="711" t="s">
        <v>1675</v>
      </c>
      <c r="K65" s="719" t="s">
        <v>2752</v>
      </c>
      <c r="L65" s="719"/>
      <c r="M65" s="721">
        <v>41302</v>
      </c>
      <c r="N65" s="723">
        <v>102</v>
      </c>
      <c r="O65" s="724">
        <v>12</v>
      </c>
      <c r="P65" s="725">
        <v>82700000000000</v>
      </c>
      <c r="Q65" s="726"/>
      <c r="R65" s="727"/>
      <c r="S65" s="728" t="e">
        <f t="shared" si="0"/>
        <v>#DIV/0!</v>
      </c>
      <c r="T65" s="711" t="s">
        <v>2416</v>
      </c>
      <c r="U65" s="729"/>
      <c r="V65" s="730">
        <v>150</v>
      </c>
      <c r="W65" s="731"/>
      <c r="X65" s="732"/>
      <c r="Y65" s="733"/>
      <c r="Z65" s="733"/>
      <c r="AA65" s="733"/>
      <c r="AB65" s="733"/>
      <c r="AC65" s="733"/>
      <c r="AD65" s="733"/>
      <c r="AE65" s="733"/>
      <c r="AF65" s="733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</row>
    <row r="66" spans="1:61" ht="24" hidden="1">
      <c r="A66" s="734" t="s">
        <v>707</v>
      </c>
      <c r="B66" s="734" t="s">
        <v>2698</v>
      </c>
      <c r="C66" s="735" t="s">
        <v>178</v>
      </c>
      <c r="D66" s="734" t="s">
        <v>345</v>
      </c>
      <c r="E66" s="734" t="s">
        <v>2590</v>
      </c>
      <c r="F66" s="734">
        <v>154</v>
      </c>
      <c r="G66" s="735"/>
      <c r="H66" s="735" t="s">
        <v>197</v>
      </c>
      <c r="I66" s="734">
        <v>120</v>
      </c>
      <c r="J66" s="734" t="s">
        <v>1675</v>
      </c>
      <c r="K66" s="736" t="s">
        <v>2752</v>
      </c>
      <c r="L66" s="736"/>
      <c r="M66" s="737">
        <v>41302</v>
      </c>
      <c r="N66" s="738">
        <v>103</v>
      </c>
      <c r="O66" s="739">
        <v>12</v>
      </c>
      <c r="P66" s="740">
        <v>641000000000000</v>
      </c>
      <c r="Q66" s="741"/>
      <c r="R66" s="742"/>
      <c r="S66" s="743" t="e">
        <f t="shared" si="0"/>
        <v>#DIV/0!</v>
      </c>
      <c r="T66" s="734" t="s">
        <v>2416</v>
      </c>
      <c r="U66" s="744"/>
      <c r="V66" s="746">
        <f>10-3</f>
        <v>7</v>
      </c>
      <c r="W66" s="748" t="s">
        <v>2757</v>
      </c>
      <c r="X66" s="732"/>
      <c r="Y66" s="733"/>
      <c r="Z66" s="733"/>
      <c r="AA66" s="733"/>
      <c r="AB66" s="733"/>
      <c r="AC66" s="733"/>
      <c r="AD66" s="733"/>
      <c r="AE66" s="733"/>
      <c r="AF66" s="733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</row>
    <row r="67" spans="1:61" ht="24" hidden="1">
      <c r="A67" s="539" t="s">
        <v>691</v>
      </c>
      <c r="B67" s="539" t="s">
        <v>2176</v>
      </c>
      <c r="C67" s="540" t="s">
        <v>178</v>
      </c>
      <c r="D67" s="539" t="s">
        <v>70</v>
      </c>
      <c r="E67" s="539" t="s">
        <v>516</v>
      </c>
      <c r="F67" s="539">
        <v>140</v>
      </c>
      <c r="G67" s="541"/>
      <c r="H67" s="541" t="s">
        <v>2238</v>
      </c>
      <c r="I67" s="539">
        <v>133</v>
      </c>
      <c r="J67" s="539" t="s">
        <v>146</v>
      </c>
      <c r="K67" s="542" t="s">
        <v>2185</v>
      </c>
      <c r="L67" s="542"/>
      <c r="M67" s="544">
        <v>41305</v>
      </c>
      <c r="N67" s="546">
        <v>104</v>
      </c>
      <c r="O67" s="624">
        <v>6</v>
      </c>
      <c r="P67" s="548">
        <v>215000000000000</v>
      </c>
      <c r="Q67" s="549"/>
      <c r="R67" s="550"/>
      <c r="S67" s="551" t="e">
        <f t="shared" si="0"/>
        <v>#DIV/0!</v>
      </c>
      <c r="T67" s="539" t="s">
        <v>2416</v>
      </c>
      <c r="U67" s="552"/>
      <c r="V67" s="553">
        <v>150</v>
      </c>
      <c r="W67" s="603"/>
      <c r="X67" s="556"/>
      <c r="Y67" s="556"/>
      <c r="Z67" s="556"/>
      <c r="AA67" s="556"/>
      <c r="AB67" s="556"/>
      <c r="AC67" s="556"/>
      <c r="AD67" s="556"/>
      <c r="AE67" s="556"/>
      <c r="AF67" s="556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</row>
    <row r="68" spans="1:61" ht="24" hidden="1">
      <c r="A68" s="539" t="s">
        <v>691</v>
      </c>
      <c r="B68" s="539" t="s">
        <v>2176</v>
      </c>
      <c r="C68" s="540" t="s">
        <v>178</v>
      </c>
      <c r="D68" s="539" t="s">
        <v>70</v>
      </c>
      <c r="E68" s="539" t="s">
        <v>516</v>
      </c>
      <c r="F68" s="539">
        <v>140</v>
      </c>
      <c r="G68" s="541"/>
      <c r="H68" s="541" t="s">
        <v>2183</v>
      </c>
      <c r="I68" s="539">
        <v>132</v>
      </c>
      <c r="J68" s="539" t="s">
        <v>60</v>
      </c>
      <c r="K68" s="542" t="s">
        <v>2185</v>
      </c>
      <c r="L68" s="542"/>
      <c r="M68" s="544">
        <v>41305</v>
      </c>
      <c r="N68" s="546">
        <v>105</v>
      </c>
      <c r="O68" s="624">
        <v>6</v>
      </c>
      <c r="P68" s="548">
        <v>195000000000000</v>
      </c>
      <c r="Q68" s="549"/>
      <c r="R68" s="550"/>
      <c r="S68" s="551" t="e">
        <f t="shared" si="0"/>
        <v>#DIV/0!</v>
      </c>
      <c r="T68" s="539" t="s">
        <v>2416</v>
      </c>
      <c r="U68" s="552"/>
      <c r="V68" s="553">
        <v>150</v>
      </c>
      <c r="W68" s="603"/>
      <c r="X68" s="556"/>
      <c r="Y68" s="556"/>
      <c r="Z68" s="556"/>
      <c r="AA68" s="556"/>
      <c r="AB68" s="556"/>
      <c r="AC68" s="556"/>
      <c r="AD68" s="556"/>
      <c r="AE68" s="556"/>
      <c r="AF68" s="556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</row>
    <row r="69" spans="1:61" ht="24" hidden="1">
      <c r="A69" s="687" t="s">
        <v>52</v>
      </c>
      <c r="B69" s="687" t="s">
        <v>2698</v>
      </c>
      <c r="C69" s="689" t="s">
        <v>178</v>
      </c>
      <c r="D69" s="687" t="s">
        <v>187</v>
      </c>
      <c r="E69" s="687" t="s">
        <v>2773</v>
      </c>
      <c r="F69" s="687">
        <v>195</v>
      </c>
      <c r="G69" s="689"/>
      <c r="H69" s="689" t="s">
        <v>197</v>
      </c>
      <c r="I69" s="687">
        <v>120</v>
      </c>
      <c r="J69" s="687" t="s">
        <v>1675</v>
      </c>
      <c r="K69" s="691" t="s">
        <v>2700</v>
      </c>
      <c r="L69" s="691"/>
      <c r="M69" s="693">
        <v>41305</v>
      </c>
      <c r="N69" s="694">
        <v>106</v>
      </c>
      <c r="O69" s="696">
        <v>6</v>
      </c>
      <c r="P69" s="698">
        <v>963000000000000</v>
      </c>
      <c r="Q69" s="700"/>
      <c r="R69" s="702"/>
      <c r="S69" s="704" t="e">
        <f t="shared" si="0"/>
        <v>#DIV/0!</v>
      </c>
      <c r="T69" s="687" t="s">
        <v>2416</v>
      </c>
      <c r="U69" s="706"/>
      <c r="V69" s="708">
        <f>22</f>
        <v>22</v>
      </c>
      <c r="W69" s="709"/>
      <c r="X69" s="710"/>
      <c r="Y69" s="709"/>
      <c r="Z69" s="709"/>
      <c r="AA69" s="709"/>
      <c r="AB69" s="709"/>
      <c r="AC69" s="709"/>
      <c r="AD69" s="709"/>
      <c r="AE69" s="709"/>
      <c r="AF69" s="709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</row>
    <row r="70" spans="1:61" ht="24" hidden="1">
      <c r="A70" s="711" t="s">
        <v>707</v>
      </c>
      <c r="B70" s="711" t="s">
        <v>2698</v>
      </c>
      <c r="C70" s="717" t="s">
        <v>178</v>
      </c>
      <c r="D70" s="711" t="s">
        <v>345</v>
      </c>
      <c r="E70" s="711" t="s">
        <v>575</v>
      </c>
      <c r="F70" s="711">
        <v>122</v>
      </c>
      <c r="G70" s="717"/>
      <c r="H70" s="717" t="s">
        <v>197</v>
      </c>
      <c r="I70" s="711">
        <v>120</v>
      </c>
      <c r="J70" s="711" t="s">
        <v>1675</v>
      </c>
      <c r="K70" s="719" t="s">
        <v>2752</v>
      </c>
      <c r="L70" s="760"/>
      <c r="M70" s="721">
        <v>41366</v>
      </c>
      <c r="N70" s="723">
        <v>107</v>
      </c>
      <c r="O70" s="724">
        <v>12</v>
      </c>
      <c r="P70" s="725">
        <v>2090000000000000</v>
      </c>
      <c r="Q70" s="761">
        <v>4220000000000000</v>
      </c>
      <c r="R70" s="727"/>
      <c r="S70" s="728" t="e">
        <f t="shared" si="0"/>
        <v>#DIV/0!</v>
      </c>
      <c r="T70" s="711" t="s">
        <v>2416</v>
      </c>
      <c r="U70" s="729"/>
      <c r="V70" s="765">
        <f>20-5</f>
        <v>15</v>
      </c>
      <c r="W70" s="731"/>
      <c r="X70" s="766"/>
      <c r="Y70" s="731"/>
      <c r="Z70" s="731"/>
      <c r="AA70" s="731"/>
      <c r="AB70" s="731"/>
      <c r="AC70" s="731"/>
      <c r="AD70" s="731"/>
      <c r="AE70" s="731"/>
      <c r="AF70" s="731"/>
      <c r="AG70" s="377"/>
      <c r="AH70" s="377"/>
      <c r="AI70" s="377"/>
      <c r="AJ70" s="377"/>
      <c r="AK70" s="377"/>
      <c r="AL70" s="377"/>
      <c r="AM70" s="377"/>
      <c r="AN70" s="377"/>
      <c r="AO70" s="377"/>
      <c r="AP70" s="377"/>
      <c r="AQ70" s="377"/>
      <c r="AR70" s="377"/>
      <c r="AS70" s="377"/>
      <c r="AT70" s="377"/>
      <c r="AU70" s="377"/>
      <c r="AV70" s="377"/>
      <c r="AW70" s="377"/>
      <c r="AX70" s="377"/>
      <c r="AY70" s="377"/>
      <c r="AZ70" s="377"/>
      <c r="BA70" s="377"/>
      <c r="BB70" s="377"/>
      <c r="BC70" s="377"/>
      <c r="BD70" s="377"/>
      <c r="BE70" s="377"/>
      <c r="BF70" s="377"/>
      <c r="BG70" s="377"/>
      <c r="BH70" s="377"/>
      <c r="BI70" s="377"/>
    </row>
    <row r="71" spans="1:61" ht="24" hidden="1">
      <c r="A71" s="711" t="s">
        <v>707</v>
      </c>
      <c r="B71" s="711" t="s">
        <v>2698</v>
      </c>
      <c r="C71" s="717" t="s">
        <v>178</v>
      </c>
      <c r="D71" s="711" t="s">
        <v>345</v>
      </c>
      <c r="E71" s="711" t="s">
        <v>580</v>
      </c>
      <c r="F71" s="711">
        <v>166</v>
      </c>
      <c r="G71" s="717"/>
      <c r="H71" s="717" t="s">
        <v>197</v>
      </c>
      <c r="I71" s="711">
        <v>120</v>
      </c>
      <c r="J71" s="711" t="s">
        <v>1675</v>
      </c>
      <c r="K71" s="719" t="s">
        <v>2752</v>
      </c>
      <c r="L71" s="760"/>
      <c r="M71" s="721">
        <v>41366</v>
      </c>
      <c r="N71" s="723">
        <v>108</v>
      </c>
      <c r="O71" s="724">
        <v>12</v>
      </c>
      <c r="P71" s="725">
        <v>987000000000000</v>
      </c>
      <c r="Q71" s="726"/>
      <c r="R71" s="727"/>
      <c r="S71" s="728" t="e">
        <f t="shared" si="0"/>
        <v>#DIV/0!</v>
      </c>
      <c r="T71" s="711" t="s">
        <v>2416</v>
      </c>
      <c r="U71" s="729"/>
      <c r="V71" s="765"/>
      <c r="W71" s="768" t="s">
        <v>2791</v>
      </c>
      <c r="X71" s="732"/>
      <c r="Y71" s="733"/>
      <c r="Z71" s="733"/>
      <c r="AA71" s="733"/>
      <c r="AB71" s="733"/>
      <c r="AC71" s="733"/>
      <c r="AD71" s="733"/>
      <c r="AE71" s="733"/>
      <c r="AF71" s="733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</row>
    <row r="72" spans="1:61" ht="24" hidden="1">
      <c r="A72" s="711" t="s">
        <v>707</v>
      </c>
      <c r="B72" s="711" t="s">
        <v>2698</v>
      </c>
      <c r="C72" s="717" t="s">
        <v>178</v>
      </c>
      <c r="D72" s="711" t="s">
        <v>345</v>
      </c>
      <c r="E72" s="711" t="s">
        <v>363</v>
      </c>
      <c r="F72" s="711">
        <v>171</v>
      </c>
      <c r="G72" s="717"/>
      <c r="H72" s="717" t="s">
        <v>197</v>
      </c>
      <c r="I72" s="711">
        <v>120</v>
      </c>
      <c r="J72" s="711" t="s">
        <v>1675</v>
      </c>
      <c r="K72" s="719" t="s">
        <v>2752</v>
      </c>
      <c r="L72" s="760"/>
      <c r="M72" s="721">
        <v>41457</v>
      </c>
      <c r="N72" s="723">
        <v>109</v>
      </c>
      <c r="O72" s="724">
        <v>12</v>
      </c>
      <c r="P72" s="725">
        <v>1350000000000000</v>
      </c>
      <c r="Q72" s="726"/>
      <c r="R72" s="727"/>
      <c r="S72" s="728" t="e">
        <f t="shared" si="0"/>
        <v>#DIV/0!</v>
      </c>
      <c r="T72" s="711" t="s">
        <v>2416</v>
      </c>
      <c r="U72" s="729"/>
      <c r="V72" s="765">
        <f>80-2</f>
        <v>78</v>
      </c>
      <c r="W72" s="731"/>
      <c r="X72" s="766"/>
      <c r="Y72" s="731"/>
      <c r="Z72" s="731"/>
      <c r="AA72" s="731"/>
      <c r="AB72" s="731"/>
      <c r="AC72" s="731"/>
      <c r="AD72" s="731"/>
      <c r="AE72" s="731"/>
      <c r="AF72" s="731"/>
      <c r="AG72" s="377"/>
      <c r="AH72" s="377"/>
      <c r="AI72" s="377"/>
      <c r="AJ72" s="377"/>
      <c r="AK72" s="377"/>
      <c r="AL72" s="377"/>
      <c r="AM72" s="377"/>
      <c r="AN72" s="377"/>
      <c r="AO72" s="377"/>
      <c r="AP72" s="377"/>
      <c r="AQ72" s="377"/>
      <c r="AR72" s="377"/>
      <c r="AS72" s="377"/>
      <c r="AT72" s="377"/>
      <c r="AU72" s="377"/>
      <c r="AV72" s="377"/>
      <c r="AW72" s="377"/>
      <c r="AX72" s="377"/>
      <c r="AY72" s="377"/>
      <c r="AZ72" s="377"/>
      <c r="BA72" s="377"/>
      <c r="BB72" s="377"/>
      <c r="BC72" s="377"/>
      <c r="BD72" s="377"/>
      <c r="BE72" s="377"/>
      <c r="BF72" s="377"/>
      <c r="BG72" s="377"/>
      <c r="BH72" s="377"/>
      <c r="BI72" s="377"/>
    </row>
    <row r="73" spans="1:61" ht="24" hidden="1">
      <c r="A73" s="711" t="s">
        <v>707</v>
      </c>
      <c r="B73" s="711" t="s">
        <v>2698</v>
      </c>
      <c r="C73" s="717" t="s">
        <v>178</v>
      </c>
      <c r="D73" s="711" t="s">
        <v>345</v>
      </c>
      <c r="E73" s="711" t="s">
        <v>2793</v>
      </c>
      <c r="F73" s="711">
        <v>208</v>
      </c>
      <c r="G73" s="717"/>
      <c r="H73" s="717" t="s">
        <v>197</v>
      </c>
      <c r="I73" s="711">
        <v>120</v>
      </c>
      <c r="J73" s="711" t="s">
        <v>1675</v>
      </c>
      <c r="K73" s="760">
        <v>41366</v>
      </c>
      <c r="L73" s="760"/>
      <c r="M73" s="721">
        <v>41457</v>
      </c>
      <c r="N73" s="723">
        <v>110</v>
      </c>
      <c r="O73" s="724">
        <v>12</v>
      </c>
      <c r="P73" s="725">
        <v>248000000000000</v>
      </c>
      <c r="Q73" s="726"/>
      <c r="R73" s="727"/>
      <c r="S73" s="728" t="e">
        <f t="shared" si="0"/>
        <v>#DIV/0!</v>
      </c>
      <c r="T73" s="711" t="s">
        <v>2416</v>
      </c>
      <c r="U73" s="729"/>
      <c r="V73" s="730">
        <v>80</v>
      </c>
      <c r="W73" s="768" t="s">
        <v>2794</v>
      </c>
      <c r="X73" s="732"/>
      <c r="Y73" s="733"/>
      <c r="Z73" s="733"/>
      <c r="AA73" s="733"/>
      <c r="AB73" s="733"/>
      <c r="AC73" s="733"/>
      <c r="AD73" s="733"/>
      <c r="AE73" s="733"/>
      <c r="AF73" s="733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</row>
    <row r="74" spans="1:61" ht="24" hidden="1">
      <c r="A74" s="778" t="s">
        <v>707</v>
      </c>
      <c r="B74" s="778" t="s">
        <v>2698</v>
      </c>
      <c r="C74" s="782" t="s">
        <v>178</v>
      </c>
      <c r="D74" s="778" t="s">
        <v>345</v>
      </c>
      <c r="E74" s="778" t="s">
        <v>2798</v>
      </c>
      <c r="F74" s="778">
        <v>206</v>
      </c>
      <c r="G74" s="782"/>
      <c r="H74" s="782" t="s">
        <v>197</v>
      </c>
      <c r="I74" s="778">
        <v>120</v>
      </c>
      <c r="J74" s="778" t="s">
        <v>1675</v>
      </c>
      <c r="K74" s="784">
        <v>41366</v>
      </c>
      <c r="L74" s="784"/>
      <c r="M74" s="786">
        <v>41580</v>
      </c>
      <c r="N74" s="788">
        <v>111</v>
      </c>
      <c r="O74" s="790">
        <v>12</v>
      </c>
      <c r="P74" s="792">
        <v>4030000000000000</v>
      </c>
      <c r="Q74" s="794">
        <v>1400000000000000</v>
      </c>
      <c r="R74" s="795">
        <v>19100000000</v>
      </c>
      <c r="S74" s="797">
        <f t="shared" si="0"/>
        <v>2404188481675392.5</v>
      </c>
      <c r="T74" s="778" t="s">
        <v>2416</v>
      </c>
      <c r="U74" s="799"/>
      <c r="V74" s="803">
        <f>200-1</f>
        <v>199</v>
      </c>
      <c r="W74" s="805" t="s">
        <v>2812</v>
      </c>
      <c r="X74" s="807"/>
      <c r="Y74" s="809"/>
      <c r="Z74" s="809"/>
      <c r="AA74" s="809"/>
      <c r="AB74" s="809"/>
      <c r="AC74" s="809"/>
      <c r="AD74" s="809"/>
      <c r="AE74" s="809"/>
      <c r="AF74" s="809"/>
      <c r="AG74" s="234"/>
      <c r="AH74" s="234"/>
      <c r="AI74" s="234"/>
      <c r="AJ74" s="234"/>
      <c r="AK74" s="234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4"/>
      <c r="BB74" s="234"/>
      <c r="BC74" s="234"/>
      <c r="BD74" s="234"/>
      <c r="BE74" s="234"/>
      <c r="BF74" s="234"/>
      <c r="BG74" s="234"/>
      <c r="BH74" s="234"/>
      <c r="BI74" s="234"/>
    </row>
    <row r="75" spans="1:61" ht="24" hidden="1">
      <c r="A75" s="734" t="s">
        <v>707</v>
      </c>
      <c r="B75" s="734" t="s">
        <v>2698</v>
      </c>
      <c r="C75" s="735" t="s">
        <v>178</v>
      </c>
      <c r="D75" s="734" t="s">
        <v>345</v>
      </c>
      <c r="E75" s="734" t="s">
        <v>2816</v>
      </c>
      <c r="F75" s="734">
        <v>207</v>
      </c>
      <c r="G75" s="735"/>
      <c r="H75" s="735" t="s">
        <v>197</v>
      </c>
      <c r="I75" s="734">
        <v>120</v>
      </c>
      <c r="J75" s="734" t="s">
        <v>1675</v>
      </c>
      <c r="K75" s="811">
        <v>41366</v>
      </c>
      <c r="L75" s="811"/>
      <c r="M75" s="737">
        <v>41580</v>
      </c>
      <c r="N75" s="738">
        <v>112</v>
      </c>
      <c r="O75" s="739">
        <v>12</v>
      </c>
      <c r="P75" s="740">
        <v>3600000000000000</v>
      </c>
      <c r="Q75" s="741"/>
      <c r="R75" s="742"/>
      <c r="S75" s="743" t="e">
        <f t="shared" si="0"/>
        <v>#DIV/0!</v>
      </c>
      <c r="T75" s="734" t="s">
        <v>2416</v>
      </c>
      <c r="U75" s="744"/>
      <c r="V75" s="815">
        <v>130</v>
      </c>
      <c r="W75" s="733"/>
      <c r="X75" s="732"/>
      <c r="Y75" s="748" t="s">
        <v>2819</v>
      </c>
      <c r="Z75" s="733"/>
      <c r="AA75" s="733"/>
      <c r="AB75" s="733"/>
      <c r="AC75" s="733"/>
      <c r="AD75" s="733"/>
      <c r="AE75" s="733"/>
      <c r="AF75" s="733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</row>
    <row r="76" spans="1:61" ht="24" hidden="1">
      <c r="A76" s="818" t="s">
        <v>52</v>
      </c>
      <c r="B76" s="818" t="s">
        <v>2508</v>
      </c>
      <c r="C76" s="820" t="s">
        <v>2510</v>
      </c>
      <c r="D76" s="818" t="s">
        <v>70</v>
      </c>
      <c r="E76" s="818" t="s">
        <v>516</v>
      </c>
      <c r="F76" s="818">
        <v>140</v>
      </c>
      <c r="G76" s="820"/>
      <c r="H76" s="820" t="s">
        <v>2825</v>
      </c>
      <c r="I76" s="818">
        <v>212</v>
      </c>
      <c r="J76" s="818" t="s">
        <v>2521</v>
      </c>
      <c r="K76" s="822" t="s">
        <v>2522</v>
      </c>
      <c r="L76" s="822"/>
      <c r="M76" s="824">
        <v>41319</v>
      </c>
      <c r="N76" s="826">
        <v>113</v>
      </c>
      <c r="O76" s="828">
        <v>6</v>
      </c>
      <c r="P76" s="830">
        <v>1330000000000000</v>
      </c>
      <c r="Q76" s="636"/>
      <c r="R76" s="638"/>
      <c r="S76" s="640" t="e">
        <f t="shared" si="0"/>
        <v>#DIV/0!</v>
      </c>
      <c r="T76" s="628" t="s">
        <v>2416</v>
      </c>
      <c r="U76" s="642"/>
      <c r="V76" s="832">
        <v>140</v>
      </c>
      <c r="W76" s="648" t="s">
        <v>2829</v>
      </c>
      <c r="X76" s="834" t="s">
        <v>2830</v>
      </c>
      <c r="Y76" s="840">
        <f>P76/50</f>
        <v>26600000000000</v>
      </c>
      <c r="Z76" s="840">
        <f>Y76/50</f>
        <v>532000000000</v>
      </c>
      <c r="AA76" s="645"/>
      <c r="AB76" s="645"/>
      <c r="AC76" s="645"/>
      <c r="AD76" s="645"/>
      <c r="AE76" s="645"/>
      <c r="AF76" s="645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</row>
    <row r="77" spans="1:61" ht="24" hidden="1">
      <c r="A77" s="818" t="s">
        <v>52</v>
      </c>
      <c r="B77" s="818" t="s">
        <v>2508</v>
      </c>
      <c r="C77" s="820" t="s">
        <v>2510</v>
      </c>
      <c r="D77" s="818" t="s">
        <v>70</v>
      </c>
      <c r="E77" s="818" t="s">
        <v>516</v>
      </c>
      <c r="F77" s="818">
        <v>140</v>
      </c>
      <c r="G77" s="820"/>
      <c r="H77" s="820" t="s">
        <v>2832</v>
      </c>
      <c r="I77" s="818">
        <v>211</v>
      </c>
      <c r="J77" s="818" t="s">
        <v>2521</v>
      </c>
      <c r="K77" s="822" t="s">
        <v>2522</v>
      </c>
      <c r="L77" s="822"/>
      <c r="M77" s="824" t="s">
        <v>2833</v>
      </c>
      <c r="N77" s="826">
        <v>114</v>
      </c>
      <c r="O77" s="828">
        <v>6</v>
      </c>
      <c r="P77" s="830">
        <v>69800000000000</v>
      </c>
      <c r="Q77" s="846"/>
      <c r="R77" s="847"/>
      <c r="S77" s="849" t="e">
        <f t="shared" si="0"/>
        <v>#DIV/0!</v>
      </c>
      <c r="T77" s="818" t="s">
        <v>2416</v>
      </c>
      <c r="U77" s="850"/>
      <c r="V77" s="852">
        <v>140</v>
      </c>
      <c r="W77" s="854"/>
      <c r="X77" s="818" t="s">
        <v>2839</v>
      </c>
      <c r="Y77" s="856"/>
      <c r="Z77" s="854"/>
      <c r="AA77" s="645"/>
      <c r="AB77" s="645"/>
      <c r="AC77" s="645"/>
      <c r="AD77" s="645"/>
      <c r="AE77" s="645"/>
      <c r="AF77" s="645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</row>
    <row r="78" spans="1:61" ht="24" hidden="1">
      <c r="A78" s="818" t="s">
        <v>52</v>
      </c>
      <c r="B78" s="818" t="s">
        <v>2508</v>
      </c>
      <c r="C78" s="820" t="s">
        <v>2510</v>
      </c>
      <c r="D78" s="818" t="s">
        <v>70</v>
      </c>
      <c r="E78" s="818" t="s">
        <v>2634</v>
      </c>
      <c r="F78" s="818">
        <v>141</v>
      </c>
      <c r="G78" s="820"/>
      <c r="H78" s="820" t="s">
        <v>2825</v>
      </c>
      <c r="I78" s="818">
        <v>212</v>
      </c>
      <c r="J78" s="818" t="s">
        <v>2521</v>
      </c>
      <c r="K78" s="822" t="s">
        <v>2522</v>
      </c>
      <c r="L78" s="822"/>
      <c r="M78" s="824">
        <v>41319</v>
      </c>
      <c r="N78" s="826">
        <v>115</v>
      </c>
      <c r="O78" s="828">
        <v>6</v>
      </c>
      <c r="P78" s="830">
        <v>1370000000000000</v>
      </c>
      <c r="Q78" s="846"/>
      <c r="R78" s="847"/>
      <c r="S78" s="849" t="e">
        <f t="shared" si="0"/>
        <v>#DIV/0!</v>
      </c>
      <c r="T78" s="818" t="s">
        <v>2416</v>
      </c>
      <c r="U78" s="850"/>
      <c r="V78" s="852">
        <v>180</v>
      </c>
      <c r="W78" s="861" t="s">
        <v>2842</v>
      </c>
      <c r="X78" s="863" t="s">
        <v>2843</v>
      </c>
      <c r="Y78" s="856">
        <f t="shared" ref="Y78:Y79" si="2">P78/50</f>
        <v>27400000000000</v>
      </c>
      <c r="Z78" s="854"/>
      <c r="AA78" s="645"/>
      <c r="AB78" s="645"/>
      <c r="AC78" s="645"/>
      <c r="AD78" s="645"/>
      <c r="AE78" s="645"/>
      <c r="AF78" s="645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</row>
    <row r="79" spans="1:61" ht="24" hidden="1">
      <c r="A79" s="818" t="s">
        <v>52</v>
      </c>
      <c r="B79" s="818" t="s">
        <v>2508</v>
      </c>
      <c r="C79" s="820" t="s">
        <v>2510</v>
      </c>
      <c r="D79" s="818" t="s">
        <v>70</v>
      </c>
      <c r="E79" s="818" t="s">
        <v>2590</v>
      </c>
      <c r="F79" s="818">
        <v>154</v>
      </c>
      <c r="G79" s="820"/>
      <c r="H79" s="820" t="s">
        <v>2825</v>
      </c>
      <c r="I79" s="818">
        <v>212</v>
      </c>
      <c r="J79" s="818" t="s">
        <v>2521</v>
      </c>
      <c r="K79" s="822" t="s">
        <v>2522</v>
      </c>
      <c r="L79" s="822"/>
      <c r="M79" s="824">
        <v>41319</v>
      </c>
      <c r="N79" s="826">
        <v>116</v>
      </c>
      <c r="O79" s="828">
        <v>6</v>
      </c>
      <c r="P79" s="830">
        <v>1240000000000000</v>
      </c>
      <c r="Q79" s="846"/>
      <c r="R79" s="847"/>
      <c r="S79" s="849" t="e">
        <f t="shared" si="0"/>
        <v>#DIV/0!</v>
      </c>
      <c r="T79" s="818" t="s">
        <v>2416</v>
      </c>
      <c r="U79" s="850"/>
      <c r="V79" s="852">
        <v>180</v>
      </c>
      <c r="W79" s="861" t="s">
        <v>2846</v>
      </c>
      <c r="X79" s="830" t="s">
        <v>2848</v>
      </c>
      <c r="Y79" s="856">
        <f t="shared" si="2"/>
        <v>24800000000000</v>
      </c>
      <c r="Z79" s="854"/>
      <c r="AA79" s="645"/>
      <c r="AB79" s="645"/>
      <c r="AC79" s="645"/>
      <c r="AD79" s="645"/>
      <c r="AE79" s="645"/>
      <c r="AF79" s="645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</row>
    <row r="80" spans="1:61" ht="24" hidden="1">
      <c r="A80" s="628" t="s">
        <v>52</v>
      </c>
      <c r="B80" s="628" t="s">
        <v>2508</v>
      </c>
      <c r="C80" s="629" t="s">
        <v>2510</v>
      </c>
      <c r="D80" s="628" t="s">
        <v>70</v>
      </c>
      <c r="E80" s="628" t="s">
        <v>516</v>
      </c>
      <c r="F80" s="628">
        <v>140</v>
      </c>
      <c r="G80" s="629"/>
      <c r="H80" s="629" t="s">
        <v>2849</v>
      </c>
      <c r="I80" s="628">
        <v>216</v>
      </c>
      <c r="J80" s="628" t="s">
        <v>2521</v>
      </c>
      <c r="K80" s="630" t="s">
        <v>2522</v>
      </c>
      <c r="L80" s="630"/>
      <c r="M80" s="631">
        <v>41324</v>
      </c>
      <c r="N80" s="633">
        <v>117</v>
      </c>
      <c r="O80" s="634">
        <v>6</v>
      </c>
      <c r="P80" s="635">
        <v>160000000000000</v>
      </c>
      <c r="Q80" s="636"/>
      <c r="R80" s="638"/>
      <c r="S80" s="640" t="e">
        <f t="shared" si="0"/>
        <v>#DIV/0!</v>
      </c>
      <c r="T80" s="628" t="s">
        <v>2416</v>
      </c>
      <c r="U80" s="642"/>
      <c r="V80" s="643">
        <f>20</f>
        <v>20</v>
      </c>
      <c r="W80" s="645"/>
      <c r="X80" s="645"/>
      <c r="Y80" s="645"/>
      <c r="Z80" s="645"/>
      <c r="AA80" s="645"/>
      <c r="AB80" s="645"/>
      <c r="AC80" s="645"/>
      <c r="AD80" s="645"/>
      <c r="AE80" s="645"/>
      <c r="AF80" s="645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</row>
    <row r="81" spans="1:61" ht="24" hidden="1">
      <c r="A81" s="875" t="s">
        <v>2852</v>
      </c>
      <c r="B81" s="875" t="s">
        <v>177</v>
      </c>
      <c r="C81" s="876" t="s">
        <v>178</v>
      </c>
      <c r="D81" s="875" t="s">
        <v>187</v>
      </c>
      <c r="E81" s="875" t="s">
        <v>143</v>
      </c>
      <c r="F81" s="875">
        <v>170</v>
      </c>
      <c r="G81" s="876"/>
      <c r="H81" s="876" t="s">
        <v>197</v>
      </c>
      <c r="I81" s="875">
        <v>120</v>
      </c>
      <c r="J81" s="875" t="s">
        <v>1675</v>
      </c>
      <c r="K81" s="877">
        <v>41580</v>
      </c>
      <c r="L81" s="880"/>
      <c r="M81" s="882">
        <v>41324</v>
      </c>
      <c r="N81" s="883">
        <v>118</v>
      </c>
      <c r="O81" s="885">
        <v>9</v>
      </c>
      <c r="P81" s="887">
        <v>235000000000000</v>
      </c>
      <c r="Q81" s="888"/>
      <c r="R81" s="890"/>
      <c r="S81" s="892" t="e">
        <f t="shared" si="0"/>
        <v>#DIV/0!</v>
      </c>
      <c r="T81" s="875" t="s">
        <v>2416</v>
      </c>
      <c r="U81" s="894"/>
      <c r="V81" s="896" t="s">
        <v>483</v>
      </c>
      <c r="W81" s="898" t="s">
        <v>2860</v>
      </c>
      <c r="X81" s="900"/>
      <c r="Y81" s="900"/>
      <c r="Z81" s="900"/>
      <c r="AA81" s="900"/>
      <c r="AB81" s="900"/>
      <c r="AC81" s="900"/>
      <c r="AD81" s="900"/>
      <c r="AE81" s="900"/>
      <c r="AF81" s="900"/>
      <c r="AG81" s="377"/>
      <c r="AH81" s="377"/>
      <c r="AI81" s="377"/>
      <c r="AJ81" s="377"/>
      <c r="AK81" s="377"/>
      <c r="AL81" s="377"/>
      <c r="AM81" s="377"/>
      <c r="AN81" s="377"/>
      <c r="AO81" s="377"/>
      <c r="AP81" s="377"/>
      <c r="AQ81" s="377"/>
      <c r="AR81" s="377"/>
      <c r="AS81" s="377"/>
      <c r="AT81" s="377"/>
      <c r="AU81" s="377"/>
      <c r="AV81" s="377"/>
      <c r="AW81" s="377"/>
      <c r="AX81" s="377"/>
      <c r="AY81" s="377"/>
      <c r="AZ81" s="377"/>
      <c r="BA81" s="377"/>
      <c r="BB81" s="377"/>
      <c r="BC81" s="377"/>
      <c r="BD81" s="377"/>
      <c r="BE81" s="377"/>
      <c r="BF81" s="377"/>
      <c r="BG81" s="377"/>
      <c r="BH81" s="377"/>
      <c r="BI81" s="377"/>
    </row>
    <row r="82" spans="1:61" ht="24" hidden="1">
      <c r="A82" s="711" t="s">
        <v>707</v>
      </c>
      <c r="B82" s="711" t="s">
        <v>2698</v>
      </c>
      <c r="C82" s="717" t="s">
        <v>178</v>
      </c>
      <c r="D82" s="711" t="s">
        <v>345</v>
      </c>
      <c r="E82" s="711" t="s">
        <v>516</v>
      </c>
      <c r="F82" s="711">
        <v>140</v>
      </c>
      <c r="G82" s="717"/>
      <c r="H82" s="717" t="s">
        <v>197</v>
      </c>
      <c r="I82" s="711">
        <v>120</v>
      </c>
      <c r="J82" s="711" t="s">
        <v>1675</v>
      </c>
      <c r="K82" s="760">
        <v>41580</v>
      </c>
      <c r="L82" s="719"/>
      <c r="M82" s="721">
        <v>41324</v>
      </c>
      <c r="N82" s="723">
        <v>119</v>
      </c>
      <c r="O82" s="724">
        <v>9</v>
      </c>
      <c r="P82" s="725">
        <v>250000000000000</v>
      </c>
      <c r="Q82" s="726"/>
      <c r="R82" s="727"/>
      <c r="S82" s="728" t="e">
        <f t="shared" si="0"/>
        <v>#DIV/0!</v>
      </c>
      <c r="T82" s="711" t="s">
        <v>2416</v>
      </c>
      <c r="U82" s="729"/>
      <c r="V82" s="765"/>
      <c r="W82" s="731"/>
      <c r="X82" s="766"/>
      <c r="Y82" s="731"/>
      <c r="Z82" s="731"/>
      <c r="AA82" s="731"/>
      <c r="AB82" s="731"/>
      <c r="AC82" s="731"/>
      <c r="AD82" s="731"/>
      <c r="AE82" s="731"/>
      <c r="AF82" s="731"/>
      <c r="AG82" s="377"/>
      <c r="AH82" s="377"/>
      <c r="AI82" s="377"/>
      <c r="AJ82" s="377"/>
      <c r="AK82" s="377"/>
      <c r="AL82" s="377"/>
      <c r="AM82" s="377"/>
      <c r="AN82" s="377"/>
      <c r="AO82" s="377"/>
      <c r="AP82" s="377"/>
      <c r="AQ82" s="377"/>
      <c r="AR82" s="377"/>
      <c r="AS82" s="377"/>
      <c r="AT82" s="377"/>
      <c r="AU82" s="377"/>
      <c r="AV82" s="377"/>
      <c r="AW82" s="377"/>
      <c r="AX82" s="377"/>
      <c r="AY82" s="377"/>
      <c r="AZ82" s="377"/>
      <c r="BA82" s="377"/>
      <c r="BB82" s="377"/>
      <c r="BC82" s="377"/>
      <c r="BD82" s="377"/>
      <c r="BE82" s="377"/>
      <c r="BF82" s="377"/>
      <c r="BG82" s="377"/>
      <c r="BH82" s="377"/>
      <c r="BI82" s="377"/>
    </row>
    <row r="83" spans="1:61" ht="24" hidden="1">
      <c r="A83" s="818" t="s">
        <v>52</v>
      </c>
      <c r="B83" s="818" t="s">
        <v>2508</v>
      </c>
      <c r="C83" s="820" t="s">
        <v>2510</v>
      </c>
      <c r="D83" s="818" t="s">
        <v>70</v>
      </c>
      <c r="E83" s="818" t="s">
        <v>516</v>
      </c>
      <c r="F83" s="818">
        <v>140</v>
      </c>
      <c r="G83" s="820"/>
      <c r="H83" s="820" t="s">
        <v>2865</v>
      </c>
      <c r="I83" s="818">
        <v>215</v>
      </c>
      <c r="J83" s="818" t="s">
        <v>2521</v>
      </c>
      <c r="K83" s="822" t="s">
        <v>2522</v>
      </c>
      <c r="L83" s="822"/>
      <c r="M83" s="824">
        <v>41327</v>
      </c>
      <c r="N83" s="826">
        <v>120</v>
      </c>
      <c r="O83" s="828" t="s">
        <v>2866</v>
      </c>
      <c r="P83" s="830">
        <v>216000000000000</v>
      </c>
      <c r="Q83" s="846"/>
      <c r="R83" s="847"/>
      <c r="S83" s="849" t="e">
        <f t="shared" si="0"/>
        <v>#DIV/0!</v>
      </c>
      <c r="T83" s="818" t="s">
        <v>2416</v>
      </c>
      <c r="U83" s="850"/>
      <c r="V83" s="852">
        <v>150</v>
      </c>
      <c r="W83" s="854"/>
      <c r="X83" s="854"/>
      <c r="Y83" s="645"/>
      <c r="Z83" s="645"/>
      <c r="AA83" s="645"/>
      <c r="AB83" s="645"/>
      <c r="AC83" s="645"/>
      <c r="AD83" s="645"/>
      <c r="AE83" s="645"/>
      <c r="AF83" s="645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</row>
    <row r="84" spans="1:61" ht="24" hidden="1">
      <c r="A84" s="906" t="s">
        <v>52</v>
      </c>
      <c r="B84" s="906" t="s">
        <v>54</v>
      </c>
      <c r="C84" s="908" t="s">
        <v>178</v>
      </c>
      <c r="D84" s="906" t="s">
        <v>57</v>
      </c>
      <c r="E84" s="906" t="s">
        <v>143</v>
      </c>
      <c r="F84" s="906">
        <v>170</v>
      </c>
      <c r="G84" s="908"/>
      <c r="H84" s="908" t="s">
        <v>2869</v>
      </c>
      <c r="I84" s="906">
        <v>209</v>
      </c>
      <c r="J84" s="906" t="s">
        <v>60</v>
      </c>
      <c r="K84" s="910" t="s">
        <v>2752</v>
      </c>
      <c r="L84" s="910"/>
      <c r="M84" s="912">
        <v>41327</v>
      </c>
      <c r="N84" s="914">
        <v>121</v>
      </c>
      <c r="O84" s="916">
        <v>6</v>
      </c>
      <c r="P84" s="917">
        <v>515000000000000</v>
      </c>
      <c r="Q84" s="918"/>
      <c r="R84" s="919"/>
      <c r="S84" s="920" t="e">
        <f t="shared" si="0"/>
        <v>#DIV/0!</v>
      </c>
      <c r="T84" s="906" t="s">
        <v>2416</v>
      </c>
      <c r="U84" s="922"/>
      <c r="V84" s="925">
        <f>16</f>
        <v>16</v>
      </c>
      <c r="W84" s="930"/>
      <c r="X84" s="930"/>
      <c r="Y84" s="930"/>
      <c r="Z84" s="930"/>
      <c r="AA84" s="930"/>
      <c r="AB84" s="930"/>
      <c r="AC84" s="930"/>
      <c r="AD84" s="930"/>
      <c r="AE84" s="930"/>
      <c r="AF84" s="930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</row>
    <row r="85" spans="1:61" ht="24" hidden="1">
      <c r="A85" s="875" t="s">
        <v>52</v>
      </c>
      <c r="B85" s="875" t="s">
        <v>177</v>
      </c>
      <c r="C85" s="876" t="s">
        <v>178</v>
      </c>
      <c r="D85" s="875" t="s">
        <v>187</v>
      </c>
      <c r="E85" s="875" t="s">
        <v>1915</v>
      </c>
      <c r="F85" s="875">
        <v>197</v>
      </c>
      <c r="G85" s="876"/>
      <c r="H85" s="876" t="s">
        <v>197</v>
      </c>
      <c r="I85" s="875">
        <v>120</v>
      </c>
      <c r="J85" s="875" t="s">
        <v>1675</v>
      </c>
      <c r="K85" s="880" t="s">
        <v>2752</v>
      </c>
      <c r="L85" s="880"/>
      <c r="M85" s="882" t="s">
        <v>2882</v>
      </c>
      <c r="N85" s="883">
        <v>122</v>
      </c>
      <c r="O85" s="885">
        <v>12</v>
      </c>
      <c r="P85" s="887">
        <v>52500000000000</v>
      </c>
      <c r="Q85" s="888"/>
      <c r="R85" s="890"/>
      <c r="S85" s="892" t="e">
        <f t="shared" si="0"/>
        <v>#DIV/0!</v>
      </c>
      <c r="T85" s="875" t="s">
        <v>400</v>
      </c>
      <c r="U85" s="894"/>
      <c r="V85" s="896">
        <v>170</v>
      </c>
      <c r="W85" s="898" t="s">
        <v>2884</v>
      </c>
      <c r="X85" s="932"/>
      <c r="Y85" s="932"/>
      <c r="Z85" s="932"/>
      <c r="AA85" s="932"/>
      <c r="AB85" s="932"/>
      <c r="AC85" s="932"/>
      <c r="AD85" s="932"/>
      <c r="AE85" s="932"/>
      <c r="AF85" s="932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</row>
    <row r="86" spans="1:61" ht="24" hidden="1">
      <c r="A86" s="934" t="s">
        <v>2247</v>
      </c>
      <c r="B86" s="934" t="s">
        <v>2886</v>
      </c>
      <c r="C86" s="937" t="s">
        <v>2887</v>
      </c>
      <c r="D86" s="934" t="s">
        <v>345</v>
      </c>
      <c r="E86" s="934" t="s">
        <v>490</v>
      </c>
      <c r="F86" s="939">
        <v>168</v>
      </c>
      <c r="G86" s="937"/>
      <c r="H86" s="937" t="s">
        <v>2892</v>
      </c>
      <c r="I86" s="934" t="s">
        <v>2893</v>
      </c>
      <c r="J86" s="934" t="s">
        <v>1012</v>
      </c>
      <c r="K86" s="941">
        <v>41150</v>
      </c>
      <c r="L86" s="941"/>
      <c r="M86" s="943">
        <v>41488</v>
      </c>
      <c r="N86" s="945">
        <v>124</v>
      </c>
      <c r="O86" s="939">
        <v>12</v>
      </c>
      <c r="P86" s="950">
        <v>430000000000000</v>
      </c>
      <c r="Q86" s="952"/>
      <c r="R86" s="954"/>
      <c r="S86" s="956" t="e">
        <f t="shared" si="0"/>
        <v>#DIV/0!</v>
      </c>
      <c r="T86" s="934" t="s">
        <v>400</v>
      </c>
      <c r="U86" s="957"/>
      <c r="V86" s="958">
        <v>140</v>
      </c>
      <c r="W86" s="959">
        <v>10</v>
      </c>
      <c r="X86" s="961"/>
      <c r="Y86" s="961"/>
      <c r="Z86" s="961"/>
      <c r="AA86" s="961"/>
      <c r="AB86" s="961"/>
      <c r="AC86" s="961"/>
      <c r="AD86" s="961"/>
      <c r="AE86" s="961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</row>
    <row r="87" spans="1:61" ht="24" hidden="1">
      <c r="A87" s="934" t="s">
        <v>2247</v>
      </c>
      <c r="B87" s="934" t="s">
        <v>2886</v>
      </c>
      <c r="C87" s="937" t="s">
        <v>2887</v>
      </c>
      <c r="D87" s="934" t="s">
        <v>345</v>
      </c>
      <c r="E87" s="934" t="s">
        <v>490</v>
      </c>
      <c r="F87" s="939">
        <v>168</v>
      </c>
      <c r="G87" s="937"/>
      <c r="H87" s="937" t="s">
        <v>2901</v>
      </c>
      <c r="I87" s="934" t="s">
        <v>2893</v>
      </c>
      <c r="J87" s="934" t="s">
        <v>2902</v>
      </c>
      <c r="K87" s="941">
        <v>41150</v>
      </c>
      <c r="L87" s="941"/>
      <c r="M87" s="943">
        <v>41489</v>
      </c>
      <c r="N87" s="945">
        <v>125</v>
      </c>
      <c r="O87" s="939">
        <v>12</v>
      </c>
      <c r="P87" s="950">
        <v>464000000000000</v>
      </c>
      <c r="Q87" s="952"/>
      <c r="R87" s="954"/>
      <c r="S87" s="956" t="e">
        <f t="shared" si="0"/>
        <v>#DIV/0!</v>
      </c>
      <c r="T87" s="934" t="s">
        <v>400</v>
      </c>
      <c r="U87" s="957"/>
      <c r="V87" s="958">
        <v>140</v>
      </c>
      <c r="W87" s="959">
        <v>10</v>
      </c>
      <c r="X87" s="961"/>
      <c r="Y87" s="961"/>
      <c r="Z87" s="961"/>
      <c r="AA87" s="961"/>
      <c r="AB87" s="961"/>
      <c r="AC87" s="961"/>
      <c r="AD87" s="961"/>
      <c r="AE87" s="961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</row>
    <row r="88" spans="1:61" ht="24" hidden="1">
      <c r="A88" s="966" t="s">
        <v>52</v>
      </c>
      <c r="B88" s="966" t="s">
        <v>177</v>
      </c>
      <c r="C88" s="967" t="s">
        <v>178</v>
      </c>
      <c r="D88" s="966" t="s">
        <v>187</v>
      </c>
      <c r="E88" s="966" t="s">
        <v>490</v>
      </c>
      <c r="F88" s="966">
        <v>168</v>
      </c>
      <c r="G88" s="967"/>
      <c r="H88" s="967" t="s">
        <v>197</v>
      </c>
      <c r="I88" s="966">
        <v>120</v>
      </c>
      <c r="J88" s="966" t="s">
        <v>1675</v>
      </c>
      <c r="K88" s="969" t="s">
        <v>2752</v>
      </c>
      <c r="L88" s="969"/>
      <c r="M88" s="971">
        <v>41332</v>
      </c>
      <c r="N88" s="972" t="s">
        <v>2909</v>
      </c>
      <c r="O88" s="973">
        <v>12</v>
      </c>
      <c r="P88" s="974">
        <v>2010000000000000</v>
      </c>
      <c r="Q88" s="975"/>
      <c r="R88" s="976"/>
      <c r="S88" s="977" t="e">
        <f t="shared" si="0"/>
        <v>#DIV/0!</v>
      </c>
      <c r="T88" s="966" t="s">
        <v>400</v>
      </c>
      <c r="U88" s="978"/>
      <c r="V88" s="979">
        <f>218</f>
        <v>218</v>
      </c>
      <c r="W88" s="932"/>
      <c r="X88" s="932"/>
      <c r="Y88" s="932"/>
      <c r="Z88" s="932"/>
      <c r="AA88" s="932"/>
      <c r="AB88" s="932"/>
      <c r="AC88" s="932"/>
      <c r="AD88" s="932"/>
      <c r="AE88" s="932"/>
      <c r="AF88" s="932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</row>
    <row r="89" spans="1:61" ht="1.5" hidden="1" customHeight="1">
      <c r="A89" s="263" t="s">
        <v>1245</v>
      </c>
      <c r="B89" s="263" t="s">
        <v>1262</v>
      </c>
      <c r="C89" s="265" t="s">
        <v>626</v>
      </c>
      <c r="D89" s="263" t="s">
        <v>187</v>
      </c>
      <c r="E89" s="263" t="s">
        <v>490</v>
      </c>
      <c r="F89" s="269">
        <v>168</v>
      </c>
      <c r="G89" s="265"/>
      <c r="H89" s="265" t="s">
        <v>476</v>
      </c>
      <c r="I89" s="263">
        <v>121</v>
      </c>
      <c r="J89" s="263" t="s">
        <v>60</v>
      </c>
      <c r="K89" s="274">
        <v>41397</v>
      </c>
      <c r="L89" s="275"/>
      <c r="M89" s="277">
        <v>41347</v>
      </c>
      <c r="N89" s="278">
        <v>126</v>
      </c>
      <c r="O89" s="269">
        <v>12</v>
      </c>
      <c r="P89" s="281">
        <v>1920000000000000</v>
      </c>
      <c r="Q89" s="282"/>
      <c r="R89" s="292"/>
      <c r="S89" s="293" t="e">
        <f t="shared" si="0"/>
        <v>#DIV/0!</v>
      </c>
      <c r="T89" s="263" t="s">
        <v>400</v>
      </c>
      <c r="U89" s="271"/>
      <c r="V89" s="620">
        <f>30</f>
        <v>30</v>
      </c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</row>
    <row r="90" spans="1:61" ht="24" hidden="1">
      <c r="A90" s="981" t="s">
        <v>2247</v>
      </c>
      <c r="B90" s="981" t="s">
        <v>2919</v>
      </c>
      <c r="C90" s="983" t="s">
        <v>2920</v>
      </c>
      <c r="D90" s="981" t="s">
        <v>345</v>
      </c>
      <c r="E90" s="981" t="s">
        <v>490</v>
      </c>
      <c r="F90" s="984">
        <v>168</v>
      </c>
      <c r="G90" s="983"/>
      <c r="H90" s="983" t="s">
        <v>2925</v>
      </c>
      <c r="I90" s="981" t="s">
        <v>729</v>
      </c>
      <c r="J90" s="981" t="s">
        <v>2902</v>
      </c>
      <c r="K90" s="986">
        <v>41242</v>
      </c>
      <c r="L90" s="987"/>
      <c r="M90" s="988">
        <v>41347</v>
      </c>
      <c r="N90" s="989">
        <v>127</v>
      </c>
      <c r="O90" s="984">
        <v>12</v>
      </c>
      <c r="P90" s="990">
        <v>27700000000000</v>
      </c>
      <c r="Q90" s="991"/>
      <c r="R90" s="992"/>
      <c r="S90" s="994" t="e">
        <f t="shared" si="0"/>
        <v>#DIV/0!</v>
      </c>
      <c r="T90" s="981" t="s">
        <v>400</v>
      </c>
      <c r="U90" s="995"/>
      <c r="V90" s="996">
        <f>94</f>
        <v>94</v>
      </c>
      <c r="W90" s="997" t="s">
        <v>2934</v>
      </c>
      <c r="X90" s="998"/>
      <c r="Y90" s="998"/>
      <c r="Z90" s="998"/>
      <c r="AA90" s="998"/>
      <c r="AB90" s="998"/>
      <c r="AC90" s="998"/>
      <c r="AD90" s="998"/>
      <c r="AE90" s="998"/>
      <c r="AF90" s="234"/>
      <c r="AG90" s="234"/>
      <c r="AH90" s="234"/>
      <c r="AI90" s="234"/>
      <c r="AJ90" s="234"/>
      <c r="AK90" s="234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34"/>
      <c r="BI90" s="234"/>
    </row>
    <row r="91" spans="1:61" ht="24" hidden="1">
      <c r="A91" s="664" t="s">
        <v>52</v>
      </c>
      <c r="B91" s="664" t="s">
        <v>69</v>
      </c>
      <c r="C91" s="666" t="s">
        <v>178</v>
      </c>
      <c r="D91" s="664" t="s">
        <v>1045</v>
      </c>
      <c r="E91" s="664" t="s">
        <v>58</v>
      </c>
      <c r="F91" s="668">
        <v>178</v>
      </c>
      <c r="G91" s="670"/>
      <c r="H91" s="670" t="s">
        <v>1061</v>
      </c>
      <c r="I91" s="664">
        <v>190</v>
      </c>
      <c r="J91" s="664" t="s">
        <v>1012</v>
      </c>
      <c r="K91" s="999"/>
      <c r="L91" s="673"/>
      <c r="M91" s="674">
        <v>41355</v>
      </c>
      <c r="N91" s="675">
        <v>128</v>
      </c>
      <c r="O91" s="668">
        <v>24</v>
      </c>
      <c r="P91" s="676">
        <v>2880000000000</v>
      </c>
      <c r="Q91" s="677"/>
      <c r="R91" s="679"/>
      <c r="S91" s="681" t="e">
        <f t="shared" si="0"/>
        <v>#DIV/0!</v>
      </c>
      <c r="T91" s="664" t="s">
        <v>400</v>
      </c>
      <c r="U91" s="683"/>
      <c r="V91" s="1000">
        <v>150</v>
      </c>
      <c r="W91" s="686"/>
      <c r="X91" s="686"/>
      <c r="Y91" s="686"/>
      <c r="Z91" s="686"/>
      <c r="AA91" s="686"/>
      <c r="AB91" s="686"/>
      <c r="AC91" s="686"/>
      <c r="AD91" s="686"/>
      <c r="AE91" s="686"/>
      <c r="AF91" s="377"/>
      <c r="AG91" s="377"/>
      <c r="AH91" s="377"/>
      <c r="AI91" s="377"/>
      <c r="AJ91" s="377"/>
      <c r="AK91" s="377"/>
      <c r="AL91" s="377"/>
      <c r="AM91" s="377"/>
      <c r="AN91" s="377"/>
      <c r="AO91" s="377"/>
      <c r="AP91" s="377"/>
      <c r="AQ91" s="377"/>
      <c r="AR91" s="377"/>
      <c r="AS91" s="377"/>
      <c r="AT91" s="377"/>
      <c r="AU91" s="377"/>
      <c r="AV91" s="377"/>
      <c r="AW91" s="377"/>
      <c r="AX91" s="377"/>
      <c r="AY91" s="377"/>
      <c r="AZ91" s="377"/>
      <c r="BA91" s="377"/>
      <c r="BB91" s="377"/>
      <c r="BC91" s="377"/>
      <c r="BD91" s="377"/>
      <c r="BE91" s="377"/>
      <c r="BF91" s="377"/>
      <c r="BG91" s="377"/>
      <c r="BH91" s="377"/>
      <c r="BI91" s="377"/>
    </row>
    <row r="92" spans="1:61" ht="24" hidden="1">
      <c r="A92" s="470" t="s">
        <v>52</v>
      </c>
      <c r="B92" s="470" t="s">
        <v>54</v>
      </c>
      <c r="C92" s="1001" t="s">
        <v>55</v>
      </c>
      <c r="D92" s="470" t="s">
        <v>57</v>
      </c>
      <c r="E92" s="470" t="s">
        <v>143</v>
      </c>
      <c r="F92" s="470">
        <v>170</v>
      </c>
      <c r="G92" s="1001"/>
      <c r="H92" s="1001" t="s">
        <v>2415</v>
      </c>
      <c r="I92" s="470">
        <v>199</v>
      </c>
      <c r="J92" s="470" t="s">
        <v>60</v>
      </c>
      <c r="K92" s="1003">
        <v>41345</v>
      </c>
      <c r="L92" s="1004"/>
      <c r="M92" s="1005">
        <v>41361</v>
      </c>
      <c r="N92" s="1006">
        <v>129</v>
      </c>
      <c r="O92" s="1008">
        <v>12</v>
      </c>
      <c r="P92" s="462">
        <v>3230000000000000</v>
      </c>
      <c r="Q92" s="464"/>
      <c r="R92" s="466"/>
      <c r="S92" s="468" t="e">
        <f t="shared" si="0"/>
        <v>#DIV/0!</v>
      </c>
      <c r="T92" s="470" t="s">
        <v>400</v>
      </c>
      <c r="U92" s="471"/>
      <c r="V92" s="1010">
        <f>88</f>
        <v>88</v>
      </c>
      <c r="W92" s="1011"/>
      <c r="X92" s="1011"/>
      <c r="Y92" s="1011"/>
      <c r="Z92" s="1011"/>
      <c r="AA92" s="1011"/>
      <c r="AB92" s="1011"/>
      <c r="AC92" s="1011"/>
      <c r="AD92" s="1011"/>
      <c r="AE92" s="1011"/>
      <c r="AF92" s="1011"/>
      <c r="AG92" s="1011"/>
      <c r="AH92" s="1011"/>
      <c r="AI92" s="1011"/>
      <c r="AJ92" s="1011"/>
      <c r="AK92" s="1011"/>
      <c r="AL92" s="1011"/>
      <c r="AM92" s="1011"/>
      <c r="AN92" s="1011"/>
      <c r="AO92" s="1011"/>
      <c r="AP92" s="1011"/>
      <c r="AQ92" s="1011"/>
      <c r="AR92" s="1011"/>
      <c r="AS92" s="1011"/>
      <c r="AT92" s="1011"/>
      <c r="AU92" s="1011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</row>
    <row r="93" spans="1:61" ht="36" hidden="1">
      <c r="A93" s="1012" t="s">
        <v>607</v>
      </c>
      <c r="B93" s="1012" t="s">
        <v>625</v>
      </c>
      <c r="C93" s="1013" t="s">
        <v>626</v>
      </c>
      <c r="D93" s="1012" t="s">
        <v>655</v>
      </c>
      <c r="E93" s="1015" t="s">
        <v>882</v>
      </c>
      <c r="F93" s="1020">
        <v>142</v>
      </c>
      <c r="G93" s="1013"/>
      <c r="H93" s="1013" t="s">
        <v>2945</v>
      </c>
      <c r="I93" s="1012">
        <v>219</v>
      </c>
      <c r="J93" s="1012" t="s">
        <v>60</v>
      </c>
      <c r="K93" s="1021" t="s">
        <v>674</v>
      </c>
      <c r="L93" s="1021"/>
      <c r="M93" s="1022">
        <v>41361</v>
      </c>
      <c r="N93" s="1070">
        <v>130</v>
      </c>
      <c r="O93" s="1020">
        <v>12</v>
      </c>
      <c r="P93" s="1072">
        <v>1040000000000000</v>
      </c>
      <c r="Q93" s="1081"/>
      <c r="R93" s="1082"/>
      <c r="S93" s="1083" t="e">
        <f t="shared" si="0"/>
        <v>#DIV/0!</v>
      </c>
      <c r="T93" s="1012" t="s">
        <v>400</v>
      </c>
      <c r="U93" s="1084"/>
      <c r="V93" s="1085">
        <f>1</f>
        <v>1</v>
      </c>
      <c r="W93" s="158"/>
      <c r="X93" s="158"/>
      <c r="Y93" s="158"/>
      <c r="Z93" s="158"/>
      <c r="AA93" s="158"/>
      <c r="AB93" s="158"/>
      <c r="AC93" s="158"/>
      <c r="AD93" s="158"/>
      <c r="AE93" s="158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</row>
    <row r="94" spans="1:61" ht="36" hidden="1">
      <c r="A94" s="135" t="s">
        <v>2984</v>
      </c>
      <c r="B94" s="135" t="s">
        <v>2985</v>
      </c>
      <c r="C94" s="137" t="s">
        <v>626</v>
      </c>
      <c r="D94" s="135" t="s">
        <v>1088</v>
      </c>
      <c r="E94" s="164" t="s">
        <v>2986</v>
      </c>
      <c r="F94" s="139">
        <v>195</v>
      </c>
      <c r="G94" s="137"/>
      <c r="H94" s="137" t="s">
        <v>2987</v>
      </c>
      <c r="I94" s="135">
        <v>221</v>
      </c>
      <c r="J94" s="135" t="s">
        <v>60</v>
      </c>
      <c r="K94" s="141" t="s">
        <v>2988</v>
      </c>
      <c r="L94" s="1086"/>
      <c r="M94" s="1087">
        <v>41582</v>
      </c>
      <c r="N94" s="145">
        <v>131</v>
      </c>
      <c r="O94" s="139">
        <v>12</v>
      </c>
      <c r="P94" s="149">
        <v>2130000000000000</v>
      </c>
      <c r="Q94" s="1089"/>
      <c r="R94" s="1090"/>
      <c r="S94" s="153" t="e">
        <f t="shared" si="0"/>
        <v>#DIV/0!</v>
      </c>
      <c r="T94" s="135" t="s">
        <v>400</v>
      </c>
      <c r="U94" s="156"/>
      <c r="V94" s="1093">
        <f>135</f>
        <v>135</v>
      </c>
      <c r="W94" s="158"/>
      <c r="X94" s="158"/>
      <c r="Y94" s="158"/>
      <c r="Z94" s="158"/>
      <c r="AA94" s="158"/>
      <c r="AB94" s="158"/>
      <c r="AC94" s="158"/>
      <c r="AD94" s="158"/>
      <c r="AE94" s="158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</row>
    <row r="95" spans="1:61" ht="36" hidden="1">
      <c r="A95" s="135" t="s">
        <v>2984</v>
      </c>
      <c r="B95" s="135" t="s">
        <v>2985</v>
      </c>
      <c r="C95" s="137" t="s">
        <v>626</v>
      </c>
      <c r="D95" s="135" t="s">
        <v>1088</v>
      </c>
      <c r="E95" s="164" t="s">
        <v>2986</v>
      </c>
      <c r="F95" s="139">
        <v>195</v>
      </c>
      <c r="G95" s="137"/>
      <c r="H95" s="137" t="s">
        <v>2990</v>
      </c>
      <c r="I95" s="135">
        <v>220</v>
      </c>
      <c r="J95" s="135" t="s">
        <v>60</v>
      </c>
      <c r="K95" s="141" t="s">
        <v>2988</v>
      </c>
      <c r="L95" s="1086"/>
      <c r="M95" s="1087">
        <v>41582</v>
      </c>
      <c r="N95" s="145">
        <v>132</v>
      </c>
      <c r="O95" s="139">
        <v>12</v>
      </c>
      <c r="P95" s="149">
        <v>1300000000000000</v>
      </c>
      <c r="Q95" s="1089"/>
      <c r="R95" s="1090"/>
      <c r="S95" s="153" t="e">
        <f t="shared" si="0"/>
        <v>#DIV/0!</v>
      </c>
      <c r="T95" s="135" t="s">
        <v>400</v>
      </c>
      <c r="U95" s="156"/>
      <c r="V95" s="1093">
        <f>112</f>
        <v>112</v>
      </c>
      <c r="W95" s="158"/>
      <c r="X95" s="158"/>
      <c r="Y95" s="158"/>
      <c r="Z95" s="158"/>
      <c r="AA95" s="158"/>
      <c r="AB95" s="158"/>
      <c r="AC95" s="158"/>
      <c r="AD95" s="158"/>
      <c r="AE95" s="158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</row>
    <row r="96" spans="1:61" ht="29.25" hidden="1" customHeight="1">
      <c r="A96" s="1095" t="s">
        <v>52</v>
      </c>
      <c r="B96" s="1095" t="s">
        <v>69</v>
      </c>
      <c r="C96" s="1097" t="s">
        <v>178</v>
      </c>
      <c r="D96" s="1095" t="s">
        <v>1045</v>
      </c>
      <c r="E96" s="1095" t="s">
        <v>58</v>
      </c>
      <c r="F96" s="1098">
        <v>178</v>
      </c>
      <c r="G96" s="1097"/>
      <c r="H96" s="1097" t="s">
        <v>2995</v>
      </c>
      <c r="I96" s="1095">
        <v>190</v>
      </c>
      <c r="J96" s="1095" t="s">
        <v>1012</v>
      </c>
      <c r="K96" s="1099"/>
      <c r="L96" s="1100"/>
      <c r="M96" s="1101">
        <v>41386</v>
      </c>
      <c r="N96" s="1098">
        <v>133</v>
      </c>
      <c r="O96" s="1098">
        <v>12</v>
      </c>
      <c r="P96" s="1103">
        <v>293000000000000</v>
      </c>
      <c r="Q96" s="1104"/>
      <c r="R96" s="1104"/>
      <c r="S96" s="1117" t="e">
        <f t="shared" si="0"/>
        <v>#DIV/0!</v>
      </c>
      <c r="T96" s="1095" t="s">
        <v>400</v>
      </c>
      <c r="U96" s="1119"/>
      <c r="V96" s="1120">
        <v>180</v>
      </c>
      <c r="W96" s="1121">
        <v>41681</v>
      </c>
      <c r="X96" s="1122" t="s">
        <v>3031</v>
      </c>
      <c r="Y96" s="1123"/>
      <c r="Z96" s="1123"/>
      <c r="AA96" s="1123"/>
      <c r="AB96" s="1123"/>
      <c r="AC96" s="1123"/>
      <c r="AD96" s="1123"/>
      <c r="AE96" s="1123"/>
      <c r="AF96" s="1125"/>
      <c r="AG96" s="1125"/>
      <c r="AH96" s="1125"/>
      <c r="AI96" s="1125"/>
      <c r="AJ96" s="1125"/>
      <c r="AK96" s="1125"/>
      <c r="AL96" s="1125"/>
      <c r="AM96" s="1125"/>
      <c r="AN96" s="1125"/>
      <c r="AO96" s="1125"/>
      <c r="AP96" s="1125"/>
      <c r="AQ96" s="1125"/>
      <c r="AR96" s="1125"/>
      <c r="AS96" s="1125"/>
      <c r="AT96" s="1125"/>
      <c r="AU96" s="1125"/>
      <c r="AV96" s="1125"/>
      <c r="AW96" s="1125"/>
      <c r="AX96" s="1125"/>
      <c r="AY96" s="1125"/>
      <c r="AZ96" s="1125"/>
      <c r="BA96" s="1125"/>
      <c r="BB96" s="1125"/>
      <c r="BC96" s="1125"/>
      <c r="BD96" s="1125"/>
      <c r="BE96" s="1125"/>
      <c r="BF96" s="1125"/>
      <c r="BG96" s="1125"/>
      <c r="BH96" s="1125"/>
      <c r="BI96" s="1125"/>
    </row>
    <row r="97" spans="1:61" ht="36" hidden="1">
      <c r="A97" s="135" t="s">
        <v>607</v>
      </c>
      <c r="B97" s="135" t="s">
        <v>625</v>
      </c>
      <c r="C97" s="137" t="s">
        <v>626</v>
      </c>
      <c r="D97" s="135" t="s">
        <v>655</v>
      </c>
      <c r="E97" s="135" t="s">
        <v>516</v>
      </c>
      <c r="F97" s="139">
        <v>140</v>
      </c>
      <c r="G97" s="137"/>
      <c r="H97" s="137" t="s">
        <v>2945</v>
      </c>
      <c r="I97" s="135">
        <v>219</v>
      </c>
      <c r="J97" s="135" t="s">
        <v>60</v>
      </c>
      <c r="K97" s="141" t="s">
        <v>674</v>
      </c>
      <c r="L97" s="141"/>
      <c r="M97" s="1087">
        <v>41387</v>
      </c>
      <c r="N97" s="145">
        <v>134</v>
      </c>
      <c r="O97" s="139">
        <v>12</v>
      </c>
      <c r="P97" s="149">
        <v>467000000000000</v>
      </c>
      <c r="Q97" s="1089"/>
      <c r="R97" s="1090"/>
      <c r="S97" s="153" t="e">
        <f t="shared" si="0"/>
        <v>#DIV/0!</v>
      </c>
      <c r="T97" s="135" t="s">
        <v>400</v>
      </c>
      <c r="U97" s="156"/>
      <c r="V97" s="1093">
        <f>103</f>
        <v>103</v>
      </c>
      <c r="W97" s="158"/>
      <c r="X97" s="158"/>
      <c r="Y97" s="158"/>
      <c r="Z97" s="158"/>
      <c r="AA97" s="158"/>
      <c r="AB97" s="158"/>
      <c r="AC97" s="158"/>
      <c r="AD97" s="158"/>
      <c r="AE97" s="158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</row>
    <row r="98" spans="1:61" ht="27" hidden="1" customHeight="1">
      <c r="A98" s="29" t="s">
        <v>52</v>
      </c>
      <c r="B98" s="29" t="s">
        <v>54</v>
      </c>
      <c r="C98" s="31" t="s">
        <v>178</v>
      </c>
      <c r="D98" s="29" t="s">
        <v>3032</v>
      </c>
      <c r="E98" s="29" t="s">
        <v>302</v>
      </c>
      <c r="F98" s="33">
        <v>110</v>
      </c>
      <c r="G98" s="31"/>
      <c r="H98" s="31" t="s">
        <v>197</v>
      </c>
      <c r="I98" s="29">
        <v>120</v>
      </c>
      <c r="J98" s="29" t="s">
        <v>1012</v>
      </c>
      <c r="K98" s="35">
        <v>41398</v>
      </c>
      <c r="L98" s="36"/>
      <c r="M98" s="38">
        <v>41387</v>
      </c>
      <c r="N98" s="40">
        <v>135</v>
      </c>
      <c r="O98" s="33">
        <v>6</v>
      </c>
      <c r="P98" s="44">
        <v>655000000000000</v>
      </c>
      <c r="Q98" s="46"/>
      <c r="R98" s="48"/>
      <c r="S98" s="55" t="e">
        <f t="shared" si="0"/>
        <v>#DIV/0!</v>
      </c>
      <c r="T98" s="29" t="s">
        <v>400</v>
      </c>
      <c r="U98" s="57"/>
      <c r="V98" s="600">
        <f>55-5-5</f>
        <v>45</v>
      </c>
      <c r="W98" s="61"/>
      <c r="X98" s="61"/>
      <c r="Y98" s="61"/>
      <c r="Z98" s="61"/>
      <c r="AA98" s="61"/>
      <c r="AB98" s="61"/>
      <c r="AC98" s="61"/>
      <c r="AD98" s="61"/>
      <c r="AE98" s="61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</row>
    <row r="99" spans="1:61" ht="26.25" hidden="1" customHeight="1">
      <c r="A99" s="165" t="s">
        <v>90</v>
      </c>
      <c r="B99" s="165" t="s">
        <v>2508</v>
      </c>
      <c r="C99" s="167" t="s">
        <v>178</v>
      </c>
      <c r="D99" s="165" t="s">
        <v>70</v>
      </c>
      <c r="E99" s="165" t="s">
        <v>2634</v>
      </c>
      <c r="F99" s="165">
        <v>141</v>
      </c>
      <c r="G99" s="167"/>
      <c r="H99" s="167" t="s">
        <v>762</v>
      </c>
      <c r="I99" s="165">
        <v>225</v>
      </c>
      <c r="J99" s="165" t="s">
        <v>3033</v>
      </c>
      <c r="K99" s="1126">
        <v>41398</v>
      </c>
      <c r="L99" s="171"/>
      <c r="M99" s="173">
        <v>41394</v>
      </c>
      <c r="N99" s="175">
        <v>136</v>
      </c>
      <c r="O99" s="169">
        <v>6</v>
      </c>
      <c r="P99" s="178">
        <v>550000000000000</v>
      </c>
      <c r="Q99" s="324"/>
      <c r="R99" s="326"/>
      <c r="S99" s="182" t="e">
        <f t="shared" si="0"/>
        <v>#DIV/0!</v>
      </c>
      <c r="T99" s="165" t="s">
        <v>400</v>
      </c>
      <c r="U99" s="183"/>
      <c r="V99" s="185">
        <f>82</f>
        <v>82</v>
      </c>
      <c r="W99" s="186"/>
      <c r="X99" s="186"/>
      <c r="Y99" s="186"/>
      <c r="Z99" s="186"/>
      <c r="AA99" s="186"/>
      <c r="AB99" s="186"/>
      <c r="AC99" s="186"/>
      <c r="AD99" s="186"/>
      <c r="AE99" s="186"/>
      <c r="AF99" s="186"/>
      <c r="AG99" s="186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</row>
    <row r="100" spans="1:61" ht="24" hidden="1">
      <c r="A100" s="188" t="s">
        <v>978</v>
      </c>
      <c r="B100" s="188" t="s">
        <v>985</v>
      </c>
      <c r="C100" s="189" t="s">
        <v>178</v>
      </c>
      <c r="D100" s="188" t="s">
        <v>987</v>
      </c>
      <c r="E100" s="190" t="s">
        <v>988</v>
      </c>
      <c r="F100" s="191">
        <v>177</v>
      </c>
      <c r="G100" s="189"/>
      <c r="H100" s="189" t="s">
        <v>3034</v>
      </c>
      <c r="I100" s="192"/>
      <c r="J100" s="188" t="s">
        <v>1012</v>
      </c>
      <c r="K100" s="1127"/>
      <c r="L100" s="194"/>
      <c r="M100" s="196">
        <v>41394</v>
      </c>
      <c r="N100" s="197">
        <v>137</v>
      </c>
      <c r="O100" s="191">
        <v>6</v>
      </c>
      <c r="P100" s="199">
        <v>42700000000000</v>
      </c>
      <c r="Q100" s="201"/>
      <c r="R100" s="202"/>
      <c r="S100" s="203" t="e">
        <f t="shared" si="0"/>
        <v>#DIV/0!</v>
      </c>
      <c r="T100" s="188" t="s">
        <v>400</v>
      </c>
      <c r="U100" s="192"/>
      <c r="V100" s="626">
        <f>62</f>
        <v>62</v>
      </c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</row>
    <row r="101" spans="1:61" ht="24" hidden="1">
      <c r="A101" s="1128" t="s">
        <v>978</v>
      </c>
      <c r="B101" s="1128" t="s">
        <v>985</v>
      </c>
      <c r="C101" s="1129" t="s">
        <v>178</v>
      </c>
      <c r="D101" s="1128" t="s">
        <v>987</v>
      </c>
      <c r="E101" s="1130" t="s">
        <v>988</v>
      </c>
      <c r="F101" s="1131">
        <v>177</v>
      </c>
      <c r="G101" s="1129"/>
      <c r="H101" s="1129" t="s">
        <v>3035</v>
      </c>
      <c r="I101" s="1132"/>
      <c r="J101" s="1128" t="s">
        <v>1012</v>
      </c>
      <c r="K101" s="1133"/>
      <c r="L101" s="1134"/>
      <c r="M101" s="1135">
        <v>41394</v>
      </c>
      <c r="N101" s="1136">
        <v>138</v>
      </c>
      <c r="O101" s="1131">
        <v>6</v>
      </c>
      <c r="P101" s="1137">
        <v>245000000000000</v>
      </c>
      <c r="Q101" s="1138"/>
      <c r="R101" s="1139"/>
      <c r="S101" s="1140" t="e">
        <f t="shared" si="0"/>
        <v>#DIV/0!</v>
      </c>
      <c r="T101" s="1128" t="s">
        <v>400</v>
      </c>
      <c r="U101" s="1132"/>
      <c r="V101" s="1141">
        <f>1</f>
        <v>1</v>
      </c>
      <c r="W101" s="1142"/>
      <c r="X101" s="1142"/>
      <c r="Y101" s="205"/>
      <c r="Z101" s="205"/>
      <c r="AA101" s="205"/>
      <c r="AB101" s="205"/>
      <c r="AC101" s="205"/>
      <c r="AD101" s="205"/>
      <c r="AE101" s="205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</row>
    <row r="102" spans="1:61" ht="24" hidden="1">
      <c r="A102" s="188" t="s">
        <v>978</v>
      </c>
      <c r="B102" s="188" t="s">
        <v>985</v>
      </c>
      <c r="C102" s="189" t="s">
        <v>178</v>
      </c>
      <c r="D102" s="188" t="s">
        <v>987</v>
      </c>
      <c r="E102" s="190" t="s">
        <v>988</v>
      </c>
      <c r="F102" s="191">
        <v>177</v>
      </c>
      <c r="G102" s="189"/>
      <c r="H102" s="189" t="s">
        <v>3036</v>
      </c>
      <c r="I102" s="192"/>
      <c r="J102" s="188" t="s">
        <v>1012</v>
      </c>
      <c r="K102" s="1127"/>
      <c r="L102" s="194"/>
      <c r="M102" s="196">
        <v>41394</v>
      </c>
      <c r="N102" s="197">
        <v>139</v>
      </c>
      <c r="O102" s="191">
        <v>6</v>
      </c>
      <c r="P102" s="199">
        <v>50800000000000</v>
      </c>
      <c r="Q102" s="201"/>
      <c r="R102" s="202"/>
      <c r="S102" s="203" t="e">
        <f t="shared" si="0"/>
        <v>#DIV/0!</v>
      </c>
      <c r="T102" s="188" t="s">
        <v>400</v>
      </c>
      <c r="U102" s="192"/>
      <c r="V102" s="626">
        <f>18</f>
        <v>18</v>
      </c>
      <c r="W102" s="205"/>
      <c r="X102" s="205"/>
      <c r="Y102" s="205"/>
      <c r="Z102" s="205"/>
      <c r="AA102" s="205"/>
      <c r="AB102" s="205"/>
      <c r="AC102" s="205"/>
      <c r="AD102" s="205"/>
      <c r="AE102" s="205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</row>
    <row r="103" spans="1:61" ht="24" hidden="1">
      <c r="A103" s="470" t="s">
        <v>52</v>
      </c>
      <c r="B103" s="470" t="s">
        <v>139</v>
      </c>
      <c r="C103" s="1001" t="s">
        <v>55</v>
      </c>
      <c r="D103" s="470" t="s">
        <v>57</v>
      </c>
      <c r="E103" s="470" t="s">
        <v>58</v>
      </c>
      <c r="F103" s="470">
        <v>178</v>
      </c>
      <c r="G103" s="1001"/>
      <c r="H103" s="1001" t="s">
        <v>3037</v>
      </c>
      <c r="I103" s="470">
        <v>89</v>
      </c>
      <c r="J103" s="470" t="s">
        <v>60</v>
      </c>
      <c r="K103" s="1003">
        <v>41394</v>
      </c>
      <c r="L103" s="1004"/>
      <c r="M103" s="1005">
        <v>41411</v>
      </c>
      <c r="N103" s="1006">
        <v>140</v>
      </c>
      <c r="O103" s="1008">
        <v>12</v>
      </c>
      <c r="P103" s="462">
        <v>88000000000000</v>
      </c>
      <c r="Q103" s="464"/>
      <c r="R103" s="466"/>
      <c r="S103" s="468" t="e">
        <f t="shared" si="0"/>
        <v>#DIV/0!</v>
      </c>
      <c r="T103" s="470" t="s">
        <v>2416</v>
      </c>
      <c r="U103" s="471"/>
      <c r="V103" s="1010">
        <f>160</f>
        <v>160</v>
      </c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</row>
    <row r="104" spans="1:61" ht="24" hidden="1">
      <c r="A104" s="1145" t="s">
        <v>52</v>
      </c>
      <c r="B104" s="1145" t="s">
        <v>139</v>
      </c>
      <c r="C104" s="1147" t="s">
        <v>55</v>
      </c>
      <c r="D104" s="1145" t="s">
        <v>57</v>
      </c>
      <c r="E104" s="1145" t="s">
        <v>58</v>
      </c>
      <c r="F104" s="1145">
        <v>178</v>
      </c>
      <c r="G104" s="1147"/>
      <c r="H104" s="1147" t="s">
        <v>3044</v>
      </c>
      <c r="I104" s="1145">
        <v>209</v>
      </c>
      <c r="J104" s="1145" t="s">
        <v>60</v>
      </c>
      <c r="K104" s="1149">
        <v>41394</v>
      </c>
      <c r="L104" s="1150"/>
      <c r="M104" s="1151">
        <v>41411</v>
      </c>
      <c r="N104" s="1152">
        <v>141</v>
      </c>
      <c r="O104" s="1153">
        <v>12</v>
      </c>
      <c r="P104" s="1155">
        <v>165000000000000</v>
      </c>
      <c r="Q104" s="1157"/>
      <c r="R104" s="1158"/>
      <c r="S104" s="1160" t="e">
        <f t="shared" si="0"/>
        <v>#DIV/0!</v>
      </c>
      <c r="T104" s="1145" t="s">
        <v>2416</v>
      </c>
      <c r="U104" s="1166"/>
      <c r="V104" s="1168">
        <v>175</v>
      </c>
      <c r="W104" s="1173" t="s">
        <v>3059</v>
      </c>
      <c r="X104" s="1011"/>
      <c r="Y104" s="1011"/>
      <c r="Z104" s="1011"/>
      <c r="AA104" s="1011"/>
      <c r="AB104" s="1011"/>
      <c r="AC104" s="1011"/>
      <c r="AD104" s="1011"/>
      <c r="AE104" s="1011"/>
      <c r="AF104" s="1011"/>
      <c r="AG104" s="1011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</row>
    <row r="105" spans="1:61" ht="24" hidden="1">
      <c r="A105" s="1175" t="s">
        <v>2365</v>
      </c>
      <c r="B105" s="1175" t="s">
        <v>3070</v>
      </c>
      <c r="C105" s="1177" t="s">
        <v>1967</v>
      </c>
      <c r="D105" s="1175" t="s">
        <v>70</v>
      </c>
      <c r="E105" s="1179" t="s">
        <v>882</v>
      </c>
      <c r="F105" s="1175">
        <v>142</v>
      </c>
      <c r="G105" s="1177"/>
      <c r="H105" s="1177" t="s">
        <v>3071</v>
      </c>
      <c r="I105" s="1175">
        <v>243</v>
      </c>
      <c r="J105" s="1175" t="s">
        <v>3072</v>
      </c>
      <c r="K105" s="1183">
        <v>41398</v>
      </c>
      <c r="L105" s="1184"/>
      <c r="M105" s="1220">
        <v>41414</v>
      </c>
      <c r="N105" s="1222">
        <v>142</v>
      </c>
      <c r="O105" s="1223">
        <v>6</v>
      </c>
      <c r="P105" s="1240">
        <v>129000000000000</v>
      </c>
      <c r="Q105" s="1241"/>
      <c r="R105" s="1242"/>
      <c r="S105" s="1244" t="e">
        <f t="shared" si="0"/>
        <v>#DIV/0!</v>
      </c>
      <c r="T105" s="1175" t="s">
        <v>400</v>
      </c>
      <c r="U105" s="1253"/>
      <c r="V105" s="1257">
        <f>35</f>
        <v>35</v>
      </c>
      <c r="W105" s="1259"/>
      <c r="X105" s="1259"/>
      <c r="Y105" s="1259"/>
      <c r="Z105" s="1259"/>
      <c r="AA105" s="1259"/>
      <c r="AB105" s="1259"/>
      <c r="AC105" s="1259"/>
      <c r="AD105" s="1259"/>
      <c r="AE105" s="1259"/>
      <c r="AF105" s="1259"/>
      <c r="AG105" s="1259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</row>
    <row r="106" spans="1:61" ht="24" hidden="1">
      <c r="A106" s="188" t="s">
        <v>978</v>
      </c>
      <c r="B106" s="188" t="s">
        <v>985</v>
      </c>
      <c r="C106" s="189" t="s">
        <v>178</v>
      </c>
      <c r="D106" s="188" t="s">
        <v>987</v>
      </c>
      <c r="E106" s="190" t="s">
        <v>988</v>
      </c>
      <c r="F106" s="191">
        <v>177</v>
      </c>
      <c r="G106" s="189"/>
      <c r="H106" s="189" t="s">
        <v>3142</v>
      </c>
      <c r="I106" s="192"/>
      <c r="J106" s="188" t="s">
        <v>1012</v>
      </c>
      <c r="K106" s="1127"/>
      <c r="L106" s="194"/>
      <c r="M106" s="196">
        <v>41414</v>
      </c>
      <c r="N106" s="197">
        <v>143</v>
      </c>
      <c r="O106" s="191">
        <v>6</v>
      </c>
      <c r="P106" s="199">
        <v>26000000000000</v>
      </c>
      <c r="Q106" s="201"/>
      <c r="R106" s="202"/>
      <c r="S106" s="203" t="e">
        <f t="shared" si="0"/>
        <v>#DIV/0!</v>
      </c>
      <c r="T106" s="188" t="s">
        <v>400</v>
      </c>
      <c r="U106" s="192"/>
      <c r="V106" s="626">
        <f>40</f>
        <v>40</v>
      </c>
      <c r="W106" s="205"/>
      <c r="X106" s="205"/>
      <c r="Y106" s="205"/>
      <c r="Z106" s="205"/>
      <c r="AA106" s="205"/>
      <c r="AB106" s="205"/>
      <c r="AC106" s="205"/>
      <c r="AD106" s="205"/>
      <c r="AE106" s="205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</row>
    <row r="107" spans="1:61" ht="24" hidden="1">
      <c r="A107" s="188" t="s">
        <v>978</v>
      </c>
      <c r="B107" s="188" t="s">
        <v>985</v>
      </c>
      <c r="C107" s="189" t="s">
        <v>178</v>
      </c>
      <c r="D107" s="188" t="s">
        <v>987</v>
      </c>
      <c r="E107" s="190" t="s">
        <v>988</v>
      </c>
      <c r="F107" s="191">
        <v>177</v>
      </c>
      <c r="G107" s="189"/>
      <c r="H107" s="189" t="s">
        <v>3145</v>
      </c>
      <c r="I107" s="192"/>
      <c r="J107" s="188" t="s">
        <v>1012</v>
      </c>
      <c r="K107" s="1127"/>
      <c r="L107" s="194"/>
      <c r="M107" s="196">
        <v>41414</v>
      </c>
      <c r="N107" s="197">
        <v>144</v>
      </c>
      <c r="O107" s="191">
        <v>6</v>
      </c>
      <c r="P107" s="199">
        <v>11300000000000</v>
      </c>
      <c r="Q107" s="201"/>
      <c r="R107" s="202"/>
      <c r="S107" s="203" t="e">
        <f t="shared" si="0"/>
        <v>#DIV/0!</v>
      </c>
      <c r="T107" s="188" t="s">
        <v>400</v>
      </c>
      <c r="U107" s="192"/>
      <c r="V107" s="626">
        <f>52</f>
        <v>52</v>
      </c>
      <c r="W107" s="205"/>
      <c r="X107" s="205"/>
      <c r="Y107" s="205"/>
      <c r="Z107" s="205"/>
      <c r="AA107" s="205"/>
      <c r="AB107" s="205"/>
      <c r="AC107" s="205"/>
      <c r="AD107" s="205"/>
      <c r="AE107" s="205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</row>
    <row r="108" spans="1:61" ht="24" hidden="1">
      <c r="A108" s="578" t="s">
        <v>52</v>
      </c>
      <c r="B108" s="578" t="s">
        <v>54</v>
      </c>
      <c r="C108" s="579" t="s">
        <v>3150</v>
      </c>
      <c r="D108" s="578" t="s">
        <v>3032</v>
      </c>
      <c r="E108" s="578" t="s">
        <v>561</v>
      </c>
      <c r="F108" s="1266">
        <v>21</v>
      </c>
      <c r="G108" s="579"/>
      <c r="H108" s="579" t="s">
        <v>197</v>
      </c>
      <c r="I108" s="578">
        <v>120</v>
      </c>
      <c r="J108" s="578" t="s">
        <v>1012</v>
      </c>
      <c r="K108" s="580" t="s">
        <v>3151</v>
      </c>
      <c r="L108" s="580"/>
      <c r="M108" s="581">
        <v>41414</v>
      </c>
      <c r="N108" s="582">
        <v>145</v>
      </c>
      <c r="O108" s="1266">
        <v>6</v>
      </c>
      <c r="P108" s="584">
        <v>320000000000000</v>
      </c>
      <c r="Q108" s="585"/>
      <c r="R108" s="587"/>
      <c r="S108" s="589" t="e">
        <f t="shared" si="0"/>
        <v>#DIV/0!</v>
      </c>
      <c r="T108" s="590"/>
      <c r="U108" s="590"/>
      <c r="V108" s="591">
        <f>50-3-5-5</f>
        <v>37</v>
      </c>
      <c r="W108" s="596"/>
      <c r="X108" s="596"/>
      <c r="Y108" s="596"/>
      <c r="Z108" s="596"/>
      <c r="AA108" s="596"/>
      <c r="AB108" s="596"/>
      <c r="AC108" s="596"/>
      <c r="AD108" s="596"/>
      <c r="AE108" s="596"/>
      <c r="AF108" s="234"/>
      <c r="AG108" s="234"/>
      <c r="AH108" s="234"/>
      <c r="AI108" s="234"/>
      <c r="AJ108" s="234"/>
      <c r="AK108" s="234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34"/>
      <c r="BI108" s="234"/>
    </row>
    <row r="109" spans="1:61" ht="24" hidden="1">
      <c r="A109" s="1271" t="s">
        <v>52</v>
      </c>
      <c r="B109" s="1271" t="s">
        <v>69</v>
      </c>
      <c r="C109" s="1273" t="s">
        <v>178</v>
      </c>
      <c r="D109" s="1271" t="s">
        <v>1045</v>
      </c>
      <c r="E109" s="1271" t="s">
        <v>58</v>
      </c>
      <c r="F109" s="1275">
        <v>178</v>
      </c>
      <c r="G109" s="1273"/>
      <c r="H109" s="1273" t="s">
        <v>3159</v>
      </c>
      <c r="I109" s="1271">
        <v>231</v>
      </c>
      <c r="J109" s="1271" t="s">
        <v>1012</v>
      </c>
      <c r="K109" s="1276"/>
      <c r="L109" s="1277"/>
      <c r="M109" s="1278">
        <v>41418</v>
      </c>
      <c r="N109" s="1098">
        <v>146</v>
      </c>
      <c r="O109" s="1275">
        <v>12</v>
      </c>
      <c r="P109" s="1280">
        <v>240000000000000</v>
      </c>
      <c r="Q109" s="1104"/>
      <c r="R109" s="1282"/>
      <c r="S109" s="1284" t="e">
        <f t="shared" si="0"/>
        <v>#DIV/0!</v>
      </c>
      <c r="T109" s="1271" t="s">
        <v>400</v>
      </c>
      <c r="U109" s="1286"/>
      <c r="V109" s="1288">
        <v>170</v>
      </c>
      <c r="W109" s="1289">
        <v>0</v>
      </c>
      <c r="X109" s="1290"/>
      <c r="Y109" s="1290"/>
      <c r="Z109" s="1290"/>
      <c r="AA109" s="1290"/>
      <c r="AB109" s="1290"/>
      <c r="AC109" s="1290"/>
      <c r="AD109" s="1290"/>
      <c r="AE109" s="1290"/>
      <c r="AF109" s="1291"/>
      <c r="AG109" s="1291"/>
      <c r="AH109" s="1291"/>
      <c r="AI109" s="1291"/>
      <c r="AJ109" s="1291"/>
      <c r="AK109" s="1291"/>
      <c r="AL109" s="1291"/>
      <c r="AM109" s="1291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291"/>
      <c r="BB109" s="1291"/>
      <c r="BC109" s="1291"/>
      <c r="BD109" s="1291"/>
      <c r="BE109" s="1291"/>
      <c r="BF109" s="1291"/>
      <c r="BG109" s="1291"/>
      <c r="BH109" s="1291"/>
      <c r="BI109" s="1291"/>
    </row>
    <row r="110" spans="1:61" ht="24" hidden="1">
      <c r="A110" s="470" t="s">
        <v>52</v>
      </c>
      <c r="B110" s="470" t="s">
        <v>139</v>
      </c>
      <c r="C110" s="1001" t="s">
        <v>55</v>
      </c>
      <c r="D110" s="470" t="s">
        <v>57</v>
      </c>
      <c r="E110" s="470" t="s">
        <v>580</v>
      </c>
      <c r="F110" s="470">
        <v>166</v>
      </c>
      <c r="G110" s="1001"/>
      <c r="H110" s="1001" t="s">
        <v>3172</v>
      </c>
      <c r="I110" s="470">
        <v>209</v>
      </c>
      <c r="J110" s="470" t="s">
        <v>60</v>
      </c>
      <c r="K110" s="1003">
        <v>41394</v>
      </c>
      <c r="L110" s="1004"/>
      <c r="M110" s="1005">
        <v>41418</v>
      </c>
      <c r="N110" s="1006">
        <v>147</v>
      </c>
      <c r="O110" s="1008">
        <v>12</v>
      </c>
      <c r="P110" s="462">
        <v>3800000000000000</v>
      </c>
      <c r="Q110" s="464"/>
      <c r="R110" s="466"/>
      <c r="S110" s="468" t="e">
        <f t="shared" si="0"/>
        <v>#DIV/0!</v>
      </c>
      <c r="T110" s="470" t="s">
        <v>2416</v>
      </c>
      <c r="U110" s="471"/>
      <c r="V110" s="1010">
        <f>120</f>
        <v>120</v>
      </c>
      <c r="W110" s="1011"/>
      <c r="X110" s="1011"/>
      <c r="Y110" s="1011"/>
      <c r="Z110" s="1011"/>
      <c r="AA110" s="1011"/>
      <c r="AB110" s="1011"/>
      <c r="AC110" s="1011"/>
      <c r="AD110" s="1011"/>
      <c r="AE110" s="1011"/>
      <c r="AF110" s="1011"/>
      <c r="AG110" s="1011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</row>
    <row r="111" spans="1:61" ht="24" hidden="1">
      <c r="A111" s="470" t="s">
        <v>52</v>
      </c>
      <c r="B111" s="470" t="s">
        <v>139</v>
      </c>
      <c r="C111" s="1001" t="s">
        <v>55</v>
      </c>
      <c r="D111" s="470" t="s">
        <v>57</v>
      </c>
      <c r="E111" s="470" t="s">
        <v>58</v>
      </c>
      <c r="F111" s="470">
        <v>178</v>
      </c>
      <c r="G111" s="1001"/>
      <c r="H111" s="1001" t="s">
        <v>3188</v>
      </c>
      <c r="I111" s="470">
        <v>236</v>
      </c>
      <c r="J111" s="470" t="s">
        <v>60</v>
      </c>
      <c r="K111" s="1003">
        <v>41394</v>
      </c>
      <c r="L111" s="1004"/>
      <c r="M111" s="1005">
        <v>41425</v>
      </c>
      <c r="N111" s="1006">
        <v>148</v>
      </c>
      <c r="O111" s="1008">
        <v>12</v>
      </c>
      <c r="P111" s="462">
        <v>271000000000000</v>
      </c>
      <c r="Q111" s="464"/>
      <c r="R111" s="466"/>
      <c r="S111" s="468" t="e">
        <f t="shared" si="0"/>
        <v>#DIV/0!</v>
      </c>
      <c r="T111" s="470" t="s">
        <v>2416</v>
      </c>
      <c r="U111" s="471"/>
      <c r="V111" s="1010">
        <f>77</f>
        <v>77</v>
      </c>
      <c r="W111" s="1301" t="s">
        <v>909</v>
      </c>
      <c r="X111" s="1011"/>
      <c r="Y111" s="1011"/>
      <c r="Z111" s="1011"/>
      <c r="AA111" s="1011"/>
      <c r="AB111" s="1011"/>
      <c r="AC111" s="1011"/>
      <c r="AD111" s="1011"/>
      <c r="AE111" s="1011"/>
      <c r="AF111" s="1011"/>
      <c r="AG111" s="1011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</row>
    <row r="112" spans="1:61" ht="24" hidden="1">
      <c r="A112" s="470" t="s">
        <v>52</v>
      </c>
      <c r="B112" s="470" t="s">
        <v>139</v>
      </c>
      <c r="C112" s="1001" t="s">
        <v>55</v>
      </c>
      <c r="D112" s="470" t="s">
        <v>57</v>
      </c>
      <c r="E112" s="470" t="s">
        <v>58</v>
      </c>
      <c r="F112" s="470">
        <v>178</v>
      </c>
      <c r="G112" s="1001"/>
      <c r="H112" s="1001" t="s">
        <v>3193</v>
      </c>
      <c r="I112" s="470">
        <v>232</v>
      </c>
      <c r="J112" s="470" t="s">
        <v>60</v>
      </c>
      <c r="K112" s="1003">
        <v>41394</v>
      </c>
      <c r="L112" s="1004"/>
      <c r="M112" s="1005">
        <v>41425</v>
      </c>
      <c r="N112" s="1006">
        <v>149</v>
      </c>
      <c r="O112" s="1008">
        <v>12</v>
      </c>
      <c r="P112" s="462">
        <v>284000000000000</v>
      </c>
      <c r="Q112" s="464"/>
      <c r="R112" s="466"/>
      <c r="S112" s="468" t="e">
        <f t="shared" si="0"/>
        <v>#DIV/0!</v>
      </c>
      <c r="T112" s="470" t="s">
        <v>2416</v>
      </c>
      <c r="U112" s="471"/>
      <c r="V112" s="1304">
        <v>160</v>
      </c>
      <c r="W112" s="1011"/>
      <c r="X112" s="1011"/>
      <c r="Y112" s="1011"/>
      <c r="Z112" s="1011"/>
      <c r="AA112" s="1011"/>
      <c r="AB112" s="1011"/>
      <c r="AC112" s="1011"/>
      <c r="AD112" s="1011"/>
      <c r="AE112" s="1011"/>
      <c r="AF112" s="1011"/>
      <c r="AG112" s="1011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</row>
    <row r="113" spans="1:61" ht="24" hidden="1">
      <c r="A113" s="263" t="s">
        <v>1245</v>
      </c>
      <c r="B113" s="263" t="s">
        <v>1262</v>
      </c>
      <c r="C113" s="265" t="s">
        <v>626</v>
      </c>
      <c r="D113" s="263" t="s">
        <v>187</v>
      </c>
      <c r="E113" s="263" t="s">
        <v>1277</v>
      </c>
      <c r="F113" s="269">
        <v>193</v>
      </c>
      <c r="G113" s="265"/>
      <c r="H113" s="265" t="s">
        <v>1288</v>
      </c>
      <c r="I113" s="263">
        <v>252</v>
      </c>
      <c r="J113" s="263" t="s">
        <v>1295</v>
      </c>
      <c r="K113" s="274">
        <v>41583</v>
      </c>
      <c r="L113" s="274"/>
      <c r="M113" s="277">
        <v>41431</v>
      </c>
      <c r="N113" s="278">
        <v>150</v>
      </c>
      <c r="O113" s="269">
        <v>6</v>
      </c>
      <c r="P113" s="281">
        <v>1000000000000000</v>
      </c>
      <c r="Q113" s="282"/>
      <c r="R113" s="292"/>
      <c r="S113" s="293" t="e">
        <f t="shared" si="0"/>
        <v>#DIV/0!</v>
      </c>
      <c r="T113" s="263" t="s">
        <v>2416</v>
      </c>
      <c r="U113" s="271"/>
      <c r="V113" s="1336">
        <v>165</v>
      </c>
      <c r="W113" s="295"/>
      <c r="X113" s="295"/>
      <c r="Y113" s="295"/>
      <c r="Z113" s="295"/>
      <c r="AA113" s="295"/>
      <c r="AB113" s="295"/>
      <c r="AC113" s="295"/>
      <c r="AD113" s="295"/>
      <c r="AE113" s="295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</row>
    <row r="114" spans="1:61" ht="24" hidden="1">
      <c r="A114" s="263" t="s">
        <v>1245</v>
      </c>
      <c r="B114" s="263" t="s">
        <v>1262</v>
      </c>
      <c r="C114" s="265" t="s">
        <v>626</v>
      </c>
      <c r="D114" s="263" t="s">
        <v>187</v>
      </c>
      <c r="E114" s="263" t="s">
        <v>1277</v>
      </c>
      <c r="F114" s="269">
        <v>193</v>
      </c>
      <c r="G114" s="265"/>
      <c r="H114" s="265" t="s">
        <v>1374</v>
      </c>
      <c r="I114" s="263">
        <v>251</v>
      </c>
      <c r="J114" s="263" t="s">
        <v>1295</v>
      </c>
      <c r="K114" s="274">
        <v>41583</v>
      </c>
      <c r="L114" s="274"/>
      <c r="M114" s="277">
        <v>41431</v>
      </c>
      <c r="N114" s="278">
        <v>151</v>
      </c>
      <c r="O114" s="269">
        <v>6</v>
      </c>
      <c r="P114" s="281">
        <v>1380000000000000</v>
      </c>
      <c r="Q114" s="282"/>
      <c r="R114" s="292"/>
      <c r="S114" s="293" t="e">
        <f t="shared" si="0"/>
        <v>#DIV/0!</v>
      </c>
      <c r="T114" s="263" t="s">
        <v>2416</v>
      </c>
      <c r="U114" s="271"/>
      <c r="V114" s="1336">
        <v>165</v>
      </c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</row>
    <row r="115" spans="1:61" ht="24" hidden="1">
      <c r="A115" s="263" t="s">
        <v>1245</v>
      </c>
      <c r="B115" s="263" t="s">
        <v>1262</v>
      </c>
      <c r="C115" s="265" t="s">
        <v>626</v>
      </c>
      <c r="D115" s="263" t="s">
        <v>187</v>
      </c>
      <c r="E115" s="263" t="s">
        <v>1277</v>
      </c>
      <c r="F115" s="269">
        <v>193</v>
      </c>
      <c r="G115" s="265"/>
      <c r="H115" s="265" t="s">
        <v>1379</v>
      </c>
      <c r="I115" s="263">
        <v>249</v>
      </c>
      <c r="J115" s="263" t="s">
        <v>1295</v>
      </c>
      <c r="K115" s="274">
        <v>41583</v>
      </c>
      <c r="L115" s="274"/>
      <c r="M115" s="277">
        <v>41431</v>
      </c>
      <c r="N115" s="278">
        <v>152</v>
      </c>
      <c r="O115" s="269">
        <v>6</v>
      </c>
      <c r="P115" s="281">
        <v>780000000000000</v>
      </c>
      <c r="Q115" s="282"/>
      <c r="R115" s="292"/>
      <c r="S115" s="293" t="e">
        <f t="shared" si="0"/>
        <v>#DIV/0!</v>
      </c>
      <c r="T115" s="263" t="s">
        <v>2416</v>
      </c>
      <c r="U115" s="271"/>
      <c r="V115" s="1336">
        <v>165</v>
      </c>
      <c r="W115" s="295"/>
      <c r="X115" s="295"/>
      <c r="Y115" s="295"/>
      <c r="Z115" s="295"/>
      <c r="AA115" s="295"/>
      <c r="AB115" s="295"/>
      <c r="AC115" s="295"/>
      <c r="AD115" s="295"/>
      <c r="AE115" s="295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</row>
    <row r="116" spans="1:61" ht="24" hidden="1">
      <c r="A116" s="263" t="s">
        <v>1245</v>
      </c>
      <c r="B116" s="263" t="s">
        <v>1262</v>
      </c>
      <c r="C116" s="265" t="s">
        <v>626</v>
      </c>
      <c r="D116" s="263" t="s">
        <v>187</v>
      </c>
      <c r="E116" s="263" t="s">
        <v>1277</v>
      </c>
      <c r="F116" s="269">
        <v>193</v>
      </c>
      <c r="G116" s="265"/>
      <c r="H116" s="265" t="s">
        <v>1380</v>
      </c>
      <c r="I116" s="263">
        <v>250</v>
      </c>
      <c r="J116" s="263" t="s">
        <v>1295</v>
      </c>
      <c r="K116" s="274">
        <v>41583</v>
      </c>
      <c r="L116" s="274"/>
      <c r="M116" s="277">
        <v>41431</v>
      </c>
      <c r="N116" s="278">
        <v>153</v>
      </c>
      <c r="O116" s="269">
        <v>6</v>
      </c>
      <c r="P116" s="281">
        <v>1120000000000000</v>
      </c>
      <c r="Q116" s="282"/>
      <c r="R116" s="292"/>
      <c r="S116" s="293" t="e">
        <f t="shared" si="0"/>
        <v>#DIV/0!</v>
      </c>
      <c r="T116" s="263" t="s">
        <v>2416</v>
      </c>
      <c r="U116" s="271"/>
      <c r="V116" s="1336">
        <v>165</v>
      </c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</row>
    <row r="117" spans="1:61" ht="24" hidden="1">
      <c r="A117" s="263" t="s">
        <v>1245</v>
      </c>
      <c r="B117" s="263" t="s">
        <v>1262</v>
      </c>
      <c r="C117" s="265" t="s">
        <v>626</v>
      </c>
      <c r="D117" s="263" t="s">
        <v>187</v>
      </c>
      <c r="E117" s="263" t="s">
        <v>1277</v>
      </c>
      <c r="F117" s="269">
        <v>193</v>
      </c>
      <c r="G117" s="265"/>
      <c r="H117" s="265" t="s">
        <v>304</v>
      </c>
      <c r="I117" s="263">
        <v>22</v>
      </c>
      <c r="J117" s="263" t="s">
        <v>1295</v>
      </c>
      <c r="K117" s="274">
        <v>41583</v>
      </c>
      <c r="L117" s="274"/>
      <c r="M117" s="277">
        <v>41584</v>
      </c>
      <c r="N117" s="278">
        <v>154</v>
      </c>
      <c r="O117" s="269">
        <v>6</v>
      </c>
      <c r="P117" s="281">
        <v>233000000000000</v>
      </c>
      <c r="Q117" s="282"/>
      <c r="R117" s="292"/>
      <c r="S117" s="293" t="e">
        <f t="shared" si="0"/>
        <v>#DIV/0!</v>
      </c>
      <c r="T117" s="263" t="s">
        <v>2416</v>
      </c>
      <c r="U117" s="271"/>
      <c r="V117" s="1336">
        <v>155</v>
      </c>
      <c r="W117" s="294" t="s">
        <v>3232</v>
      </c>
      <c r="X117" s="295"/>
      <c r="Y117" s="295"/>
      <c r="Z117" s="295"/>
      <c r="AA117" s="295"/>
      <c r="AB117" s="295"/>
      <c r="AC117" s="295"/>
      <c r="AD117" s="295"/>
      <c r="AE117" s="295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</row>
    <row r="118" spans="1:61" ht="24" hidden="1">
      <c r="A118" s="818" t="s">
        <v>52</v>
      </c>
      <c r="B118" s="818" t="s">
        <v>2508</v>
      </c>
      <c r="C118" s="820" t="s">
        <v>3233</v>
      </c>
      <c r="D118" s="818" t="s">
        <v>70</v>
      </c>
      <c r="E118" s="818" t="s">
        <v>516</v>
      </c>
      <c r="F118" s="818">
        <v>140</v>
      </c>
      <c r="G118" s="820"/>
      <c r="H118" s="820" t="s">
        <v>2832</v>
      </c>
      <c r="I118" s="818">
        <v>211</v>
      </c>
      <c r="J118" s="818" t="s">
        <v>3033</v>
      </c>
      <c r="K118" s="1342">
        <v>41370</v>
      </c>
      <c r="L118" s="1342"/>
      <c r="M118" s="824">
        <v>41584</v>
      </c>
      <c r="N118" s="826">
        <v>155</v>
      </c>
      <c r="O118" s="828">
        <v>9</v>
      </c>
      <c r="P118" s="830">
        <v>33700000000000</v>
      </c>
      <c r="Q118" s="846"/>
      <c r="R118" s="847"/>
      <c r="S118" s="849" t="e">
        <f t="shared" si="0"/>
        <v>#DIV/0!</v>
      </c>
      <c r="T118" s="818" t="s">
        <v>400</v>
      </c>
      <c r="U118" s="850"/>
      <c r="V118" s="852">
        <v>180</v>
      </c>
      <c r="W118" s="861" t="s">
        <v>3234</v>
      </c>
      <c r="X118" s="645"/>
      <c r="Y118" s="645"/>
      <c r="Z118" s="645"/>
      <c r="AA118" s="645"/>
      <c r="AB118" s="645"/>
      <c r="AC118" s="645"/>
      <c r="AD118" s="645"/>
      <c r="AE118" s="645"/>
      <c r="AF118" s="645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</row>
    <row r="119" spans="1:61" ht="24" hidden="1">
      <c r="A119" s="628" t="s">
        <v>52</v>
      </c>
      <c r="B119" s="628" t="s">
        <v>2508</v>
      </c>
      <c r="C119" s="629" t="s">
        <v>2510</v>
      </c>
      <c r="D119" s="628" t="s">
        <v>70</v>
      </c>
      <c r="E119" s="628" t="s">
        <v>2590</v>
      </c>
      <c r="F119" s="628">
        <v>154</v>
      </c>
      <c r="G119" s="629"/>
      <c r="H119" s="629" t="s">
        <v>77</v>
      </c>
      <c r="I119" s="628">
        <v>53</v>
      </c>
      <c r="J119" s="628" t="s">
        <v>2521</v>
      </c>
      <c r="K119" s="1345">
        <v>41370</v>
      </c>
      <c r="L119" s="1345"/>
      <c r="M119" s="631">
        <v>41584</v>
      </c>
      <c r="N119" s="633">
        <v>156</v>
      </c>
      <c r="O119" s="634">
        <v>9</v>
      </c>
      <c r="P119" s="635">
        <v>41000000000000</v>
      </c>
      <c r="Q119" s="636"/>
      <c r="R119" s="638"/>
      <c r="S119" s="640" t="e">
        <f t="shared" si="0"/>
        <v>#DIV/0!</v>
      </c>
      <c r="T119" s="628" t="s">
        <v>400</v>
      </c>
      <c r="U119" s="642"/>
      <c r="V119" s="643">
        <f>152</f>
        <v>152</v>
      </c>
      <c r="W119" s="645"/>
      <c r="X119" s="645"/>
      <c r="Y119" s="645"/>
      <c r="Z119" s="645"/>
      <c r="AA119" s="645"/>
      <c r="AB119" s="645"/>
      <c r="AC119" s="645"/>
      <c r="AD119" s="645"/>
      <c r="AE119" s="645"/>
      <c r="AF119" s="645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</row>
    <row r="120" spans="1:61" ht="24" hidden="1">
      <c r="A120" s="875" t="s">
        <v>52</v>
      </c>
      <c r="B120" s="875" t="s">
        <v>177</v>
      </c>
      <c r="C120" s="876" t="s">
        <v>178</v>
      </c>
      <c r="D120" s="875" t="s">
        <v>187</v>
      </c>
      <c r="E120" s="875" t="s">
        <v>143</v>
      </c>
      <c r="F120" s="875">
        <v>170</v>
      </c>
      <c r="G120" s="876"/>
      <c r="H120" s="876" t="s">
        <v>197</v>
      </c>
      <c r="I120" s="875">
        <v>120</v>
      </c>
      <c r="J120" s="875" t="s">
        <v>1675</v>
      </c>
      <c r="K120" s="877">
        <v>41414</v>
      </c>
      <c r="L120" s="880"/>
      <c r="M120" s="882">
        <v>41439</v>
      </c>
      <c r="N120" s="883">
        <v>157</v>
      </c>
      <c r="O120" s="885">
        <v>12</v>
      </c>
      <c r="P120" s="887">
        <v>1360000000000000</v>
      </c>
      <c r="Q120" s="888"/>
      <c r="R120" s="890"/>
      <c r="S120" s="892" t="e">
        <f t="shared" si="0"/>
        <v>#DIV/0!</v>
      </c>
      <c r="T120" s="875" t="s">
        <v>400</v>
      </c>
      <c r="U120" s="894"/>
      <c r="V120" s="896">
        <v>170</v>
      </c>
      <c r="W120" s="898" t="s">
        <v>483</v>
      </c>
      <c r="X120" s="932"/>
      <c r="Y120" s="932"/>
      <c r="Z120" s="932"/>
      <c r="AA120" s="932"/>
      <c r="AB120" s="932"/>
      <c r="AC120" s="932"/>
      <c r="AD120" s="932"/>
      <c r="AE120" s="932"/>
      <c r="AF120" s="932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</row>
    <row r="121" spans="1:61" ht="24" hidden="1">
      <c r="A121" s="1350" t="s">
        <v>691</v>
      </c>
      <c r="B121" s="1350" t="s">
        <v>3249</v>
      </c>
      <c r="C121" s="1351" t="s">
        <v>3150</v>
      </c>
      <c r="D121" s="1350" t="s">
        <v>70</v>
      </c>
      <c r="E121" s="1350" t="s">
        <v>3198</v>
      </c>
      <c r="F121" s="1350">
        <v>142</v>
      </c>
      <c r="G121" s="1351"/>
      <c r="H121" s="1351" t="s">
        <v>3250</v>
      </c>
      <c r="I121" s="1350">
        <v>241</v>
      </c>
      <c r="J121" s="1350" t="s">
        <v>1012</v>
      </c>
      <c r="K121" s="1353" t="s">
        <v>3251</v>
      </c>
      <c r="L121" s="1353"/>
      <c r="M121" s="1355">
        <v>41439</v>
      </c>
      <c r="N121" s="1357">
        <v>158</v>
      </c>
      <c r="O121" s="1359">
        <v>12</v>
      </c>
      <c r="P121" s="1361">
        <v>361000000000000</v>
      </c>
      <c r="Q121" s="1362"/>
      <c r="R121" s="1363"/>
      <c r="S121" s="1365" t="e">
        <f t="shared" si="0"/>
        <v>#DIV/0!</v>
      </c>
      <c r="T121" s="1350" t="s">
        <v>400</v>
      </c>
      <c r="U121" s="1367"/>
      <c r="V121" s="1368">
        <v>170</v>
      </c>
      <c r="W121" s="1369" t="s">
        <v>3253</v>
      </c>
      <c r="X121" s="1370"/>
      <c r="Y121" s="1370"/>
      <c r="Z121" s="1370"/>
      <c r="AA121" s="1370"/>
      <c r="AB121" s="1370"/>
      <c r="AC121" s="1370"/>
      <c r="AD121" s="1370"/>
      <c r="AE121" s="1370"/>
      <c r="AF121" s="1370"/>
      <c r="AG121" s="1370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</row>
    <row r="122" spans="1:61" ht="24" hidden="1">
      <c r="A122" s="470" t="s">
        <v>52</v>
      </c>
      <c r="B122" s="470" t="s">
        <v>139</v>
      </c>
      <c r="C122" s="1001" t="s">
        <v>55</v>
      </c>
      <c r="D122" s="470" t="s">
        <v>57</v>
      </c>
      <c r="E122" s="470" t="s">
        <v>58</v>
      </c>
      <c r="F122" s="470">
        <v>178</v>
      </c>
      <c r="G122" s="1001"/>
      <c r="H122" s="1001" t="s">
        <v>3254</v>
      </c>
      <c r="I122" s="470">
        <v>253</v>
      </c>
      <c r="J122" s="470" t="s">
        <v>60</v>
      </c>
      <c r="K122" s="1003">
        <v>41394</v>
      </c>
      <c r="L122" s="1004"/>
      <c r="M122" s="1005">
        <v>41446</v>
      </c>
      <c r="N122" s="1006">
        <v>159</v>
      </c>
      <c r="O122" s="1008">
        <v>12</v>
      </c>
      <c r="P122" s="462" t="s">
        <v>3255</v>
      </c>
      <c r="Q122" s="464"/>
      <c r="R122" s="466"/>
      <c r="S122" s="468" t="e">
        <f t="shared" si="0"/>
        <v>#DIV/0!</v>
      </c>
      <c r="T122" s="470" t="s">
        <v>400</v>
      </c>
      <c r="U122" s="471"/>
      <c r="V122" s="1010">
        <f>90</f>
        <v>90</v>
      </c>
      <c r="W122" s="1011"/>
      <c r="X122" s="1011"/>
      <c r="Y122" s="1011"/>
      <c r="Z122" s="1011"/>
      <c r="AA122" s="1011"/>
      <c r="AB122" s="1011"/>
      <c r="AC122" s="1011"/>
      <c r="AD122" s="1011"/>
      <c r="AE122" s="1011"/>
      <c r="AF122" s="1011"/>
      <c r="AG122" s="1011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</row>
    <row r="123" spans="1:61" ht="24" hidden="1">
      <c r="A123" s="1375" t="s">
        <v>3256</v>
      </c>
      <c r="B123" s="1375" t="s">
        <v>3257</v>
      </c>
      <c r="C123" s="1376" t="s">
        <v>178</v>
      </c>
      <c r="D123" s="1375" t="s">
        <v>3258</v>
      </c>
      <c r="E123" s="1375" t="s">
        <v>3198</v>
      </c>
      <c r="F123" s="1375">
        <v>142</v>
      </c>
      <c r="G123" s="1376"/>
      <c r="H123" s="1376" t="s">
        <v>3259</v>
      </c>
      <c r="I123" s="1375">
        <v>242</v>
      </c>
      <c r="J123" s="1375" t="s">
        <v>1012</v>
      </c>
      <c r="K123" s="1377" t="s">
        <v>3251</v>
      </c>
      <c r="L123" s="1377"/>
      <c r="M123" s="1384">
        <v>41446</v>
      </c>
      <c r="N123" s="1386">
        <v>160</v>
      </c>
      <c r="O123" s="1388">
        <v>12</v>
      </c>
      <c r="P123" s="1390" t="s">
        <v>3265</v>
      </c>
      <c r="Q123" s="1392"/>
      <c r="R123" s="1394"/>
      <c r="S123" s="1430" t="e">
        <f t="shared" si="0"/>
        <v>#DIV/0!</v>
      </c>
      <c r="T123" s="1375" t="s">
        <v>400</v>
      </c>
      <c r="U123" s="1432"/>
      <c r="V123" s="1434">
        <f>150</f>
        <v>150</v>
      </c>
      <c r="W123" s="1436" t="s">
        <v>3296</v>
      </c>
      <c r="X123" s="186"/>
      <c r="Y123" s="186"/>
      <c r="Z123" s="186"/>
      <c r="AA123" s="186"/>
      <c r="AB123" s="186"/>
      <c r="AC123" s="186"/>
      <c r="AD123" s="186"/>
      <c r="AE123" s="186"/>
      <c r="AF123" s="186"/>
      <c r="AG123" s="186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</row>
    <row r="124" spans="1:61" ht="24" hidden="1">
      <c r="A124" s="1375" t="s">
        <v>3256</v>
      </c>
      <c r="B124" s="1375" t="s">
        <v>3257</v>
      </c>
      <c r="C124" s="1376" t="s">
        <v>178</v>
      </c>
      <c r="D124" s="1375" t="s">
        <v>3258</v>
      </c>
      <c r="E124" s="1375" t="s">
        <v>3198</v>
      </c>
      <c r="F124" s="1375">
        <v>142</v>
      </c>
      <c r="G124" s="1376"/>
      <c r="H124" s="1376" t="s">
        <v>3297</v>
      </c>
      <c r="I124" s="1375">
        <v>244</v>
      </c>
      <c r="J124" s="1375" t="s">
        <v>1012</v>
      </c>
      <c r="K124" s="1377" t="s">
        <v>3251</v>
      </c>
      <c r="L124" s="1377"/>
      <c r="M124" s="1384">
        <v>41446</v>
      </c>
      <c r="N124" s="1386">
        <v>161</v>
      </c>
      <c r="O124" s="1388">
        <v>12</v>
      </c>
      <c r="P124" s="1390" t="s">
        <v>3298</v>
      </c>
      <c r="Q124" s="1392"/>
      <c r="R124" s="1394"/>
      <c r="S124" s="1430" t="e">
        <f t="shared" si="0"/>
        <v>#DIV/0!</v>
      </c>
      <c r="T124" s="1375" t="s">
        <v>400</v>
      </c>
      <c r="U124" s="1432"/>
      <c r="V124" s="1439">
        <v>200</v>
      </c>
      <c r="W124" s="1436" t="s">
        <v>3296</v>
      </c>
      <c r="X124" s="1451"/>
      <c r="Y124" s="1451"/>
      <c r="Z124" s="1451"/>
      <c r="AA124" s="1451"/>
      <c r="AB124" s="1451"/>
      <c r="AC124" s="1451"/>
      <c r="AD124" s="1451"/>
      <c r="AE124" s="1451"/>
      <c r="AF124" s="1451"/>
      <c r="AG124" s="1451"/>
      <c r="AH124" s="377"/>
      <c r="AI124" s="377"/>
      <c r="AJ124" s="377"/>
      <c r="AK124" s="377"/>
      <c r="AL124" s="377"/>
      <c r="AM124" s="377"/>
      <c r="AN124" s="377"/>
      <c r="AO124" s="377"/>
      <c r="AP124" s="377"/>
      <c r="AQ124" s="377"/>
      <c r="AR124" s="377"/>
      <c r="AS124" s="377"/>
      <c r="AT124" s="377"/>
      <c r="AU124" s="37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</row>
    <row r="125" spans="1:61" ht="24" hidden="1">
      <c r="A125" s="1145" t="s">
        <v>52</v>
      </c>
      <c r="B125" s="1145" t="s">
        <v>177</v>
      </c>
      <c r="C125" s="1147" t="s">
        <v>178</v>
      </c>
      <c r="D125" s="1145" t="s">
        <v>187</v>
      </c>
      <c r="E125" s="1145" t="s">
        <v>1198</v>
      </c>
      <c r="F125" s="1145">
        <v>174</v>
      </c>
      <c r="G125" s="1147"/>
      <c r="H125" s="1147" t="s">
        <v>197</v>
      </c>
      <c r="I125" s="1145">
        <v>120</v>
      </c>
      <c r="J125" s="1145" t="s">
        <v>1675</v>
      </c>
      <c r="K125" s="1150" t="s">
        <v>3306</v>
      </c>
      <c r="L125" s="1150"/>
      <c r="M125" s="1151">
        <v>41446</v>
      </c>
      <c r="N125" s="1152">
        <v>162</v>
      </c>
      <c r="O125" s="1153">
        <v>12</v>
      </c>
      <c r="P125" s="1155" t="s">
        <v>3307</v>
      </c>
      <c r="Q125" s="1157"/>
      <c r="R125" s="1158"/>
      <c r="S125" s="1160" t="e">
        <f t="shared" si="0"/>
        <v>#DIV/0!</v>
      </c>
      <c r="T125" s="1145" t="s">
        <v>400</v>
      </c>
      <c r="U125" s="1166"/>
      <c r="V125" s="1168">
        <v>150</v>
      </c>
      <c r="W125" s="1173" t="s">
        <v>499</v>
      </c>
      <c r="X125" s="1011"/>
      <c r="Y125" s="1011"/>
      <c r="Z125" s="1011"/>
      <c r="AA125" s="1011"/>
      <c r="AB125" s="1011"/>
      <c r="AC125" s="1011"/>
      <c r="AD125" s="1011"/>
      <c r="AE125" s="1011"/>
      <c r="AF125" s="1011"/>
      <c r="AG125" s="1011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</row>
    <row r="126" spans="1:61" ht="24" hidden="1">
      <c r="A126" s="470" t="s">
        <v>52</v>
      </c>
      <c r="B126" s="470" t="s">
        <v>139</v>
      </c>
      <c r="C126" s="1001" t="s">
        <v>55</v>
      </c>
      <c r="D126" s="470" t="s">
        <v>57</v>
      </c>
      <c r="E126" s="470" t="s">
        <v>58</v>
      </c>
      <c r="F126" s="470">
        <v>178</v>
      </c>
      <c r="G126" s="1001"/>
      <c r="H126" s="1001" t="s">
        <v>3254</v>
      </c>
      <c r="I126" s="470">
        <v>253</v>
      </c>
      <c r="J126" s="470" t="s">
        <v>60</v>
      </c>
      <c r="K126" s="1003">
        <v>41394</v>
      </c>
      <c r="L126" s="1004"/>
      <c r="M126" s="1005">
        <v>41453</v>
      </c>
      <c r="N126" s="1006">
        <v>163</v>
      </c>
      <c r="O126" s="1008">
        <v>12</v>
      </c>
      <c r="P126" s="462" t="s">
        <v>3310</v>
      </c>
      <c r="Q126" s="464"/>
      <c r="R126" s="466"/>
      <c r="S126" s="468" t="e">
        <f t="shared" si="0"/>
        <v>#DIV/0!</v>
      </c>
      <c r="T126" s="470" t="s">
        <v>400</v>
      </c>
      <c r="U126" s="471"/>
      <c r="V126" s="1010">
        <f>30</f>
        <v>30</v>
      </c>
      <c r="W126" s="1011"/>
      <c r="X126" s="1301" t="s">
        <v>3311</v>
      </c>
      <c r="Y126" s="1011"/>
      <c r="Z126" s="1011"/>
      <c r="AA126" s="1011"/>
      <c r="AB126" s="1011"/>
      <c r="AC126" s="1011"/>
      <c r="AD126" s="1011"/>
      <c r="AE126" s="1011"/>
      <c r="AF126" s="1011"/>
      <c r="AG126" s="1011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</row>
    <row r="127" spans="1:61" ht="24" hidden="1">
      <c r="A127" s="1145" t="s">
        <v>52</v>
      </c>
      <c r="B127" s="1145" t="s">
        <v>139</v>
      </c>
      <c r="C127" s="1147" t="s">
        <v>55</v>
      </c>
      <c r="D127" s="1145" t="s">
        <v>57</v>
      </c>
      <c r="E127" s="1145" t="s">
        <v>58</v>
      </c>
      <c r="F127" s="1145">
        <v>178</v>
      </c>
      <c r="G127" s="1147"/>
      <c r="H127" s="1147" t="s">
        <v>3044</v>
      </c>
      <c r="I127" s="1145">
        <v>209</v>
      </c>
      <c r="J127" s="1145" t="s">
        <v>60</v>
      </c>
      <c r="K127" s="1149">
        <v>41394</v>
      </c>
      <c r="L127" s="1150"/>
      <c r="M127" s="1151">
        <v>41453</v>
      </c>
      <c r="N127" s="1152">
        <v>164</v>
      </c>
      <c r="O127" s="1153">
        <v>12</v>
      </c>
      <c r="P127" s="1155" t="s">
        <v>3312</v>
      </c>
      <c r="Q127" s="1157"/>
      <c r="R127" s="1158"/>
      <c r="S127" s="1160" t="e">
        <f t="shared" si="0"/>
        <v>#DIV/0!</v>
      </c>
      <c r="T127" s="1145" t="s">
        <v>400</v>
      </c>
      <c r="U127" s="1166"/>
      <c r="V127" s="1168">
        <v>175</v>
      </c>
      <c r="W127" s="1173" t="s">
        <v>3313</v>
      </c>
      <c r="X127" s="1011"/>
      <c r="Y127" s="1011"/>
      <c r="Z127" s="1011"/>
      <c r="AA127" s="1011"/>
      <c r="AB127" s="1011"/>
      <c r="AC127" s="1011"/>
      <c r="AD127" s="1011"/>
      <c r="AE127" s="1011"/>
      <c r="AF127" s="1011"/>
      <c r="AG127" s="1011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</row>
    <row r="128" spans="1:61" ht="24" hidden="1">
      <c r="A128" s="628" t="s">
        <v>52</v>
      </c>
      <c r="B128" s="628" t="s">
        <v>2508</v>
      </c>
      <c r="C128" s="629" t="s">
        <v>2510</v>
      </c>
      <c r="D128" s="628" t="s">
        <v>70</v>
      </c>
      <c r="E128" s="628" t="s">
        <v>516</v>
      </c>
      <c r="F128" s="628">
        <v>140</v>
      </c>
      <c r="G128" s="629"/>
      <c r="H128" s="629" t="s">
        <v>3315</v>
      </c>
      <c r="I128" s="628">
        <v>53</v>
      </c>
      <c r="J128" s="628" t="s">
        <v>3033</v>
      </c>
      <c r="K128" s="1345">
        <v>41281</v>
      </c>
      <c r="L128" s="1345"/>
      <c r="M128" s="631">
        <v>41401</v>
      </c>
      <c r="N128" s="633">
        <v>165</v>
      </c>
      <c r="O128" s="634">
        <v>12</v>
      </c>
      <c r="P128" s="635" t="s">
        <v>3316</v>
      </c>
      <c r="Q128" s="636"/>
      <c r="R128" s="638"/>
      <c r="S128" s="640" t="e">
        <f t="shared" si="0"/>
        <v>#DIV/0!</v>
      </c>
      <c r="T128" s="628" t="s">
        <v>400</v>
      </c>
      <c r="U128" s="642"/>
      <c r="V128" s="643">
        <f>170</f>
        <v>170</v>
      </c>
      <c r="W128" s="645"/>
      <c r="X128" s="645"/>
      <c r="Y128" s="645"/>
      <c r="Z128" s="645"/>
      <c r="AA128" s="645"/>
      <c r="AB128" s="645"/>
      <c r="AC128" s="645"/>
      <c r="AD128" s="645"/>
      <c r="AE128" s="645"/>
      <c r="AF128" s="645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</row>
    <row r="129" spans="1:61" ht="24" hidden="1">
      <c r="A129" s="628" t="s">
        <v>52</v>
      </c>
      <c r="B129" s="628" t="s">
        <v>2508</v>
      </c>
      <c r="C129" s="629" t="s">
        <v>3233</v>
      </c>
      <c r="D129" s="628" t="s">
        <v>70</v>
      </c>
      <c r="E129" s="628" t="s">
        <v>516</v>
      </c>
      <c r="F129" s="628">
        <v>140</v>
      </c>
      <c r="G129" s="629"/>
      <c r="H129" s="629" t="s">
        <v>3319</v>
      </c>
      <c r="I129" s="628">
        <v>211</v>
      </c>
      <c r="J129" s="628" t="s">
        <v>3033</v>
      </c>
      <c r="K129" s="1345">
        <v>41281</v>
      </c>
      <c r="L129" s="1345"/>
      <c r="M129" s="631">
        <v>41401</v>
      </c>
      <c r="N129" s="633">
        <v>166</v>
      </c>
      <c r="O129" s="634">
        <v>12</v>
      </c>
      <c r="P129" s="635" t="s">
        <v>3320</v>
      </c>
      <c r="Q129" s="636"/>
      <c r="R129" s="638"/>
      <c r="S129" s="640" t="e">
        <f t="shared" si="0"/>
        <v>#DIV/0!</v>
      </c>
      <c r="T129" s="628" t="s">
        <v>400</v>
      </c>
      <c r="U129" s="642"/>
      <c r="V129" s="643">
        <f>85</f>
        <v>85</v>
      </c>
      <c r="W129" s="645"/>
      <c r="X129" s="645"/>
      <c r="Y129" s="645"/>
      <c r="Z129" s="645"/>
      <c r="AA129" s="645"/>
      <c r="AB129" s="645"/>
      <c r="AC129" s="645"/>
      <c r="AD129" s="645"/>
      <c r="AE129" s="645"/>
      <c r="AF129" s="645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</row>
    <row r="130" spans="1:61" ht="24" hidden="1">
      <c r="A130" s="470" t="s">
        <v>52</v>
      </c>
      <c r="B130" s="470" t="s">
        <v>139</v>
      </c>
      <c r="C130" s="1001" t="s">
        <v>55</v>
      </c>
      <c r="D130" s="470" t="s">
        <v>57</v>
      </c>
      <c r="E130" s="470" t="s">
        <v>58</v>
      </c>
      <c r="F130" s="470">
        <v>178</v>
      </c>
      <c r="G130" s="1001"/>
      <c r="H130" s="1001" t="s">
        <v>3044</v>
      </c>
      <c r="I130" s="470">
        <v>209</v>
      </c>
      <c r="J130" s="470" t="s">
        <v>1675</v>
      </c>
      <c r="K130" s="1003">
        <v>41457</v>
      </c>
      <c r="L130" s="1003"/>
      <c r="M130" s="1005">
        <v>41615</v>
      </c>
      <c r="N130" s="1006">
        <v>167</v>
      </c>
      <c r="O130" s="1008">
        <v>24</v>
      </c>
      <c r="P130" s="462" t="s">
        <v>3321</v>
      </c>
      <c r="Q130" s="464"/>
      <c r="R130" s="466"/>
      <c r="S130" s="468" t="e">
        <f t="shared" si="0"/>
        <v>#DIV/0!</v>
      </c>
      <c r="T130" s="470" t="s">
        <v>400</v>
      </c>
      <c r="U130" s="471"/>
      <c r="V130" s="1010">
        <f>115</f>
        <v>115</v>
      </c>
      <c r="W130" s="1011"/>
      <c r="X130" s="1011"/>
      <c r="Y130" s="1011"/>
      <c r="Z130" s="1011"/>
      <c r="AA130" s="1011"/>
      <c r="AB130" s="1011"/>
      <c r="AC130" s="1011"/>
      <c r="AD130" s="1011"/>
      <c r="AE130" s="1011"/>
      <c r="AF130" s="1011"/>
      <c r="AG130" s="1011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</row>
    <row r="131" spans="1:61" ht="1.5" hidden="1" customHeight="1">
      <c r="A131" s="778" t="s">
        <v>52</v>
      </c>
      <c r="B131" s="778" t="s">
        <v>2698</v>
      </c>
      <c r="C131" s="782" t="s">
        <v>178</v>
      </c>
      <c r="D131" s="778" t="s">
        <v>3322</v>
      </c>
      <c r="E131" s="778" t="s">
        <v>58</v>
      </c>
      <c r="F131" s="790">
        <v>178</v>
      </c>
      <c r="G131" s="782"/>
      <c r="H131" s="782" t="s">
        <v>197</v>
      </c>
      <c r="I131" s="778">
        <v>120</v>
      </c>
      <c r="J131" s="778" t="s">
        <v>60</v>
      </c>
      <c r="K131" s="1462" t="s">
        <v>3323</v>
      </c>
      <c r="L131" s="1462"/>
      <c r="M131" s="786">
        <v>41474</v>
      </c>
      <c r="N131" s="788">
        <v>168</v>
      </c>
      <c r="O131" s="790">
        <v>12</v>
      </c>
      <c r="P131" s="792">
        <v>159000000000000</v>
      </c>
      <c r="Q131" s="1464"/>
      <c r="R131" s="1466"/>
      <c r="S131" s="797" t="e">
        <f t="shared" si="0"/>
        <v>#DIV/0!</v>
      </c>
      <c r="T131" s="778" t="s">
        <v>400</v>
      </c>
      <c r="U131" s="799"/>
      <c r="V131" s="1469">
        <f>45-10-5-10</f>
        <v>20</v>
      </c>
      <c r="W131" s="809"/>
      <c r="X131" s="809"/>
      <c r="Y131" s="809"/>
      <c r="Z131" s="809"/>
      <c r="AA131" s="809"/>
      <c r="AB131" s="809"/>
      <c r="AC131" s="809"/>
      <c r="AD131" s="809"/>
      <c r="AE131" s="809"/>
      <c r="AF131" s="809"/>
      <c r="AG131" s="809"/>
      <c r="AH131" s="234"/>
      <c r="AI131" s="234"/>
      <c r="AJ131" s="234"/>
      <c r="AK131" s="234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4"/>
      <c r="BB131" s="234"/>
      <c r="BC131" s="234"/>
      <c r="BD131" s="234"/>
      <c r="BE131" s="234"/>
      <c r="BF131" s="234"/>
      <c r="BG131" s="234"/>
      <c r="BH131" s="234"/>
      <c r="BI131" s="234"/>
    </row>
    <row r="132" spans="1:61" ht="24" hidden="1">
      <c r="A132" s="135" t="s">
        <v>3326</v>
      </c>
      <c r="B132" s="135" t="s">
        <v>625</v>
      </c>
      <c r="C132" s="137" t="s">
        <v>626</v>
      </c>
      <c r="D132" s="135" t="s">
        <v>655</v>
      </c>
      <c r="E132" s="164" t="s">
        <v>882</v>
      </c>
      <c r="F132" s="139">
        <v>142</v>
      </c>
      <c r="G132" s="137"/>
      <c r="H132" s="137" t="s">
        <v>1417</v>
      </c>
      <c r="I132" s="135">
        <v>192</v>
      </c>
      <c r="J132" s="135" t="s">
        <v>60</v>
      </c>
      <c r="K132" s="141" t="s">
        <v>3327</v>
      </c>
      <c r="L132" s="141"/>
      <c r="M132" s="1087">
        <v>41474</v>
      </c>
      <c r="N132" s="145">
        <v>169</v>
      </c>
      <c r="O132" s="139">
        <v>12</v>
      </c>
      <c r="P132" s="149" t="s">
        <v>3328</v>
      </c>
      <c r="Q132" s="1089"/>
      <c r="R132" s="1090"/>
      <c r="S132" s="153" t="e">
        <f t="shared" si="0"/>
        <v>#DIV/0!</v>
      </c>
      <c r="T132" s="135" t="s">
        <v>400</v>
      </c>
      <c r="U132" s="156"/>
      <c r="V132" s="1474">
        <v>25</v>
      </c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</row>
    <row r="133" spans="1:61" ht="24" hidden="1">
      <c r="A133" s="470" t="s">
        <v>52</v>
      </c>
      <c r="B133" s="470" t="s">
        <v>139</v>
      </c>
      <c r="C133" s="1001" t="s">
        <v>55</v>
      </c>
      <c r="D133" s="470" t="s">
        <v>57</v>
      </c>
      <c r="E133" s="470" t="s">
        <v>58</v>
      </c>
      <c r="F133" s="470">
        <v>178</v>
      </c>
      <c r="G133" s="1001"/>
      <c r="H133" s="1001" t="s">
        <v>3044</v>
      </c>
      <c r="I133" s="470">
        <v>209</v>
      </c>
      <c r="J133" s="470" t="s">
        <v>1675</v>
      </c>
      <c r="K133" s="1003">
        <v>41457</v>
      </c>
      <c r="L133" s="1004"/>
      <c r="M133" s="1005">
        <v>41481</v>
      </c>
      <c r="N133" s="1006">
        <v>170</v>
      </c>
      <c r="O133" s="1008">
        <v>24</v>
      </c>
      <c r="P133" s="462" t="s">
        <v>3331</v>
      </c>
      <c r="Q133" s="464"/>
      <c r="R133" s="466"/>
      <c r="S133" s="468" t="e">
        <f t="shared" si="0"/>
        <v>#DIV/0!</v>
      </c>
      <c r="T133" s="470" t="s">
        <v>400</v>
      </c>
      <c r="U133" s="471"/>
      <c r="V133" s="1010">
        <f>132</f>
        <v>132</v>
      </c>
      <c r="W133" s="1011"/>
      <c r="X133" s="1011"/>
      <c r="Y133" s="1011"/>
      <c r="Z133" s="1011"/>
      <c r="AA133" s="1011"/>
      <c r="AB133" s="1011"/>
      <c r="AC133" s="1011"/>
      <c r="AD133" s="1011"/>
      <c r="AE133" s="1011"/>
      <c r="AF133" s="1011"/>
      <c r="AG133" s="1011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</row>
    <row r="134" spans="1:61" ht="24" hidden="1">
      <c r="A134" s="188" t="s">
        <v>978</v>
      </c>
      <c r="B134" s="188" t="s">
        <v>985</v>
      </c>
      <c r="C134" s="189" t="s">
        <v>178</v>
      </c>
      <c r="D134" s="188" t="s">
        <v>987</v>
      </c>
      <c r="E134" s="190" t="s">
        <v>988</v>
      </c>
      <c r="F134" s="188">
        <v>177</v>
      </c>
      <c r="G134" s="189"/>
      <c r="H134" s="189" t="s">
        <v>3334</v>
      </c>
      <c r="I134" s="188" t="s">
        <v>3335</v>
      </c>
      <c r="J134" s="188" t="s">
        <v>1012</v>
      </c>
      <c r="K134" s="1484">
        <v>41457</v>
      </c>
      <c r="L134" s="1484"/>
      <c r="M134" s="196">
        <v>41313</v>
      </c>
      <c r="N134" s="774">
        <v>171</v>
      </c>
      <c r="O134" s="191">
        <v>12</v>
      </c>
      <c r="P134" s="199">
        <v>2550000000000000</v>
      </c>
      <c r="Q134" s="201"/>
      <c r="R134" s="202"/>
      <c r="S134" s="203" t="e">
        <f t="shared" si="0"/>
        <v>#DIV/0!</v>
      </c>
      <c r="T134" s="188" t="s">
        <v>400</v>
      </c>
      <c r="U134" s="192"/>
      <c r="V134" s="1489">
        <f>100</f>
        <v>100</v>
      </c>
      <c r="W134" s="205"/>
      <c r="X134" s="205"/>
      <c r="Y134" s="205"/>
      <c r="Z134" s="205"/>
      <c r="AA134" s="205"/>
      <c r="AB134" s="205"/>
      <c r="AC134" s="205"/>
      <c r="AD134" s="205"/>
      <c r="AE134" s="205"/>
      <c r="AF134" s="205"/>
      <c r="AG134" s="205"/>
      <c r="AH134" s="205"/>
      <c r="AI134" s="205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</row>
    <row r="135" spans="1:61" ht="1.5" hidden="1" customHeight="1">
      <c r="A135" s="664" t="s">
        <v>52</v>
      </c>
      <c r="B135" s="664" t="s">
        <v>3348</v>
      </c>
      <c r="C135" s="666" t="s">
        <v>178</v>
      </c>
      <c r="D135" s="664" t="s">
        <v>1045</v>
      </c>
      <c r="E135" s="664" t="s">
        <v>58</v>
      </c>
      <c r="F135" s="668">
        <v>178</v>
      </c>
      <c r="G135" s="670"/>
      <c r="H135" s="670" t="s">
        <v>3355</v>
      </c>
      <c r="I135" s="664">
        <v>190</v>
      </c>
      <c r="J135" s="664" t="s">
        <v>1012</v>
      </c>
      <c r="K135" s="1491">
        <v>41457</v>
      </c>
      <c r="L135" s="1491"/>
      <c r="M135" s="674">
        <v>41313</v>
      </c>
      <c r="N135" s="675">
        <v>172</v>
      </c>
      <c r="O135" s="668">
        <v>12</v>
      </c>
      <c r="P135" s="676">
        <v>588000000000000</v>
      </c>
      <c r="Q135" s="1493">
        <v>39100000000000</v>
      </c>
      <c r="R135" s="679"/>
      <c r="S135" s="681" t="e">
        <f t="shared" si="0"/>
        <v>#DIV/0!</v>
      </c>
      <c r="T135" s="664" t="s">
        <v>400</v>
      </c>
      <c r="U135" s="664" t="s">
        <v>3361</v>
      </c>
      <c r="V135" s="1000">
        <v>0</v>
      </c>
      <c r="W135" s="1494">
        <v>41772</v>
      </c>
      <c r="X135" s="686"/>
      <c r="Y135" s="686"/>
      <c r="Z135" s="686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377"/>
      <c r="AO135" s="377"/>
      <c r="AP135" s="377"/>
      <c r="AQ135" s="377"/>
      <c r="AR135" s="377"/>
      <c r="AS135" s="377"/>
      <c r="AT135" s="377"/>
      <c r="AU135" s="377"/>
      <c r="AV135" s="377"/>
      <c r="AW135" s="377"/>
      <c r="AX135" s="377"/>
      <c r="AY135" s="377"/>
      <c r="AZ135" s="377"/>
      <c r="BA135" s="377"/>
      <c r="BB135" s="377"/>
      <c r="BC135" s="377"/>
      <c r="BD135" s="377"/>
      <c r="BE135" s="377"/>
      <c r="BF135" s="377"/>
      <c r="BG135" s="377"/>
      <c r="BH135" s="377"/>
      <c r="BI135" s="377"/>
    </row>
    <row r="136" spans="1:61" ht="24" hidden="1">
      <c r="A136" s="966" t="s">
        <v>2852</v>
      </c>
      <c r="B136" s="966" t="s">
        <v>177</v>
      </c>
      <c r="C136" s="967" t="s">
        <v>178</v>
      </c>
      <c r="D136" s="966" t="s">
        <v>187</v>
      </c>
      <c r="E136" s="966" t="s">
        <v>143</v>
      </c>
      <c r="F136" s="966">
        <v>170</v>
      </c>
      <c r="G136" s="967"/>
      <c r="H136" s="967" t="s">
        <v>3365</v>
      </c>
      <c r="I136" s="966">
        <v>121</v>
      </c>
      <c r="J136" s="966" t="s">
        <v>1675</v>
      </c>
      <c r="K136" s="1496">
        <v>41457</v>
      </c>
      <c r="L136" s="1496"/>
      <c r="M136" s="971">
        <v>41586</v>
      </c>
      <c r="N136" s="972">
        <v>173</v>
      </c>
      <c r="O136" s="973">
        <v>12</v>
      </c>
      <c r="P136" s="974">
        <v>122000000000000</v>
      </c>
      <c r="Q136" s="975"/>
      <c r="R136" s="976"/>
      <c r="S136" s="977" t="e">
        <f t="shared" si="0"/>
        <v>#DIV/0!</v>
      </c>
      <c r="T136" s="966" t="s">
        <v>400</v>
      </c>
      <c r="U136" s="978"/>
      <c r="V136" s="979">
        <f>60</f>
        <v>60</v>
      </c>
      <c r="W136" s="932"/>
      <c r="X136" s="1500" t="s">
        <v>3366</v>
      </c>
      <c r="Y136" s="932"/>
      <c r="Z136" s="932"/>
      <c r="AA136" s="932"/>
      <c r="AB136" s="932"/>
      <c r="AC136" s="932"/>
      <c r="AD136" s="932"/>
      <c r="AE136" s="932"/>
      <c r="AF136" s="932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</row>
    <row r="137" spans="1:61" ht="5.25" hidden="1" customHeight="1">
      <c r="A137" s="966" t="s">
        <v>52</v>
      </c>
      <c r="B137" s="966" t="s">
        <v>3367</v>
      </c>
      <c r="C137" s="967" t="s">
        <v>178</v>
      </c>
      <c r="D137" s="966" t="s">
        <v>3368</v>
      </c>
      <c r="E137" s="966" t="s">
        <v>3369</v>
      </c>
      <c r="F137" s="966">
        <v>168</v>
      </c>
      <c r="G137" s="1592"/>
      <c r="H137" s="1592" t="s">
        <v>3601</v>
      </c>
      <c r="I137" s="966">
        <v>187</v>
      </c>
      <c r="J137" s="966" t="s">
        <v>1675</v>
      </c>
      <c r="K137" s="1496">
        <v>41480</v>
      </c>
      <c r="L137" s="1496"/>
      <c r="M137" s="971">
        <v>41586</v>
      </c>
      <c r="N137" s="972">
        <v>174</v>
      </c>
      <c r="O137" s="973">
        <v>12</v>
      </c>
      <c r="P137" s="974">
        <v>1320000000000000</v>
      </c>
      <c r="Q137" s="975"/>
      <c r="R137" s="976"/>
      <c r="S137" s="977" t="e">
        <f t="shared" si="0"/>
        <v>#DIV/0!</v>
      </c>
      <c r="T137" s="1594" t="s">
        <v>3602</v>
      </c>
      <c r="U137" s="978"/>
      <c r="V137" s="979">
        <f>90</f>
        <v>90</v>
      </c>
      <c r="W137" s="932"/>
      <c r="X137" s="1500" t="s">
        <v>3366</v>
      </c>
      <c r="Y137" s="932"/>
      <c r="Z137" s="932"/>
      <c r="AA137" s="932"/>
      <c r="AB137" s="932"/>
      <c r="AC137" s="932"/>
      <c r="AD137" s="932"/>
      <c r="AE137" s="932"/>
      <c r="AF137" s="932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</row>
    <row r="138" spans="1:61" ht="24" hidden="1">
      <c r="A138" s="470" t="s">
        <v>52</v>
      </c>
      <c r="B138" s="470" t="s">
        <v>139</v>
      </c>
      <c r="C138" s="1001" t="s">
        <v>55</v>
      </c>
      <c r="D138" s="470" t="s">
        <v>57</v>
      </c>
      <c r="E138" s="470" t="s">
        <v>58</v>
      </c>
      <c r="F138" s="470">
        <v>178</v>
      </c>
      <c r="G138" s="1001"/>
      <c r="H138" s="1001" t="s">
        <v>3603</v>
      </c>
      <c r="I138" s="470">
        <v>274</v>
      </c>
      <c r="J138" s="470" t="s">
        <v>60</v>
      </c>
      <c r="K138" s="1003">
        <v>41480</v>
      </c>
      <c r="L138" s="1004"/>
      <c r="M138" s="1005">
        <v>41508</v>
      </c>
      <c r="N138" s="1006">
        <v>175</v>
      </c>
      <c r="O138" s="1008">
        <v>12</v>
      </c>
      <c r="P138" s="462">
        <v>86800000000000</v>
      </c>
      <c r="Q138" s="464"/>
      <c r="R138" s="466"/>
      <c r="S138" s="468" t="e">
        <f t="shared" si="0"/>
        <v>#DIV/0!</v>
      </c>
      <c r="T138" s="470" t="s">
        <v>400</v>
      </c>
      <c r="U138" s="471"/>
      <c r="V138" s="1010">
        <f>142</f>
        <v>142</v>
      </c>
      <c r="W138" s="1011"/>
      <c r="X138" s="1011"/>
      <c r="Y138" s="1011"/>
      <c r="Z138" s="1011"/>
      <c r="AA138" s="1011"/>
      <c r="AB138" s="1011"/>
      <c r="AC138" s="1011"/>
      <c r="AD138" s="1011"/>
      <c r="AE138" s="1011"/>
      <c r="AF138" s="1011"/>
      <c r="AG138" s="1011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</row>
    <row r="139" spans="1:61" ht="24" hidden="1">
      <c r="A139" s="966" t="s">
        <v>2852</v>
      </c>
      <c r="B139" s="966" t="s">
        <v>177</v>
      </c>
      <c r="C139" s="967" t="s">
        <v>178</v>
      </c>
      <c r="D139" s="966" t="s">
        <v>187</v>
      </c>
      <c r="E139" s="966" t="s">
        <v>143</v>
      </c>
      <c r="F139" s="966">
        <v>170</v>
      </c>
      <c r="G139" s="967"/>
      <c r="H139" s="967" t="s">
        <v>3365</v>
      </c>
      <c r="I139" s="966">
        <v>121</v>
      </c>
      <c r="J139" s="966" t="s">
        <v>1675</v>
      </c>
      <c r="K139" s="1496">
        <v>41457</v>
      </c>
      <c r="L139" s="1496"/>
      <c r="M139" s="971">
        <v>41586</v>
      </c>
      <c r="N139" s="972">
        <v>176</v>
      </c>
      <c r="O139" s="973">
        <v>12</v>
      </c>
      <c r="P139" s="974">
        <v>1.35E+16</v>
      </c>
      <c r="Q139" s="1599" t="s">
        <v>3604</v>
      </c>
      <c r="R139" s="976"/>
      <c r="S139" s="977" t="e">
        <f t="shared" si="0"/>
        <v>#DIV/0!</v>
      </c>
      <c r="T139" s="966" t="s">
        <v>400</v>
      </c>
      <c r="U139" s="978"/>
      <c r="V139" s="979">
        <f>80-20</f>
        <v>60</v>
      </c>
      <c r="W139" s="932"/>
      <c r="X139" s="1500" t="s">
        <v>3606</v>
      </c>
      <c r="Y139" s="932"/>
      <c r="Z139" s="932"/>
      <c r="AA139" s="932"/>
      <c r="AB139" s="932"/>
      <c r="AC139" s="932"/>
      <c r="AD139" s="932"/>
      <c r="AE139" s="932"/>
      <c r="AF139" s="932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</row>
    <row r="140" spans="1:61" ht="24" hidden="1">
      <c r="A140" s="966" t="s">
        <v>52</v>
      </c>
      <c r="B140" s="966" t="s">
        <v>3367</v>
      </c>
      <c r="C140" s="967" t="s">
        <v>178</v>
      </c>
      <c r="D140" s="966" t="s">
        <v>3368</v>
      </c>
      <c r="E140" s="966" t="s">
        <v>3369</v>
      </c>
      <c r="F140" s="966">
        <v>168</v>
      </c>
      <c r="G140" s="1592"/>
      <c r="H140" s="1592" t="s">
        <v>3601</v>
      </c>
      <c r="I140" s="966">
        <v>187</v>
      </c>
      <c r="J140" s="966" t="s">
        <v>1675</v>
      </c>
      <c r="K140" s="1496">
        <v>41480</v>
      </c>
      <c r="L140" s="1496"/>
      <c r="M140" s="971">
        <v>41586</v>
      </c>
      <c r="N140" s="972">
        <v>177</v>
      </c>
      <c r="O140" s="973">
        <v>12</v>
      </c>
      <c r="P140" s="974">
        <v>266000000000000</v>
      </c>
      <c r="Q140" s="975"/>
      <c r="R140" s="976"/>
      <c r="S140" s="977" t="e">
        <f t="shared" si="0"/>
        <v>#DIV/0!</v>
      </c>
      <c r="T140" s="978"/>
      <c r="U140" s="978"/>
      <c r="V140" s="1602">
        <v>145</v>
      </c>
      <c r="W140" s="932"/>
      <c r="X140" s="1500" t="s">
        <v>3617</v>
      </c>
      <c r="Y140" s="932"/>
      <c r="Z140" s="932"/>
      <c r="AA140" s="932"/>
      <c r="AB140" s="932"/>
      <c r="AC140" s="932"/>
      <c r="AD140" s="932"/>
      <c r="AE140" s="932"/>
      <c r="AF140" s="932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</row>
    <row r="141" spans="1:61" ht="24" hidden="1">
      <c r="A141" s="470" t="s">
        <v>52</v>
      </c>
      <c r="B141" s="470" t="s">
        <v>139</v>
      </c>
      <c r="C141" s="1001" t="s">
        <v>55</v>
      </c>
      <c r="D141" s="470" t="s">
        <v>57</v>
      </c>
      <c r="E141" s="470" t="s">
        <v>58</v>
      </c>
      <c r="F141" s="470">
        <v>178</v>
      </c>
      <c r="G141" s="1001"/>
      <c r="H141" s="1001" t="s">
        <v>3603</v>
      </c>
      <c r="I141" s="470">
        <v>274</v>
      </c>
      <c r="J141" s="470" t="s">
        <v>60</v>
      </c>
      <c r="K141" s="1003">
        <v>41480</v>
      </c>
      <c r="L141" s="1004"/>
      <c r="M141" s="1005">
        <v>41511</v>
      </c>
      <c r="N141" s="1006">
        <v>178</v>
      </c>
      <c r="O141" s="1008">
        <v>24</v>
      </c>
      <c r="P141" s="466"/>
      <c r="Q141" s="1604" t="s">
        <v>3618</v>
      </c>
      <c r="R141" s="466"/>
      <c r="S141" s="468" t="e">
        <f t="shared" si="0"/>
        <v>#DIV/0!</v>
      </c>
      <c r="T141" s="470" t="s">
        <v>400</v>
      </c>
      <c r="U141" s="471"/>
      <c r="V141" s="1304">
        <v>190</v>
      </c>
      <c r="W141" s="1011"/>
      <c r="X141" s="1011"/>
      <c r="Y141" s="1011"/>
      <c r="Z141" s="1011"/>
      <c r="AA141" s="1011"/>
      <c r="AB141" s="1011"/>
      <c r="AC141" s="1011"/>
      <c r="AD141" s="1011"/>
      <c r="AE141" s="1011"/>
      <c r="AF141" s="1011"/>
      <c r="AG141" s="1011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</row>
    <row r="142" spans="1:61" ht="24" hidden="1">
      <c r="A142" s="628" t="s">
        <v>52</v>
      </c>
      <c r="B142" s="628" t="s">
        <v>2508</v>
      </c>
      <c r="C142" s="629" t="s">
        <v>3233</v>
      </c>
      <c r="D142" s="628" t="s">
        <v>70</v>
      </c>
      <c r="E142" s="628" t="s">
        <v>516</v>
      </c>
      <c r="F142" s="628">
        <v>140</v>
      </c>
      <c r="G142" s="629"/>
      <c r="H142" s="629" t="s">
        <v>3625</v>
      </c>
      <c r="I142" s="628">
        <v>279</v>
      </c>
      <c r="J142" s="628" t="s">
        <v>3033</v>
      </c>
      <c r="K142" s="1345">
        <v>41474</v>
      </c>
      <c r="L142" s="1345"/>
      <c r="M142" s="631">
        <v>41556</v>
      </c>
      <c r="N142" s="633">
        <v>179</v>
      </c>
      <c r="O142" s="634">
        <v>12</v>
      </c>
      <c r="P142" s="635">
        <v>5.54E+16</v>
      </c>
      <c r="Q142" s="660">
        <v>167000000000000</v>
      </c>
      <c r="R142" s="638"/>
      <c r="S142" s="640" t="e">
        <f t="shared" si="0"/>
        <v>#DIV/0!</v>
      </c>
      <c r="T142" s="628" t="s">
        <v>400</v>
      </c>
      <c r="U142" s="1605">
        <v>41719</v>
      </c>
      <c r="V142" s="1606">
        <f>126-15</f>
        <v>111</v>
      </c>
      <c r="W142" s="645"/>
      <c r="X142" s="645"/>
      <c r="Y142" s="645"/>
      <c r="Z142" s="634">
        <v>175</v>
      </c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</row>
    <row r="143" spans="1:61" ht="24" hidden="1">
      <c r="A143" s="628" t="s">
        <v>52</v>
      </c>
      <c r="B143" s="628" t="s">
        <v>2508</v>
      </c>
      <c r="C143" s="629" t="s">
        <v>3233</v>
      </c>
      <c r="D143" s="628" t="s">
        <v>70</v>
      </c>
      <c r="E143" s="628" t="s">
        <v>516</v>
      </c>
      <c r="F143" s="628">
        <v>140</v>
      </c>
      <c r="G143" s="629"/>
      <c r="H143" s="629" t="s">
        <v>72</v>
      </c>
      <c r="I143" s="628">
        <v>257</v>
      </c>
      <c r="J143" s="628" t="s">
        <v>3033</v>
      </c>
      <c r="K143" s="1345">
        <v>41474</v>
      </c>
      <c r="L143" s="1345"/>
      <c r="M143" s="631">
        <v>41556</v>
      </c>
      <c r="N143" s="633">
        <v>180</v>
      </c>
      <c r="O143" s="634">
        <v>12</v>
      </c>
      <c r="P143" s="635">
        <v>2.98E+16</v>
      </c>
      <c r="Q143" s="660" t="s">
        <v>3635</v>
      </c>
      <c r="R143" s="638"/>
      <c r="S143" s="640" t="e">
        <f t="shared" si="0"/>
        <v>#DIV/0!</v>
      </c>
      <c r="T143" s="628" t="s">
        <v>400</v>
      </c>
      <c r="U143" s="642"/>
      <c r="V143" s="1608">
        <v>150</v>
      </c>
      <c r="W143" s="648" t="s">
        <v>3636</v>
      </c>
      <c r="X143" s="635" t="s">
        <v>3637</v>
      </c>
      <c r="Y143" s="645"/>
      <c r="Z143" s="645"/>
      <c r="AA143" s="645"/>
      <c r="AB143" s="645"/>
      <c r="AC143" s="645"/>
      <c r="AD143" s="645"/>
      <c r="AE143" s="645"/>
      <c r="AF143" s="645"/>
      <c r="AG143" s="645"/>
      <c r="AH143" s="645"/>
      <c r="AI143" s="645"/>
      <c r="AJ143" s="645"/>
      <c r="AK143" s="645"/>
      <c r="AL143" s="645"/>
      <c r="AM143" s="645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</row>
    <row r="144" spans="1:61" ht="24" hidden="1">
      <c r="A144" s="470" t="s">
        <v>52</v>
      </c>
      <c r="B144" s="470" t="s">
        <v>177</v>
      </c>
      <c r="C144" s="1001" t="s">
        <v>2510</v>
      </c>
      <c r="D144" s="470" t="s">
        <v>187</v>
      </c>
      <c r="E144" s="470" t="s">
        <v>58</v>
      </c>
      <c r="F144" s="470">
        <v>178</v>
      </c>
      <c r="G144" s="1001"/>
      <c r="H144" s="1001" t="s">
        <v>2825</v>
      </c>
      <c r="I144" s="470">
        <v>212</v>
      </c>
      <c r="J144" s="470" t="s">
        <v>1675</v>
      </c>
      <c r="K144" s="1003">
        <v>41504</v>
      </c>
      <c r="L144" s="1004"/>
      <c r="M144" s="1005">
        <v>41530</v>
      </c>
      <c r="N144" s="1006">
        <v>181</v>
      </c>
      <c r="O144" s="1008">
        <v>12</v>
      </c>
      <c r="P144" s="462">
        <v>73300000000000</v>
      </c>
      <c r="Q144" s="1604">
        <v>2840000000000</v>
      </c>
      <c r="R144" s="466"/>
      <c r="S144" s="468" t="e">
        <f t="shared" si="0"/>
        <v>#DIV/0!</v>
      </c>
      <c r="T144" s="470" t="s">
        <v>400</v>
      </c>
      <c r="U144" s="471"/>
      <c r="V144" s="1612">
        <f>95</f>
        <v>95</v>
      </c>
      <c r="W144" s="1011"/>
      <c r="X144" s="1011"/>
      <c r="Y144" s="1011"/>
      <c r="Z144" s="1011"/>
      <c r="AA144" s="1011"/>
      <c r="AB144" s="1011"/>
      <c r="AC144" s="1011"/>
      <c r="AD144" s="1011"/>
      <c r="AE144" s="1011"/>
      <c r="AF144" s="1011"/>
      <c r="AG144" s="1011"/>
      <c r="AH144" s="1011"/>
      <c r="AI144" s="1011"/>
      <c r="AJ144" s="1011"/>
      <c r="AK144" s="1011"/>
      <c r="AL144" s="1011"/>
      <c r="AM144" s="1011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</row>
    <row r="145" spans="1:61" ht="24" hidden="1">
      <c r="A145" s="734" t="s">
        <v>52</v>
      </c>
      <c r="B145" s="734" t="s">
        <v>2698</v>
      </c>
      <c r="C145" s="735" t="s">
        <v>178</v>
      </c>
      <c r="D145" s="734" t="s">
        <v>3322</v>
      </c>
      <c r="E145" s="734" t="s">
        <v>58</v>
      </c>
      <c r="F145" s="739">
        <v>178</v>
      </c>
      <c r="G145" s="735"/>
      <c r="H145" s="735" t="s">
        <v>197</v>
      </c>
      <c r="I145" s="734">
        <v>120</v>
      </c>
      <c r="J145" s="734" t="s">
        <v>1675</v>
      </c>
      <c r="K145" s="811">
        <v>41587</v>
      </c>
      <c r="L145" s="736"/>
      <c r="M145" s="737">
        <v>41530</v>
      </c>
      <c r="N145" s="738">
        <v>182</v>
      </c>
      <c r="O145" s="739">
        <v>12</v>
      </c>
      <c r="P145" s="740">
        <v>34100000000000</v>
      </c>
      <c r="Q145" s="1613" t="s">
        <v>3639</v>
      </c>
      <c r="R145" s="742"/>
      <c r="S145" s="743" t="e">
        <f t="shared" si="0"/>
        <v>#DIV/0!</v>
      </c>
      <c r="T145" s="734" t="s">
        <v>400</v>
      </c>
      <c r="U145" s="744"/>
      <c r="V145" s="746">
        <f>55-21</f>
        <v>34</v>
      </c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733"/>
      <c r="AG145" s="733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</row>
    <row r="146" spans="1:61" ht="24" hidden="1">
      <c r="A146" s="966" t="s">
        <v>52</v>
      </c>
      <c r="B146" s="966" t="s">
        <v>3367</v>
      </c>
      <c r="C146" s="967" t="s">
        <v>178</v>
      </c>
      <c r="D146" s="966" t="s">
        <v>3368</v>
      </c>
      <c r="E146" s="966" t="s">
        <v>490</v>
      </c>
      <c r="F146" s="966">
        <v>168</v>
      </c>
      <c r="G146" s="967"/>
      <c r="H146" s="967" t="s">
        <v>3643</v>
      </c>
      <c r="I146" s="966">
        <v>187</v>
      </c>
      <c r="J146" s="966" t="s">
        <v>1675</v>
      </c>
      <c r="K146" s="1614"/>
      <c r="L146" s="969"/>
      <c r="M146" s="971">
        <v>41537</v>
      </c>
      <c r="N146" s="972">
        <v>183</v>
      </c>
      <c r="O146" s="973">
        <v>12</v>
      </c>
      <c r="P146" s="976"/>
      <c r="Q146" s="1599">
        <v>674000000000000</v>
      </c>
      <c r="R146" s="976"/>
      <c r="S146" s="977" t="e">
        <f t="shared" si="0"/>
        <v>#DIV/0!</v>
      </c>
      <c r="T146" s="966" t="s">
        <v>400</v>
      </c>
      <c r="U146" s="978"/>
      <c r="V146" s="979">
        <f>8</f>
        <v>8</v>
      </c>
      <c r="W146" s="1500" t="s">
        <v>3649</v>
      </c>
      <c r="X146" s="932"/>
      <c r="Y146" s="932"/>
      <c r="Z146" s="932"/>
      <c r="AA146" s="932"/>
      <c r="AB146" s="932"/>
      <c r="AC146" s="932"/>
      <c r="AD146" s="932"/>
      <c r="AE146" s="932"/>
      <c r="AF146" s="932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</row>
    <row r="147" spans="1:61" ht="24" hidden="1">
      <c r="A147" s="1145" t="s">
        <v>52</v>
      </c>
      <c r="B147" s="1145" t="s">
        <v>177</v>
      </c>
      <c r="C147" s="1147" t="s">
        <v>178</v>
      </c>
      <c r="D147" s="1145" t="s">
        <v>187</v>
      </c>
      <c r="E147" s="1145" t="s">
        <v>1198</v>
      </c>
      <c r="F147" s="1145">
        <v>174</v>
      </c>
      <c r="G147" s="1147"/>
      <c r="H147" s="1147" t="s">
        <v>197</v>
      </c>
      <c r="I147" s="1145">
        <v>120</v>
      </c>
      <c r="J147" s="1145" t="s">
        <v>1675</v>
      </c>
      <c r="K147" s="1149">
        <v>41515</v>
      </c>
      <c r="L147" s="1150"/>
      <c r="M147" s="1151">
        <v>41537</v>
      </c>
      <c r="N147" s="1152">
        <v>184</v>
      </c>
      <c r="O147" s="1153">
        <v>12</v>
      </c>
      <c r="P147" s="1158"/>
      <c r="Q147" s="1615" t="s">
        <v>3652</v>
      </c>
      <c r="R147" s="1158"/>
      <c r="S147" s="1160" t="e">
        <f t="shared" si="0"/>
        <v>#DIV/0!</v>
      </c>
      <c r="T147" s="1145" t="s">
        <v>400</v>
      </c>
      <c r="U147" s="1166"/>
      <c r="V147" s="1616">
        <v>0</v>
      </c>
      <c r="W147" s="1617">
        <v>41613</v>
      </c>
      <c r="X147" s="1011"/>
      <c r="Y147" s="1011"/>
      <c r="Z147" s="1011"/>
      <c r="AA147" s="1011"/>
      <c r="AB147" s="1011"/>
      <c r="AC147" s="1011"/>
      <c r="AD147" s="1011"/>
      <c r="AE147" s="1011"/>
      <c r="AF147" s="1011"/>
      <c r="AG147" s="1011"/>
      <c r="AH147" s="1011"/>
      <c r="AI147" s="1011"/>
      <c r="AJ147" s="1011"/>
      <c r="AK147" s="1011"/>
      <c r="AL147" s="1011"/>
      <c r="AM147" s="1011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</row>
    <row r="148" spans="1:61" ht="24" hidden="1">
      <c r="A148" s="470" t="s">
        <v>52</v>
      </c>
      <c r="B148" s="470" t="s">
        <v>139</v>
      </c>
      <c r="C148" s="1001" t="s">
        <v>55</v>
      </c>
      <c r="D148" s="470" t="s">
        <v>57</v>
      </c>
      <c r="E148" s="470" t="s">
        <v>58</v>
      </c>
      <c r="F148" s="470">
        <v>178</v>
      </c>
      <c r="G148" s="1001"/>
      <c r="H148" s="1001" t="s">
        <v>3603</v>
      </c>
      <c r="I148" s="470">
        <v>274</v>
      </c>
      <c r="J148" s="470" t="s">
        <v>60</v>
      </c>
      <c r="K148" s="1003">
        <v>41480</v>
      </c>
      <c r="L148" s="1004"/>
      <c r="M148" s="1005">
        <v>41537</v>
      </c>
      <c r="N148" s="1006">
        <v>185</v>
      </c>
      <c r="O148" s="1008">
        <v>24</v>
      </c>
      <c r="P148" s="466"/>
      <c r="Q148" s="1604">
        <v>7570000000000</v>
      </c>
      <c r="R148" s="466"/>
      <c r="S148" s="468" t="e">
        <f t="shared" si="0"/>
        <v>#DIV/0!</v>
      </c>
      <c r="T148" s="470" t="s">
        <v>400</v>
      </c>
      <c r="U148" s="471"/>
      <c r="V148" s="1010">
        <f>95</f>
        <v>95</v>
      </c>
      <c r="W148" s="1011"/>
      <c r="X148" s="1011"/>
      <c r="Y148" s="1011"/>
      <c r="Z148" s="1011"/>
      <c r="AA148" s="1011"/>
      <c r="AB148" s="1011"/>
      <c r="AC148" s="1011"/>
      <c r="AD148" s="1011"/>
      <c r="AE148" s="1011"/>
      <c r="AF148" s="1011"/>
      <c r="AG148" s="1011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</row>
    <row r="149" spans="1:61" ht="24" hidden="1" customHeight="1">
      <c r="A149" s="1145" t="s">
        <v>52</v>
      </c>
      <c r="B149" s="1145" t="s">
        <v>54</v>
      </c>
      <c r="C149" s="1147" t="s">
        <v>55</v>
      </c>
      <c r="D149" s="1145" t="s">
        <v>57</v>
      </c>
      <c r="E149" s="1145" t="s">
        <v>58</v>
      </c>
      <c r="F149" s="1145">
        <v>178</v>
      </c>
      <c r="G149" s="1147"/>
      <c r="H149" s="1147" t="s">
        <v>3656</v>
      </c>
      <c r="I149" s="1145">
        <v>199</v>
      </c>
      <c r="J149" s="1145" t="s">
        <v>2418</v>
      </c>
      <c r="K149" s="1149">
        <v>41543</v>
      </c>
      <c r="L149" s="1150"/>
      <c r="M149" s="1151">
        <v>41544</v>
      </c>
      <c r="N149" s="1152">
        <v>186</v>
      </c>
      <c r="O149" s="1153">
        <v>24</v>
      </c>
      <c r="P149" s="1158"/>
      <c r="Q149" s="1615" t="s">
        <v>3658</v>
      </c>
      <c r="R149" s="1158"/>
      <c r="S149" s="1160" t="e">
        <f t="shared" si="0"/>
        <v>#DIV/0!</v>
      </c>
      <c r="T149" s="1145" t="s">
        <v>400</v>
      </c>
      <c r="U149" s="1166"/>
      <c r="V149" s="1168">
        <v>150</v>
      </c>
      <c r="W149" s="1173" t="s">
        <v>3659</v>
      </c>
      <c r="X149" s="1011"/>
      <c r="Y149" s="1011"/>
      <c r="Z149" s="1011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</row>
    <row r="150" spans="1:61" ht="24" hidden="1">
      <c r="A150" s="470" t="s">
        <v>52</v>
      </c>
      <c r="B150" s="470" t="s">
        <v>139</v>
      </c>
      <c r="C150" s="1001" t="s">
        <v>55</v>
      </c>
      <c r="D150" s="470" t="s">
        <v>57</v>
      </c>
      <c r="E150" s="470" t="s">
        <v>58</v>
      </c>
      <c r="F150" s="470">
        <v>178</v>
      </c>
      <c r="G150" s="1001"/>
      <c r="H150" s="1001" t="s">
        <v>3603</v>
      </c>
      <c r="I150" s="470">
        <v>274</v>
      </c>
      <c r="J150" s="470" t="s">
        <v>60</v>
      </c>
      <c r="K150" s="1003">
        <v>41480</v>
      </c>
      <c r="L150" s="1004"/>
      <c r="M150" s="1005">
        <v>41544</v>
      </c>
      <c r="N150" s="1006">
        <v>187</v>
      </c>
      <c r="O150" s="1008">
        <v>24</v>
      </c>
      <c r="P150" s="466"/>
      <c r="Q150" s="1604" t="s">
        <v>3660</v>
      </c>
      <c r="R150" s="466"/>
      <c r="S150" s="468" t="e">
        <f t="shared" si="0"/>
        <v>#DIV/0!</v>
      </c>
      <c r="T150" s="470" t="s">
        <v>400</v>
      </c>
      <c r="U150" s="471"/>
      <c r="V150" s="1010">
        <f>116</f>
        <v>116</v>
      </c>
      <c r="W150" s="1011"/>
      <c r="X150" s="1301" t="s">
        <v>3662</v>
      </c>
      <c r="Y150" s="1011"/>
      <c r="Z150" s="1011"/>
      <c r="AA150" s="1011"/>
      <c r="AB150" s="1011"/>
      <c r="AC150" s="1011"/>
      <c r="AD150" s="1011"/>
      <c r="AE150" s="1011"/>
      <c r="AF150" s="1011"/>
      <c r="AG150" s="1011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</row>
    <row r="151" spans="1:61" ht="24" hidden="1">
      <c r="A151" s="470" t="s">
        <v>52</v>
      </c>
      <c r="B151" s="470" t="s">
        <v>177</v>
      </c>
      <c r="C151" s="1001" t="s">
        <v>2510</v>
      </c>
      <c r="D151" s="470" t="s">
        <v>187</v>
      </c>
      <c r="E151" s="470" t="s">
        <v>58</v>
      </c>
      <c r="F151" s="470">
        <v>178</v>
      </c>
      <c r="G151" s="1001"/>
      <c r="H151" s="1001" t="s">
        <v>2825</v>
      </c>
      <c r="I151" s="470">
        <v>212</v>
      </c>
      <c r="J151" s="470" t="s">
        <v>1675</v>
      </c>
      <c r="K151" s="1003">
        <v>41504</v>
      </c>
      <c r="L151" s="1003"/>
      <c r="M151" s="1005">
        <v>41374</v>
      </c>
      <c r="N151" s="1006">
        <v>188</v>
      </c>
      <c r="O151" s="1008">
        <v>12</v>
      </c>
      <c r="P151" s="466"/>
      <c r="Q151" s="1604" t="s">
        <v>3665</v>
      </c>
      <c r="R151" s="466"/>
      <c r="S151" s="468" t="e">
        <f t="shared" si="0"/>
        <v>#DIV/0!</v>
      </c>
      <c r="T151" s="470" t="s">
        <v>400</v>
      </c>
      <c r="U151" s="471"/>
      <c r="V151" s="1612">
        <f>14</f>
        <v>14</v>
      </c>
      <c r="W151" s="1011"/>
      <c r="X151" s="1011"/>
      <c r="Y151" s="1011"/>
      <c r="Z151" s="1011"/>
      <c r="AA151" s="1011"/>
      <c r="AB151" s="1011"/>
      <c r="AC151" s="1011"/>
      <c r="AD151" s="1011"/>
      <c r="AE151" s="1011"/>
      <c r="AF151" s="1011"/>
      <c r="AG151" s="1011"/>
      <c r="AH151" s="1011"/>
      <c r="AI151" s="1011"/>
      <c r="AJ151" s="1011"/>
      <c r="AK151" s="1011"/>
      <c r="AL151" s="1011"/>
      <c r="AM151" s="1011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</row>
    <row r="152" spans="1:61" ht="24" hidden="1">
      <c r="A152" s="981" t="s">
        <v>2247</v>
      </c>
      <c r="B152" s="981" t="s">
        <v>3669</v>
      </c>
      <c r="C152" s="983" t="s">
        <v>1967</v>
      </c>
      <c r="D152" s="981" t="s">
        <v>57</v>
      </c>
      <c r="E152" s="981" t="s">
        <v>58</v>
      </c>
      <c r="F152" s="981">
        <v>178</v>
      </c>
      <c r="G152" s="983"/>
      <c r="H152" s="983" t="s">
        <v>3670</v>
      </c>
      <c r="I152" s="981">
        <v>272</v>
      </c>
      <c r="J152" s="981" t="s">
        <v>60</v>
      </c>
      <c r="K152" s="986">
        <v>41511</v>
      </c>
      <c r="L152" s="986"/>
      <c r="M152" s="988">
        <v>41374</v>
      </c>
      <c r="N152" s="989">
        <v>189</v>
      </c>
      <c r="O152" s="984">
        <v>6</v>
      </c>
      <c r="P152" s="992"/>
      <c r="Q152" s="1618" t="s">
        <v>3672</v>
      </c>
      <c r="R152" s="992"/>
      <c r="S152" s="994" t="e">
        <f t="shared" si="0"/>
        <v>#DIV/0!</v>
      </c>
      <c r="T152" s="981" t="s">
        <v>400</v>
      </c>
      <c r="U152" s="995"/>
      <c r="V152" s="996">
        <f>4</f>
        <v>4</v>
      </c>
      <c r="W152" s="997" t="s">
        <v>2934</v>
      </c>
      <c r="X152" s="998"/>
      <c r="Y152" s="998"/>
      <c r="Z152" s="998"/>
      <c r="AA152" s="998"/>
      <c r="AB152" s="998"/>
      <c r="AC152" s="998"/>
      <c r="AD152" s="998"/>
      <c r="AE152" s="998"/>
      <c r="AF152" s="998"/>
      <c r="AG152" s="998"/>
      <c r="AH152" s="998"/>
      <c r="AI152" s="998"/>
      <c r="AJ152" s="998"/>
      <c r="AK152" s="998"/>
      <c r="AL152" s="998"/>
      <c r="AM152" s="998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4"/>
      <c r="BB152" s="234"/>
      <c r="BC152" s="234"/>
      <c r="BD152" s="234"/>
      <c r="BE152" s="234"/>
      <c r="BF152" s="234"/>
      <c r="BG152" s="234"/>
      <c r="BH152" s="234"/>
      <c r="BI152" s="234"/>
    </row>
    <row r="153" spans="1:61" ht="24" hidden="1">
      <c r="A153" s="711" t="s">
        <v>52</v>
      </c>
      <c r="B153" s="711" t="s">
        <v>2698</v>
      </c>
      <c r="C153" s="717" t="s">
        <v>178</v>
      </c>
      <c r="D153" s="711" t="s">
        <v>3322</v>
      </c>
      <c r="E153" s="711" t="s">
        <v>58</v>
      </c>
      <c r="F153" s="724">
        <v>178</v>
      </c>
      <c r="G153" s="717"/>
      <c r="H153" s="717" t="s">
        <v>197</v>
      </c>
      <c r="I153" s="711">
        <v>120</v>
      </c>
      <c r="J153" s="711" t="s">
        <v>1675</v>
      </c>
      <c r="K153" s="1619"/>
      <c r="L153" s="1619"/>
      <c r="M153" s="1620"/>
      <c r="N153" s="723">
        <v>190</v>
      </c>
      <c r="O153" s="724">
        <v>12</v>
      </c>
      <c r="P153" s="727"/>
      <c r="Q153" s="761">
        <v>15500000000000</v>
      </c>
      <c r="R153" s="727"/>
      <c r="S153" s="728" t="e">
        <f t="shared" si="0"/>
        <v>#DIV/0!</v>
      </c>
      <c r="T153" s="729"/>
      <c r="U153" s="729"/>
      <c r="V153" s="730">
        <v>190</v>
      </c>
      <c r="W153" s="768" t="s">
        <v>503</v>
      </c>
      <c r="X153" s="731"/>
      <c r="Y153" s="731"/>
      <c r="Z153" s="731"/>
      <c r="AA153" s="731"/>
      <c r="AB153" s="731"/>
      <c r="AC153" s="731"/>
      <c r="AD153" s="731"/>
      <c r="AE153" s="731"/>
      <c r="AF153" s="731"/>
      <c r="AG153" s="731"/>
      <c r="AH153" s="377"/>
      <c r="AI153" s="377"/>
      <c r="AJ153" s="377"/>
      <c r="AK153" s="377"/>
      <c r="AL153" s="377"/>
      <c r="AM153" s="377"/>
      <c r="AN153" s="377"/>
      <c r="AO153" s="377"/>
      <c r="AP153" s="377"/>
      <c r="AQ153" s="377"/>
      <c r="AR153" s="377"/>
      <c r="AS153" s="377"/>
      <c r="AT153" s="377"/>
      <c r="AU153" s="377"/>
      <c r="AV153" s="377"/>
      <c r="AW153" s="377"/>
      <c r="AX153" s="377"/>
      <c r="AY153" s="377"/>
      <c r="AZ153" s="377"/>
      <c r="BA153" s="377"/>
      <c r="BB153" s="377"/>
      <c r="BC153" s="377"/>
      <c r="BD153" s="377"/>
      <c r="BE153" s="377"/>
      <c r="BF153" s="377"/>
      <c r="BG153" s="377"/>
      <c r="BH153" s="377"/>
      <c r="BI153" s="377"/>
    </row>
    <row r="154" spans="1:61" ht="24" hidden="1">
      <c r="A154" s="29" t="s">
        <v>52</v>
      </c>
      <c r="B154" s="29" t="s">
        <v>54</v>
      </c>
      <c r="C154" s="31" t="s">
        <v>1967</v>
      </c>
      <c r="D154" s="29" t="s">
        <v>568</v>
      </c>
      <c r="E154" s="29" t="s">
        <v>58</v>
      </c>
      <c r="F154" s="29">
        <v>178</v>
      </c>
      <c r="G154" s="31"/>
      <c r="H154" s="31" t="s">
        <v>2076</v>
      </c>
      <c r="I154" s="29">
        <v>91</v>
      </c>
      <c r="J154" s="29" t="s">
        <v>1996</v>
      </c>
      <c r="K154" s="1621"/>
      <c r="L154" s="35"/>
      <c r="M154" s="38">
        <v>41374</v>
      </c>
      <c r="N154" s="40">
        <v>191</v>
      </c>
      <c r="O154" s="33">
        <v>9</v>
      </c>
      <c r="P154" s="48"/>
      <c r="Q154" s="1622" t="s">
        <v>3683</v>
      </c>
      <c r="R154" s="48"/>
      <c r="S154" s="55" t="e">
        <f t="shared" si="0"/>
        <v>#DIV/0!</v>
      </c>
      <c r="T154" s="29" t="s">
        <v>400</v>
      </c>
      <c r="U154" s="57"/>
      <c r="V154" s="600">
        <f>140</f>
        <v>140</v>
      </c>
      <c r="W154" s="61"/>
      <c r="X154" s="61"/>
      <c r="Y154" s="61"/>
      <c r="Z154" s="61"/>
      <c r="AA154" s="61"/>
      <c r="AB154" s="61"/>
      <c r="AC154" s="61"/>
      <c r="AD154" s="61"/>
      <c r="AE154" s="61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</row>
    <row r="155" spans="1:61" ht="24" hidden="1">
      <c r="A155" s="29" t="s">
        <v>52</v>
      </c>
      <c r="B155" s="29" t="s">
        <v>54</v>
      </c>
      <c r="C155" s="31" t="s">
        <v>1967</v>
      </c>
      <c r="D155" s="29" t="s">
        <v>568</v>
      </c>
      <c r="E155" s="29" t="s">
        <v>58</v>
      </c>
      <c r="F155" s="29">
        <v>178</v>
      </c>
      <c r="G155" s="31"/>
      <c r="H155" s="31" t="s">
        <v>2077</v>
      </c>
      <c r="I155" s="29">
        <v>89</v>
      </c>
      <c r="J155" s="29" t="s">
        <v>1996</v>
      </c>
      <c r="K155" s="1621"/>
      <c r="L155" s="35"/>
      <c r="M155" s="38">
        <v>41374</v>
      </c>
      <c r="N155" s="40">
        <v>192</v>
      </c>
      <c r="O155" s="33">
        <v>9</v>
      </c>
      <c r="P155" s="48"/>
      <c r="Q155" s="1622" t="s">
        <v>3689</v>
      </c>
      <c r="R155" s="48"/>
      <c r="S155" s="55" t="e">
        <f t="shared" si="0"/>
        <v>#DIV/0!</v>
      </c>
      <c r="T155" s="1623">
        <v>41963</v>
      </c>
      <c r="U155" s="57"/>
      <c r="V155" s="600">
        <f>42</f>
        <v>42</v>
      </c>
      <c r="W155" s="61"/>
      <c r="X155" s="61"/>
      <c r="Y155" s="61"/>
      <c r="Z155" s="61"/>
      <c r="AA155" s="61"/>
      <c r="AB155" s="61"/>
      <c r="AC155" s="61"/>
      <c r="AD155" s="61"/>
      <c r="AE155" s="61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</row>
    <row r="156" spans="1:61" ht="24" hidden="1">
      <c r="A156" s="628" t="s">
        <v>52</v>
      </c>
      <c r="B156" s="628" t="s">
        <v>2508</v>
      </c>
      <c r="C156" s="629" t="s">
        <v>3233</v>
      </c>
      <c r="D156" s="628" t="s">
        <v>70</v>
      </c>
      <c r="E156" s="628" t="s">
        <v>516</v>
      </c>
      <c r="F156" s="628">
        <v>140</v>
      </c>
      <c r="G156" s="629"/>
      <c r="H156" s="629" t="s">
        <v>3691</v>
      </c>
      <c r="I156" s="628">
        <v>256</v>
      </c>
      <c r="J156" s="628" t="s">
        <v>3692</v>
      </c>
      <c r="K156" s="1345">
        <v>41536</v>
      </c>
      <c r="L156" s="1345"/>
      <c r="M156" s="631">
        <v>41588</v>
      </c>
      <c r="N156" s="633">
        <v>193</v>
      </c>
      <c r="O156" s="634">
        <v>6</v>
      </c>
      <c r="P156" s="638"/>
      <c r="Q156" s="660" t="s">
        <v>3693</v>
      </c>
      <c r="R156" s="638"/>
      <c r="S156" s="640" t="e">
        <f t="shared" si="0"/>
        <v>#DIV/0!</v>
      </c>
      <c r="T156" s="642"/>
      <c r="U156" s="642"/>
      <c r="V156" s="1606">
        <f>92</f>
        <v>92</v>
      </c>
      <c r="W156" s="645"/>
      <c r="X156" s="645"/>
      <c r="Y156" s="645"/>
      <c r="Z156" s="645"/>
      <c r="AA156" s="645"/>
      <c r="AB156" s="645"/>
      <c r="AC156" s="645"/>
      <c r="AD156" s="645"/>
      <c r="AE156" s="645"/>
      <c r="AF156" s="645"/>
      <c r="AG156" s="645"/>
      <c r="AH156" s="645"/>
      <c r="AI156" s="645"/>
      <c r="AJ156" s="645"/>
      <c r="AK156" s="645"/>
      <c r="AL156" s="645"/>
      <c r="AM156" s="645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</row>
    <row r="157" spans="1:61" ht="24" hidden="1">
      <c r="A157" s="934" t="s">
        <v>2247</v>
      </c>
      <c r="B157" s="934" t="s">
        <v>2886</v>
      </c>
      <c r="C157" s="937" t="s">
        <v>2887</v>
      </c>
      <c r="D157" s="934" t="s">
        <v>345</v>
      </c>
      <c r="E157" s="934" t="s">
        <v>490</v>
      </c>
      <c r="F157" s="939">
        <v>168</v>
      </c>
      <c r="G157" s="937"/>
      <c r="H157" s="937" t="s">
        <v>2892</v>
      </c>
      <c r="I157" s="934" t="s">
        <v>2893</v>
      </c>
      <c r="J157" s="934" t="s">
        <v>1012</v>
      </c>
      <c r="K157" s="941">
        <v>41534</v>
      </c>
      <c r="L157" s="941"/>
      <c r="M157" s="943">
        <v>41588</v>
      </c>
      <c r="N157" s="945">
        <v>194</v>
      </c>
      <c r="O157" s="939">
        <v>9</v>
      </c>
      <c r="P157" s="954"/>
      <c r="Q157" s="1627" t="s">
        <v>3696</v>
      </c>
      <c r="R157" s="954"/>
      <c r="S157" s="956" t="e">
        <f t="shared" si="0"/>
        <v>#DIV/0!</v>
      </c>
      <c r="T157" s="934" t="s">
        <v>400</v>
      </c>
      <c r="U157" s="957"/>
      <c r="V157" s="958">
        <v>100</v>
      </c>
      <c r="W157" s="1628">
        <v>41697</v>
      </c>
      <c r="X157" s="1629"/>
      <c r="Y157" s="1629"/>
      <c r="Z157" s="1629"/>
      <c r="AA157" s="1629"/>
      <c r="AB157" s="1629"/>
      <c r="AC157" s="1629"/>
      <c r="AD157" s="1629"/>
      <c r="AE157" s="1629"/>
      <c r="AF157" s="377"/>
      <c r="AG157" s="377"/>
      <c r="AH157" s="377"/>
      <c r="AI157" s="377"/>
      <c r="AJ157" s="377"/>
      <c r="AK157" s="377"/>
      <c r="AL157" s="377"/>
      <c r="AM157" s="377"/>
      <c r="AN157" s="377"/>
      <c r="AO157" s="377"/>
      <c r="AP157" s="377"/>
      <c r="AQ157" s="377"/>
      <c r="AR157" s="377"/>
      <c r="AS157" s="377"/>
      <c r="AT157" s="377"/>
      <c r="AU157" s="377"/>
      <c r="AV157" s="377"/>
      <c r="AW157" s="377"/>
      <c r="AX157" s="37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</row>
    <row r="158" spans="1:61" ht="24" hidden="1">
      <c r="A158" s="981" t="s">
        <v>2247</v>
      </c>
      <c r="B158" s="981" t="s">
        <v>2886</v>
      </c>
      <c r="C158" s="983" t="s">
        <v>2887</v>
      </c>
      <c r="D158" s="981" t="s">
        <v>345</v>
      </c>
      <c r="E158" s="981" t="s">
        <v>490</v>
      </c>
      <c r="F158" s="984">
        <v>168</v>
      </c>
      <c r="G158" s="983"/>
      <c r="H158" s="983" t="s">
        <v>3701</v>
      </c>
      <c r="I158" s="981" t="s">
        <v>2893</v>
      </c>
      <c r="J158" s="981" t="s">
        <v>2902</v>
      </c>
      <c r="K158" s="986">
        <v>41534</v>
      </c>
      <c r="L158" s="986"/>
      <c r="M158" s="988">
        <v>41588</v>
      </c>
      <c r="N158" s="989">
        <v>195</v>
      </c>
      <c r="O158" s="984">
        <v>9</v>
      </c>
      <c r="P158" s="992"/>
      <c r="Q158" s="1618" t="s">
        <v>3703</v>
      </c>
      <c r="R158" s="992"/>
      <c r="S158" s="994" t="e">
        <f t="shared" si="0"/>
        <v>#DIV/0!</v>
      </c>
      <c r="T158" s="981" t="s">
        <v>400</v>
      </c>
      <c r="U158" s="995"/>
      <c r="V158" s="1630">
        <v>110</v>
      </c>
      <c r="W158" s="1631" t="s">
        <v>3706</v>
      </c>
      <c r="X158" s="998"/>
      <c r="Y158" s="998"/>
      <c r="Z158" s="998"/>
      <c r="AA158" s="998"/>
      <c r="AB158" s="998"/>
      <c r="AC158" s="998"/>
      <c r="AD158" s="998"/>
      <c r="AE158" s="998"/>
      <c r="AF158" s="234"/>
      <c r="AG158" s="234"/>
      <c r="AH158" s="234"/>
      <c r="AI158" s="234"/>
      <c r="AJ158" s="234"/>
      <c r="AK158" s="234"/>
      <c r="AL158" s="234"/>
      <c r="AM158" s="234"/>
      <c r="AN158" s="234"/>
      <c r="AO158" s="234"/>
      <c r="AP158" s="234"/>
      <c r="AQ158" s="234"/>
      <c r="AR158" s="234"/>
      <c r="AS158" s="234"/>
      <c r="AT158" s="234"/>
      <c r="AU158" s="234"/>
      <c r="AV158" s="234"/>
      <c r="AW158" s="234"/>
      <c r="AX158" s="234"/>
      <c r="AY158" s="234"/>
      <c r="AZ158" s="234"/>
      <c r="BA158" s="234"/>
      <c r="BB158" s="234"/>
      <c r="BC158" s="234"/>
      <c r="BD158" s="234"/>
      <c r="BE158" s="234"/>
      <c r="BF158" s="234"/>
      <c r="BG158" s="234"/>
      <c r="BH158" s="234"/>
      <c r="BI158" s="234"/>
    </row>
    <row r="159" spans="1:61" ht="1.5" hidden="1" customHeight="1">
      <c r="A159" s="1145" t="s">
        <v>52</v>
      </c>
      <c r="B159" s="1145" t="s">
        <v>54</v>
      </c>
      <c r="C159" s="1147" t="s">
        <v>1967</v>
      </c>
      <c r="D159" s="1145" t="s">
        <v>568</v>
      </c>
      <c r="E159" s="1145" t="s">
        <v>58</v>
      </c>
      <c r="F159" s="1145">
        <v>178</v>
      </c>
      <c r="G159" s="1147"/>
      <c r="H159" s="1147" t="s">
        <v>3709</v>
      </c>
      <c r="I159" s="1145">
        <v>92</v>
      </c>
      <c r="J159" s="1145" t="s">
        <v>1996</v>
      </c>
      <c r="K159" s="1632"/>
      <c r="L159" s="1150"/>
      <c r="M159" s="1151">
        <v>41564</v>
      </c>
      <c r="N159" s="1152">
        <v>196</v>
      </c>
      <c r="O159" s="1153">
        <v>24</v>
      </c>
      <c r="P159" s="1158"/>
      <c r="Q159" s="1615">
        <v>250000000000000</v>
      </c>
      <c r="R159" s="1158"/>
      <c r="S159" s="1160" t="e">
        <f t="shared" si="0"/>
        <v>#DIV/0!</v>
      </c>
      <c r="T159" s="1145" t="s">
        <v>400</v>
      </c>
      <c r="U159" s="1633">
        <v>41719</v>
      </c>
      <c r="V159" s="1168">
        <v>210</v>
      </c>
      <c r="W159" s="1173" t="s">
        <v>3713</v>
      </c>
      <c r="X159" s="1634"/>
      <c r="Y159" s="1634"/>
      <c r="Z159" s="1634"/>
      <c r="AA159" s="1634"/>
      <c r="AB159" s="1634"/>
      <c r="AC159" s="1634"/>
      <c r="AD159" s="1634"/>
      <c r="AE159" s="1634"/>
      <c r="AF159" s="1634"/>
      <c r="AG159" s="1634"/>
      <c r="AH159" s="1634"/>
      <c r="AI159" s="1634"/>
      <c r="AJ159" s="1634"/>
      <c r="AK159" s="1634"/>
      <c r="AL159" s="1634"/>
      <c r="AM159" s="1634"/>
      <c r="AN159" s="1634"/>
      <c r="AO159" s="1634"/>
      <c r="AP159" s="1634"/>
      <c r="AQ159" s="1634"/>
      <c r="AR159" s="1634"/>
      <c r="AS159" s="1634"/>
      <c r="AT159" s="1634"/>
      <c r="AU159" s="1634"/>
      <c r="AV159" s="377"/>
      <c r="AW159" s="377"/>
      <c r="AX159" s="377"/>
      <c r="AY159" s="377"/>
      <c r="AZ159" s="377"/>
      <c r="BA159" s="377"/>
      <c r="BB159" s="377"/>
      <c r="BC159" s="377"/>
      <c r="BD159" s="377"/>
      <c r="BE159" s="377"/>
      <c r="BF159" s="377"/>
      <c r="BG159" s="377"/>
      <c r="BH159" s="377"/>
      <c r="BI159" s="377"/>
    </row>
    <row r="160" spans="1:61" ht="27.75" hidden="1" customHeight="1">
      <c r="A160" s="470" t="s">
        <v>52</v>
      </c>
      <c r="B160" s="470" t="s">
        <v>54</v>
      </c>
      <c r="C160" s="1001" t="s">
        <v>3715</v>
      </c>
      <c r="D160" s="470" t="s">
        <v>345</v>
      </c>
      <c r="E160" s="470" t="s">
        <v>58</v>
      </c>
      <c r="F160" s="1008">
        <v>178</v>
      </c>
      <c r="G160" s="1001"/>
      <c r="H160" s="1001" t="s">
        <v>168</v>
      </c>
      <c r="I160" s="470">
        <v>286</v>
      </c>
      <c r="J160" s="470">
        <v>0.56999999999999995</v>
      </c>
      <c r="K160" s="1003">
        <v>41535</v>
      </c>
      <c r="L160" s="1004"/>
      <c r="M160" s="1005">
        <v>41572</v>
      </c>
      <c r="N160" s="1006">
        <v>197</v>
      </c>
      <c r="O160" s="1008">
        <v>12</v>
      </c>
      <c r="P160" s="466"/>
      <c r="Q160" s="1604">
        <v>75700000000000</v>
      </c>
      <c r="R160" s="466"/>
      <c r="S160" s="468" t="e">
        <f t="shared" si="0"/>
        <v>#DIV/0!</v>
      </c>
      <c r="T160" s="470" t="s">
        <v>400</v>
      </c>
      <c r="U160" s="471"/>
      <c r="V160" s="1010">
        <f>12</f>
        <v>12</v>
      </c>
      <c r="W160" s="1011"/>
      <c r="X160" s="1011"/>
      <c r="Y160" s="1011"/>
      <c r="Z160" s="1011"/>
      <c r="AA160" s="1011"/>
      <c r="AB160" s="1011"/>
      <c r="AC160" s="1011"/>
      <c r="AD160" s="1011"/>
      <c r="AE160" s="1011"/>
      <c r="AF160" s="1011"/>
      <c r="AG160" s="1011"/>
      <c r="AH160" s="1011"/>
      <c r="AI160" s="1011"/>
      <c r="AJ160" s="1011"/>
      <c r="AK160" s="1011"/>
      <c r="AL160" s="1011"/>
      <c r="AM160" s="1011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</row>
    <row r="161" spans="1:61" ht="24.75" hidden="1" customHeight="1">
      <c r="A161" s="470" t="s">
        <v>52</v>
      </c>
      <c r="B161" s="470" t="s">
        <v>54</v>
      </c>
      <c r="C161" s="1001" t="s">
        <v>3715</v>
      </c>
      <c r="D161" s="470" t="s">
        <v>345</v>
      </c>
      <c r="E161" s="470" t="s">
        <v>58</v>
      </c>
      <c r="F161" s="1008">
        <v>178</v>
      </c>
      <c r="G161" s="1001"/>
      <c r="H161" s="1001" t="s">
        <v>194</v>
      </c>
      <c r="I161" s="470">
        <v>287</v>
      </c>
      <c r="J161" s="470">
        <v>0.77</v>
      </c>
      <c r="K161" s="1003">
        <v>41535</v>
      </c>
      <c r="L161" s="1004"/>
      <c r="M161" s="1005" t="s">
        <v>3720</v>
      </c>
      <c r="N161" s="1006">
        <v>198</v>
      </c>
      <c r="O161" s="1008">
        <v>12</v>
      </c>
      <c r="P161" s="466"/>
      <c r="Q161" s="1604">
        <v>117000000000000</v>
      </c>
      <c r="R161" s="466"/>
      <c r="S161" s="468" t="e">
        <f t="shared" si="0"/>
        <v>#DIV/0!</v>
      </c>
      <c r="T161" s="470" t="s">
        <v>400</v>
      </c>
      <c r="U161" s="471"/>
      <c r="V161" s="1010">
        <f>16</f>
        <v>16</v>
      </c>
      <c r="W161" s="1301" t="s">
        <v>3722</v>
      </c>
      <c r="X161" s="1011"/>
      <c r="Y161" s="1011"/>
      <c r="Z161" s="1011"/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</row>
    <row r="162" spans="1:61" ht="25.5" hidden="1" customHeight="1">
      <c r="A162" s="263" t="s">
        <v>52</v>
      </c>
      <c r="B162" s="263" t="s">
        <v>177</v>
      </c>
      <c r="C162" s="265" t="s">
        <v>3715</v>
      </c>
      <c r="D162" s="263" t="s">
        <v>345</v>
      </c>
      <c r="E162" s="263" t="s">
        <v>58</v>
      </c>
      <c r="F162" s="269">
        <v>178</v>
      </c>
      <c r="G162" s="265"/>
      <c r="H162" s="265" t="s">
        <v>3724</v>
      </c>
      <c r="I162" s="263">
        <v>84</v>
      </c>
      <c r="J162" s="263" t="s">
        <v>3726</v>
      </c>
      <c r="K162" s="274">
        <v>41535</v>
      </c>
      <c r="L162" s="274"/>
      <c r="M162" s="277">
        <v>41497</v>
      </c>
      <c r="N162" s="278">
        <v>199</v>
      </c>
      <c r="O162" s="269">
        <v>6</v>
      </c>
      <c r="P162" s="292"/>
      <c r="Q162" s="1635" t="s">
        <v>3728</v>
      </c>
      <c r="R162" s="292"/>
      <c r="S162" s="293" t="e">
        <f t="shared" si="0"/>
        <v>#DIV/0!</v>
      </c>
      <c r="T162" s="263" t="s">
        <v>400</v>
      </c>
      <c r="U162" s="271"/>
      <c r="V162" s="620">
        <f>52</f>
        <v>52</v>
      </c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  <c r="AL162" s="295"/>
      <c r="AM162" s="295"/>
      <c r="AN162" s="295"/>
      <c r="AO162" s="295"/>
      <c r="AP162" s="295"/>
      <c r="AQ162" s="295"/>
      <c r="AR162" s="295"/>
      <c r="AS162" s="295"/>
      <c r="AT162" s="295"/>
      <c r="AU162" s="295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</row>
    <row r="163" spans="1:61" ht="29.25" hidden="1" customHeight="1">
      <c r="A163" s="1640" t="s">
        <v>3734</v>
      </c>
      <c r="B163" s="1641" t="s">
        <v>601</v>
      </c>
      <c r="C163" s="1642" t="s">
        <v>1967</v>
      </c>
      <c r="D163" s="1641" t="s">
        <v>1088</v>
      </c>
      <c r="E163" s="1641" t="s">
        <v>516</v>
      </c>
      <c r="F163" s="1641">
        <v>140</v>
      </c>
      <c r="G163" s="1642"/>
      <c r="H163" s="1642" t="s">
        <v>3736</v>
      </c>
      <c r="I163" s="1641">
        <v>290</v>
      </c>
      <c r="J163" s="1641" t="s">
        <v>3726</v>
      </c>
      <c r="K163" s="1643">
        <v>41344</v>
      </c>
      <c r="L163" s="1643"/>
      <c r="M163" s="1644">
        <v>41497</v>
      </c>
      <c r="N163" s="1645">
        <v>200</v>
      </c>
      <c r="O163" s="1646">
        <v>12</v>
      </c>
      <c r="P163" s="1647"/>
      <c r="Q163" s="1648" t="s">
        <v>3737</v>
      </c>
      <c r="R163" s="1647"/>
      <c r="S163" s="1649" t="e">
        <f t="shared" si="0"/>
        <v>#DIV/0!</v>
      </c>
      <c r="T163" s="1641" t="s">
        <v>400</v>
      </c>
      <c r="U163" s="1650"/>
      <c r="V163" s="1651">
        <f>87</f>
        <v>87</v>
      </c>
      <c r="W163" s="377"/>
      <c r="X163" s="377"/>
      <c r="Y163" s="377"/>
      <c r="Z163" s="377"/>
      <c r="AA163" s="377"/>
      <c r="AB163" s="377"/>
      <c r="AC163" s="377"/>
      <c r="AD163" s="377"/>
      <c r="AE163" s="377"/>
      <c r="AF163" s="377"/>
      <c r="AG163" s="377"/>
      <c r="AH163" s="377"/>
      <c r="AI163" s="377"/>
      <c r="AJ163" s="377"/>
      <c r="AK163" s="377"/>
      <c r="AL163" s="377"/>
      <c r="AM163" s="377"/>
      <c r="AN163" s="377"/>
      <c r="AO163" s="377"/>
      <c r="AP163" s="377"/>
      <c r="AQ163" s="377"/>
      <c r="AR163" s="377"/>
      <c r="AS163" s="377"/>
      <c r="AT163" s="377"/>
      <c r="AU163" s="377"/>
      <c r="AV163" s="377"/>
      <c r="AW163" s="377"/>
      <c r="AX163" s="377"/>
      <c r="AY163" s="377"/>
      <c r="AZ163" s="377"/>
      <c r="BA163" s="377"/>
      <c r="BB163" s="377"/>
      <c r="BC163" s="377"/>
      <c r="BD163" s="377"/>
      <c r="BE163" s="377"/>
      <c r="BF163" s="377"/>
      <c r="BG163" s="377"/>
      <c r="BH163" s="377"/>
      <c r="BI163" s="377"/>
    </row>
    <row r="164" spans="1:61" ht="26.25" hidden="1" customHeight="1">
      <c r="A164" s="1640" t="s">
        <v>3734</v>
      </c>
      <c r="B164" s="1641" t="s">
        <v>601</v>
      </c>
      <c r="C164" s="1642" t="s">
        <v>1967</v>
      </c>
      <c r="D164" s="1641" t="s">
        <v>1088</v>
      </c>
      <c r="E164" s="1641" t="s">
        <v>516</v>
      </c>
      <c r="F164" s="1641">
        <v>140</v>
      </c>
      <c r="G164" s="1642"/>
      <c r="H164" s="1642" t="s">
        <v>3738</v>
      </c>
      <c r="I164" s="1641">
        <v>291</v>
      </c>
      <c r="J164" s="1641" t="s">
        <v>3726</v>
      </c>
      <c r="K164" s="1643">
        <v>41344</v>
      </c>
      <c r="L164" s="1643"/>
      <c r="M164" s="1644">
        <v>41497</v>
      </c>
      <c r="N164" s="1645">
        <v>201</v>
      </c>
      <c r="O164" s="1646">
        <v>12</v>
      </c>
      <c r="P164" s="1647"/>
      <c r="Q164" s="1648" t="s">
        <v>3739</v>
      </c>
      <c r="R164" s="1647"/>
      <c r="S164" s="1649" t="e">
        <f t="shared" si="0"/>
        <v>#DIV/0!</v>
      </c>
      <c r="T164" s="1641" t="s">
        <v>400</v>
      </c>
      <c r="U164" s="1650"/>
      <c r="V164" s="1652">
        <v>175</v>
      </c>
      <c r="W164" s="377"/>
      <c r="X164" s="377"/>
      <c r="Y164" s="377"/>
      <c r="Z164" s="377"/>
      <c r="AA164" s="377"/>
      <c r="AB164" s="377"/>
      <c r="AC164" s="377"/>
      <c r="AD164" s="377"/>
      <c r="AE164" s="377"/>
      <c r="AF164" s="377"/>
      <c r="AG164" s="377"/>
      <c r="AH164" s="377"/>
      <c r="AI164" s="377"/>
      <c r="AJ164" s="377"/>
      <c r="AK164" s="377"/>
      <c r="AL164" s="377"/>
      <c r="AM164" s="377"/>
      <c r="AN164" s="377"/>
      <c r="AO164" s="377"/>
      <c r="AP164" s="377"/>
      <c r="AQ164" s="377"/>
      <c r="AR164" s="377"/>
      <c r="AS164" s="377"/>
      <c r="AT164" s="377"/>
      <c r="AU164" s="377"/>
      <c r="AV164" s="377"/>
      <c r="AW164" s="377"/>
      <c r="AX164" s="377"/>
      <c r="AY164" s="377"/>
      <c r="AZ164" s="377"/>
      <c r="BA164" s="377"/>
      <c r="BB164" s="377"/>
      <c r="BC164" s="377"/>
      <c r="BD164" s="377"/>
      <c r="BE164" s="377"/>
      <c r="BF164" s="377"/>
      <c r="BG164" s="377"/>
      <c r="BH164" s="377"/>
      <c r="BI164" s="377"/>
    </row>
    <row r="165" spans="1:61" ht="20.25" hidden="1" customHeight="1">
      <c r="A165" s="483" t="s">
        <v>52</v>
      </c>
      <c r="B165" s="483" t="s">
        <v>601</v>
      </c>
      <c r="C165" s="485" t="s">
        <v>1967</v>
      </c>
      <c r="D165" s="483" t="s">
        <v>568</v>
      </c>
      <c r="E165" s="483" t="s">
        <v>58</v>
      </c>
      <c r="F165" s="483">
        <v>178</v>
      </c>
      <c r="G165" s="485"/>
      <c r="H165" s="485" t="s">
        <v>3740</v>
      </c>
      <c r="I165" s="483">
        <v>292</v>
      </c>
      <c r="J165" s="483" t="s">
        <v>1996</v>
      </c>
      <c r="K165" s="492">
        <v>41344</v>
      </c>
      <c r="L165" s="598"/>
      <c r="M165" s="496">
        <v>41593</v>
      </c>
      <c r="N165" s="498">
        <v>202</v>
      </c>
      <c r="O165" s="490">
        <v>12</v>
      </c>
      <c r="P165" s="504"/>
      <c r="Q165" s="1653" t="s">
        <v>3741</v>
      </c>
      <c r="R165" s="504"/>
      <c r="S165" s="506" t="e">
        <f t="shared" si="0"/>
        <v>#DIV/0!</v>
      </c>
      <c r="T165" s="483" t="s">
        <v>400</v>
      </c>
      <c r="U165" s="508"/>
      <c r="V165" s="518">
        <v>130</v>
      </c>
      <c r="W165" s="512"/>
      <c r="X165" s="512"/>
      <c r="Y165" s="512"/>
      <c r="Z165" s="512"/>
      <c r="AA165" s="512"/>
      <c r="AB165" s="512"/>
      <c r="AC165" s="512"/>
      <c r="AD165" s="512"/>
      <c r="AE165" s="512"/>
      <c r="AF165" s="377"/>
      <c r="AG165" s="377"/>
      <c r="AH165" s="377"/>
      <c r="AI165" s="377"/>
      <c r="AJ165" s="377"/>
      <c r="AK165" s="377"/>
      <c r="AL165" s="377"/>
      <c r="AM165" s="377"/>
      <c r="AN165" s="377"/>
      <c r="AO165" s="377"/>
      <c r="AP165" s="377"/>
      <c r="AQ165" s="377"/>
      <c r="AR165" s="377"/>
      <c r="AS165" s="377"/>
      <c r="AT165" s="377"/>
      <c r="AU165" s="377"/>
      <c r="AV165" s="377"/>
      <c r="AW165" s="377"/>
      <c r="AX165" s="377"/>
      <c r="AY165" s="377"/>
      <c r="AZ165" s="377"/>
      <c r="BA165" s="377"/>
      <c r="BB165" s="377"/>
      <c r="BC165" s="377"/>
      <c r="BD165" s="377"/>
      <c r="BE165" s="377"/>
      <c r="BF165" s="377"/>
      <c r="BG165" s="377"/>
      <c r="BH165" s="377"/>
      <c r="BI165" s="377"/>
    </row>
    <row r="166" spans="1:61" ht="23.25" hidden="1" customHeight="1">
      <c r="A166" s="88" t="s">
        <v>52</v>
      </c>
      <c r="B166" s="88" t="s">
        <v>69</v>
      </c>
      <c r="C166" s="89" t="s">
        <v>178</v>
      </c>
      <c r="D166" s="88" t="s">
        <v>1045</v>
      </c>
      <c r="E166" s="88" t="s">
        <v>58</v>
      </c>
      <c r="F166" s="90">
        <v>178</v>
      </c>
      <c r="G166" s="89"/>
      <c r="H166" s="89" t="s">
        <v>3159</v>
      </c>
      <c r="I166" s="88">
        <v>231</v>
      </c>
      <c r="J166" s="88" t="s">
        <v>1012</v>
      </c>
      <c r="K166" s="1654"/>
      <c r="L166" s="92"/>
      <c r="M166" s="96">
        <v>41593</v>
      </c>
      <c r="N166" s="98">
        <v>203</v>
      </c>
      <c r="O166" s="90">
        <v>11</v>
      </c>
      <c r="P166" s="105"/>
      <c r="Q166" s="1655" t="s">
        <v>3742</v>
      </c>
      <c r="R166" s="105"/>
      <c r="S166" s="107" t="e">
        <f t="shared" si="0"/>
        <v>#DIV/0!</v>
      </c>
      <c r="T166" s="88" t="s">
        <v>400</v>
      </c>
      <c r="U166" s="1656">
        <v>41719</v>
      </c>
      <c r="V166" s="1657">
        <f>87</f>
        <v>87</v>
      </c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</row>
    <row r="167" spans="1:61" ht="25.5" hidden="1" customHeight="1">
      <c r="A167" s="470" t="s">
        <v>52</v>
      </c>
      <c r="B167" s="470" t="s">
        <v>139</v>
      </c>
      <c r="C167" s="1001" t="s">
        <v>55</v>
      </c>
      <c r="D167" s="470" t="s">
        <v>568</v>
      </c>
      <c r="E167" s="470" t="s">
        <v>58</v>
      </c>
      <c r="F167" s="1008">
        <v>178</v>
      </c>
      <c r="G167" s="1001"/>
      <c r="H167" s="1001" t="s">
        <v>3743</v>
      </c>
      <c r="I167" s="470">
        <v>289</v>
      </c>
      <c r="J167" s="470" t="s">
        <v>3744</v>
      </c>
      <c r="K167" s="1658"/>
      <c r="L167" s="1003"/>
      <c r="M167" s="1005">
        <v>41599</v>
      </c>
      <c r="N167" s="1006">
        <v>204</v>
      </c>
      <c r="O167" s="1008">
        <v>12</v>
      </c>
      <c r="P167" s="466"/>
      <c r="Q167" s="1604">
        <v>15100000000000</v>
      </c>
      <c r="R167" s="466"/>
      <c r="S167" s="468" t="e">
        <f t="shared" si="0"/>
        <v>#DIV/0!</v>
      </c>
      <c r="T167" s="462" t="s">
        <v>400</v>
      </c>
      <c r="U167" s="471"/>
      <c r="V167" s="1612">
        <f>136</f>
        <v>136</v>
      </c>
      <c r="W167" s="1659"/>
      <c r="X167" s="1011"/>
      <c r="Y167" s="1011"/>
      <c r="Z167" s="1011"/>
      <c r="AA167" s="1011"/>
      <c r="AB167" s="1011"/>
      <c r="AC167" s="27"/>
      <c r="AD167" s="1011"/>
      <c r="AE167" s="1011"/>
      <c r="AF167" s="1011"/>
      <c r="AG167" s="1011"/>
      <c r="AH167" s="1011"/>
      <c r="AI167" s="1011"/>
      <c r="AJ167" s="1011"/>
      <c r="AK167" s="1011"/>
      <c r="AL167" s="1011"/>
      <c r="AM167" s="1011"/>
      <c r="AN167" s="1011"/>
      <c r="AO167" s="1011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</row>
    <row r="168" spans="1:61" ht="48.75" hidden="1" customHeight="1">
      <c r="A168" s="628" t="s">
        <v>52</v>
      </c>
      <c r="B168" s="628" t="s">
        <v>2508</v>
      </c>
      <c r="C168" s="629" t="s">
        <v>3233</v>
      </c>
      <c r="D168" s="628" t="s">
        <v>70</v>
      </c>
      <c r="E168" s="628" t="s">
        <v>516</v>
      </c>
      <c r="F168" s="628">
        <v>140</v>
      </c>
      <c r="G168" s="629"/>
      <c r="H168" s="629" t="s">
        <v>3691</v>
      </c>
      <c r="I168" s="628">
        <v>256</v>
      </c>
      <c r="J168" s="628" t="s">
        <v>3692</v>
      </c>
      <c r="K168" s="1345">
        <v>41536</v>
      </c>
      <c r="L168" s="630"/>
      <c r="M168" s="631">
        <v>41599</v>
      </c>
      <c r="N168" s="633">
        <v>205</v>
      </c>
      <c r="O168" s="634">
        <v>12</v>
      </c>
      <c r="P168" s="638"/>
      <c r="Q168" s="660" t="s">
        <v>3745</v>
      </c>
      <c r="R168" s="638"/>
      <c r="S168" s="640" t="e">
        <f t="shared" si="0"/>
        <v>#DIV/0!</v>
      </c>
      <c r="T168" s="628" t="s">
        <v>400</v>
      </c>
      <c r="U168" s="642"/>
      <c r="V168" s="1606">
        <f>36</f>
        <v>36</v>
      </c>
      <c r="W168" s="645"/>
      <c r="X168" s="648">
        <v>4240000000000</v>
      </c>
      <c r="Y168" s="645"/>
      <c r="Z168" s="645"/>
      <c r="AA168" s="645"/>
      <c r="AB168" s="645"/>
      <c r="AC168" s="645"/>
      <c r="AD168" s="645"/>
      <c r="AE168" s="645"/>
      <c r="AF168" s="645"/>
      <c r="AG168" s="645"/>
      <c r="AH168" s="645"/>
      <c r="AI168" s="645"/>
      <c r="AJ168" s="645"/>
      <c r="AK168" s="645"/>
      <c r="AL168" s="645"/>
      <c r="AM168" s="645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</row>
    <row r="169" spans="1:61" ht="30.75" hidden="1" customHeight="1">
      <c r="A169" s="734" t="s">
        <v>707</v>
      </c>
      <c r="B169" s="734" t="s">
        <v>2698</v>
      </c>
      <c r="C169" s="735" t="s">
        <v>178</v>
      </c>
      <c r="D169" s="734" t="s">
        <v>345</v>
      </c>
      <c r="E169" s="1666" t="str">
        <f>VLOOKUP(F169,plasmids!$A$2:$B$351,2)</f>
        <v>AAV 10-7m8</v>
      </c>
      <c r="F169" s="734">
        <v>208</v>
      </c>
      <c r="G169" s="1667"/>
      <c r="H169" s="1667" t="str">
        <f>VLOOKUP(I169,plasmids!$A$2:$B$351,2)</f>
        <v>sc-CAG-GFP</v>
      </c>
      <c r="I169" s="734">
        <v>120</v>
      </c>
      <c r="J169" s="744"/>
      <c r="K169" s="1668"/>
      <c r="L169" s="736"/>
      <c r="M169" s="737">
        <v>41606</v>
      </c>
      <c r="N169" s="738">
        <v>208</v>
      </c>
      <c r="O169" s="739">
        <v>12</v>
      </c>
      <c r="P169" s="742"/>
      <c r="Q169" s="1613">
        <v>11800000000</v>
      </c>
      <c r="R169" s="742"/>
      <c r="S169" s="743" t="e">
        <f t="shared" si="0"/>
        <v>#DIV/0!</v>
      </c>
      <c r="T169" s="734" t="s">
        <v>400</v>
      </c>
      <c r="U169" s="744"/>
      <c r="V169" s="815">
        <v>90</v>
      </c>
      <c r="W169" s="733"/>
      <c r="X169" s="732"/>
      <c r="Y169" s="733"/>
      <c r="Z169" s="733"/>
      <c r="AA169" s="733"/>
      <c r="AB169" s="733"/>
      <c r="AC169" s="733"/>
      <c r="AD169" s="733"/>
      <c r="AE169" s="733"/>
      <c r="AF169" s="733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</row>
    <row r="170" spans="1:61" ht="24" hidden="1">
      <c r="A170" s="343" t="s">
        <v>52</v>
      </c>
      <c r="B170" s="343" t="s">
        <v>3367</v>
      </c>
      <c r="C170" s="345" t="s">
        <v>178</v>
      </c>
      <c r="D170" s="343" t="s">
        <v>3368</v>
      </c>
      <c r="E170" s="1672" t="str">
        <f>VLOOKUP(F170,plasmids!$A$2:$B$351,2)</f>
        <v>AAV9 2YF</v>
      </c>
      <c r="F170" s="343">
        <v>168</v>
      </c>
      <c r="G170" s="1675"/>
      <c r="H170" s="1675" t="str">
        <f>VLOOKUP(I170,plasmids!$A$2:$B$351,2)</f>
        <v>sc-CAG-GFP</v>
      </c>
      <c r="I170" s="343">
        <v>120</v>
      </c>
      <c r="J170" s="343" t="s">
        <v>3767</v>
      </c>
      <c r="K170" s="350" t="s">
        <v>3769</v>
      </c>
      <c r="L170" s="350"/>
      <c r="M170" s="352">
        <v>41606</v>
      </c>
      <c r="N170" s="357">
        <v>209</v>
      </c>
      <c r="O170" s="347">
        <v>12</v>
      </c>
      <c r="P170" s="365"/>
      <c r="Q170" s="1677">
        <v>331000000000000</v>
      </c>
      <c r="R170" s="365"/>
      <c r="S170" s="367" t="e">
        <f t="shared" si="0"/>
        <v>#DIV/0!</v>
      </c>
      <c r="T170" s="343" t="s">
        <v>400</v>
      </c>
      <c r="U170" s="369"/>
      <c r="V170" s="1678">
        <v>160</v>
      </c>
      <c r="W170" s="371" t="s">
        <v>3774</v>
      </c>
      <c r="X170" s="371" t="s">
        <v>3775</v>
      </c>
      <c r="Y170" s="375"/>
      <c r="Z170" s="375"/>
      <c r="AA170" s="375"/>
      <c r="AB170" s="375"/>
      <c r="AC170" s="375"/>
      <c r="AD170" s="375"/>
      <c r="AE170" s="375"/>
      <c r="AF170" s="375"/>
      <c r="AG170" s="375"/>
      <c r="AH170" s="375"/>
      <c r="AI170" s="375"/>
      <c r="AJ170" s="375"/>
      <c r="AK170" s="375"/>
      <c r="AL170" s="375"/>
      <c r="AM170" s="375"/>
      <c r="AN170" s="375"/>
      <c r="AO170" s="375"/>
      <c r="AP170" s="375"/>
      <c r="AQ170" s="375"/>
      <c r="AR170" s="375"/>
      <c r="AS170" s="375"/>
      <c r="AT170" s="375"/>
      <c r="AU170" s="375"/>
      <c r="AV170" s="377"/>
      <c r="AW170" s="377"/>
      <c r="AX170" s="37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</row>
    <row r="171" spans="1:61" ht="26.25" hidden="1" customHeight="1">
      <c r="A171" s="1680" t="s">
        <v>3776</v>
      </c>
      <c r="B171" s="1681" t="s">
        <v>1126</v>
      </c>
      <c r="C171" s="1682" t="s">
        <v>55</v>
      </c>
      <c r="D171" s="1681" t="s">
        <v>3782</v>
      </c>
      <c r="E171" s="1683" t="str">
        <f>VLOOKUP(F171,plasmids!$A$2:$B$351,2)</f>
        <v>AAV2-7m8</v>
      </c>
      <c r="F171" s="1681">
        <v>178</v>
      </c>
      <c r="G171" s="1684"/>
      <c r="H171" s="1684" t="str">
        <f>VLOOKUP(I171,plasmids!$A$2:$B$351,2)</f>
        <v>pAAV-sh-SANS1- GFP</v>
      </c>
      <c r="I171" s="1681">
        <v>298</v>
      </c>
      <c r="J171" s="1686"/>
      <c r="K171" s="1688">
        <v>41598</v>
      </c>
      <c r="L171" s="1688"/>
      <c r="M171" s="1689">
        <v>41613</v>
      </c>
      <c r="N171" s="1690">
        <v>210</v>
      </c>
      <c r="O171" s="1691">
        <v>12</v>
      </c>
      <c r="P171" s="1693"/>
      <c r="Q171" s="1694">
        <v>12900000000000</v>
      </c>
      <c r="R171" s="1696">
        <v>8390000000000</v>
      </c>
      <c r="S171" s="1698">
        <f t="shared" si="0"/>
        <v>50431466030.989273</v>
      </c>
      <c r="T171" s="1681" t="s">
        <v>2423</v>
      </c>
      <c r="U171" s="1686"/>
      <c r="V171" s="1701">
        <f>115</f>
        <v>115</v>
      </c>
      <c r="W171" s="1703"/>
      <c r="X171" s="1703"/>
      <c r="Y171" s="1703"/>
      <c r="Z171" s="1703"/>
      <c r="AA171" s="1703"/>
      <c r="AB171" s="1703"/>
      <c r="AC171" s="1703"/>
      <c r="AD171" s="1703"/>
      <c r="AE171" s="1703"/>
      <c r="AF171" s="1703"/>
      <c r="AG171" s="1703"/>
      <c r="AH171" s="1703"/>
      <c r="AI171" s="1703"/>
      <c r="AJ171" s="1703"/>
      <c r="AK171" s="1703"/>
      <c r="AL171" s="1703"/>
      <c r="AM171" s="1703"/>
      <c r="AN171" s="1703"/>
      <c r="AO171" s="1703"/>
      <c r="AP171" s="1703"/>
      <c r="AQ171" s="1703"/>
      <c r="AR171" s="1703"/>
      <c r="AS171" s="1705"/>
      <c r="AT171" s="1705"/>
      <c r="AU171" s="1705"/>
      <c r="AV171" s="1705"/>
      <c r="AW171" s="1705"/>
      <c r="AX171" s="1705"/>
      <c r="AY171" s="1705"/>
      <c r="AZ171" s="1705"/>
      <c r="BA171" s="1705"/>
      <c r="BB171" s="1705"/>
      <c r="BC171" s="1705"/>
      <c r="BD171" s="1705"/>
      <c r="BE171" s="1705"/>
      <c r="BF171" s="1705"/>
      <c r="BG171" s="1705"/>
      <c r="BH171" s="27"/>
      <c r="BI171" s="27"/>
    </row>
    <row r="172" spans="1:61" ht="30.75" hidden="1" customHeight="1">
      <c r="A172" s="1707" t="s">
        <v>3776</v>
      </c>
      <c r="B172" s="1708" t="s">
        <v>1126</v>
      </c>
      <c r="C172" s="1709" t="s">
        <v>1155</v>
      </c>
      <c r="D172" s="1708" t="s">
        <v>3782</v>
      </c>
      <c r="E172" s="1713" t="str">
        <f>VLOOKUP(F172,plasmids!$A$2:$B$351,2)</f>
        <v>AAV2-7m8</v>
      </c>
      <c r="F172" s="1708">
        <v>178</v>
      </c>
      <c r="G172" s="1715"/>
      <c r="H172" s="1715" t="str">
        <f>VLOOKUP(I172,plasmids!$A$2:$B$351,2)</f>
        <v>pAAV-sh-SANS2- GFP</v>
      </c>
      <c r="I172" s="1708">
        <v>299</v>
      </c>
      <c r="J172" s="1717"/>
      <c r="K172" s="1721">
        <v>41598</v>
      </c>
      <c r="L172" s="1721"/>
      <c r="M172" s="1723">
        <v>41613</v>
      </c>
      <c r="N172" s="1724">
        <v>211</v>
      </c>
      <c r="O172" s="1725">
        <v>12</v>
      </c>
      <c r="P172" s="1727"/>
      <c r="Q172" s="1728">
        <v>80100000000000</v>
      </c>
      <c r="R172" s="1729">
        <v>7320000000000</v>
      </c>
      <c r="S172" s="1732">
        <f t="shared" si="0"/>
        <v>358918032786.88525</v>
      </c>
      <c r="T172" s="1708" t="s">
        <v>2423</v>
      </c>
      <c r="U172" s="1717"/>
      <c r="V172" s="1733">
        <f>80</f>
        <v>80</v>
      </c>
      <c r="W172" s="1734"/>
      <c r="X172" s="1734"/>
      <c r="Y172" s="1734"/>
      <c r="Z172" s="1734"/>
      <c r="AA172" s="1734"/>
      <c r="AB172" s="1734"/>
      <c r="AC172" s="1734"/>
      <c r="AD172" s="1734"/>
      <c r="AE172" s="1734"/>
      <c r="AF172" s="1734"/>
      <c r="AG172" s="1734"/>
      <c r="AH172" s="1734"/>
      <c r="AI172" s="1734"/>
      <c r="AJ172" s="1734"/>
      <c r="AK172" s="1734"/>
      <c r="AL172" s="1734"/>
      <c r="AM172" s="1734"/>
      <c r="AN172" s="1734"/>
      <c r="AO172" s="1734"/>
      <c r="AP172" s="1734"/>
      <c r="AQ172" s="1734"/>
      <c r="AR172" s="1734"/>
      <c r="AS172" s="1736"/>
      <c r="AT172" s="1736"/>
      <c r="AU172" s="1736"/>
      <c r="AV172" s="1736"/>
      <c r="AW172" s="1736"/>
      <c r="AX172" s="1736"/>
      <c r="AY172" s="1736"/>
      <c r="AZ172" s="1736"/>
      <c r="BA172" s="1736"/>
      <c r="BB172" s="1736"/>
      <c r="BC172" s="1736"/>
      <c r="BD172" s="1736"/>
      <c r="BE172" s="1736"/>
      <c r="BF172" s="1736"/>
      <c r="BG172" s="1736"/>
      <c r="BH172" s="27"/>
      <c r="BI172" s="27"/>
    </row>
    <row r="173" spans="1:61" ht="30.75" hidden="1" customHeight="1">
      <c r="A173" s="627" t="s">
        <v>3776</v>
      </c>
      <c r="B173" s="188" t="s">
        <v>1126</v>
      </c>
      <c r="C173" s="189" t="s">
        <v>1155</v>
      </c>
      <c r="D173" s="188" t="s">
        <v>3782</v>
      </c>
      <c r="E173" s="1743" t="str">
        <f>VLOOKUP(F173,plasmids!$A$2:$B$351,2)</f>
        <v>AAV2-7m8</v>
      </c>
      <c r="F173" s="188">
        <v>178</v>
      </c>
      <c r="G173" s="1745"/>
      <c r="H173" s="1745" t="str">
        <f>VLOOKUP(I173,plasmids!$A$2:$B$351,2)</f>
        <v>pAAV-sh-Luciférase- GFP</v>
      </c>
      <c r="I173" s="188">
        <v>300</v>
      </c>
      <c r="J173" s="192"/>
      <c r="K173" s="1484">
        <v>41598</v>
      </c>
      <c r="L173" s="1484"/>
      <c r="M173" s="196">
        <v>41613</v>
      </c>
      <c r="N173" s="197">
        <v>212</v>
      </c>
      <c r="O173" s="191">
        <v>12</v>
      </c>
      <c r="P173" s="202"/>
      <c r="Q173" s="1749">
        <v>77700000000000</v>
      </c>
      <c r="R173" s="199">
        <v>6640000000000</v>
      </c>
      <c r="S173" s="203">
        <f t="shared" si="0"/>
        <v>383819277108.43372</v>
      </c>
      <c r="T173" s="188" t="s">
        <v>400</v>
      </c>
      <c r="U173" s="192"/>
      <c r="V173" s="626">
        <f>130</f>
        <v>130</v>
      </c>
      <c r="W173" s="205"/>
      <c r="X173" s="205"/>
      <c r="Y173" s="205"/>
      <c r="Z173" s="205"/>
      <c r="AA173" s="205"/>
      <c r="AB173" s="205"/>
      <c r="AC173" s="205"/>
      <c r="AD173" s="205"/>
      <c r="AE173" s="205"/>
      <c r="AF173" s="205"/>
      <c r="AG173" s="205"/>
      <c r="AH173" s="205"/>
      <c r="AI173" s="205"/>
      <c r="AJ173" s="205"/>
      <c r="AK173" s="205"/>
      <c r="AL173" s="205"/>
      <c r="AM173" s="205"/>
      <c r="AN173" s="205"/>
      <c r="AO173" s="205"/>
      <c r="AP173" s="205"/>
      <c r="AQ173" s="205"/>
      <c r="AR173" s="205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</row>
    <row r="174" spans="1:61" ht="26.25" hidden="1" customHeight="1">
      <c r="A174" s="1754" t="s">
        <v>3891</v>
      </c>
      <c r="B174" s="1756" t="s">
        <v>508</v>
      </c>
      <c r="C174" s="1758" t="s">
        <v>178</v>
      </c>
      <c r="D174" s="1756" t="s">
        <v>70</v>
      </c>
      <c r="E174" s="1761" t="str">
        <f>VLOOKUP(F174,plasmids!$A$2:$B$351,2)</f>
        <v>AAV2</v>
      </c>
      <c r="F174" s="1756">
        <v>140</v>
      </c>
      <c r="G174" s="1763"/>
      <c r="H174" s="1763" t="str">
        <f>VLOOKUP(I174,plasmids!$A$2:$B$351,2)</f>
        <v>pAAV2-hSyn-ReaChR-Citrine</v>
      </c>
      <c r="I174" s="1756">
        <v>304</v>
      </c>
      <c r="J174" s="1766"/>
      <c r="K174" s="1767"/>
      <c r="L174" s="1768"/>
      <c r="M174" s="1770">
        <v>41613</v>
      </c>
      <c r="N174" s="1771">
        <v>213</v>
      </c>
      <c r="O174" s="1772">
        <v>6</v>
      </c>
      <c r="P174" s="1774"/>
      <c r="Q174" s="1775">
        <v>171000000000000</v>
      </c>
      <c r="R174" s="1774"/>
      <c r="S174" s="1779" t="e">
        <f t="shared" si="0"/>
        <v>#DIV/0!</v>
      </c>
      <c r="T174" s="1756" t="s">
        <v>400</v>
      </c>
      <c r="U174" s="1766"/>
      <c r="V174" s="1784">
        <f>52</f>
        <v>52</v>
      </c>
      <c r="W174" s="234"/>
      <c r="X174" s="234"/>
      <c r="Y174" s="234"/>
      <c r="Z174" s="234"/>
      <c r="AA174" s="234"/>
      <c r="AB174" s="234"/>
      <c r="AC174" s="234"/>
      <c r="AD174" s="234"/>
      <c r="AE174" s="234"/>
      <c r="AF174" s="234"/>
      <c r="AG174" s="234"/>
      <c r="AH174" s="234"/>
      <c r="AI174" s="234"/>
      <c r="AJ174" s="234"/>
      <c r="AK174" s="234"/>
      <c r="AL174" s="234"/>
      <c r="AM174" s="234"/>
      <c r="AN174" s="234"/>
      <c r="AO174" s="234"/>
      <c r="AP174" s="234"/>
      <c r="AQ174" s="234"/>
      <c r="AR174" s="234"/>
      <c r="AS174" s="234"/>
      <c r="AT174" s="234"/>
      <c r="AU174" s="234"/>
      <c r="AV174" s="234"/>
      <c r="AW174" s="234"/>
      <c r="AX174" s="234"/>
      <c r="AY174" s="234"/>
      <c r="AZ174" s="234"/>
      <c r="BA174" s="234"/>
      <c r="BB174" s="234"/>
      <c r="BC174" s="234"/>
      <c r="BD174" s="234"/>
      <c r="BE174" s="234"/>
      <c r="BF174" s="234"/>
      <c r="BG174" s="234"/>
      <c r="BH174" s="234"/>
      <c r="BI174" s="234"/>
    </row>
    <row r="175" spans="1:61" ht="26.25" hidden="1" customHeight="1">
      <c r="A175" s="1785" t="s">
        <v>3891</v>
      </c>
      <c r="B175" s="1786" t="s">
        <v>3930</v>
      </c>
      <c r="C175" s="1787" t="s">
        <v>178</v>
      </c>
      <c r="D175" s="1786" t="s">
        <v>70</v>
      </c>
      <c r="E175" s="1788" t="str">
        <f>VLOOKUP(F175,plasmids!$A$2:$B$351,2)</f>
        <v>AAV2</v>
      </c>
      <c r="F175" s="1786">
        <v>140</v>
      </c>
      <c r="G175" s="1789"/>
      <c r="H175" s="1789" t="str">
        <f>VLOOKUP(I175,plasmids!$A$2:$B$351,2)</f>
        <v>pAAV,hSyn,H134RChR2,GFP</v>
      </c>
      <c r="I175" s="1786">
        <v>306</v>
      </c>
      <c r="J175" s="1790"/>
      <c r="K175" s="1791"/>
      <c r="L175" s="1792"/>
      <c r="M175" s="1793">
        <v>41613</v>
      </c>
      <c r="N175" s="4">
        <v>214</v>
      </c>
      <c r="O175" s="1798">
        <v>6</v>
      </c>
      <c r="P175" s="1624"/>
      <c r="Q175" s="15">
        <v>51200000000000</v>
      </c>
      <c r="R175" s="1624"/>
      <c r="S175" s="1800" t="e">
        <f t="shared" si="0"/>
        <v>#DIV/0!</v>
      </c>
      <c r="T175" s="1786" t="s">
        <v>400</v>
      </c>
      <c r="U175" s="1802">
        <v>41719</v>
      </c>
      <c r="V175" s="1803">
        <f>120-6</f>
        <v>114</v>
      </c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</row>
    <row r="176" spans="1:61" ht="21" hidden="1" customHeight="1">
      <c r="A176" s="1785" t="s">
        <v>707</v>
      </c>
      <c r="B176" s="1786" t="s">
        <v>3973</v>
      </c>
      <c r="C176" s="1787" t="s">
        <v>178</v>
      </c>
      <c r="D176" s="1786" t="s">
        <v>3368</v>
      </c>
      <c r="E176" s="1788" t="str">
        <f>VLOOKUP(F176,plasmids!$A$2:$B$351,2)</f>
        <v>AAV9 7M8 (AA------)</v>
      </c>
      <c r="F176" s="1786">
        <v>170</v>
      </c>
      <c r="G176" s="1789"/>
      <c r="H176" s="1789" t="str">
        <f>VLOOKUP(I176,plasmids!$A$2:$B$351,2)</f>
        <v xml:space="preserve">pTR-scCAG-RdCVFs </v>
      </c>
      <c r="I176" s="1786">
        <v>187</v>
      </c>
      <c r="J176" s="1790"/>
      <c r="K176" s="1791"/>
      <c r="L176" s="1792"/>
      <c r="M176" s="1793">
        <v>41620</v>
      </c>
      <c r="N176" s="4">
        <v>215</v>
      </c>
      <c r="O176" s="1798">
        <v>12</v>
      </c>
      <c r="P176" s="1624"/>
      <c r="Q176" s="15">
        <v>459000000000</v>
      </c>
      <c r="R176" s="1624"/>
      <c r="S176" s="1800" t="e">
        <f t="shared" si="0"/>
        <v>#DIV/0!</v>
      </c>
      <c r="T176" s="1786" t="s">
        <v>400</v>
      </c>
      <c r="U176" s="1790"/>
      <c r="V176" s="1803">
        <f>110</f>
        <v>110</v>
      </c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</row>
    <row r="177" spans="1:61" ht="26.25" hidden="1" customHeight="1">
      <c r="A177" s="1807" t="s">
        <v>707</v>
      </c>
      <c r="B177" s="1807" t="s">
        <v>3973</v>
      </c>
      <c r="C177" s="1808" t="s">
        <v>178</v>
      </c>
      <c r="D177" s="1807" t="s">
        <v>3368</v>
      </c>
      <c r="E177" s="1810" t="str">
        <f>VLOOKUP(F177,plasmids!$A$2:$B$351,2)</f>
        <v>AAV2-7m8</v>
      </c>
      <c r="F177" s="1812">
        <v>178</v>
      </c>
      <c r="G177" s="1814"/>
      <c r="H177" s="1814" t="str">
        <f>VLOOKUP(I177,plasmids!$A$2:$B$351,2)</f>
        <v xml:space="preserve">pTR-scCAG-RdCVFs </v>
      </c>
      <c r="I177" s="1807">
        <v>187</v>
      </c>
      <c r="J177" s="1815"/>
      <c r="K177" s="1817"/>
      <c r="L177" s="1818"/>
      <c r="M177" s="1820">
        <v>41620</v>
      </c>
      <c r="N177" s="1821">
        <v>216</v>
      </c>
      <c r="O177" s="1812">
        <v>12</v>
      </c>
      <c r="P177" s="1823"/>
      <c r="Q177" s="1824">
        <v>27800000000000</v>
      </c>
      <c r="R177" s="1823"/>
      <c r="S177" s="1825" t="e">
        <f t="shared" si="0"/>
        <v>#DIV/0!</v>
      </c>
      <c r="T177" s="1807" t="s">
        <v>400</v>
      </c>
      <c r="U177" s="1815"/>
      <c r="V177" s="1807">
        <f>65-15-2-2-24</f>
        <v>22</v>
      </c>
      <c r="W177" s="1826"/>
      <c r="X177" s="1826"/>
      <c r="Y177" s="1826"/>
      <c r="Z177" s="1826"/>
      <c r="AA177" s="1826"/>
      <c r="AB177" s="1826"/>
      <c r="AC177" s="1826"/>
      <c r="AD177" s="1826"/>
      <c r="AE177" s="1826"/>
      <c r="AF177" s="1826"/>
      <c r="AG177" s="1826"/>
      <c r="AH177" s="1826"/>
      <c r="AI177" s="1826"/>
      <c r="AJ177" s="1826"/>
      <c r="AK177" s="1826"/>
      <c r="AL177" s="1826"/>
      <c r="AM177" s="1826"/>
      <c r="AN177" s="1826"/>
      <c r="AO177" s="1826"/>
      <c r="AP177" s="1826"/>
      <c r="AQ177" s="1826"/>
      <c r="AR177" s="1826"/>
      <c r="AS177" s="1826"/>
      <c r="AT177" s="1826"/>
      <c r="AU177" s="1826"/>
      <c r="AV177" s="1826"/>
      <c r="AW177" s="1826"/>
      <c r="AX177" s="1826"/>
      <c r="AY177" s="1826"/>
      <c r="AZ177" s="1826"/>
      <c r="BA177" s="1826"/>
      <c r="BB177" s="1826"/>
      <c r="BC177" s="1826"/>
      <c r="BD177" s="1826"/>
      <c r="BE177" s="1826"/>
      <c r="BF177" s="1826"/>
      <c r="BG177" s="1826"/>
      <c r="BH177" s="1826"/>
      <c r="BI177" s="1826"/>
    </row>
    <row r="178" spans="1:61" ht="26.25" hidden="1" customHeight="1">
      <c r="A178" s="470" t="s">
        <v>52</v>
      </c>
      <c r="B178" s="470" t="s">
        <v>139</v>
      </c>
      <c r="C178" s="1001" t="s">
        <v>55</v>
      </c>
      <c r="D178" s="470" t="s">
        <v>568</v>
      </c>
      <c r="E178" s="470" t="s">
        <v>58</v>
      </c>
      <c r="F178" s="1008">
        <v>178</v>
      </c>
      <c r="G178" s="1828"/>
      <c r="H178" s="1828" t="str">
        <f>VLOOKUP(I178,plasmids!$A$2:$B$351,2)</f>
        <v>pAAVss-mCar-eNpHR-WPRE</v>
      </c>
      <c r="I178" s="470">
        <v>289</v>
      </c>
      <c r="J178" s="471"/>
      <c r="K178" s="1658"/>
      <c r="L178" s="1003"/>
      <c r="M178" s="1005">
        <v>41649</v>
      </c>
      <c r="N178" s="1006">
        <v>217</v>
      </c>
      <c r="O178" s="1008">
        <v>12</v>
      </c>
      <c r="P178" s="466"/>
      <c r="Q178" s="1604">
        <v>2350000000000</v>
      </c>
      <c r="R178" s="466"/>
      <c r="S178" s="468" t="e">
        <f t="shared" si="0"/>
        <v>#DIV/0!</v>
      </c>
      <c r="T178" s="462" t="s">
        <v>400</v>
      </c>
      <c r="U178" s="1830">
        <v>41719</v>
      </c>
      <c r="V178" s="1612">
        <f>182</f>
        <v>182</v>
      </c>
      <c r="W178" s="1659"/>
      <c r="X178" s="1785" t="s">
        <v>3311</v>
      </c>
      <c r="Y178" s="27"/>
      <c r="Z178" s="27"/>
      <c r="AA178" s="1011"/>
      <c r="AB178" s="1011"/>
      <c r="AC178" s="1011"/>
      <c r="AD178" s="1011"/>
      <c r="AE178" s="1011"/>
      <c r="AF178" s="27"/>
      <c r="AG178" s="1011"/>
      <c r="AH178" s="1011"/>
      <c r="AI178" s="1011"/>
      <c r="AJ178" s="1011"/>
      <c r="AK178" s="1011"/>
      <c r="AL178" s="1011"/>
      <c r="AM178" s="1011"/>
      <c r="AN178" s="1011"/>
      <c r="AO178" s="1011"/>
      <c r="AP178" s="1011"/>
      <c r="AQ178" s="1011"/>
      <c r="AR178" s="1011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</row>
    <row r="179" spans="1:61" ht="26.25" hidden="1" customHeight="1">
      <c r="A179" s="470" t="s">
        <v>52</v>
      </c>
      <c r="B179" s="470" t="s">
        <v>139</v>
      </c>
      <c r="C179" s="1001" t="s">
        <v>55</v>
      </c>
      <c r="D179" s="470" t="s">
        <v>568</v>
      </c>
      <c r="E179" s="470" t="s">
        <v>58</v>
      </c>
      <c r="F179" s="1008">
        <v>178</v>
      </c>
      <c r="G179" s="1828"/>
      <c r="H179" s="1828" t="str">
        <f>VLOOKUP(I179,plasmids!$A$2:$B$351,2)</f>
        <v>pAAV-sshCAr-eGFP</v>
      </c>
      <c r="I179" s="470">
        <v>301</v>
      </c>
      <c r="J179" s="471"/>
      <c r="K179" s="1658"/>
      <c r="L179" s="1003"/>
      <c r="M179" s="1005">
        <v>41649</v>
      </c>
      <c r="N179" s="1006">
        <v>218</v>
      </c>
      <c r="O179" s="1008">
        <v>12</v>
      </c>
      <c r="P179" s="466"/>
      <c r="Q179" s="1604">
        <v>8070000000000</v>
      </c>
      <c r="R179" s="466"/>
      <c r="S179" s="468" t="e">
        <f t="shared" si="0"/>
        <v>#DIV/0!</v>
      </c>
      <c r="T179" s="462" t="s">
        <v>400</v>
      </c>
      <c r="U179" s="471"/>
      <c r="V179" s="1612">
        <f>178</f>
        <v>178</v>
      </c>
      <c r="W179" s="1659"/>
      <c r="X179" s="1011"/>
      <c r="Y179" s="1011"/>
      <c r="Z179" s="1011"/>
      <c r="AA179" s="1011"/>
      <c r="AB179" s="1011"/>
      <c r="AC179" s="27"/>
      <c r="AD179" s="1011"/>
      <c r="AE179" s="1011"/>
      <c r="AF179" s="1011"/>
      <c r="AG179" s="1011"/>
      <c r="AH179" s="1011"/>
      <c r="AI179" s="1011"/>
      <c r="AJ179" s="1011"/>
      <c r="AK179" s="1011"/>
      <c r="AL179" s="1011"/>
      <c r="AM179" s="1011"/>
      <c r="AN179" s="1011"/>
      <c r="AO179" s="1011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</row>
    <row r="180" spans="1:61" ht="33" hidden="1" customHeight="1">
      <c r="A180" s="470" t="s">
        <v>52</v>
      </c>
      <c r="B180" s="470" t="s">
        <v>139</v>
      </c>
      <c r="C180" s="1001" t="s">
        <v>55</v>
      </c>
      <c r="D180" s="470" t="s">
        <v>568</v>
      </c>
      <c r="E180" s="470" t="s">
        <v>58</v>
      </c>
      <c r="F180" s="1008">
        <v>178</v>
      </c>
      <c r="G180" s="1828"/>
      <c r="H180" s="1828" t="str">
        <f>VLOOKUP(I180,plasmids!$A$2:$B$351,2)</f>
        <v>pAAVss-hCar-eNpHR-WPRE</v>
      </c>
      <c r="I180" s="470">
        <v>302</v>
      </c>
      <c r="J180" s="471"/>
      <c r="K180" s="1658"/>
      <c r="L180" s="1003"/>
      <c r="M180" s="1005">
        <v>41649</v>
      </c>
      <c r="N180" s="1006">
        <v>219</v>
      </c>
      <c r="O180" s="1008">
        <v>12</v>
      </c>
      <c r="P180" s="466"/>
      <c r="Q180" s="1604">
        <v>3360000000000</v>
      </c>
      <c r="R180" s="466"/>
      <c r="S180" s="468" t="e">
        <f t="shared" si="0"/>
        <v>#DIV/0!</v>
      </c>
      <c r="T180" s="462" t="s">
        <v>400</v>
      </c>
      <c r="U180" s="471"/>
      <c r="V180" s="1612">
        <f>72</f>
        <v>72</v>
      </c>
      <c r="W180" s="1659"/>
      <c r="X180" s="1011"/>
      <c r="Y180" s="1011"/>
      <c r="Z180" s="1011"/>
      <c r="AA180" s="1011"/>
      <c r="AB180" s="1011"/>
      <c r="AC180" s="27"/>
      <c r="AD180" s="1011"/>
      <c r="AE180" s="1011"/>
      <c r="AF180" s="1011"/>
      <c r="AG180" s="1011"/>
      <c r="AH180" s="1011"/>
      <c r="AI180" s="1011"/>
      <c r="AJ180" s="1011"/>
      <c r="AK180" s="1011"/>
      <c r="AL180" s="1011"/>
      <c r="AM180" s="1011"/>
      <c r="AN180" s="1011"/>
      <c r="AO180" s="1011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</row>
    <row r="181" spans="1:61" ht="33" hidden="1" customHeight="1">
      <c r="A181" s="1832" t="s">
        <v>52</v>
      </c>
      <c r="B181" s="1832" t="s">
        <v>54</v>
      </c>
      <c r="C181" s="1833" t="s">
        <v>55</v>
      </c>
      <c r="D181" s="1832" t="s">
        <v>57</v>
      </c>
      <c r="E181" s="1832" t="s">
        <v>58</v>
      </c>
      <c r="F181" s="1832">
        <v>178</v>
      </c>
      <c r="G181" s="1834"/>
      <c r="H181" s="1834" t="str">
        <f>VLOOKUP(I181,plasmids!$A$2:$B$351,2)</f>
        <v>pssAAV-mCAR-GFP</v>
      </c>
      <c r="I181" s="1832">
        <v>93</v>
      </c>
      <c r="J181" s="1854"/>
      <c r="K181" s="1855"/>
      <c r="L181" s="1856"/>
      <c r="M181" s="1857">
        <v>41649</v>
      </c>
      <c r="N181" s="1897">
        <v>220</v>
      </c>
      <c r="O181" s="1898">
        <v>12</v>
      </c>
      <c r="P181" s="1899"/>
      <c r="Q181" s="1900">
        <v>7600000000000</v>
      </c>
      <c r="R181" s="1899"/>
      <c r="S181" s="1902" t="e">
        <f t="shared" si="0"/>
        <v>#DIV/0!</v>
      </c>
      <c r="T181" s="1832" t="s">
        <v>400</v>
      </c>
      <c r="U181" s="1854"/>
      <c r="V181" s="1903">
        <f>210</f>
        <v>210</v>
      </c>
      <c r="W181" s="1904" t="s">
        <v>2386</v>
      </c>
      <c r="X181" s="1905"/>
      <c r="Y181" s="1905"/>
      <c r="Z181" s="1905"/>
      <c r="AA181" s="1905"/>
      <c r="AB181" s="1905"/>
      <c r="AC181" s="1905"/>
      <c r="AD181" s="1905"/>
      <c r="AE181" s="1905"/>
      <c r="AF181" s="1905"/>
      <c r="AG181" s="1905"/>
      <c r="AH181" s="1905"/>
      <c r="AI181" s="1905"/>
      <c r="AJ181" s="1905"/>
      <c r="AK181" s="1905"/>
      <c r="AL181" s="1905"/>
      <c r="AM181" s="1905"/>
      <c r="AN181" s="1905"/>
      <c r="AO181" s="1905"/>
      <c r="AP181" s="1905"/>
      <c r="AQ181" s="1905"/>
      <c r="AR181" s="1905"/>
      <c r="AS181" s="1905"/>
      <c r="AT181" s="1905"/>
      <c r="AU181" s="1905"/>
      <c r="AV181" s="234"/>
      <c r="AW181" s="234"/>
      <c r="AX181" s="234"/>
      <c r="AY181" s="234"/>
      <c r="AZ181" s="234"/>
      <c r="BA181" s="234"/>
      <c r="BB181" s="234"/>
      <c r="BC181" s="234"/>
      <c r="BD181" s="234"/>
      <c r="BE181" s="234"/>
      <c r="BF181" s="234"/>
      <c r="BG181" s="234"/>
      <c r="BH181" s="234"/>
      <c r="BI181" s="234"/>
    </row>
    <row r="182" spans="1:61" ht="21" hidden="1" customHeight="1">
      <c r="A182" s="1640" t="s">
        <v>1954</v>
      </c>
      <c r="B182" s="1641" t="s">
        <v>4080</v>
      </c>
      <c r="C182" s="1642" t="s">
        <v>178</v>
      </c>
      <c r="D182" s="1641" t="s">
        <v>1088</v>
      </c>
      <c r="E182" s="1906" t="str">
        <f>VLOOKUP(F182,plasmids!$A$2:$B$351,2)</f>
        <v>pXR5</v>
      </c>
      <c r="F182" s="1641">
        <v>154</v>
      </c>
      <c r="G182" s="1930"/>
      <c r="H182" s="1930" t="str">
        <f>VLOOKUP(I182,plasmids!$A$2:$B$351,2)</f>
        <v>AAV-flox-EF1a-hCatCh-YFP</v>
      </c>
      <c r="I182" s="1641">
        <v>276</v>
      </c>
      <c r="J182" s="1650"/>
      <c r="K182" s="1933"/>
      <c r="L182" s="1643"/>
      <c r="M182" s="1644">
        <v>41656</v>
      </c>
      <c r="N182" s="1934">
        <v>221</v>
      </c>
      <c r="O182" s="1646">
        <v>6</v>
      </c>
      <c r="P182" s="1647"/>
      <c r="Q182" s="1648">
        <v>83200000000000</v>
      </c>
      <c r="R182" s="1647"/>
      <c r="S182" s="1649" t="e">
        <f t="shared" si="0"/>
        <v>#DIV/0!</v>
      </c>
      <c r="T182" s="1650"/>
      <c r="U182" s="1650"/>
      <c r="V182" s="1935">
        <v>0</v>
      </c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</row>
    <row r="183" spans="1:61" ht="21" hidden="1" customHeight="1">
      <c r="A183" s="1640" t="s">
        <v>4154</v>
      </c>
      <c r="B183" s="1641" t="s">
        <v>200</v>
      </c>
      <c r="C183" s="1642" t="s">
        <v>626</v>
      </c>
      <c r="D183" s="1641" t="s">
        <v>1088</v>
      </c>
      <c r="E183" s="1906" t="str">
        <f>VLOOKUP(F183,plasmids!$A$2:$B$351,2)</f>
        <v>AAV2-7m8</v>
      </c>
      <c r="F183" s="1641">
        <v>178</v>
      </c>
      <c r="G183" s="1930"/>
      <c r="H183" s="1930" t="str">
        <f>VLOOKUP(I183,plasmids!$A$2:$B$351,2)</f>
        <v>pscAAV-CMV-GCaMP6s-BGHpA</v>
      </c>
      <c r="I183" s="1641">
        <v>293</v>
      </c>
      <c r="J183" s="1650"/>
      <c r="K183" s="1933"/>
      <c r="L183" s="1643"/>
      <c r="M183" s="1644">
        <v>41656</v>
      </c>
      <c r="N183" s="1934">
        <v>222</v>
      </c>
      <c r="O183" s="1646">
        <v>6</v>
      </c>
      <c r="P183" s="1647"/>
      <c r="Q183" s="1648">
        <v>20000000000000</v>
      </c>
      <c r="R183" s="1647"/>
      <c r="S183" s="1649" t="e">
        <f t="shared" si="0"/>
        <v>#DIV/0!</v>
      </c>
      <c r="T183" s="1641" t="s">
        <v>400</v>
      </c>
      <c r="U183" s="1650"/>
      <c r="V183" s="1937">
        <f>22</f>
        <v>22</v>
      </c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</row>
    <row r="184" spans="1:61" ht="26.25" hidden="1" customHeight="1">
      <c r="A184" s="1939" t="s">
        <v>52</v>
      </c>
      <c r="B184" s="1940" t="s">
        <v>2508</v>
      </c>
      <c r="C184" s="1941" t="s">
        <v>3233</v>
      </c>
      <c r="D184" s="1940" t="s">
        <v>70</v>
      </c>
      <c r="E184" s="1940" t="s">
        <v>516</v>
      </c>
      <c r="F184" s="1940">
        <v>140</v>
      </c>
      <c r="G184" s="1944"/>
      <c r="H184" s="1944" t="str">
        <f>VLOOKUP(I184,plasmids!$A$2:$B$351,2)</f>
        <v>pssAAV-SNCG-hCatch-GFP-WPRE</v>
      </c>
      <c r="I184" s="1940">
        <v>279</v>
      </c>
      <c r="J184" s="1945"/>
      <c r="K184" s="1946"/>
      <c r="L184" s="1947"/>
      <c r="M184" s="1948">
        <v>41656</v>
      </c>
      <c r="N184" s="1952">
        <v>223</v>
      </c>
      <c r="O184" s="1954">
        <v>12</v>
      </c>
      <c r="P184" s="1957"/>
      <c r="Q184" s="1961">
        <v>476000000000000</v>
      </c>
      <c r="R184" s="1957"/>
      <c r="S184" s="1963" t="e">
        <f t="shared" si="0"/>
        <v>#DIV/0!</v>
      </c>
      <c r="T184" s="1940" t="s">
        <v>400</v>
      </c>
      <c r="U184" s="1945"/>
      <c r="V184" s="1968">
        <f>12</f>
        <v>12</v>
      </c>
      <c r="W184" s="1970"/>
      <c r="X184" s="1970"/>
      <c r="Y184" s="1970"/>
      <c r="Z184" s="1939">
        <v>175</v>
      </c>
      <c r="AA184" s="1970"/>
      <c r="AB184" s="1970"/>
      <c r="AC184" s="1970"/>
      <c r="AD184" s="1970"/>
      <c r="AE184" s="1970"/>
      <c r="AF184" s="1970"/>
      <c r="AG184" s="1970"/>
      <c r="AH184" s="1970"/>
      <c r="AI184" s="1970"/>
      <c r="AJ184" s="1970"/>
      <c r="AK184" s="1970"/>
      <c r="AL184" s="1970"/>
      <c r="AM184" s="1970"/>
      <c r="AN184" s="1970"/>
      <c r="AO184" s="1970"/>
      <c r="AP184" s="1970"/>
      <c r="AQ184" s="1970"/>
      <c r="AR184" s="1970"/>
      <c r="AS184" s="1970"/>
      <c r="AT184" s="1970"/>
      <c r="AU184" s="1970"/>
      <c r="AV184" s="234"/>
      <c r="AW184" s="234"/>
      <c r="AX184" s="234"/>
      <c r="AY184" s="234"/>
      <c r="AZ184" s="234"/>
      <c r="BA184" s="234"/>
      <c r="BB184" s="234"/>
      <c r="BC184" s="234"/>
      <c r="BD184" s="234"/>
      <c r="BE184" s="234"/>
      <c r="BF184" s="234"/>
      <c r="BG184" s="234"/>
      <c r="BH184" s="234"/>
      <c r="BI184" s="234"/>
    </row>
    <row r="185" spans="1:61" ht="26.25" hidden="1" customHeight="1">
      <c r="A185" s="470" t="s">
        <v>52</v>
      </c>
      <c r="B185" s="470" t="s">
        <v>139</v>
      </c>
      <c r="C185" s="1001" t="s">
        <v>55</v>
      </c>
      <c r="D185" s="470" t="s">
        <v>568</v>
      </c>
      <c r="E185" s="470" t="s">
        <v>58</v>
      </c>
      <c r="F185" s="1008">
        <v>178</v>
      </c>
      <c r="G185" s="1828"/>
      <c r="H185" s="1828" t="str">
        <f>VLOOKUP(I185,plasmids!$A$2:$B$351,2)</f>
        <v>pAAVss-hCar-eNpHR-WPRE</v>
      </c>
      <c r="I185" s="470">
        <v>302</v>
      </c>
      <c r="J185" s="471"/>
      <c r="K185" s="1658"/>
      <c r="L185" s="1003"/>
      <c r="M185" s="1005">
        <v>41662</v>
      </c>
      <c r="N185" s="1006">
        <v>224</v>
      </c>
      <c r="O185" s="1008">
        <v>12</v>
      </c>
      <c r="P185" s="466"/>
      <c r="Q185" s="1604">
        <v>2780000000000</v>
      </c>
      <c r="R185" s="466"/>
      <c r="S185" s="468" t="e">
        <f t="shared" si="0"/>
        <v>#DIV/0!</v>
      </c>
      <c r="T185" s="462" t="s">
        <v>400</v>
      </c>
      <c r="U185" s="471"/>
      <c r="V185" s="1612">
        <f>86</f>
        <v>86</v>
      </c>
      <c r="W185" s="1659"/>
      <c r="X185" s="1011"/>
      <c r="Y185" s="1011"/>
      <c r="Z185" s="1011"/>
      <c r="AA185" s="1011"/>
      <c r="AB185" s="1011"/>
      <c r="AC185" s="27"/>
      <c r="AD185" s="1011"/>
      <c r="AE185" s="1011"/>
      <c r="AF185" s="1011"/>
      <c r="AG185" s="1011"/>
      <c r="AH185" s="1011"/>
      <c r="AI185" s="1011"/>
      <c r="AJ185" s="1011"/>
      <c r="AK185" s="1011"/>
      <c r="AL185" s="1011"/>
      <c r="AM185" s="1011"/>
      <c r="AN185" s="1011"/>
      <c r="AO185" s="1011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</row>
    <row r="186" spans="1:61" ht="26.25" hidden="1" customHeight="1">
      <c r="A186" s="1975" t="s">
        <v>52</v>
      </c>
      <c r="B186" s="1975" t="s">
        <v>139</v>
      </c>
      <c r="C186" s="1976" t="s">
        <v>55</v>
      </c>
      <c r="D186" s="1975" t="s">
        <v>568</v>
      </c>
      <c r="E186" s="1975" t="s">
        <v>58</v>
      </c>
      <c r="F186" s="1977">
        <v>178</v>
      </c>
      <c r="G186" s="1978"/>
      <c r="H186" s="1978" t="str">
        <f>VLOOKUP(I186,plasmids!$A$2:$B$351,2)</f>
        <v>pAAVss-mCar-eNpHR-WPRE</v>
      </c>
      <c r="I186" s="1975">
        <v>289</v>
      </c>
      <c r="J186" s="1979"/>
      <c r="K186" s="1980"/>
      <c r="L186" s="1985"/>
      <c r="M186" s="1987">
        <v>41662</v>
      </c>
      <c r="N186" s="1989">
        <v>225</v>
      </c>
      <c r="O186" s="1977">
        <v>12</v>
      </c>
      <c r="P186" s="1991"/>
      <c r="Q186" s="1993">
        <v>236000000000</v>
      </c>
      <c r="R186" s="1991"/>
      <c r="S186" s="1995" t="e">
        <f t="shared" si="0"/>
        <v>#DIV/0!</v>
      </c>
      <c r="T186" s="1998" t="s">
        <v>400</v>
      </c>
      <c r="U186" s="1979"/>
      <c r="V186" s="2000">
        <f>150</f>
        <v>150</v>
      </c>
      <c r="W186" s="2001"/>
      <c r="X186" s="2002"/>
      <c r="Y186" s="2003"/>
      <c r="Z186" s="2003"/>
      <c r="AA186" s="2002"/>
      <c r="AB186" s="2002"/>
      <c r="AC186" s="2002"/>
      <c r="AD186" s="2002"/>
      <c r="AE186" s="2002"/>
      <c r="AF186" s="2003"/>
      <c r="AG186" s="2002"/>
      <c r="AH186" s="2002"/>
      <c r="AI186" s="2002"/>
      <c r="AJ186" s="2002"/>
      <c r="AK186" s="2002"/>
      <c r="AL186" s="2002"/>
      <c r="AM186" s="2002"/>
      <c r="AN186" s="2002"/>
      <c r="AO186" s="2002"/>
      <c r="AP186" s="2002"/>
      <c r="AQ186" s="2002"/>
      <c r="AR186" s="2002"/>
      <c r="AS186" s="2003"/>
      <c r="AT186" s="2003"/>
      <c r="AU186" s="2003"/>
      <c r="AV186" s="2003"/>
      <c r="AW186" s="2003"/>
      <c r="AX186" s="2003"/>
      <c r="AY186" s="2003"/>
      <c r="AZ186" s="2003"/>
      <c r="BA186" s="2003"/>
      <c r="BB186" s="2003"/>
      <c r="BC186" s="2003"/>
      <c r="BD186" s="2003"/>
      <c r="BE186" s="2003"/>
      <c r="BF186" s="2003"/>
      <c r="BG186" s="2003"/>
      <c r="BH186" s="27"/>
      <c r="BI186" s="27"/>
    </row>
    <row r="187" spans="1:61" ht="26.25" hidden="1" customHeight="1">
      <c r="A187" s="2004" t="s">
        <v>52</v>
      </c>
      <c r="B187" s="2005" t="s">
        <v>54</v>
      </c>
      <c r="C187" s="2006" t="s">
        <v>55</v>
      </c>
      <c r="D187" s="2005" t="s">
        <v>57</v>
      </c>
      <c r="E187" s="2005" t="s">
        <v>58</v>
      </c>
      <c r="F187" s="2005">
        <v>178</v>
      </c>
      <c r="G187" s="2008"/>
      <c r="H187" s="2008" t="str">
        <f>VLOOKUP(I187,plasmids!$A$2:$B$351,2)</f>
        <v>pssAAV-mCAR-GFP</v>
      </c>
      <c r="I187" s="2005">
        <v>93</v>
      </c>
      <c r="J187" s="2013"/>
      <c r="K187" s="2014"/>
      <c r="L187" s="2016"/>
      <c r="M187" s="2020">
        <v>41667</v>
      </c>
      <c r="N187" s="2022">
        <v>226</v>
      </c>
      <c r="O187" s="2024">
        <v>12</v>
      </c>
      <c r="P187" s="2025"/>
      <c r="Q187" s="2026">
        <v>8570000000000</v>
      </c>
      <c r="R187" s="2025"/>
      <c r="S187" s="2028" t="e">
        <f t="shared" si="0"/>
        <v>#DIV/0!</v>
      </c>
      <c r="T187" s="2005" t="s">
        <v>400</v>
      </c>
      <c r="U187" s="2030">
        <v>41808</v>
      </c>
      <c r="V187" s="2033">
        <f>52-15</f>
        <v>37</v>
      </c>
      <c r="W187" s="2034" t="s">
        <v>4230</v>
      </c>
      <c r="X187" s="2044"/>
      <c r="Y187" s="2044"/>
      <c r="Z187" s="2044"/>
      <c r="AA187" s="2044"/>
      <c r="AB187" s="2044"/>
      <c r="AC187" s="2044"/>
      <c r="AD187" s="2044"/>
      <c r="AE187" s="2044"/>
      <c r="AF187" s="2044"/>
      <c r="AG187" s="2044"/>
      <c r="AH187" s="2044"/>
      <c r="AI187" s="2044"/>
      <c r="AJ187" s="2044"/>
      <c r="AK187" s="2044"/>
      <c r="AL187" s="2044"/>
      <c r="AM187" s="2044"/>
      <c r="AN187" s="2044"/>
      <c r="AO187" s="2044"/>
      <c r="AP187" s="2044"/>
      <c r="AQ187" s="2044"/>
      <c r="AR187" s="2044"/>
      <c r="AS187" s="2044"/>
      <c r="AT187" s="2044"/>
      <c r="AU187" s="2044"/>
      <c r="AV187" s="2045"/>
      <c r="AW187" s="2045"/>
      <c r="AX187" s="2045"/>
      <c r="AY187" s="2045"/>
      <c r="AZ187" s="2045"/>
      <c r="BA187" s="2045"/>
      <c r="BB187" s="2045"/>
      <c r="BC187" s="2045"/>
      <c r="BD187" s="2045"/>
      <c r="BE187" s="2045"/>
      <c r="BF187" s="2045"/>
      <c r="BG187" s="2046"/>
      <c r="BH187" s="234"/>
      <c r="BI187" s="234"/>
    </row>
    <row r="188" spans="1:61" ht="26.25" hidden="1" customHeight="1">
      <c r="A188" s="2047" t="s">
        <v>52</v>
      </c>
      <c r="B188" s="470" t="s">
        <v>139</v>
      </c>
      <c r="C188" s="1001" t="s">
        <v>55</v>
      </c>
      <c r="D188" s="470" t="s">
        <v>568</v>
      </c>
      <c r="E188" s="470" t="s">
        <v>58</v>
      </c>
      <c r="F188" s="1008">
        <v>178</v>
      </c>
      <c r="G188" s="1828"/>
      <c r="H188" s="1828" t="str">
        <f>VLOOKUP(I188,plasmids!$A$2:$B$351,2)</f>
        <v>pAAV-sshCAr-eGFP</v>
      </c>
      <c r="I188" s="470">
        <v>301</v>
      </c>
      <c r="J188" s="471"/>
      <c r="K188" s="1658"/>
      <c r="L188" s="1003"/>
      <c r="M188" s="1005">
        <v>41667</v>
      </c>
      <c r="N188" s="1006">
        <v>227</v>
      </c>
      <c r="O188" s="1008">
        <v>12</v>
      </c>
      <c r="P188" s="466"/>
      <c r="Q188" s="1604">
        <v>22200000000000</v>
      </c>
      <c r="R188" s="466"/>
      <c r="S188" s="468" t="e">
        <f t="shared" si="0"/>
        <v>#DIV/0!</v>
      </c>
      <c r="T188" s="462" t="s">
        <v>400</v>
      </c>
      <c r="U188" s="1830">
        <v>41719</v>
      </c>
      <c r="V188" s="1612">
        <f>55</f>
        <v>55</v>
      </c>
      <c r="W188" s="1659"/>
      <c r="X188" s="1011"/>
      <c r="Y188" s="1011"/>
      <c r="Z188" s="1011"/>
      <c r="AA188" s="1011"/>
      <c r="AB188" s="1011"/>
      <c r="AC188" s="27"/>
      <c r="AD188" s="1011"/>
      <c r="AE188" s="1011"/>
      <c r="AF188" s="1011"/>
      <c r="AG188" s="1011"/>
      <c r="AH188" s="1011"/>
      <c r="AI188" s="1011"/>
      <c r="AJ188" s="1011"/>
      <c r="AK188" s="1011"/>
      <c r="AL188" s="1011"/>
      <c r="AM188" s="1011"/>
      <c r="AN188" s="1011"/>
      <c r="AO188" s="1011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053"/>
      <c r="BH188" s="27"/>
      <c r="BI188" s="27"/>
    </row>
    <row r="189" spans="1:61" ht="26.25" hidden="1" customHeight="1">
      <c r="A189" s="2055" t="s">
        <v>52</v>
      </c>
      <c r="B189" s="966" t="s">
        <v>177</v>
      </c>
      <c r="C189" s="967" t="s">
        <v>178</v>
      </c>
      <c r="D189" s="966" t="s">
        <v>187</v>
      </c>
      <c r="E189" s="2058" t="str">
        <f>VLOOKUP(F189,plasmids!$A$2:$B$351,2)</f>
        <v>AAV9 7M8 (AA------)</v>
      </c>
      <c r="F189" s="966">
        <v>170</v>
      </c>
      <c r="G189" s="2059"/>
      <c r="H189" s="2059" t="str">
        <f>VLOOKUP(I189,plasmids!$A$2:$B$351,2)</f>
        <v>sc-CAG-RFP</v>
      </c>
      <c r="I189" s="966">
        <v>84</v>
      </c>
      <c r="J189" s="978"/>
      <c r="K189" s="1614"/>
      <c r="L189" s="1496"/>
      <c r="M189" s="971">
        <v>41667</v>
      </c>
      <c r="N189" s="1055">
        <v>228</v>
      </c>
      <c r="O189" s="973">
        <v>12</v>
      </c>
      <c r="P189" s="976"/>
      <c r="Q189" s="1599">
        <v>7410000000000</v>
      </c>
      <c r="R189" s="976"/>
      <c r="S189" s="977" t="e">
        <f t="shared" si="0"/>
        <v>#DIV/0!</v>
      </c>
      <c r="T189" s="966" t="s">
        <v>400</v>
      </c>
      <c r="U189" s="978"/>
      <c r="V189" s="2061">
        <f>115</f>
        <v>115</v>
      </c>
      <c r="W189" s="932"/>
      <c r="X189" s="932"/>
      <c r="Y189" s="932"/>
      <c r="Z189" s="932"/>
      <c r="AA189" s="932"/>
      <c r="AB189" s="932"/>
      <c r="AC189" s="932"/>
      <c r="AD189" s="932"/>
      <c r="AE189" s="932"/>
      <c r="AF189" s="932"/>
      <c r="AG189" s="932"/>
      <c r="AH189" s="932"/>
      <c r="AI189" s="932"/>
      <c r="AJ189" s="932"/>
      <c r="AK189" s="932"/>
      <c r="AL189" s="932"/>
      <c r="AM189" s="932"/>
      <c r="AN189" s="932"/>
      <c r="AO189" s="932"/>
      <c r="AP189" s="932"/>
      <c r="AQ189" s="932"/>
      <c r="AR189" s="932"/>
      <c r="AS189" s="932"/>
      <c r="AT189" s="932"/>
      <c r="AU189" s="932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053"/>
      <c r="BH189" s="27"/>
      <c r="BI189" s="27"/>
    </row>
    <row r="190" spans="1:61" ht="26.25" hidden="1" customHeight="1">
      <c r="A190" s="2062" t="s">
        <v>52</v>
      </c>
      <c r="B190" s="966" t="s">
        <v>177</v>
      </c>
      <c r="C190" s="967" t="s">
        <v>178</v>
      </c>
      <c r="D190" s="966" t="s">
        <v>187</v>
      </c>
      <c r="E190" s="2058" t="str">
        <f>VLOOKUP(F190,plasmids!$A$2:$B$351,2)</f>
        <v>AAV10 Y447 733F</v>
      </c>
      <c r="F190" s="966">
        <v>174</v>
      </c>
      <c r="G190" s="2059"/>
      <c r="H190" s="2059" t="str">
        <f>VLOOKUP(I190,plasmids!$A$2:$B$351,2)</f>
        <v>sc-CAG-GFP</v>
      </c>
      <c r="I190" s="966">
        <v>120</v>
      </c>
      <c r="J190" s="978"/>
      <c r="K190" s="1614"/>
      <c r="L190" s="1496"/>
      <c r="M190" s="971">
        <v>41667</v>
      </c>
      <c r="N190" s="972">
        <v>229</v>
      </c>
      <c r="O190" s="973">
        <v>12</v>
      </c>
      <c r="P190" s="976"/>
      <c r="Q190" s="1599">
        <v>371000000000000</v>
      </c>
      <c r="R190" s="976"/>
      <c r="S190" s="977" t="e">
        <f t="shared" si="0"/>
        <v>#DIV/0!</v>
      </c>
      <c r="T190" s="966" t="s">
        <v>400</v>
      </c>
      <c r="U190" s="978"/>
      <c r="V190" s="2061">
        <f>186</f>
        <v>186</v>
      </c>
      <c r="W190" s="932"/>
      <c r="X190" s="932"/>
      <c r="Y190" s="932"/>
      <c r="Z190" s="932"/>
      <c r="AA190" s="932"/>
      <c r="AB190" s="932"/>
      <c r="AC190" s="932"/>
      <c r="AD190" s="932"/>
      <c r="AE190" s="932"/>
      <c r="AF190" s="932"/>
      <c r="AG190" s="932"/>
      <c r="AH190" s="932"/>
      <c r="AI190" s="932"/>
      <c r="AJ190" s="932"/>
      <c r="AK190" s="932"/>
      <c r="AL190" s="932"/>
      <c r="AM190" s="932"/>
      <c r="AN190" s="932"/>
      <c r="AO190" s="932"/>
      <c r="AP190" s="932"/>
      <c r="AQ190" s="932"/>
      <c r="AR190" s="932"/>
      <c r="AS190" s="932"/>
      <c r="AT190" s="932"/>
      <c r="AU190" s="932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053"/>
      <c r="BH190" s="27"/>
      <c r="BI190" s="27"/>
    </row>
    <row r="191" spans="1:61" ht="26.25" hidden="1" customHeight="1">
      <c r="A191" s="2069" t="s">
        <v>52</v>
      </c>
      <c r="B191" s="1145" t="s">
        <v>139</v>
      </c>
      <c r="C191" s="1147" t="s">
        <v>55</v>
      </c>
      <c r="D191" s="1145" t="s">
        <v>568</v>
      </c>
      <c r="E191" s="1145" t="s">
        <v>58</v>
      </c>
      <c r="F191" s="1153">
        <v>178</v>
      </c>
      <c r="G191" s="2072"/>
      <c r="H191" s="2072" t="str">
        <f>VLOOKUP(I191,plasmids!$A$2:$B$351,2)</f>
        <v>pAAVss-hCar-eNpHR-WPRE</v>
      </c>
      <c r="I191" s="1145">
        <v>302</v>
      </c>
      <c r="J191" s="1166"/>
      <c r="K191" s="1632"/>
      <c r="L191" s="1149"/>
      <c r="M191" s="1151">
        <v>41674</v>
      </c>
      <c r="N191" s="1152">
        <v>230</v>
      </c>
      <c r="O191" s="1153">
        <v>6</v>
      </c>
      <c r="P191" s="1158"/>
      <c r="Q191" s="1615">
        <v>11700000000000</v>
      </c>
      <c r="R191" s="1158"/>
      <c r="S191" s="1160" t="e">
        <f t="shared" si="0"/>
        <v>#DIV/0!</v>
      </c>
      <c r="T191" s="1153" t="s">
        <v>400</v>
      </c>
      <c r="U191" s="1145" t="s">
        <v>4247</v>
      </c>
      <c r="V191" s="1145">
        <v>170</v>
      </c>
      <c r="W191" s="2077"/>
      <c r="X191" s="1634"/>
      <c r="Y191" s="1634"/>
      <c r="Z191" s="1634"/>
      <c r="AA191" s="1634"/>
      <c r="AB191" s="1634"/>
      <c r="AC191" s="377"/>
      <c r="AD191" s="1634"/>
      <c r="AE191" s="1634"/>
      <c r="AF191" s="1634"/>
      <c r="AG191" s="1634"/>
      <c r="AH191" s="1634"/>
      <c r="AI191" s="1634"/>
      <c r="AJ191" s="1634"/>
      <c r="AK191" s="1634"/>
      <c r="AL191" s="1634"/>
      <c r="AM191" s="1634"/>
      <c r="AN191" s="1634"/>
      <c r="AO191" s="1634"/>
      <c r="AP191" s="377"/>
      <c r="AQ191" s="377"/>
      <c r="AR191" s="377"/>
      <c r="AS191" s="377"/>
      <c r="AT191" s="377"/>
      <c r="AU191" s="377"/>
      <c r="AV191" s="377"/>
      <c r="AW191" s="377"/>
      <c r="AX191" s="377"/>
      <c r="AY191" s="27"/>
      <c r="AZ191" s="27"/>
      <c r="BA191" s="27"/>
      <c r="BB191" s="27"/>
      <c r="BC191" s="27"/>
      <c r="BD191" s="27"/>
      <c r="BE191" s="27"/>
      <c r="BF191" s="27"/>
      <c r="BG191" s="2053"/>
      <c r="BH191" s="27"/>
      <c r="BI191" s="27"/>
    </row>
    <row r="192" spans="1:61" ht="26.25" hidden="1" customHeight="1">
      <c r="A192" s="2082" t="s">
        <v>4257</v>
      </c>
      <c r="B192" s="2083" t="s">
        <v>4258</v>
      </c>
      <c r="C192" s="2084" t="s">
        <v>178</v>
      </c>
      <c r="D192" s="2083" t="s">
        <v>4261</v>
      </c>
      <c r="E192" s="2083" t="s">
        <v>516</v>
      </c>
      <c r="F192" s="2083">
        <v>140</v>
      </c>
      <c r="G192" s="2084"/>
      <c r="H192" s="2084" t="s">
        <v>3297</v>
      </c>
      <c r="I192" s="2083">
        <v>244</v>
      </c>
      <c r="J192" s="2083" t="s">
        <v>1012</v>
      </c>
      <c r="K192" s="2086"/>
      <c r="L192" s="2088"/>
      <c r="M192" s="2090">
        <v>41674</v>
      </c>
      <c r="N192" s="2091">
        <v>231</v>
      </c>
      <c r="O192" s="2092">
        <v>6</v>
      </c>
      <c r="P192" s="2093"/>
      <c r="Q192" s="2094">
        <v>63900000000000</v>
      </c>
      <c r="R192" s="2093"/>
      <c r="S192" s="2095" t="e">
        <f t="shared" si="0"/>
        <v>#DIV/0!</v>
      </c>
      <c r="T192" s="2083" t="s">
        <v>400</v>
      </c>
      <c r="U192" s="2083" t="s">
        <v>4247</v>
      </c>
      <c r="V192" s="2092">
        <v>170</v>
      </c>
      <c r="W192" s="2096"/>
      <c r="X192" s="2096"/>
      <c r="Y192" s="2096"/>
      <c r="Z192" s="2096"/>
      <c r="AA192" s="2096"/>
      <c r="AB192" s="2096"/>
      <c r="AC192" s="2096"/>
      <c r="AD192" s="2096"/>
      <c r="AE192" s="2096"/>
      <c r="AF192" s="2096"/>
      <c r="AG192" s="2096"/>
      <c r="AH192" s="2098"/>
      <c r="AI192" s="2098"/>
      <c r="AJ192" s="2098"/>
      <c r="AK192" s="2098"/>
      <c r="AL192" s="2098"/>
      <c r="AM192" s="2098"/>
      <c r="AN192" s="2098"/>
      <c r="AO192" s="2098"/>
      <c r="AP192" s="2098"/>
      <c r="AQ192" s="2098"/>
      <c r="AR192" s="2098"/>
      <c r="AS192" s="2098"/>
      <c r="AT192" s="2098"/>
      <c r="AU192" s="2098"/>
      <c r="AV192" s="2098"/>
      <c r="AW192" s="2098"/>
      <c r="AX192" s="2098"/>
      <c r="AY192" s="2003"/>
      <c r="AZ192" s="2003"/>
      <c r="BA192" s="2003"/>
      <c r="BB192" s="2003"/>
      <c r="BC192" s="2003"/>
      <c r="BD192" s="2003"/>
      <c r="BE192" s="2003"/>
      <c r="BF192" s="2003"/>
      <c r="BG192" s="2102"/>
      <c r="BH192" s="27"/>
      <c r="BI192" s="27"/>
    </row>
    <row r="193" spans="1:61" ht="26.25" hidden="1" customHeight="1">
      <c r="A193" s="2103" t="s">
        <v>52</v>
      </c>
      <c r="B193" s="2103" t="s">
        <v>54</v>
      </c>
      <c r="C193" s="2105" t="s">
        <v>55</v>
      </c>
      <c r="D193" s="2103" t="s">
        <v>57</v>
      </c>
      <c r="E193" s="2103" t="s">
        <v>58</v>
      </c>
      <c r="F193" s="2103">
        <v>178</v>
      </c>
      <c r="G193" s="2107"/>
      <c r="H193" s="2107" t="str">
        <f>VLOOKUP(I193,plasmids!$A$2:$B$351,2)</f>
        <v>pssAAV-mCAR-GFP</v>
      </c>
      <c r="I193" s="2103">
        <v>93</v>
      </c>
      <c r="J193" s="2112"/>
      <c r="K193" s="2113"/>
      <c r="L193" s="2114"/>
      <c r="M193" s="2116">
        <v>41674</v>
      </c>
      <c r="N193" s="2117">
        <v>232</v>
      </c>
      <c r="O193" s="2118">
        <v>6</v>
      </c>
      <c r="P193" s="2119"/>
      <c r="Q193" s="2120">
        <v>11500000000000</v>
      </c>
      <c r="R193" s="2119"/>
      <c r="S193" s="2123" t="e">
        <f t="shared" si="0"/>
        <v>#DIV/0!</v>
      </c>
      <c r="T193" s="2103" t="s">
        <v>400</v>
      </c>
      <c r="U193" s="2103" t="s">
        <v>4247</v>
      </c>
      <c r="V193" s="2118">
        <v>180</v>
      </c>
      <c r="W193" s="2126"/>
      <c r="X193" s="2126"/>
      <c r="Y193" s="2126"/>
      <c r="Z193" s="2126"/>
      <c r="AA193" s="2126"/>
      <c r="AB193" s="2126"/>
      <c r="AC193" s="2126"/>
      <c r="AD193" s="2126"/>
      <c r="AE193" s="2126"/>
      <c r="AF193" s="2126"/>
      <c r="AG193" s="2126"/>
      <c r="AH193" s="2126"/>
      <c r="AI193" s="2126"/>
      <c r="AJ193" s="2126"/>
      <c r="AK193" s="2126"/>
      <c r="AL193" s="2126"/>
      <c r="AM193" s="2126"/>
      <c r="AN193" s="2126"/>
      <c r="AO193" s="2126"/>
      <c r="AP193" s="2126"/>
      <c r="AQ193" s="2126"/>
      <c r="AR193" s="2126"/>
      <c r="AS193" s="2126"/>
      <c r="AT193" s="2126"/>
      <c r="AU193" s="2126"/>
      <c r="AV193" s="2128"/>
      <c r="AW193" s="2128"/>
      <c r="AX193" s="2128"/>
      <c r="AY193" s="2132"/>
      <c r="AZ193" s="2132"/>
      <c r="BA193" s="2132"/>
      <c r="BB193" s="2132"/>
      <c r="BC193" s="2132"/>
      <c r="BD193" s="2132"/>
      <c r="BE193" s="2132"/>
      <c r="BF193" s="2132"/>
      <c r="BG193" s="2132"/>
      <c r="BH193" s="27"/>
      <c r="BI193" s="27"/>
    </row>
    <row r="194" spans="1:61" ht="26.25" hidden="1" customHeight="1">
      <c r="A194" s="1145" t="s">
        <v>52</v>
      </c>
      <c r="B194" s="1145" t="s">
        <v>139</v>
      </c>
      <c r="C194" s="1147" t="s">
        <v>55</v>
      </c>
      <c r="D194" s="1145" t="s">
        <v>568</v>
      </c>
      <c r="E194" s="1145" t="s">
        <v>58</v>
      </c>
      <c r="F194" s="1153">
        <v>178</v>
      </c>
      <c r="G194" s="2072"/>
      <c r="H194" s="2072" t="str">
        <f>VLOOKUP(I194,plasmids!$A$2:$B$351,2)</f>
        <v>pAAV-sshCAr-eGFP</v>
      </c>
      <c r="I194" s="1145">
        <v>301</v>
      </c>
      <c r="J194" s="1166"/>
      <c r="K194" s="1632"/>
      <c r="L194" s="1149"/>
      <c r="M194" s="1151">
        <v>41674</v>
      </c>
      <c r="N194" s="1152">
        <v>233</v>
      </c>
      <c r="O194" s="1153">
        <v>6</v>
      </c>
      <c r="P194" s="1158"/>
      <c r="Q194" s="1615">
        <v>21000000000000</v>
      </c>
      <c r="R194" s="1158"/>
      <c r="S194" s="1160" t="e">
        <f t="shared" si="0"/>
        <v>#DIV/0!</v>
      </c>
      <c r="T194" s="1153" t="s">
        <v>400</v>
      </c>
      <c r="U194" s="1145" t="s">
        <v>4247</v>
      </c>
      <c r="V194" s="1145">
        <v>180</v>
      </c>
      <c r="W194" s="2077"/>
      <c r="X194" s="1634"/>
      <c r="Y194" s="1634"/>
      <c r="Z194" s="1634"/>
      <c r="AA194" s="1634"/>
      <c r="AB194" s="1634"/>
      <c r="AC194" s="377"/>
      <c r="AD194" s="1634"/>
      <c r="AE194" s="1634"/>
      <c r="AF194" s="1634"/>
      <c r="AG194" s="1634"/>
      <c r="AH194" s="1634"/>
      <c r="AI194" s="1634"/>
      <c r="AJ194" s="1634"/>
      <c r="AK194" s="1634"/>
      <c r="AL194" s="1634"/>
      <c r="AM194" s="1634"/>
      <c r="AN194" s="1634"/>
      <c r="AO194" s="1634"/>
      <c r="AP194" s="377"/>
      <c r="AQ194" s="377"/>
      <c r="AR194" s="377"/>
      <c r="AS194" s="377"/>
      <c r="AT194" s="377"/>
      <c r="AU194" s="377"/>
      <c r="AV194" s="377"/>
      <c r="AW194" s="377"/>
      <c r="AX194" s="37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</row>
    <row r="195" spans="1:61" ht="26.25" hidden="1" customHeight="1">
      <c r="A195" s="1145" t="s">
        <v>52</v>
      </c>
      <c r="B195" s="1145" t="s">
        <v>177</v>
      </c>
      <c r="C195" s="1147" t="s">
        <v>178</v>
      </c>
      <c r="D195" s="1145" t="s">
        <v>57</v>
      </c>
      <c r="E195" s="2138" t="str">
        <f>VLOOKUP(F195,plasmids!$A$2:$B$351,2)</f>
        <v>pAAV2/8</v>
      </c>
      <c r="F195" s="1145">
        <v>122</v>
      </c>
      <c r="G195" s="2072"/>
      <c r="H195" s="2072" t="str">
        <f>VLOOKUP(I195,plasmids!$A$2:$B$351,2)</f>
        <v>pssAAV-mCAR-eNphR-eYFP</v>
      </c>
      <c r="I195" s="1145">
        <v>92</v>
      </c>
      <c r="J195" s="1166"/>
      <c r="K195" s="1632"/>
      <c r="L195" s="1149"/>
      <c r="M195" s="1151">
        <v>41674</v>
      </c>
      <c r="N195" s="1152">
        <v>234</v>
      </c>
      <c r="O195" s="1153">
        <v>6</v>
      </c>
      <c r="P195" s="1158"/>
      <c r="Q195" s="1615">
        <v>794000000000000</v>
      </c>
      <c r="R195" s="1158"/>
      <c r="S195" s="1160" t="e">
        <f t="shared" si="0"/>
        <v>#DIV/0!</v>
      </c>
      <c r="T195" s="1145" t="s">
        <v>400</v>
      </c>
      <c r="U195" s="1145" t="s">
        <v>929</v>
      </c>
      <c r="V195" s="1145">
        <v>165</v>
      </c>
      <c r="W195" s="1173" t="s">
        <v>4281</v>
      </c>
      <c r="X195" s="1634"/>
      <c r="Y195" s="1634"/>
      <c r="Z195" s="1634"/>
      <c r="AA195" s="1634"/>
      <c r="AB195" s="1634"/>
      <c r="AC195" s="1634"/>
      <c r="AD195" s="1634"/>
      <c r="AE195" s="1634"/>
      <c r="AF195" s="1634"/>
      <c r="AG195" s="1634"/>
      <c r="AH195" s="1634"/>
      <c r="AI195" s="1634"/>
      <c r="AJ195" s="1634"/>
      <c r="AK195" s="1634"/>
      <c r="AL195" s="1634"/>
      <c r="AM195" s="1634"/>
      <c r="AN195" s="1634"/>
      <c r="AO195" s="1634"/>
      <c r="AP195" s="1634"/>
      <c r="AQ195" s="1634"/>
      <c r="AR195" s="1634"/>
      <c r="AS195" s="1634"/>
      <c r="AT195" s="1634"/>
      <c r="AU195" s="1634"/>
      <c r="AV195" s="377"/>
      <c r="AW195" s="377"/>
      <c r="AX195" s="377"/>
      <c r="AY195" s="377"/>
      <c r="AZ195" s="377"/>
      <c r="BA195" s="377"/>
      <c r="BB195" s="377"/>
      <c r="BC195" s="377"/>
      <c r="BD195" s="377"/>
      <c r="BE195" s="377"/>
      <c r="BF195" s="377"/>
      <c r="BG195" s="377"/>
      <c r="BH195" s="377"/>
      <c r="BI195" s="377"/>
    </row>
    <row r="196" spans="1:61" ht="21" hidden="1" customHeight="1">
      <c r="A196" s="2150" t="s">
        <v>4282</v>
      </c>
      <c r="B196" s="2151" t="s">
        <v>4284</v>
      </c>
      <c r="C196" s="2152" t="s">
        <v>567</v>
      </c>
      <c r="D196" s="2151" t="s">
        <v>4285</v>
      </c>
      <c r="E196" s="2154" t="str">
        <f>VLOOKUP(F196,plasmids!$A$2:$B$351,2)</f>
        <v>AAV9 2YF</v>
      </c>
      <c r="F196" s="2151">
        <v>168</v>
      </c>
      <c r="G196" s="2156"/>
      <c r="H196" s="2156" t="str">
        <f>VLOOKUP(I196,plasmids!$A$2:$B$351,2)</f>
        <v>scCAG-eGFP-2A-SANS</v>
      </c>
      <c r="I196" s="2151">
        <v>342</v>
      </c>
      <c r="J196" s="2159"/>
      <c r="K196" s="2161"/>
      <c r="L196" s="2162"/>
      <c r="M196" s="2163">
        <v>41674</v>
      </c>
      <c r="N196" s="2164">
        <v>235</v>
      </c>
      <c r="O196" s="1336">
        <v>6</v>
      </c>
      <c r="P196" s="2165"/>
      <c r="Q196" s="1601">
        <v>44900000000000</v>
      </c>
      <c r="R196" s="2165"/>
      <c r="S196" s="2166" t="e">
        <f t="shared" si="0"/>
        <v>#DIV/0!</v>
      </c>
      <c r="T196" s="2151" t="s">
        <v>400</v>
      </c>
      <c r="U196" s="2151" t="s">
        <v>929</v>
      </c>
      <c r="V196" s="2151">
        <v>140</v>
      </c>
      <c r="W196" s="2167"/>
      <c r="X196" s="2167"/>
      <c r="Y196" s="2167"/>
      <c r="Z196" s="2167"/>
      <c r="AA196" s="2167"/>
      <c r="AB196" s="2167"/>
      <c r="AC196" s="2167"/>
      <c r="AD196" s="2167"/>
      <c r="AE196" s="2167"/>
      <c r="AF196" s="2167"/>
      <c r="AG196" s="2167"/>
      <c r="AH196" s="2167"/>
      <c r="AI196" s="2167"/>
      <c r="AJ196" s="2167"/>
      <c r="AK196" s="2167"/>
      <c r="AL196" s="2167"/>
      <c r="AM196" s="2167"/>
      <c r="AN196" s="2167"/>
      <c r="AO196" s="2167"/>
      <c r="AP196" s="2167"/>
      <c r="AQ196" s="2167"/>
      <c r="AR196" s="2167"/>
      <c r="AS196" s="2167"/>
      <c r="AT196" s="2167"/>
      <c r="AU196" s="216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</row>
    <row r="197" spans="1:61" ht="21" hidden="1" customHeight="1">
      <c r="A197" s="2150" t="s">
        <v>4282</v>
      </c>
      <c r="B197" s="2151" t="s">
        <v>4284</v>
      </c>
      <c r="C197" s="2152" t="s">
        <v>567</v>
      </c>
      <c r="D197" s="2151" t="s">
        <v>4285</v>
      </c>
      <c r="E197" s="2154" t="str">
        <f>VLOOKUP(F197,plasmids!$A$2:$B$351,2)</f>
        <v>AAV9 2YF</v>
      </c>
      <c r="F197" s="2151">
        <v>168</v>
      </c>
      <c r="G197" s="2156"/>
      <c r="H197" s="2156" t="str">
        <f>VLOOKUP(I197,plasmids!$A$2:$B$351,2)</f>
        <v>scCAG-SANS</v>
      </c>
      <c r="I197" s="2151">
        <v>343</v>
      </c>
      <c r="J197" s="2159"/>
      <c r="K197" s="2161"/>
      <c r="L197" s="2162"/>
      <c r="M197" s="2163">
        <v>41674</v>
      </c>
      <c r="N197" s="2164">
        <v>236</v>
      </c>
      <c r="O197" s="1336">
        <v>6</v>
      </c>
      <c r="P197" s="2165"/>
      <c r="Q197" s="1601">
        <v>10400000000000</v>
      </c>
      <c r="R197" s="2165"/>
      <c r="S197" s="2166" t="e">
        <f t="shared" si="0"/>
        <v>#DIV/0!</v>
      </c>
      <c r="T197" s="2151" t="s">
        <v>400</v>
      </c>
      <c r="U197" s="2151" t="s">
        <v>929</v>
      </c>
      <c r="V197" s="2151">
        <v>120</v>
      </c>
      <c r="W197" s="2167"/>
      <c r="X197" s="2167"/>
      <c r="Y197" s="2167"/>
      <c r="Z197" s="2167"/>
      <c r="AA197" s="2167"/>
      <c r="AB197" s="2167"/>
      <c r="AC197" s="2167"/>
      <c r="AD197" s="2167"/>
      <c r="AE197" s="2167"/>
      <c r="AF197" s="2167"/>
      <c r="AG197" s="2167"/>
      <c r="AH197" s="2167"/>
      <c r="AI197" s="2167"/>
      <c r="AJ197" s="2167"/>
      <c r="AK197" s="2167"/>
      <c r="AL197" s="2167"/>
      <c r="AM197" s="2167"/>
      <c r="AN197" s="2167"/>
      <c r="AO197" s="2167"/>
      <c r="AP197" s="2167"/>
      <c r="AQ197" s="2167"/>
      <c r="AR197" s="2167"/>
      <c r="AS197" s="2167"/>
      <c r="AT197" s="2167"/>
      <c r="AU197" s="216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</row>
    <row r="198" spans="1:61" ht="23.25" hidden="1" customHeight="1">
      <c r="A198" s="734" t="s">
        <v>707</v>
      </c>
      <c r="B198" s="734" t="s">
        <v>2698</v>
      </c>
      <c r="C198" s="735" t="s">
        <v>1967</v>
      </c>
      <c r="D198" s="734" t="s">
        <v>4294</v>
      </c>
      <c r="E198" s="1666" t="str">
        <f>VLOOKUP(F198,plasmids!$A$2:$B$351,2)</f>
        <v>AAV9</v>
      </c>
      <c r="F198" s="734">
        <v>166</v>
      </c>
      <c r="G198" s="1667"/>
      <c r="H198" s="1667" t="str">
        <f>VLOOKUP(I198,plasmids!$A$2:$B$351,2)</f>
        <v>Rho-eGFP</v>
      </c>
      <c r="I198" s="734">
        <v>121</v>
      </c>
      <c r="J198" s="744"/>
      <c r="K198" s="1668"/>
      <c r="L198" s="811"/>
      <c r="M198" s="737">
        <v>41674</v>
      </c>
      <c r="N198" s="738">
        <v>237</v>
      </c>
      <c r="O198" s="739">
        <v>6</v>
      </c>
      <c r="P198" s="742"/>
      <c r="Q198" s="1613">
        <v>537000000000000</v>
      </c>
      <c r="R198" s="742"/>
      <c r="S198" s="743" t="e">
        <f t="shared" si="0"/>
        <v>#DIV/0!</v>
      </c>
      <c r="T198" s="734" t="s">
        <v>400</v>
      </c>
      <c r="U198" s="734" t="s">
        <v>929</v>
      </c>
      <c r="V198" s="739">
        <f>140-2</f>
        <v>138</v>
      </c>
      <c r="W198" s="733"/>
      <c r="X198" s="732"/>
      <c r="Y198" s="733"/>
      <c r="Z198" s="733"/>
      <c r="AA198" s="733"/>
      <c r="AB198" s="733"/>
      <c r="AC198" s="733"/>
      <c r="AD198" s="733"/>
      <c r="AE198" s="733"/>
      <c r="AF198" s="733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</row>
    <row r="199" spans="1:61" ht="26.25" hidden="1" customHeight="1">
      <c r="A199" s="1939" t="s">
        <v>52</v>
      </c>
      <c r="B199" s="1940" t="s">
        <v>2508</v>
      </c>
      <c r="C199" s="1941" t="s">
        <v>3233</v>
      </c>
      <c r="D199" s="1940" t="s">
        <v>70</v>
      </c>
      <c r="E199" s="1940" t="s">
        <v>516</v>
      </c>
      <c r="F199" s="1940">
        <v>140</v>
      </c>
      <c r="G199" s="1944"/>
      <c r="H199" s="1944" t="str">
        <f>VLOOKUP(I199,plasmids!$A$2:$B$400,2)</f>
        <v>pssSNCG-hCatch-WPRE</v>
      </c>
      <c r="I199" s="1940">
        <v>349</v>
      </c>
      <c r="J199" s="1945"/>
      <c r="K199" s="1946"/>
      <c r="L199" s="1947"/>
      <c r="M199" s="1948">
        <v>41681</v>
      </c>
      <c r="N199" s="1952">
        <v>238</v>
      </c>
      <c r="O199" s="1954">
        <v>12</v>
      </c>
      <c r="P199" s="1957"/>
      <c r="Q199" s="1961">
        <v>50700000000000</v>
      </c>
      <c r="R199" s="1957"/>
      <c r="S199" s="1963" t="e">
        <f t="shared" si="0"/>
        <v>#DIV/0!</v>
      </c>
      <c r="T199" s="1940" t="s">
        <v>400</v>
      </c>
      <c r="U199" s="1945"/>
      <c r="V199" s="1940">
        <v>230</v>
      </c>
      <c r="W199" s="1939" t="s">
        <v>4299</v>
      </c>
      <c r="X199" s="1970"/>
      <c r="Y199" s="1970"/>
      <c r="Z199" s="1970"/>
      <c r="AA199" s="1970"/>
      <c r="AB199" s="1970"/>
      <c r="AC199" s="1970"/>
      <c r="AD199" s="1970"/>
      <c r="AE199" s="1970"/>
      <c r="AF199" s="1970"/>
      <c r="AG199" s="1970"/>
      <c r="AH199" s="1970"/>
      <c r="AI199" s="1970"/>
      <c r="AJ199" s="1970"/>
      <c r="AK199" s="1970"/>
      <c r="AL199" s="1970"/>
      <c r="AM199" s="1970"/>
      <c r="AN199" s="1970"/>
      <c r="AO199" s="1970"/>
      <c r="AP199" s="1970"/>
      <c r="AQ199" s="1970"/>
      <c r="AR199" s="1970"/>
      <c r="AS199" s="1970"/>
      <c r="AT199" s="1970"/>
      <c r="AU199" s="1970"/>
      <c r="AV199" s="234"/>
      <c r="AW199" s="234"/>
      <c r="AX199" s="234"/>
      <c r="AY199" s="234"/>
      <c r="AZ199" s="234"/>
      <c r="BA199" s="234"/>
      <c r="BB199" s="234"/>
      <c r="BC199" s="234"/>
      <c r="BD199" s="234"/>
      <c r="BE199" s="234"/>
      <c r="BF199" s="234"/>
      <c r="BG199" s="234"/>
      <c r="BH199" s="234"/>
      <c r="BI199" s="234"/>
    </row>
    <row r="200" spans="1:61" ht="24" hidden="1">
      <c r="A200" s="711" t="s">
        <v>52</v>
      </c>
      <c r="B200" s="711" t="s">
        <v>2698</v>
      </c>
      <c r="C200" s="717" t="s">
        <v>178</v>
      </c>
      <c r="D200" s="711" t="s">
        <v>3322</v>
      </c>
      <c r="E200" s="711" t="s">
        <v>58</v>
      </c>
      <c r="F200" s="724">
        <v>178</v>
      </c>
      <c r="G200" s="717"/>
      <c r="H200" s="717" t="s">
        <v>197</v>
      </c>
      <c r="I200" s="711">
        <v>120</v>
      </c>
      <c r="J200" s="711" t="s">
        <v>1675</v>
      </c>
      <c r="K200" s="1619"/>
      <c r="L200" s="760"/>
      <c r="M200" s="721">
        <v>41681</v>
      </c>
      <c r="N200" s="723">
        <v>239</v>
      </c>
      <c r="O200" s="724">
        <v>12</v>
      </c>
      <c r="P200" s="727"/>
      <c r="Q200" s="761">
        <v>60300000000000</v>
      </c>
      <c r="R200" s="727"/>
      <c r="S200" s="728" t="e">
        <f t="shared" si="0"/>
        <v>#DIV/0!</v>
      </c>
      <c r="T200" s="711" t="s">
        <v>400</v>
      </c>
      <c r="U200" s="711" t="s">
        <v>3361</v>
      </c>
      <c r="V200" s="724">
        <v>170</v>
      </c>
      <c r="W200" s="768" t="s">
        <v>4300</v>
      </c>
      <c r="X200" s="731"/>
      <c r="Y200" s="731"/>
      <c r="Z200" s="731"/>
      <c r="AA200" s="731"/>
      <c r="AB200" s="731"/>
      <c r="AC200" s="731"/>
      <c r="AD200" s="731"/>
      <c r="AE200" s="731"/>
      <c r="AF200" s="731"/>
      <c r="AG200" s="731"/>
      <c r="AH200" s="377"/>
      <c r="AI200" s="377"/>
      <c r="AJ200" s="377"/>
      <c r="AK200" s="377"/>
      <c r="AL200" s="377"/>
      <c r="AM200" s="377"/>
      <c r="AN200" s="377"/>
      <c r="AO200" s="377"/>
      <c r="AP200" s="377"/>
      <c r="AQ200" s="377"/>
      <c r="AR200" s="377"/>
      <c r="AS200" s="377"/>
      <c r="AT200" s="377"/>
      <c r="AU200" s="377"/>
      <c r="AV200" s="377"/>
      <c r="AW200" s="377"/>
      <c r="AX200" s="377"/>
      <c r="AY200" s="377"/>
      <c r="AZ200" s="377"/>
      <c r="BA200" s="377"/>
      <c r="BB200" s="377"/>
      <c r="BC200" s="377"/>
      <c r="BD200" s="377"/>
      <c r="BE200" s="377"/>
      <c r="BF200" s="377"/>
      <c r="BG200" s="377"/>
      <c r="BH200" s="377"/>
      <c r="BI200" s="377"/>
    </row>
    <row r="201" spans="1:61" ht="21.75" hidden="1" customHeight="1">
      <c r="A201" s="966" t="s">
        <v>2852</v>
      </c>
      <c r="B201" s="966" t="s">
        <v>177</v>
      </c>
      <c r="C201" s="967" t="s">
        <v>178</v>
      </c>
      <c r="D201" s="966" t="s">
        <v>187</v>
      </c>
      <c r="E201" s="966" t="s">
        <v>143</v>
      </c>
      <c r="F201" s="966">
        <v>170</v>
      </c>
      <c r="G201" s="967"/>
      <c r="H201" s="967" t="s">
        <v>197</v>
      </c>
      <c r="I201" s="966">
        <v>120</v>
      </c>
      <c r="J201" s="966" t="s">
        <v>1675</v>
      </c>
      <c r="K201" s="1614"/>
      <c r="L201" s="1496"/>
      <c r="M201" s="971">
        <v>41687</v>
      </c>
      <c r="N201" s="972">
        <v>240</v>
      </c>
      <c r="O201" s="973">
        <v>6</v>
      </c>
      <c r="P201" s="976"/>
      <c r="Q201" s="1599">
        <v>92400000000</v>
      </c>
      <c r="R201" s="976"/>
      <c r="S201" s="977" t="e">
        <f t="shared" si="0"/>
        <v>#DIV/0!</v>
      </c>
      <c r="T201" s="2183">
        <v>41995</v>
      </c>
      <c r="U201" s="978"/>
      <c r="V201" s="979">
        <f>90</f>
        <v>90</v>
      </c>
      <c r="W201" s="932"/>
      <c r="X201" s="1500" t="s">
        <v>3311</v>
      </c>
      <c r="Y201" s="932"/>
      <c r="Z201" s="932"/>
      <c r="AA201" s="932"/>
      <c r="AB201" s="932"/>
      <c r="AC201" s="932"/>
      <c r="AD201" s="932"/>
      <c r="AE201" s="932"/>
      <c r="AF201" s="932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</row>
    <row r="202" spans="1:61" ht="24" hidden="1">
      <c r="A202" s="934" t="s">
        <v>2247</v>
      </c>
      <c r="B202" s="934" t="s">
        <v>2886</v>
      </c>
      <c r="C202" s="937" t="s">
        <v>4303</v>
      </c>
      <c r="D202" s="934" t="s">
        <v>345</v>
      </c>
      <c r="E202" s="934" t="s">
        <v>490</v>
      </c>
      <c r="F202" s="939">
        <v>168</v>
      </c>
      <c r="G202" s="937"/>
      <c r="H202" s="937" t="s">
        <v>2892</v>
      </c>
      <c r="I202" s="934" t="s">
        <v>2893</v>
      </c>
      <c r="J202" s="934" t="s">
        <v>1012</v>
      </c>
      <c r="K202" s="941">
        <v>41661</v>
      </c>
      <c r="L202" s="941"/>
      <c r="M202" s="943">
        <v>41687</v>
      </c>
      <c r="N202" s="945">
        <v>241</v>
      </c>
      <c r="O202" s="939">
        <v>6</v>
      </c>
      <c r="P202" s="954"/>
      <c r="Q202" s="1627">
        <v>40600000000000</v>
      </c>
      <c r="R202" s="954"/>
      <c r="S202" s="956" t="e">
        <f t="shared" si="0"/>
        <v>#DIV/0!</v>
      </c>
      <c r="T202" s="957"/>
      <c r="U202" s="957"/>
      <c r="V202" s="939">
        <v>140</v>
      </c>
      <c r="W202" s="959" t="s">
        <v>4305</v>
      </c>
      <c r="X202" s="961"/>
      <c r="Y202" s="961"/>
      <c r="Z202" s="961"/>
      <c r="AA202" s="961"/>
      <c r="AB202" s="961"/>
      <c r="AC202" s="961"/>
      <c r="AD202" s="961"/>
      <c r="AE202" s="961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</row>
    <row r="203" spans="1:61" ht="24" hidden="1">
      <c r="A203" s="981" t="s">
        <v>2247</v>
      </c>
      <c r="B203" s="981" t="s">
        <v>2886</v>
      </c>
      <c r="C203" s="983" t="s">
        <v>4303</v>
      </c>
      <c r="D203" s="981" t="s">
        <v>345</v>
      </c>
      <c r="E203" s="981" t="s">
        <v>490</v>
      </c>
      <c r="F203" s="984">
        <v>168</v>
      </c>
      <c r="G203" s="983"/>
      <c r="H203" s="983" t="s">
        <v>3701</v>
      </c>
      <c r="I203" s="981" t="s">
        <v>2893</v>
      </c>
      <c r="J203" s="981" t="s">
        <v>2902</v>
      </c>
      <c r="K203" s="986">
        <v>41661</v>
      </c>
      <c r="L203" s="986"/>
      <c r="M203" s="988">
        <v>41687</v>
      </c>
      <c r="N203" s="989">
        <v>242</v>
      </c>
      <c r="O203" s="984">
        <v>6</v>
      </c>
      <c r="P203" s="992"/>
      <c r="Q203" s="1618">
        <v>60700000000000</v>
      </c>
      <c r="R203" s="992"/>
      <c r="S203" s="994" t="e">
        <f t="shared" si="0"/>
        <v>#DIV/0!</v>
      </c>
      <c r="T203" s="995"/>
      <c r="U203" s="995"/>
      <c r="V203" s="2192">
        <v>145</v>
      </c>
      <c r="W203" s="997" t="s">
        <v>2934</v>
      </c>
      <c r="X203" s="998"/>
      <c r="Y203" s="998"/>
      <c r="Z203" s="998"/>
      <c r="AA203" s="998"/>
      <c r="AB203" s="998"/>
      <c r="AC203" s="998"/>
      <c r="AD203" s="998"/>
      <c r="AE203" s="998"/>
      <c r="AF203" s="234"/>
      <c r="AG203" s="234"/>
      <c r="AH203" s="234"/>
      <c r="AI203" s="234"/>
      <c r="AJ203" s="234"/>
      <c r="AK203" s="234"/>
      <c r="AL203" s="234"/>
      <c r="AM203" s="234"/>
      <c r="AN203" s="234"/>
      <c r="AO203" s="234"/>
      <c r="AP203" s="234"/>
      <c r="AQ203" s="234"/>
      <c r="AR203" s="234"/>
      <c r="AS203" s="234"/>
      <c r="AT203" s="234"/>
      <c r="AU203" s="234"/>
      <c r="AV203" s="234"/>
      <c r="AW203" s="234"/>
      <c r="AX203" s="234"/>
      <c r="AY203" s="234"/>
      <c r="AZ203" s="234"/>
      <c r="BA203" s="234"/>
      <c r="BB203" s="234"/>
      <c r="BC203" s="234"/>
      <c r="BD203" s="234"/>
      <c r="BE203" s="234"/>
      <c r="BF203" s="234"/>
      <c r="BG203" s="234"/>
      <c r="BH203" s="234"/>
      <c r="BI203" s="234"/>
    </row>
    <row r="204" spans="1:61" ht="12" hidden="1">
      <c r="A204" s="934" t="s">
        <v>2247</v>
      </c>
      <c r="B204" s="934" t="s">
        <v>2886</v>
      </c>
      <c r="C204" s="937" t="s">
        <v>4303</v>
      </c>
      <c r="D204" s="934" t="s">
        <v>345</v>
      </c>
      <c r="E204" s="934" t="s">
        <v>490</v>
      </c>
      <c r="F204" s="939">
        <v>168</v>
      </c>
      <c r="G204" s="2193"/>
      <c r="H204" s="2193" t="str">
        <f>VLOOKUP(I204,plasmids!$A$2:$B$351,2)</f>
        <v>sc-CAG-GFP</v>
      </c>
      <c r="I204" s="934">
        <v>120</v>
      </c>
      <c r="J204" s="934" t="s">
        <v>2902</v>
      </c>
      <c r="K204" s="941">
        <v>41661</v>
      </c>
      <c r="L204" s="941"/>
      <c r="M204" s="943">
        <v>41687</v>
      </c>
      <c r="N204" s="945">
        <v>243</v>
      </c>
      <c r="O204" s="939">
        <v>6</v>
      </c>
      <c r="P204" s="954"/>
      <c r="Q204" s="1627">
        <v>61800000000000</v>
      </c>
      <c r="R204" s="954"/>
      <c r="S204" s="956" t="e">
        <f t="shared" si="0"/>
        <v>#DIV/0!</v>
      </c>
      <c r="T204" s="957"/>
      <c r="U204" s="957"/>
      <c r="V204" s="939">
        <v>115</v>
      </c>
      <c r="W204" s="959" t="s">
        <v>4311</v>
      </c>
      <c r="X204" s="1629"/>
      <c r="Y204" s="1629"/>
      <c r="Z204" s="1629"/>
      <c r="AA204" s="1629"/>
      <c r="AB204" s="1629"/>
      <c r="AC204" s="1629"/>
      <c r="AD204" s="1629"/>
      <c r="AE204" s="1629"/>
      <c r="AF204" s="377"/>
      <c r="AG204" s="377"/>
      <c r="AH204" s="377"/>
      <c r="AI204" s="377"/>
      <c r="AJ204" s="377"/>
      <c r="AK204" s="377"/>
      <c r="AL204" s="377"/>
      <c r="AM204" s="377"/>
      <c r="AN204" s="377"/>
      <c r="AO204" s="377"/>
      <c r="AP204" s="377"/>
      <c r="AQ204" s="377"/>
      <c r="AR204" s="377"/>
      <c r="AS204" s="377"/>
      <c r="AT204" s="377"/>
      <c r="AU204" s="377"/>
      <c r="AV204" s="377"/>
      <c r="AW204" s="377"/>
      <c r="AX204" s="37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</row>
    <row r="205" spans="1:61" ht="24" hidden="1">
      <c r="A205" s="188" t="s">
        <v>978</v>
      </c>
      <c r="B205" s="188" t="s">
        <v>985</v>
      </c>
      <c r="C205" s="189" t="s">
        <v>178</v>
      </c>
      <c r="D205" s="188" t="s">
        <v>987</v>
      </c>
      <c r="E205" s="190" t="s">
        <v>988</v>
      </c>
      <c r="F205" s="191">
        <v>177</v>
      </c>
      <c r="G205" s="189"/>
      <c r="H205" s="189" t="s">
        <v>3035</v>
      </c>
      <c r="I205" s="188" t="s">
        <v>2244</v>
      </c>
      <c r="J205" s="188" t="s">
        <v>1012</v>
      </c>
      <c r="K205" s="1127"/>
      <c r="L205" s="1484"/>
      <c r="M205" s="196">
        <v>41687</v>
      </c>
      <c r="N205" s="197">
        <v>244</v>
      </c>
      <c r="O205" s="191">
        <v>6</v>
      </c>
      <c r="P205" s="202"/>
      <c r="Q205" s="1749">
        <v>3860000000000</v>
      </c>
      <c r="R205" s="202"/>
      <c r="S205" s="203" t="e">
        <f t="shared" si="0"/>
        <v>#DIV/0!</v>
      </c>
      <c r="T205" s="2197">
        <v>41995</v>
      </c>
      <c r="U205" s="188" t="s">
        <v>929</v>
      </c>
      <c r="V205" s="626">
        <f>58</f>
        <v>58</v>
      </c>
      <c r="W205" s="205"/>
      <c r="X205" s="205"/>
      <c r="Y205" s="205"/>
      <c r="Z205" s="205"/>
      <c r="AA205" s="205"/>
      <c r="AB205" s="205"/>
      <c r="AC205" s="205"/>
      <c r="AD205" s="205"/>
      <c r="AE205" s="205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</row>
    <row r="206" spans="1:61" ht="26.25" hidden="1" customHeight="1">
      <c r="A206" s="1785" t="s">
        <v>707</v>
      </c>
      <c r="B206" s="1786" t="s">
        <v>3973</v>
      </c>
      <c r="C206" s="1787" t="s">
        <v>178</v>
      </c>
      <c r="D206" s="1786" t="s">
        <v>3368</v>
      </c>
      <c r="E206" s="1788" t="str">
        <f>VLOOKUP(F206,plasmids!$A$2:$B$351,2)</f>
        <v>AAV9 7M8 (AA------)</v>
      </c>
      <c r="F206" s="1786">
        <v>170</v>
      </c>
      <c r="G206" s="1789"/>
      <c r="H206" s="1789" t="str">
        <f>VLOOKUP(I206,plasmids!$A$2:$B$351,2)</f>
        <v xml:space="preserve">pTR-scCAG-RdCVFs </v>
      </c>
      <c r="I206" s="1786">
        <v>187</v>
      </c>
      <c r="J206" s="1790"/>
      <c r="K206" s="1791"/>
      <c r="L206" s="1792"/>
      <c r="M206" s="1793">
        <v>41687</v>
      </c>
      <c r="N206" s="4">
        <v>245</v>
      </c>
      <c r="O206" s="1798">
        <v>6</v>
      </c>
      <c r="P206" s="1624"/>
      <c r="Q206" s="15">
        <v>1370000000000</v>
      </c>
      <c r="R206" s="1624"/>
      <c r="S206" s="1800" t="e">
        <f t="shared" si="0"/>
        <v>#DIV/0!</v>
      </c>
      <c r="T206" s="1802">
        <v>41995</v>
      </c>
      <c r="U206" s="2202" t="s">
        <v>909</v>
      </c>
      <c r="V206" s="1803">
        <f>110</f>
        <v>110</v>
      </c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</row>
    <row r="207" spans="1:61" ht="26.25" hidden="1" customHeight="1">
      <c r="A207" s="2150" t="s">
        <v>4282</v>
      </c>
      <c r="B207" s="2151" t="s">
        <v>4284</v>
      </c>
      <c r="C207" s="2152" t="s">
        <v>567</v>
      </c>
      <c r="D207" s="2151" t="s">
        <v>4285</v>
      </c>
      <c r="E207" s="2154" t="str">
        <f>VLOOKUP(F207,plasmids!$A$2:$B$351,2)</f>
        <v>AAV2-7m8</v>
      </c>
      <c r="F207" s="2151">
        <v>178</v>
      </c>
      <c r="G207" s="2156"/>
      <c r="H207" s="2156" t="str">
        <f>VLOOKUP(I207,plasmids!$A$2:$B$351,2)</f>
        <v>scCAG-eGFP-2A-SANS</v>
      </c>
      <c r="I207" s="2151">
        <v>342</v>
      </c>
      <c r="J207" s="2159"/>
      <c r="K207" s="2161"/>
      <c r="L207" s="2162"/>
      <c r="M207" s="2163">
        <v>41687</v>
      </c>
      <c r="N207" s="2164">
        <v>246</v>
      </c>
      <c r="O207" s="1336">
        <v>6</v>
      </c>
      <c r="P207" s="2165"/>
      <c r="Q207" s="1601">
        <v>149000000000</v>
      </c>
      <c r="R207" s="2165"/>
      <c r="S207" s="2166" t="e">
        <f t="shared" si="0"/>
        <v>#DIV/0!</v>
      </c>
      <c r="T207" s="2159"/>
      <c r="U207" s="2159"/>
      <c r="V207" s="2159"/>
      <c r="W207" s="2167"/>
      <c r="X207" s="2167"/>
      <c r="Y207" s="2167"/>
      <c r="Z207" s="2167"/>
      <c r="AA207" s="2167"/>
      <c r="AB207" s="2167"/>
      <c r="AC207" s="2167"/>
      <c r="AD207" s="2167"/>
      <c r="AE207" s="2167"/>
      <c r="AF207" s="2167"/>
      <c r="AG207" s="2167"/>
      <c r="AH207" s="2167"/>
      <c r="AI207" s="2167"/>
      <c r="AJ207" s="2167"/>
      <c r="AK207" s="2167"/>
      <c r="AL207" s="2167"/>
      <c r="AM207" s="2167"/>
      <c r="AN207" s="2167"/>
      <c r="AO207" s="2167"/>
      <c r="AP207" s="2167"/>
      <c r="AQ207" s="2167"/>
      <c r="AR207" s="2167"/>
      <c r="AS207" s="2167"/>
      <c r="AT207" s="2167"/>
      <c r="AU207" s="216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</row>
    <row r="208" spans="1:61" ht="26.25" hidden="1" customHeight="1">
      <c r="A208" s="2150" t="s">
        <v>4282</v>
      </c>
      <c r="B208" s="2151" t="s">
        <v>4284</v>
      </c>
      <c r="C208" s="2152" t="s">
        <v>567</v>
      </c>
      <c r="D208" s="2151" t="s">
        <v>4285</v>
      </c>
      <c r="E208" s="2154" t="str">
        <f>VLOOKUP(F208,plasmids!$A$2:$B$351,2)</f>
        <v>AAV2-7m8</v>
      </c>
      <c r="F208" s="2151">
        <v>178</v>
      </c>
      <c r="G208" s="2156"/>
      <c r="H208" s="2156" t="str">
        <f>VLOOKUP(I208,plasmids!$A$2:$B$351,2)</f>
        <v>scCAG-SANS</v>
      </c>
      <c r="I208" s="2151">
        <v>343</v>
      </c>
      <c r="J208" s="2159"/>
      <c r="K208" s="2161"/>
      <c r="L208" s="2162"/>
      <c r="M208" s="2163">
        <v>41687</v>
      </c>
      <c r="N208" s="2164">
        <v>247</v>
      </c>
      <c r="O208" s="1336">
        <v>6</v>
      </c>
      <c r="P208" s="2165"/>
      <c r="Q208" s="1601">
        <v>2960000000000</v>
      </c>
      <c r="R208" s="2165"/>
      <c r="S208" s="2166" t="e">
        <f t="shared" si="0"/>
        <v>#DIV/0!</v>
      </c>
      <c r="T208" s="2159"/>
      <c r="U208" s="2159"/>
      <c r="V208" s="2159"/>
      <c r="W208" s="2167"/>
      <c r="X208" s="2167"/>
      <c r="Y208" s="2167"/>
      <c r="Z208" s="2167"/>
      <c r="AA208" s="2167"/>
      <c r="AB208" s="2167"/>
      <c r="AC208" s="2167"/>
      <c r="AD208" s="2167"/>
      <c r="AE208" s="2167"/>
      <c r="AF208" s="2167"/>
      <c r="AG208" s="2167"/>
      <c r="AH208" s="2167"/>
      <c r="AI208" s="2167"/>
      <c r="AJ208" s="2167"/>
      <c r="AK208" s="2167"/>
      <c r="AL208" s="2167"/>
      <c r="AM208" s="2167"/>
      <c r="AN208" s="2167"/>
      <c r="AO208" s="2167"/>
      <c r="AP208" s="2167"/>
      <c r="AQ208" s="2167"/>
      <c r="AR208" s="2167"/>
      <c r="AS208" s="2167"/>
      <c r="AT208" s="2167"/>
      <c r="AU208" s="216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</row>
    <row r="209" spans="1:61" ht="24" hidden="1">
      <c r="A209" s="1939" t="s">
        <v>52</v>
      </c>
      <c r="B209" s="1939" t="s">
        <v>2508</v>
      </c>
      <c r="C209" s="1941" t="s">
        <v>3233</v>
      </c>
      <c r="D209" s="1940" t="s">
        <v>70</v>
      </c>
      <c r="E209" s="1940" t="s">
        <v>516</v>
      </c>
      <c r="F209" s="1940">
        <v>140</v>
      </c>
      <c r="G209" s="1941"/>
      <c r="H209" s="1941" t="s">
        <v>1314</v>
      </c>
      <c r="I209" s="1940">
        <v>349</v>
      </c>
      <c r="J209" s="1945"/>
      <c r="K209" s="1945"/>
      <c r="L209" s="1947"/>
      <c r="M209" s="1948">
        <v>41698</v>
      </c>
      <c r="N209" s="1952">
        <v>248</v>
      </c>
      <c r="O209" s="1954">
        <v>6</v>
      </c>
      <c r="P209" s="1957"/>
      <c r="Q209" s="1961">
        <v>40000000000000</v>
      </c>
      <c r="R209" s="1957"/>
      <c r="S209" s="1963" t="e">
        <f t="shared" si="0"/>
        <v>#DIV/0!</v>
      </c>
      <c r="T209" s="1945"/>
      <c r="U209" s="1945"/>
      <c r="V209" s="1968">
        <f>35</f>
        <v>35</v>
      </c>
      <c r="W209" s="2212" t="s">
        <v>4323</v>
      </c>
      <c r="X209" s="1945"/>
      <c r="Y209" s="1945"/>
      <c r="Z209" s="1970"/>
      <c r="AA209" s="1970"/>
      <c r="AB209" s="1970"/>
      <c r="AC209" s="1970"/>
      <c r="AD209" s="1970"/>
      <c r="AE209" s="1970"/>
      <c r="AF209" s="1970"/>
      <c r="AG209" s="1970"/>
      <c r="AH209" s="1970"/>
      <c r="AI209" s="1970"/>
      <c r="AJ209" s="1970"/>
      <c r="AK209" s="1970"/>
      <c r="AL209" s="1970"/>
      <c r="AM209" s="1970"/>
      <c r="AN209" s="1970"/>
      <c r="AO209" s="1970"/>
      <c r="AP209" s="1970"/>
      <c r="AQ209" s="1970"/>
      <c r="AR209" s="1970"/>
      <c r="AS209" s="1970"/>
      <c r="AT209" s="1970"/>
      <c r="AU209" s="1970"/>
      <c r="AV209" s="1970"/>
      <c r="AW209" s="1970"/>
      <c r="AX209" s="1970"/>
      <c r="AY209" s="234"/>
      <c r="AZ209" s="234"/>
      <c r="BA209" s="234"/>
      <c r="BB209" s="234"/>
      <c r="BC209" s="234"/>
      <c r="BD209" s="234"/>
      <c r="BE209" s="234"/>
      <c r="BF209" s="234"/>
      <c r="BG209" s="234"/>
      <c r="BH209" s="234"/>
      <c r="BI209" s="234"/>
    </row>
    <row r="210" spans="1:61" ht="22.5" hidden="1" customHeight="1">
      <c r="A210" s="1369" t="s">
        <v>691</v>
      </c>
      <c r="B210" s="1350" t="s">
        <v>4325</v>
      </c>
      <c r="C210" s="1351" t="s">
        <v>1967</v>
      </c>
      <c r="D210" s="1350" t="s">
        <v>4326</v>
      </c>
      <c r="E210" s="2213" t="str">
        <f>VLOOKUP(F210,plasmids!$A$2:$B$351,2)</f>
        <v>ShH10,1 Y444F</v>
      </c>
      <c r="F210" s="1350">
        <v>177</v>
      </c>
      <c r="G210" s="2214"/>
      <c r="H210" s="2214" t="str">
        <f>VLOOKUP(I210,plasmids!$A$2:$B$351,2)</f>
        <v>pAAV-EF1a-mCherry-IRES-Cre-WPRE</v>
      </c>
      <c r="I210" s="1350">
        <v>242</v>
      </c>
      <c r="J210" s="1367"/>
      <c r="K210" s="2215"/>
      <c r="L210" s="2216"/>
      <c r="M210" s="1355">
        <v>41698</v>
      </c>
      <c r="N210" s="2218">
        <v>249</v>
      </c>
      <c r="O210" s="1359">
        <v>6</v>
      </c>
      <c r="P210" s="1363"/>
      <c r="Q210" s="2220">
        <v>9070000000000</v>
      </c>
      <c r="R210" s="1363"/>
      <c r="S210" s="1365" t="e">
        <f t="shared" si="0"/>
        <v>#DIV/0!</v>
      </c>
      <c r="T210" s="1367"/>
      <c r="U210" s="1350" t="s">
        <v>929</v>
      </c>
      <c r="V210" s="1350">
        <v>115</v>
      </c>
      <c r="W210" s="1370"/>
      <c r="X210" s="1370"/>
      <c r="Y210" s="1370"/>
      <c r="Z210" s="1370"/>
      <c r="AA210" s="1370"/>
      <c r="AB210" s="1370"/>
      <c r="AC210" s="1370"/>
      <c r="AD210" s="1370"/>
      <c r="AE210" s="1370"/>
      <c r="AF210" s="1370"/>
      <c r="AG210" s="1370"/>
      <c r="AH210" s="1370"/>
      <c r="AI210" s="1370"/>
      <c r="AJ210" s="1370"/>
      <c r="AK210" s="1370"/>
      <c r="AL210" s="1370"/>
      <c r="AM210" s="1370"/>
      <c r="AN210" s="1370"/>
      <c r="AO210" s="1370"/>
      <c r="AP210" s="1370"/>
      <c r="AQ210" s="1370"/>
      <c r="AR210" s="1370"/>
      <c r="AS210" s="1370"/>
      <c r="AT210" s="1370"/>
      <c r="AU210" s="1370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</row>
    <row r="211" spans="1:61" ht="22.5" hidden="1" customHeight="1">
      <c r="A211" s="734" t="s">
        <v>707</v>
      </c>
      <c r="B211" s="734" t="s">
        <v>2698</v>
      </c>
      <c r="C211" s="735" t="s">
        <v>1967</v>
      </c>
      <c r="D211" s="734" t="s">
        <v>4294</v>
      </c>
      <c r="E211" s="1666" t="str">
        <f>VLOOKUP(F211,plasmids!$A$2:$B$351,2)</f>
        <v>AAV2</v>
      </c>
      <c r="F211" s="734">
        <v>140</v>
      </c>
      <c r="G211" s="1667"/>
      <c r="H211" s="1667" t="str">
        <f>VLOOKUP(I211,plasmids!$A$2:$B$351,2)</f>
        <v>Rho-eGFP</v>
      </c>
      <c r="I211" s="734">
        <v>121</v>
      </c>
      <c r="J211" s="744"/>
      <c r="K211" s="1668"/>
      <c r="L211" s="811"/>
      <c r="M211" s="737">
        <v>41698</v>
      </c>
      <c r="N211" s="738">
        <v>250</v>
      </c>
      <c r="O211" s="739">
        <v>6</v>
      </c>
      <c r="P211" s="742"/>
      <c r="Q211" s="1613">
        <v>35800000000000</v>
      </c>
      <c r="R211" s="742"/>
      <c r="S211" s="743" t="e">
        <f t="shared" si="0"/>
        <v>#DIV/0!</v>
      </c>
      <c r="T211" s="2222">
        <v>41995</v>
      </c>
      <c r="U211" s="744"/>
      <c r="V211" s="746">
        <f>20-2</f>
        <v>18</v>
      </c>
      <c r="W211" s="2224"/>
      <c r="X211" s="732"/>
      <c r="Y211" s="733"/>
      <c r="Z211" s="733"/>
      <c r="AA211" s="733"/>
      <c r="AB211" s="733"/>
      <c r="AC211" s="733"/>
      <c r="AD211" s="733"/>
      <c r="AE211" s="733"/>
      <c r="AF211" s="733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</row>
    <row r="212" spans="1:61" ht="22.5" hidden="1" customHeight="1">
      <c r="A212" s="734" t="s">
        <v>707</v>
      </c>
      <c r="B212" s="734" t="s">
        <v>2698</v>
      </c>
      <c r="C212" s="735" t="s">
        <v>1967</v>
      </c>
      <c r="D212" s="734" t="s">
        <v>4356</v>
      </c>
      <c r="E212" s="1666" t="str">
        <f>VLOOKUP(F212,plasmids!$A$2:$B$351,2)</f>
        <v>AAV2-7m8</v>
      </c>
      <c r="F212" s="734">
        <v>178</v>
      </c>
      <c r="G212" s="1667"/>
      <c r="H212" s="1667" t="str">
        <f>VLOOKUP(I212,plasmids!$A$2:$B$351,2)</f>
        <v>pTR-hSYN-GFP-WPRE</v>
      </c>
      <c r="I212" s="734">
        <v>201</v>
      </c>
      <c r="J212" s="744"/>
      <c r="K212" s="1668"/>
      <c r="L212" s="811"/>
      <c r="M212" s="737">
        <v>41698</v>
      </c>
      <c r="N212" s="2225">
        <v>251</v>
      </c>
      <c r="O212" s="739">
        <v>6</v>
      </c>
      <c r="P212" s="742"/>
      <c r="Q212" s="1613">
        <v>49100000000000</v>
      </c>
      <c r="R212" s="742"/>
      <c r="S212" s="743" t="e">
        <f t="shared" si="0"/>
        <v>#DIV/0!</v>
      </c>
      <c r="T212" s="2222">
        <v>41995</v>
      </c>
      <c r="U212" s="744"/>
      <c r="V212" s="2227">
        <f>100</f>
        <v>100</v>
      </c>
      <c r="W212" s="2224"/>
      <c r="X212" s="733"/>
      <c r="Y212" s="733"/>
      <c r="Z212" s="733"/>
      <c r="AA212" s="733"/>
      <c r="AB212" s="733"/>
      <c r="AC212" s="733"/>
      <c r="AD212" s="733"/>
      <c r="AE212" s="733"/>
      <c r="AF212" s="733"/>
      <c r="AG212" s="733"/>
      <c r="AH212" s="733"/>
      <c r="AI212" s="733"/>
      <c r="AJ212" s="733"/>
      <c r="AK212" s="733"/>
      <c r="AL212" s="733"/>
      <c r="AM212" s="733"/>
      <c r="AN212" s="733"/>
      <c r="AO212" s="733"/>
      <c r="AP212" s="733"/>
      <c r="AQ212" s="733"/>
      <c r="AR212" s="733"/>
      <c r="AS212" s="733"/>
      <c r="AT212" s="733"/>
      <c r="AU212" s="733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</row>
    <row r="213" spans="1:61" ht="22.5" hidden="1" customHeight="1">
      <c r="A213" s="734" t="s">
        <v>707</v>
      </c>
      <c r="B213" s="734" t="s">
        <v>2698</v>
      </c>
      <c r="C213" s="735" t="s">
        <v>1967</v>
      </c>
      <c r="D213" s="734" t="s">
        <v>4356</v>
      </c>
      <c r="E213" s="1666" t="str">
        <f>VLOOKUP(F213,plasmids!$A$2:$B$351,2)</f>
        <v>AAV2</v>
      </c>
      <c r="F213" s="734">
        <v>140</v>
      </c>
      <c r="G213" s="1667"/>
      <c r="H213" s="1667" t="str">
        <f>VLOOKUP(I213,plasmids!$A$2:$B$351,2)</f>
        <v>pTR-hSYN-GFP-WPRE</v>
      </c>
      <c r="I213" s="734">
        <v>201</v>
      </c>
      <c r="J213" s="744"/>
      <c r="K213" s="1668"/>
      <c r="L213" s="811"/>
      <c r="M213" s="737">
        <v>41698</v>
      </c>
      <c r="N213" s="2225">
        <v>252</v>
      </c>
      <c r="O213" s="739">
        <v>6</v>
      </c>
      <c r="P213" s="742"/>
      <c r="Q213" s="1613">
        <v>66700000000000</v>
      </c>
      <c r="R213" s="742"/>
      <c r="S213" s="743" t="e">
        <f t="shared" si="0"/>
        <v>#DIV/0!</v>
      </c>
      <c r="T213" s="2222">
        <v>41995</v>
      </c>
      <c r="U213" s="2222">
        <v>41719</v>
      </c>
      <c r="V213" s="2227">
        <f>120</f>
        <v>120</v>
      </c>
      <c r="W213" s="2224"/>
      <c r="X213" s="733"/>
      <c r="Y213" s="733"/>
      <c r="Z213" s="733"/>
      <c r="AA213" s="733"/>
      <c r="AB213" s="733"/>
      <c r="AC213" s="733"/>
      <c r="AD213" s="733"/>
      <c r="AE213" s="733"/>
      <c r="AF213" s="733"/>
      <c r="AG213" s="733"/>
      <c r="AH213" s="733"/>
      <c r="AI213" s="733"/>
      <c r="AJ213" s="733"/>
      <c r="AK213" s="733"/>
      <c r="AL213" s="733"/>
      <c r="AM213" s="733"/>
      <c r="AN213" s="733"/>
      <c r="AO213" s="733"/>
      <c r="AP213" s="733"/>
      <c r="AQ213" s="733"/>
      <c r="AR213" s="733"/>
      <c r="AS213" s="733"/>
      <c r="AT213" s="733"/>
      <c r="AU213" s="733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</row>
    <row r="214" spans="1:61" ht="22.5" hidden="1" customHeight="1">
      <c r="A214" s="734" t="s">
        <v>707</v>
      </c>
      <c r="B214" s="734" t="s">
        <v>2698</v>
      </c>
      <c r="C214" s="735" t="s">
        <v>1967</v>
      </c>
      <c r="D214" s="734" t="s">
        <v>4356</v>
      </c>
      <c r="E214" s="1666" t="str">
        <f>VLOOKUP(F214,plasmids!$A$2:$B$351,2)</f>
        <v>AAV9 7M8 (AA------)</v>
      </c>
      <c r="F214" s="734">
        <v>170</v>
      </c>
      <c r="G214" s="1667"/>
      <c r="H214" s="1667" t="str">
        <f>VLOOKUP(I214,plasmids!$A$2:$B$351,2)</f>
        <v>pTR-hSYN-GFP-WPRE</v>
      </c>
      <c r="I214" s="734">
        <v>201</v>
      </c>
      <c r="J214" s="744"/>
      <c r="K214" s="1668"/>
      <c r="L214" s="811"/>
      <c r="M214" s="737">
        <v>41698</v>
      </c>
      <c r="N214" s="2225">
        <v>253</v>
      </c>
      <c r="O214" s="739">
        <v>6</v>
      </c>
      <c r="P214" s="742"/>
      <c r="Q214" s="1613">
        <v>2790000000000</v>
      </c>
      <c r="R214" s="742"/>
      <c r="S214" s="743" t="e">
        <f t="shared" si="0"/>
        <v>#DIV/0!</v>
      </c>
      <c r="T214" s="2222">
        <v>41995</v>
      </c>
      <c r="U214" s="744"/>
      <c r="V214" s="2227">
        <f>95</f>
        <v>95</v>
      </c>
      <c r="W214" s="2224"/>
      <c r="X214" s="733"/>
      <c r="Y214" s="733"/>
      <c r="Z214" s="733"/>
      <c r="AA214" s="733"/>
      <c r="AB214" s="733"/>
      <c r="AC214" s="733"/>
      <c r="AD214" s="733"/>
      <c r="AE214" s="733"/>
      <c r="AF214" s="733"/>
      <c r="AG214" s="733"/>
      <c r="AH214" s="733"/>
      <c r="AI214" s="733"/>
      <c r="AJ214" s="733"/>
      <c r="AK214" s="733"/>
      <c r="AL214" s="733"/>
      <c r="AM214" s="733"/>
      <c r="AN214" s="733"/>
      <c r="AO214" s="733"/>
      <c r="AP214" s="733"/>
      <c r="AQ214" s="733"/>
      <c r="AR214" s="733"/>
      <c r="AS214" s="733"/>
      <c r="AT214" s="733"/>
      <c r="AU214" s="733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</row>
    <row r="215" spans="1:61" ht="22.5" hidden="1" customHeight="1">
      <c r="A215" s="734" t="s">
        <v>707</v>
      </c>
      <c r="B215" s="734" t="s">
        <v>2698</v>
      </c>
      <c r="C215" s="735" t="s">
        <v>1967</v>
      </c>
      <c r="D215" s="734" t="s">
        <v>4356</v>
      </c>
      <c r="E215" s="1666" t="str">
        <f>VLOOKUP(F215,plasmids!$A$2:$B$351,2)</f>
        <v>AAV9</v>
      </c>
      <c r="F215" s="734">
        <v>166</v>
      </c>
      <c r="G215" s="1667"/>
      <c r="H215" s="1667" t="str">
        <f>VLOOKUP(I215,plasmids!$A$2:$B$351,2)</f>
        <v>pTR-hSYN-GFP-WPRE</v>
      </c>
      <c r="I215" s="734">
        <v>201</v>
      </c>
      <c r="J215" s="744"/>
      <c r="K215" s="1668"/>
      <c r="L215" s="811"/>
      <c r="M215" s="737">
        <v>41698</v>
      </c>
      <c r="N215" s="2225">
        <v>254</v>
      </c>
      <c r="O215" s="739">
        <v>6</v>
      </c>
      <c r="P215" s="742"/>
      <c r="Q215" s="1613">
        <v>41300000000000</v>
      </c>
      <c r="R215" s="742"/>
      <c r="S215" s="743" t="e">
        <f t="shared" si="0"/>
        <v>#DIV/0!</v>
      </c>
      <c r="T215" s="2222">
        <v>41995</v>
      </c>
      <c r="U215" s="744"/>
      <c r="V215" s="2227">
        <f>115</f>
        <v>115</v>
      </c>
      <c r="W215" s="2224"/>
      <c r="X215" s="733"/>
      <c r="Y215" s="733"/>
      <c r="Z215" s="733"/>
      <c r="AA215" s="733"/>
      <c r="AB215" s="733"/>
      <c r="AC215" s="733"/>
      <c r="AD215" s="733"/>
      <c r="AE215" s="733"/>
      <c r="AF215" s="733"/>
      <c r="AG215" s="733"/>
      <c r="AH215" s="733"/>
      <c r="AI215" s="733"/>
      <c r="AJ215" s="733"/>
      <c r="AK215" s="733"/>
      <c r="AL215" s="733"/>
      <c r="AM215" s="733"/>
      <c r="AN215" s="733"/>
      <c r="AO215" s="733"/>
      <c r="AP215" s="733"/>
      <c r="AQ215" s="733"/>
      <c r="AR215" s="733"/>
      <c r="AS215" s="733"/>
      <c r="AT215" s="733"/>
      <c r="AU215" s="733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</row>
    <row r="216" spans="1:61" ht="24.75" hidden="1" customHeight="1">
      <c r="A216" s="1128" t="s">
        <v>978</v>
      </c>
      <c r="B216" s="1128" t="s">
        <v>985</v>
      </c>
      <c r="C216" s="1129" t="s">
        <v>986</v>
      </c>
      <c r="D216" s="1128" t="s">
        <v>987</v>
      </c>
      <c r="E216" s="1130" t="s">
        <v>988</v>
      </c>
      <c r="F216" s="1131">
        <v>177</v>
      </c>
      <c r="G216" s="1129"/>
      <c r="H216" s="1129" t="s">
        <v>1002</v>
      </c>
      <c r="I216" s="1128">
        <v>267</v>
      </c>
      <c r="J216" s="1128" t="s">
        <v>1012</v>
      </c>
      <c r="K216" s="1133"/>
      <c r="L216" s="2231"/>
      <c r="M216" s="1135">
        <v>41698</v>
      </c>
      <c r="N216" s="2232">
        <v>255</v>
      </c>
      <c r="O216" s="1131">
        <v>6</v>
      </c>
      <c r="P216" s="1139"/>
      <c r="Q216" s="2234">
        <v>14200000000000</v>
      </c>
      <c r="R216" s="1139"/>
      <c r="S216" s="1140" t="e">
        <f t="shared" si="0"/>
        <v>#DIV/0!</v>
      </c>
      <c r="T216" s="2236">
        <v>41995</v>
      </c>
      <c r="U216" s="1132"/>
      <c r="V216" s="1141">
        <f>3</f>
        <v>3</v>
      </c>
      <c r="W216" s="1142"/>
      <c r="X216" s="1142"/>
      <c r="Y216" s="1142"/>
      <c r="Z216" s="1142"/>
      <c r="AA216" s="1142"/>
      <c r="AB216" s="1142"/>
      <c r="AC216" s="1142"/>
      <c r="AD216" s="1142"/>
      <c r="AE216" s="1142"/>
      <c r="AF216" s="377"/>
      <c r="AG216" s="377"/>
      <c r="AH216" s="377"/>
      <c r="AI216" s="377"/>
      <c r="AJ216" s="377"/>
      <c r="AK216" s="377"/>
      <c r="AL216" s="377"/>
      <c r="AM216" s="377"/>
      <c r="AN216" s="377"/>
      <c r="AO216" s="377"/>
      <c r="AP216" s="377"/>
      <c r="AQ216" s="377"/>
      <c r="AR216" s="377"/>
      <c r="AS216" s="377"/>
      <c r="AT216" s="377"/>
      <c r="AU216" s="377"/>
      <c r="AV216" s="377"/>
      <c r="AW216" s="377"/>
      <c r="AX216" s="377"/>
      <c r="AY216" s="377"/>
      <c r="AZ216" s="377"/>
      <c r="BA216" s="377"/>
      <c r="BB216" s="377"/>
      <c r="BC216" s="377"/>
      <c r="BD216" s="377"/>
      <c r="BE216" s="377"/>
      <c r="BF216" s="377"/>
      <c r="BG216" s="377"/>
      <c r="BH216" s="377"/>
      <c r="BI216" s="377"/>
    </row>
    <row r="217" spans="1:61" ht="36" hidden="1">
      <c r="A217" s="301" t="s">
        <v>4383</v>
      </c>
      <c r="B217" s="301" t="s">
        <v>625</v>
      </c>
      <c r="C217" s="302" t="s">
        <v>626</v>
      </c>
      <c r="D217" s="301" t="s">
        <v>655</v>
      </c>
      <c r="E217" s="304" t="s">
        <v>882</v>
      </c>
      <c r="F217" s="305">
        <v>142</v>
      </c>
      <c r="G217" s="302"/>
      <c r="H217" s="302" t="s">
        <v>2945</v>
      </c>
      <c r="I217" s="301">
        <v>219</v>
      </c>
      <c r="J217" s="301" t="s">
        <v>60</v>
      </c>
      <c r="K217" s="2239"/>
      <c r="L217" s="379"/>
      <c r="M217" s="308">
        <v>41705</v>
      </c>
      <c r="N217" s="309">
        <v>256</v>
      </c>
      <c r="O217" s="305">
        <v>6</v>
      </c>
      <c r="P217" s="315"/>
      <c r="Q217" s="2240">
        <v>568000000000</v>
      </c>
      <c r="R217" s="315"/>
      <c r="S217" s="317" t="e">
        <f t="shared" si="0"/>
        <v>#DIV/0!</v>
      </c>
      <c r="T217" s="318"/>
      <c r="U217" s="318"/>
      <c r="V217" s="305">
        <v>130</v>
      </c>
      <c r="W217" s="320" t="s">
        <v>4392</v>
      </c>
      <c r="X217" s="319"/>
      <c r="Y217" s="319"/>
      <c r="Z217" s="319"/>
      <c r="AA217" s="319"/>
      <c r="AB217" s="319"/>
      <c r="AC217" s="319"/>
      <c r="AD217" s="319"/>
      <c r="AE217" s="319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234"/>
      <c r="AQ217" s="234"/>
      <c r="AR217" s="234"/>
      <c r="AS217" s="234"/>
      <c r="AT217" s="234"/>
      <c r="AU217" s="234"/>
      <c r="AV217" s="234"/>
      <c r="AW217" s="234"/>
      <c r="AX217" s="234"/>
      <c r="AY217" s="234"/>
      <c r="AZ217" s="234"/>
      <c r="BA217" s="234"/>
      <c r="BB217" s="234"/>
      <c r="BC217" s="234"/>
      <c r="BD217" s="234"/>
      <c r="BE217" s="234"/>
      <c r="BF217" s="234"/>
      <c r="BG217" s="234"/>
      <c r="BH217" s="234"/>
      <c r="BI217" s="234"/>
    </row>
    <row r="218" spans="1:61" ht="24" hidden="1">
      <c r="A218" s="1128" t="s">
        <v>978</v>
      </c>
      <c r="B218" s="1128" t="s">
        <v>985</v>
      </c>
      <c r="C218" s="1129" t="s">
        <v>178</v>
      </c>
      <c r="D218" s="1128" t="s">
        <v>987</v>
      </c>
      <c r="E218" s="1130" t="s">
        <v>988</v>
      </c>
      <c r="F218" s="1131">
        <v>177</v>
      </c>
      <c r="G218" s="1129"/>
      <c r="H218" s="1129" t="s">
        <v>3035</v>
      </c>
      <c r="I218" s="1128" t="s">
        <v>2244</v>
      </c>
      <c r="J218" s="1128" t="s">
        <v>1012</v>
      </c>
      <c r="K218" s="1133"/>
      <c r="L218" s="2231"/>
      <c r="M218" s="1135">
        <v>41705</v>
      </c>
      <c r="N218" s="764">
        <v>257</v>
      </c>
      <c r="O218" s="1131">
        <v>6</v>
      </c>
      <c r="P218" s="1139"/>
      <c r="Q218" s="2234">
        <v>228000000000000</v>
      </c>
      <c r="R218" s="1139"/>
      <c r="S218" s="1140" t="e">
        <f t="shared" si="0"/>
        <v>#DIV/0!</v>
      </c>
      <c r="T218" s="1132"/>
      <c r="U218" s="2236">
        <v>41719</v>
      </c>
      <c r="V218" s="2244">
        <v>45</v>
      </c>
      <c r="W218" s="2246" t="s">
        <v>4398</v>
      </c>
      <c r="X218" s="205"/>
      <c r="Y218" s="205"/>
      <c r="Z218" s="205"/>
      <c r="AA218" s="205"/>
      <c r="AB218" s="205"/>
      <c r="AC218" s="205"/>
      <c r="AD218" s="205"/>
      <c r="AE218" s="205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</row>
    <row r="219" spans="1:61" ht="23.25" hidden="1" customHeight="1">
      <c r="A219" s="1785" t="s">
        <v>3256</v>
      </c>
      <c r="B219" s="1786" t="s">
        <v>200</v>
      </c>
      <c r="C219" s="1787" t="s">
        <v>567</v>
      </c>
      <c r="D219" s="1786" t="s">
        <v>1088</v>
      </c>
      <c r="E219" s="1788" t="str">
        <f>VLOOKUP(F219,plasmids!$A$2:$B$351,2)</f>
        <v>AAV2</v>
      </c>
      <c r="F219" s="1786">
        <v>140</v>
      </c>
      <c r="G219" s="1789"/>
      <c r="H219" s="1789" t="str">
        <f>VLOOKUP(I219,plasmids!$A$2:$B$351,2)</f>
        <v>pscAAV-CMV-GCaMP6s-BGHpA</v>
      </c>
      <c r="I219" s="1786">
        <v>293</v>
      </c>
      <c r="J219" s="1790"/>
      <c r="K219" s="1791"/>
      <c r="L219" s="1792"/>
      <c r="M219" s="1793">
        <v>41705</v>
      </c>
      <c r="N219" s="4">
        <v>258</v>
      </c>
      <c r="O219" s="1798">
        <v>6</v>
      </c>
      <c r="P219" s="1624"/>
      <c r="Q219" s="15">
        <v>42600000000000</v>
      </c>
      <c r="R219" s="1624"/>
      <c r="S219" s="1800" t="e">
        <f t="shared" si="0"/>
        <v>#DIV/0!</v>
      </c>
      <c r="T219" s="1790"/>
      <c r="U219" s="1790"/>
      <c r="V219" s="2255">
        <f>125-15</f>
        <v>110</v>
      </c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</row>
    <row r="220" spans="1:61" ht="26.25" hidden="1" customHeight="1">
      <c r="A220" s="628" t="s">
        <v>52</v>
      </c>
      <c r="B220" s="628" t="s">
        <v>2508</v>
      </c>
      <c r="C220" s="629" t="s">
        <v>3233</v>
      </c>
      <c r="D220" s="628" t="s">
        <v>70</v>
      </c>
      <c r="E220" s="628" t="s">
        <v>516</v>
      </c>
      <c r="F220" s="628">
        <v>140</v>
      </c>
      <c r="G220" s="2258"/>
      <c r="H220" s="2258" t="str">
        <f>VLOOKUP(I220,plasmids!$A$2:$B$351,2)</f>
        <v>pssAAV CMV-hCatCH-GFP</v>
      </c>
      <c r="I220" s="628">
        <v>257</v>
      </c>
      <c r="J220" s="642"/>
      <c r="K220" s="2263"/>
      <c r="L220" s="1345"/>
      <c r="M220" s="631">
        <v>41705</v>
      </c>
      <c r="N220" s="633">
        <v>259</v>
      </c>
      <c r="O220" s="634">
        <v>6</v>
      </c>
      <c r="P220" s="638"/>
      <c r="Q220" s="660">
        <v>311000000000000</v>
      </c>
      <c r="R220" s="638"/>
      <c r="S220" s="640" t="e">
        <f t="shared" si="0"/>
        <v>#DIV/0!</v>
      </c>
      <c r="T220" s="1605">
        <v>41995</v>
      </c>
      <c r="U220" s="642"/>
      <c r="V220" s="628">
        <f>5</f>
        <v>5</v>
      </c>
      <c r="W220" s="645"/>
      <c r="X220" s="645"/>
      <c r="Y220" s="645"/>
      <c r="Z220" s="645"/>
      <c r="AA220" s="645"/>
      <c r="AB220" s="645"/>
      <c r="AC220" s="645"/>
      <c r="AD220" s="645"/>
      <c r="AE220" s="645"/>
      <c r="AF220" s="645"/>
      <c r="AG220" s="645"/>
      <c r="AH220" s="645"/>
      <c r="AI220" s="645"/>
      <c r="AJ220" s="645"/>
      <c r="AK220" s="645"/>
      <c r="AL220" s="645"/>
      <c r="AM220" s="645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</row>
    <row r="221" spans="1:61" ht="27" hidden="1" customHeight="1">
      <c r="A221" s="628" t="s">
        <v>52</v>
      </c>
      <c r="B221" s="628" t="s">
        <v>2508</v>
      </c>
      <c r="C221" s="629" t="s">
        <v>2510</v>
      </c>
      <c r="D221" s="628" t="s">
        <v>70</v>
      </c>
      <c r="E221" s="628" t="s">
        <v>516</v>
      </c>
      <c r="F221" s="628">
        <v>140</v>
      </c>
      <c r="G221" s="2258"/>
      <c r="H221" s="2258" t="str">
        <f>VLOOKUP(I221,plasmids!$A$2:$B$391,2)</f>
        <v>sc-CAG-GFP</v>
      </c>
      <c r="I221" s="628">
        <v>120</v>
      </c>
      <c r="J221" s="628" t="s">
        <v>2521</v>
      </c>
      <c r="K221" s="2263"/>
      <c r="L221" s="1345"/>
      <c r="M221" s="631">
        <v>41705</v>
      </c>
      <c r="N221" s="633">
        <v>260</v>
      </c>
      <c r="O221" s="634">
        <v>6</v>
      </c>
      <c r="P221" s="638"/>
      <c r="Q221" s="660">
        <v>80300000000000</v>
      </c>
      <c r="R221" s="638"/>
      <c r="S221" s="640" t="e">
        <f t="shared" si="0"/>
        <v>#DIV/0!</v>
      </c>
      <c r="T221" s="1605">
        <v>41995</v>
      </c>
      <c r="U221" s="642"/>
      <c r="V221" s="643">
        <f>63-15-5</f>
        <v>43</v>
      </c>
      <c r="W221" s="645"/>
      <c r="X221" s="628" t="s">
        <v>4412</v>
      </c>
      <c r="Y221" s="840"/>
      <c r="Z221" s="645"/>
      <c r="AA221" s="645"/>
      <c r="AB221" s="645"/>
      <c r="AC221" s="645"/>
      <c r="AD221" s="645"/>
      <c r="AE221" s="645"/>
      <c r="AF221" s="645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</row>
    <row r="222" spans="1:61" ht="30" hidden="1" customHeight="1">
      <c r="A222" s="627" t="s">
        <v>978</v>
      </c>
      <c r="B222" s="188" t="s">
        <v>985</v>
      </c>
      <c r="C222" s="189" t="s">
        <v>178</v>
      </c>
      <c r="D222" s="188" t="s">
        <v>1088</v>
      </c>
      <c r="E222" s="1743" t="str">
        <f>VLOOKUP(F222,plasmids!$A$2:$B$351,2)</f>
        <v>pXR5</v>
      </c>
      <c r="F222" s="188">
        <v>154</v>
      </c>
      <c r="G222" s="1745"/>
      <c r="H222" s="1745" t="str">
        <f>VLOOKUP(I222,plasmids!$A$2:$B$400,2)</f>
        <v>pscAAV-smCBA-mCherry</v>
      </c>
      <c r="I222" s="188">
        <v>267</v>
      </c>
      <c r="J222" s="192"/>
      <c r="K222" s="1127"/>
      <c r="L222" s="1484"/>
      <c r="M222" s="196">
        <v>41705</v>
      </c>
      <c r="N222" s="774">
        <v>261</v>
      </c>
      <c r="O222" s="191">
        <v>6</v>
      </c>
      <c r="P222" s="202"/>
      <c r="Q222" s="1749">
        <v>813000000000000</v>
      </c>
      <c r="R222" s="202"/>
      <c r="S222" s="203" t="e">
        <f t="shared" si="0"/>
        <v>#DIV/0!</v>
      </c>
      <c r="T222" s="2197">
        <v>41995</v>
      </c>
      <c r="U222" s="192"/>
      <c r="V222" s="1489">
        <f>60</f>
        <v>60</v>
      </c>
      <c r="W222" s="205"/>
      <c r="X222" s="205"/>
      <c r="Y222" s="205"/>
      <c r="Z222" s="205"/>
      <c r="AA222" s="205"/>
      <c r="AB222" s="205"/>
      <c r="AC222" s="205"/>
      <c r="AD222" s="205"/>
      <c r="AE222" s="205"/>
      <c r="AF222" s="205"/>
      <c r="AG222" s="205"/>
      <c r="AH222" s="205"/>
      <c r="AI222" s="205"/>
      <c r="AJ222" s="205"/>
      <c r="AK222" s="205"/>
      <c r="AL222" s="205"/>
      <c r="AM222" s="205"/>
      <c r="AN222" s="205"/>
      <c r="AO222" s="205"/>
      <c r="AP222" s="205"/>
      <c r="AQ222" s="205"/>
      <c r="AR222" s="205"/>
      <c r="AS222" s="205"/>
      <c r="AT222" s="205"/>
      <c r="AU222" s="205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</row>
    <row r="223" spans="1:61" ht="22.5" hidden="1" customHeight="1">
      <c r="A223" s="1640" t="s">
        <v>3256</v>
      </c>
      <c r="B223" s="1641" t="s">
        <v>200</v>
      </c>
      <c r="C223" s="1642" t="s">
        <v>567</v>
      </c>
      <c r="D223" s="1641" t="s">
        <v>1088</v>
      </c>
      <c r="E223" s="1906" t="str">
        <f>VLOOKUP(F223,plasmids!$A$2:$B$351,2)</f>
        <v>AAV2</v>
      </c>
      <c r="F223" s="1641">
        <v>140</v>
      </c>
      <c r="G223" s="1930"/>
      <c r="H223" s="1930" t="str">
        <f>VLOOKUP(I223,plasmids!$A$2:$B$391,2)</f>
        <v>pDD345-DF1-ChRM4i-2A-mCherry</v>
      </c>
      <c r="I223" s="1641">
        <v>356</v>
      </c>
      <c r="J223" s="1650"/>
      <c r="K223" s="1933"/>
      <c r="L223" s="1643"/>
      <c r="M223" s="1644">
        <v>41705</v>
      </c>
      <c r="N223" s="1934">
        <v>262</v>
      </c>
      <c r="O223" s="1646">
        <v>6</v>
      </c>
      <c r="P223" s="1647"/>
      <c r="Q223" s="1648">
        <v>123000000000000</v>
      </c>
      <c r="R223" s="1647"/>
      <c r="S223" s="1649" t="e">
        <f t="shared" si="0"/>
        <v>#DIV/0!</v>
      </c>
      <c r="T223" s="1650"/>
      <c r="U223" s="1650"/>
      <c r="V223" s="1641">
        <v>170</v>
      </c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</row>
    <row r="224" spans="1:61" ht="27.75" hidden="1" customHeight="1">
      <c r="A224" s="470" t="s">
        <v>52</v>
      </c>
      <c r="B224" s="470" t="s">
        <v>139</v>
      </c>
      <c r="C224" s="1001" t="s">
        <v>55</v>
      </c>
      <c r="D224" s="470" t="s">
        <v>568</v>
      </c>
      <c r="E224" s="470" t="s">
        <v>58</v>
      </c>
      <c r="F224" s="1008">
        <v>178</v>
      </c>
      <c r="G224" s="1828"/>
      <c r="H224" s="1828" t="str">
        <f>VLOOKUP(I224,plasmids!$A$2:$B$351,2)</f>
        <v>pAAV2-hRO-EGFP</v>
      </c>
      <c r="I224" s="470">
        <v>233</v>
      </c>
      <c r="J224" s="471"/>
      <c r="K224" s="1830">
        <v>41701</v>
      </c>
      <c r="L224" s="1003"/>
      <c r="M224" s="1005">
        <v>41705</v>
      </c>
      <c r="N224" s="1006">
        <v>263</v>
      </c>
      <c r="O224" s="1008">
        <v>6</v>
      </c>
      <c r="P224" s="466"/>
      <c r="Q224" s="1604">
        <v>41800000000000</v>
      </c>
      <c r="R224" s="462">
        <v>33000000000</v>
      </c>
      <c r="S224" s="468">
        <f t="shared" si="0"/>
        <v>41546666666666.664</v>
      </c>
      <c r="T224" s="1830">
        <v>41995</v>
      </c>
      <c r="U224" s="470" t="s">
        <v>4426</v>
      </c>
      <c r="V224" s="1612">
        <f>14</f>
        <v>14</v>
      </c>
      <c r="W224" s="1659"/>
      <c r="X224" s="1011"/>
      <c r="Y224" s="1011"/>
      <c r="Z224" s="1011"/>
      <c r="AA224" s="1011"/>
      <c r="AB224" s="1011"/>
      <c r="AC224" s="1011"/>
      <c r="AD224" s="1011"/>
      <c r="AE224" s="1011"/>
      <c r="AF224" s="27"/>
      <c r="AG224" s="1011"/>
      <c r="AH224" s="1011"/>
      <c r="AI224" s="1011"/>
      <c r="AJ224" s="1011"/>
      <c r="AK224" s="1011"/>
      <c r="AL224" s="1011"/>
      <c r="AM224" s="1011"/>
      <c r="AN224" s="1011"/>
      <c r="AO224" s="1011"/>
      <c r="AP224" s="1011"/>
      <c r="AQ224" s="1011"/>
      <c r="AR224" s="1011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</row>
    <row r="225" spans="1:61" ht="26.25" hidden="1" customHeight="1">
      <c r="A225" s="470" t="s">
        <v>52</v>
      </c>
      <c r="B225" s="470" t="s">
        <v>139</v>
      </c>
      <c r="C225" s="1001" t="s">
        <v>55</v>
      </c>
      <c r="D225" s="470" t="s">
        <v>568</v>
      </c>
      <c r="E225" s="470" t="s">
        <v>58</v>
      </c>
      <c r="F225" s="1008">
        <v>178</v>
      </c>
      <c r="G225" s="1828"/>
      <c r="H225" s="1828" t="str">
        <f>VLOOKUP(I225,plasmids!$A$2:$B$351,2)</f>
        <v>pAAVss-mCar-eNpHR-WPRE</v>
      </c>
      <c r="I225" s="470">
        <v>289</v>
      </c>
      <c r="J225" s="471"/>
      <c r="K225" s="470" t="s">
        <v>4428</v>
      </c>
      <c r="L225" s="1003"/>
      <c r="M225" s="1005">
        <v>41712</v>
      </c>
      <c r="N225" s="1006">
        <v>264</v>
      </c>
      <c r="O225" s="1008">
        <v>6</v>
      </c>
      <c r="P225" s="466"/>
      <c r="Q225" s="1604">
        <v>154000000000000</v>
      </c>
      <c r="R225" s="462">
        <v>33000000000</v>
      </c>
      <c r="S225" s="468">
        <f t="shared" si="0"/>
        <v>153066666666666.66</v>
      </c>
      <c r="T225" s="1830">
        <v>41995</v>
      </c>
      <c r="U225" s="471"/>
      <c r="V225" s="1612">
        <f>44</f>
        <v>44</v>
      </c>
      <c r="W225" s="1659"/>
      <c r="X225" s="1011"/>
      <c r="Y225" s="27"/>
      <c r="Z225" s="27"/>
      <c r="AA225" s="1011"/>
      <c r="AB225" s="1011"/>
      <c r="AC225" s="1011"/>
      <c r="AD225" s="1011"/>
      <c r="AE225" s="1011"/>
      <c r="AF225" s="27"/>
      <c r="AG225" s="1011"/>
      <c r="AH225" s="1011"/>
      <c r="AI225" s="1011"/>
      <c r="AJ225" s="1011"/>
      <c r="AK225" s="1011"/>
      <c r="AL225" s="1011"/>
      <c r="AM225" s="1011"/>
      <c r="AN225" s="1011"/>
      <c r="AO225" s="1011"/>
      <c r="AP225" s="1011"/>
      <c r="AQ225" s="1011"/>
      <c r="AR225" s="1011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</row>
    <row r="226" spans="1:61" ht="26.25" hidden="1" customHeight="1">
      <c r="A226" s="470" t="s">
        <v>52</v>
      </c>
      <c r="B226" s="470" t="s">
        <v>139</v>
      </c>
      <c r="C226" s="1001" t="s">
        <v>55</v>
      </c>
      <c r="D226" s="470" t="s">
        <v>568</v>
      </c>
      <c r="E226" s="470" t="s">
        <v>58</v>
      </c>
      <c r="F226" s="1008">
        <v>178</v>
      </c>
      <c r="G226" s="1828"/>
      <c r="H226" s="1828" t="str">
        <f>VLOOKUP(I226,plasmids!$A$2:$B$351,2)</f>
        <v>pAAVss-hCar-eNpHR-WPRE</v>
      </c>
      <c r="I226" s="470">
        <v>302</v>
      </c>
      <c r="J226" s="471"/>
      <c r="K226" s="1004" t="s">
        <v>4428</v>
      </c>
      <c r="L226" s="1003"/>
      <c r="M226" s="1005">
        <v>41712</v>
      </c>
      <c r="N226" s="1006">
        <v>265</v>
      </c>
      <c r="O226" s="1008">
        <v>6</v>
      </c>
      <c r="P226" s="466"/>
      <c r="Q226" s="1604">
        <v>98500000000000</v>
      </c>
      <c r="R226" s="462">
        <v>33000000000</v>
      </c>
      <c r="S226" s="468">
        <f t="shared" si="0"/>
        <v>97903030303030.297</v>
      </c>
      <c r="T226" s="1830">
        <v>41995</v>
      </c>
      <c r="U226" s="471"/>
      <c r="V226" s="1612">
        <f>72</f>
        <v>72</v>
      </c>
      <c r="W226" s="1659"/>
      <c r="X226" s="1011"/>
      <c r="Y226" s="1011"/>
      <c r="Z226" s="1011"/>
      <c r="AA226" s="1011"/>
      <c r="AB226" s="1011"/>
      <c r="AC226" s="27"/>
      <c r="AD226" s="1011"/>
      <c r="AE226" s="1011"/>
      <c r="AF226" s="1011"/>
      <c r="AG226" s="1011"/>
      <c r="AH226" s="1011"/>
      <c r="AI226" s="1011"/>
      <c r="AJ226" s="1011"/>
      <c r="AK226" s="1011"/>
      <c r="AL226" s="1011"/>
      <c r="AM226" s="1011"/>
      <c r="AN226" s="1011"/>
      <c r="AO226" s="1011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</row>
    <row r="227" spans="1:61" ht="21" hidden="1" customHeight="1">
      <c r="A227" s="29" t="s">
        <v>4431</v>
      </c>
      <c r="B227" s="29" t="s">
        <v>4432</v>
      </c>
      <c r="C227" s="31" t="s">
        <v>1967</v>
      </c>
      <c r="D227" s="29" t="s">
        <v>568</v>
      </c>
      <c r="E227" s="2291" t="str">
        <f>VLOOKUP(F227,plasmids!$A$2:$B$351,2)</f>
        <v>AAV2</v>
      </c>
      <c r="F227" s="29">
        <v>140</v>
      </c>
      <c r="G227" s="2292"/>
      <c r="H227" s="2292" t="str">
        <f>VLOOKUP(I227,plasmids!$A$2:$B$911,2)</f>
        <v>pAAV-DIO-vLWO-1A</v>
      </c>
      <c r="I227" s="29">
        <v>362</v>
      </c>
      <c r="J227" s="29" t="s">
        <v>1996</v>
      </c>
      <c r="K227" s="35">
        <v>41709</v>
      </c>
      <c r="L227" s="35"/>
      <c r="M227" s="38">
        <v>41712</v>
      </c>
      <c r="N227" s="40">
        <v>266</v>
      </c>
      <c r="O227" s="33">
        <v>6</v>
      </c>
      <c r="P227" s="48"/>
      <c r="Q227" s="1622">
        <v>105000000000000</v>
      </c>
      <c r="R227" s="44">
        <v>33000000000</v>
      </c>
      <c r="S227" s="55">
        <f t="shared" si="0"/>
        <v>104363636363636.36</v>
      </c>
      <c r="T227" s="57"/>
      <c r="U227" s="57"/>
      <c r="V227" s="33">
        <v>110</v>
      </c>
      <c r="W227" s="61"/>
      <c r="X227" s="61"/>
      <c r="Y227" s="61"/>
      <c r="Z227" s="61"/>
      <c r="AA227" s="61"/>
      <c r="AB227" s="61"/>
      <c r="AC227" s="61"/>
      <c r="AD227" s="61"/>
      <c r="AE227" s="61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</row>
    <row r="228" spans="1:61" ht="24" hidden="1" customHeight="1">
      <c r="A228" s="29" t="s">
        <v>4431</v>
      </c>
      <c r="B228" s="29" t="s">
        <v>4432</v>
      </c>
      <c r="C228" s="31" t="s">
        <v>1967</v>
      </c>
      <c r="D228" s="29" t="s">
        <v>568</v>
      </c>
      <c r="E228" s="2291" t="str">
        <f>VLOOKUP(F228,plasmids!$A$2:$B$351,2)</f>
        <v>AAV2</v>
      </c>
      <c r="F228" s="29">
        <v>140</v>
      </c>
      <c r="G228" s="2292"/>
      <c r="H228" s="2292" t="str">
        <f>VLOOKUP(I228,plasmids!$A$2:$B$911,2)</f>
        <v>pAAV-DIO-vSWO-1B</v>
      </c>
      <c r="I228" s="29">
        <v>363</v>
      </c>
      <c r="J228" s="29" t="s">
        <v>1996</v>
      </c>
      <c r="K228" s="35">
        <v>41709</v>
      </c>
      <c r="L228" s="35"/>
      <c r="M228" s="38">
        <v>41712</v>
      </c>
      <c r="N228" s="40">
        <v>267</v>
      </c>
      <c r="O228" s="33">
        <v>6</v>
      </c>
      <c r="P228" s="48"/>
      <c r="Q228" s="1622">
        <v>95900000000000</v>
      </c>
      <c r="R228" s="44">
        <v>33000000000</v>
      </c>
      <c r="S228" s="55">
        <f t="shared" si="0"/>
        <v>95318787878787.875</v>
      </c>
      <c r="T228" s="57"/>
      <c r="U228" s="57"/>
      <c r="V228" s="33">
        <v>120</v>
      </c>
      <c r="W228" s="61"/>
      <c r="X228" s="61"/>
      <c r="Y228" s="61"/>
      <c r="Z228" s="61"/>
      <c r="AA228" s="61"/>
      <c r="AB228" s="61"/>
      <c r="AC228" s="61"/>
      <c r="AD228" s="61"/>
      <c r="AE228" s="61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</row>
    <row r="229" spans="1:61" ht="24" hidden="1" customHeight="1">
      <c r="A229" s="29" t="s">
        <v>4431</v>
      </c>
      <c r="B229" s="29" t="s">
        <v>4432</v>
      </c>
      <c r="C229" s="31" t="s">
        <v>1967</v>
      </c>
      <c r="D229" s="29" t="s">
        <v>568</v>
      </c>
      <c r="E229" s="2291" t="str">
        <f>VLOOKUP(F229,plasmids!$A$2:$B$351,2)</f>
        <v>AAV2</v>
      </c>
      <c r="F229" s="29">
        <v>140</v>
      </c>
      <c r="G229" s="2292"/>
      <c r="H229" s="2292" t="str">
        <f>VLOOKUP(I229,plasmids!$A$2:$B$391,2)</f>
        <v>pAAV-EF1a-mCherry-IRES-WGA-CRE-WPRE</v>
      </c>
      <c r="I229" s="29">
        <v>241</v>
      </c>
      <c r="J229" s="29" t="s">
        <v>1996</v>
      </c>
      <c r="K229" s="35">
        <v>41709</v>
      </c>
      <c r="L229" s="35"/>
      <c r="M229" s="38">
        <v>41712</v>
      </c>
      <c r="N229" s="40">
        <v>268</v>
      </c>
      <c r="O229" s="33">
        <v>6</v>
      </c>
      <c r="P229" s="48"/>
      <c r="Q229" s="1622">
        <v>68300000000000</v>
      </c>
      <c r="R229" s="44">
        <v>33000000000</v>
      </c>
      <c r="S229" s="55">
        <f t="shared" si="0"/>
        <v>67886060606060.602</v>
      </c>
      <c r="T229" s="57"/>
      <c r="U229" s="1623">
        <v>41719</v>
      </c>
      <c r="V229" s="33">
        <v>100</v>
      </c>
      <c r="W229" s="61"/>
      <c r="X229" s="61"/>
      <c r="Y229" s="61"/>
      <c r="Z229" s="61"/>
      <c r="AA229" s="61"/>
      <c r="AB229" s="61"/>
      <c r="AC229" s="61"/>
      <c r="AD229" s="61"/>
      <c r="AE229" s="61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</row>
    <row r="230" spans="1:61" ht="24" hidden="1" customHeight="1">
      <c r="A230" s="664" t="s">
        <v>52</v>
      </c>
      <c r="B230" s="664" t="s">
        <v>3348</v>
      </c>
      <c r="C230" s="666" t="s">
        <v>178</v>
      </c>
      <c r="D230" s="664" t="s">
        <v>1045</v>
      </c>
      <c r="E230" s="664" t="s">
        <v>58</v>
      </c>
      <c r="F230" s="668">
        <v>178</v>
      </c>
      <c r="G230" s="670"/>
      <c r="H230" s="670" t="s">
        <v>3355</v>
      </c>
      <c r="I230" s="664">
        <v>190</v>
      </c>
      <c r="J230" s="664" t="s">
        <v>1012</v>
      </c>
      <c r="K230" s="999"/>
      <c r="L230" s="1491"/>
      <c r="M230" s="674">
        <v>41712</v>
      </c>
      <c r="N230" s="675">
        <v>269</v>
      </c>
      <c r="O230" s="668">
        <v>6</v>
      </c>
      <c r="P230" s="679"/>
      <c r="Q230" s="1493">
        <v>93400000000000</v>
      </c>
      <c r="R230" s="676">
        <v>33000000000</v>
      </c>
      <c r="S230" s="681">
        <f t="shared" si="0"/>
        <v>92833939393939.391</v>
      </c>
      <c r="T230" s="683"/>
      <c r="U230" s="683"/>
      <c r="V230" s="668">
        <v>0</v>
      </c>
      <c r="W230" s="1494">
        <v>41772</v>
      </c>
      <c r="X230" s="686"/>
      <c r="Y230" s="686"/>
      <c r="Z230" s="686"/>
      <c r="AA230" s="686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  <c r="AL230" s="686"/>
      <c r="AM230" s="686"/>
      <c r="AN230" s="377"/>
      <c r="AO230" s="377"/>
      <c r="AP230" s="377"/>
      <c r="AQ230" s="377"/>
      <c r="AR230" s="377"/>
      <c r="AS230" s="377"/>
      <c r="AT230" s="377"/>
      <c r="AU230" s="377"/>
      <c r="AV230" s="377"/>
      <c r="AW230" s="377"/>
      <c r="AX230" s="377"/>
      <c r="AY230" s="377"/>
      <c r="AZ230" s="377"/>
      <c r="BA230" s="377"/>
      <c r="BB230" s="377"/>
      <c r="BC230" s="377"/>
      <c r="BD230" s="377"/>
      <c r="BE230" s="377"/>
      <c r="BF230" s="377"/>
      <c r="BG230" s="377"/>
      <c r="BH230" s="377"/>
      <c r="BI230" s="377"/>
    </row>
    <row r="231" spans="1:61" ht="24" hidden="1" customHeight="1">
      <c r="A231" s="1012" t="s">
        <v>4383</v>
      </c>
      <c r="B231" s="1012" t="s">
        <v>625</v>
      </c>
      <c r="C231" s="1013" t="s">
        <v>626</v>
      </c>
      <c r="D231" s="1012" t="s">
        <v>655</v>
      </c>
      <c r="E231" s="1015" t="s">
        <v>882</v>
      </c>
      <c r="F231" s="1020">
        <v>142</v>
      </c>
      <c r="G231" s="2303"/>
      <c r="H231" s="2303" t="str">
        <f>VLOOKUP(I231,plasmids!$A$2:$B$391,2)</f>
        <v>pAAV-CMV-TGFbeta-muté</v>
      </c>
      <c r="I231" s="1012">
        <v>219</v>
      </c>
      <c r="J231" s="1012" t="s">
        <v>60</v>
      </c>
      <c r="K231" s="2304"/>
      <c r="L231" s="2306"/>
      <c r="M231" s="1022">
        <v>41712</v>
      </c>
      <c r="N231" s="1070">
        <v>270</v>
      </c>
      <c r="O231" s="1020">
        <v>6</v>
      </c>
      <c r="P231" s="1082"/>
      <c r="Q231" s="2313">
        <v>1950000000000</v>
      </c>
      <c r="R231" s="1072">
        <v>33000000000</v>
      </c>
      <c r="S231" s="1083">
        <f t="shared" si="0"/>
        <v>1938181818181.8181</v>
      </c>
      <c r="T231" s="1084"/>
      <c r="U231" s="2315">
        <v>41808</v>
      </c>
      <c r="V231" s="1020">
        <v>120</v>
      </c>
      <c r="W231" s="2317"/>
      <c r="X231" s="2318" t="s">
        <v>4448</v>
      </c>
      <c r="Y231" s="158"/>
      <c r="Z231" s="158"/>
      <c r="AA231" s="158"/>
      <c r="AB231" s="158"/>
      <c r="AC231" s="158"/>
      <c r="AD231" s="158"/>
      <c r="AE231" s="158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</row>
    <row r="232" spans="1:61" ht="26.25" hidden="1" customHeight="1">
      <c r="A232" s="165" t="s">
        <v>4257</v>
      </c>
      <c r="B232" s="165" t="s">
        <v>4258</v>
      </c>
      <c r="C232" s="167" t="s">
        <v>178</v>
      </c>
      <c r="D232" s="165" t="s">
        <v>4261</v>
      </c>
      <c r="E232" s="165" t="s">
        <v>516</v>
      </c>
      <c r="F232" s="165">
        <v>140</v>
      </c>
      <c r="G232" s="2321"/>
      <c r="H232" s="2321" t="str">
        <f>VLOOKUP(I232,plasmids!$A$2:$B$391,2)</f>
        <v>AAV-Ef1a-flox-hChR2-YFP</v>
      </c>
      <c r="I232" s="165">
        <v>244</v>
      </c>
      <c r="J232" s="165" t="s">
        <v>1012</v>
      </c>
      <c r="K232" s="2326"/>
      <c r="L232" s="1126"/>
      <c r="M232" s="173">
        <v>41712</v>
      </c>
      <c r="N232" s="175">
        <v>271</v>
      </c>
      <c r="O232" s="169">
        <v>6</v>
      </c>
      <c r="P232" s="326"/>
      <c r="Q232" s="2332">
        <v>202000000000000</v>
      </c>
      <c r="R232" s="178">
        <v>33000000000</v>
      </c>
      <c r="S232" s="468">
        <f t="shared" si="0"/>
        <v>200775757575757.56</v>
      </c>
      <c r="T232" s="2333">
        <v>41995</v>
      </c>
      <c r="U232" s="183"/>
      <c r="V232" s="185">
        <f>32</f>
        <v>32</v>
      </c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</row>
    <row r="233" spans="1:61" ht="27.75" hidden="1" customHeight="1">
      <c r="A233" s="135" t="s">
        <v>4383</v>
      </c>
      <c r="B233" s="135" t="s">
        <v>625</v>
      </c>
      <c r="C233" s="137" t="s">
        <v>626</v>
      </c>
      <c r="D233" s="135" t="s">
        <v>655</v>
      </c>
      <c r="E233" s="164" t="s">
        <v>882</v>
      </c>
      <c r="F233" s="139">
        <v>142</v>
      </c>
      <c r="G233" s="2334"/>
      <c r="H233" s="2334" t="str">
        <f>VLOOKUP(I233,plasmids!$A$2:$B$391,2)</f>
        <v>pAAV-CMV-TGFbeta-muté</v>
      </c>
      <c r="I233" s="135">
        <v>219</v>
      </c>
      <c r="J233" s="135" t="s">
        <v>60</v>
      </c>
      <c r="K233" s="141" t="s">
        <v>4456</v>
      </c>
      <c r="L233" s="1086"/>
      <c r="M233" s="1087">
        <v>41719</v>
      </c>
      <c r="N233" s="145">
        <v>272</v>
      </c>
      <c r="O233" s="139">
        <v>6</v>
      </c>
      <c r="P233" s="1090"/>
      <c r="Q233" s="150">
        <v>149000000000000</v>
      </c>
      <c r="R233" s="149">
        <v>16700000000</v>
      </c>
      <c r="S233" s="153">
        <f t="shared" si="0"/>
        <v>292646706586826.31</v>
      </c>
      <c r="T233" s="2337">
        <v>41995</v>
      </c>
      <c r="U233" s="156"/>
      <c r="V233" s="1093">
        <f>118</f>
        <v>118</v>
      </c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</row>
    <row r="234" spans="1:61" ht="27.75" hidden="1" customHeight="1">
      <c r="A234" s="470" t="s">
        <v>2852</v>
      </c>
      <c r="B234" s="470" t="s">
        <v>3348</v>
      </c>
      <c r="C234" s="1001" t="s">
        <v>4457</v>
      </c>
      <c r="D234" s="470" t="s">
        <v>568</v>
      </c>
      <c r="E234" s="470" t="s">
        <v>58</v>
      </c>
      <c r="F234" s="1008">
        <v>178</v>
      </c>
      <c r="G234" s="2339"/>
      <c r="H234" s="2339" t="str">
        <f>VLOOKUP(I234,plasmids!$A$2:$B$391,2)</f>
        <v>pssAAV-1xGrm6-GFP_x000D_</v>
      </c>
      <c r="I234" s="470">
        <v>359</v>
      </c>
      <c r="J234" s="471"/>
      <c r="K234" s="1830">
        <v>41701</v>
      </c>
      <c r="L234" s="1003"/>
      <c r="M234" s="1005">
        <v>41719</v>
      </c>
      <c r="N234" s="1006">
        <v>273</v>
      </c>
      <c r="O234" s="1008">
        <v>6</v>
      </c>
      <c r="P234" s="78"/>
      <c r="Q234" s="1604">
        <v>512000000000</v>
      </c>
      <c r="R234" s="462">
        <v>16700000000</v>
      </c>
      <c r="S234" s="468">
        <f t="shared" si="0"/>
        <v>1005604790419.1616</v>
      </c>
      <c r="T234" s="1830">
        <v>41995</v>
      </c>
      <c r="U234" s="471"/>
      <c r="V234" s="1612">
        <f>80</f>
        <v>80</v>
      </c>
      <c r="W234" s="1659"/>
      <c r="X234" s="1011"/>
      <c r="Y234" s="1011"/>
      <c r="Z234" s="1011"/>
      <c r="AA234" s="1011"/>
      <c r="AB234" s="1011"/>
      <c r="AC234" s="1011"/>
      <c r="AD234" s="1011"/>
      <c r="AE234" s="1011"/>
      <c r="AF234" s="27"/>
      <c r="AG234" s="1011"/>
      <c r="AH234" s="1011"/>
      <c r="AI234" s="1011"/>
      <c r="AJ234" s="1011"/>
      <c r="AK234" s="1011"/>
      <c r="AL234" s="1011"/>
      <c r="AM234" s="1011"/>
      <c r="AN234" s="1011"/>
      <c r="AO234" s="1011"/>
      <c r="AP234" s="1011"/>
      <c r="AQ234" s="1011"/>
      <c r="AR234" s="1011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</row>
    <row r="235" spans="1:61" ht="27.75" hidden="1" customHeight="1">
      <c r="A235" s="263" t="s">
        <v>1245</v>
      </c>
      <c r="B235" s="263" t="s">
        <v>1262</v>
      </c>
      <c r="C235" s="265" t="s">
        <v>626</v>
      </c>
      <c r="D235" s="263" t="s">
        <v>187</v>
      </c>
      <c r="E235" s="2345" t="str">
        <f>VLOOKUP(F235,plasmids!$A$2:$B$351,2)</f>
        <v>AAV9 2YF</v>
      </c>
      <c r="F235" s="269">
        <v>168</v>
      </c>
      <c r="G235" s="2346"/>
      <c r="H235" s="2346" t="str">
        <f>VLOOKUP(I235,plasmids!$A$2:$B$391,2)</f>
        <v>pscAAV-CMV-GFP</v>
      </c>
      <c r="I235" s="263">
        <v>22</v>
      </c>
      <c r="J235" s="263" t="s">
        <v>1295</v>
      </c>
      <c r="K235" s="274">
        <v>41704</v>
      </c>
      <c r="L235" s="274"/>
      <c r="M235" s="277">
        <v>41719</v>
      </c>
      <c r="N235" s="278">
        <v>274</v>
      </c>
      <c r="O235" s="269">
        <v>6</v>
      </c>
      <c r="P235" s="292"/>
      <c r="Q235" s="1635">
        <v>206000000000000</v>
      </c>
      <c r="R235" s="281">
        <v>16700000000</v>
      </c>
      <c r="S235" s="293">
        <f t="shared" si="0"/>
        <v>404598802395209.56</v>
      </c>
      <c r="T235" s="271"/>
      <c r="U235" s="271"/>
      <c r="V235" s="1336">
        <v>150</v>
      </c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</row>
    <row r="236" spans="1:61" ht="21" hidden="1" customHeight="1">
      <c r="A236" s="734" t="s">
        <v>707</v>
      </c>
      <c r="B236" s="734" t="s">
        <v>2698</v>
      </c>
      <c r="C236" s="735" t="s">
        <v>1967</v>
      </c>
      <c r="D236" s="734" t="s">
        <v>4460</v>
      </c>
      <c r="E236" s="1666" t="str">
        <f>VLOOKUP(F236,plasmids!$A$2:$B$351,2)</f>
        <v>AAV2</v>
      </c>
      <c r="F236" s="734">
        <v>140</v>
      </c>
      <c r="G236" s="1667"/>
      <c r="H236" s="1667" t="str">
        <f>VLOOKUP(I236,plasmids!$A$2:$B$391,2)</f>
        <v>pssAAV-1xGrm6-GFP_x000D_</v>
      </c>
      <c r="I236" s="734">
        <v>359</v>
      </c>
      <c r="J236" s="744"/>
      <c r="K236" s="1668"/>
      <c r="L236" s="811"/>
      <c r="M236" s="737">
        <v>41719</v>
      </c>
      <c r="N236" s="2225">
        <v>275</v>
      </c>
      <c r="O236" s="739">
        <v>6</v>
      </c>
      <c r="P236" s="742"/>
      <c r="Q236" s="1613">
        <v>45000000000</v>
      </c>
      <c r="R236" s="740">
        <v>16700000000</v>
      </c>
      <c r="S236" s="743">
        <f t="shared" si="0"/>
        <v>88383233532.934128</v>
      </c>
      <c r="T236" s="2222">
        <v>41995</v>
      </c>
      <c r="U236" s="744"/>
      <c r="V236" s="2227">
        <f>130</f>
        <v>130</v>
      </c>
      <c r="W236" s="733"/>
      <c r="X236" s="748" t="s">
        <v>4468</v>
      </c>
      <c r="Y236" s="733"/>
      <c r="Z236" s="733"/>
      <c r="AA236" s="733"/>
      <c r="AB236" s="733"/>
      <c r="AC236" s="733"/>
      <c r="AD236" s="733"/>
      <c r="AE236" s="733"/>
      <c r="AF236" s="733"/>
      <c r="AG236" s="733"/>
      <c r="AH236" s="733"/>
      <c r="AI236" s="733"/>
      <c r="AJ236" s="733"/>
      <c r="AK236" s="733"/>
      <c r="AL236" s="733"/>
      <c r="AM236" s="733"/>
      <c r="AN236" s="733"/>
      <c r="AO236" s="733"/>
      <c r="AP236" s="733"/>
      <c r="AQ236" s="733"/>
      <c r="AR236" s="733"/>
      <c r="AS236" s="733"/>
      <c r="AT236" s="733"/>
      <c r="AU236" s="733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</row>
    <row r="237" spans="1:61" ht="21" hidden="1" customHeight="1">
      <c r="A237" s="734" t="s">
        <v>707</v>
      </c>
      <c r="B237" s="734" t="s">
        <v>2698</v>
      </c>
      <c r="C237" s="735" t="s">
        <v>1967</v>
      </c>
      <c r="D237" s="734" t="s">
        <v>4460</v>
      </c>
      <c r="E237" s="1666" t="str">
        <f>VLOOKUP(F237,plasmids!$A$2:$B$351,2)</f>
        <v>AAV9 7M8 (AA------)</v>
      </c>
      <c r="F237" s="734">
        <v>170</v>
      </c>
      <c r="G237" s="1667"/>
      <c r="H237" s="1667" t="str">
        <f>VLOOKUP(I237,plasmids!$A$2:$B$960,2)</f>
        <v>pssAAV-1xGrm6-GFP_x000D_</v>
      </c>
      <c r="I237" s="734">
        <v>359</v>
      </c>
      <c r="J237" s="744"/>
      <c r="K237" s="1668"/>
      <c r="L237" s="811"/>
      <c r="M237" s="737">
        <v>41719</v>
      </c>
      <c r="N237" s="2225">
        <v>276</v>
      </c>
      <c r="O237" s="739">
        <v>6</v>
      </c>
      <c r="P237" s="742"/>
      <c r="Q237" s="1613">
        <v>592000000000</v>
      </c>
      <c r="R237" s="740">
        <v>16700000000</v>
      </c>
      <c r="S237" s="743">
        <f t="shared" si="0"/>
        <v>1162730538922.1558</v>
      </c>
      <c r="T237" s="2222">
        <v>41995</v>
      </c>
      <c r="U237" s="744"/>
      <c r="V237" s="2350">
        <v>150</v>
      </c>
      <c r="W237" s="733"/>
      <c r="X237" s="748" t="s">
        <v>4468</v>
      </c>
      <c r="Y237" s="733"/>
      <c r="Z237" s="733"/>
      <c r="AA237" s="733"/>
      <c r="AB237" s="733"/>
      <c r="AC237" s="733"/>
      <c r="AD237" s="733"/>
      <c r="AE237" s="733"/>
      <c r="AF237" s="733"/>
      <c r="AG237" s="733"/>
      <c r="AH237" s="733"/>
      <c r="AI237" s="733"/>
      <c r="AJ237" s="733"/>
      <c r="AK237" s="733"/>
      <c r="AL237" s="733"/>
      <c r="AM237" s="733"/>
      <c r="AN237" s="733"/>
      <c r="AO237" s="733"/>
      <c r="AP237" s="733"/>
      <c r="AQ237" s="733"/>
      <c r="AR237" s="733"/>
      <c r="AS237" s="733"/>
      <c r="AT237" s="733"/>
      <c r="AU237" s="733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</row>
    <row r="238" spans="1:61" ht="21" hidden="1" customHeight="1">
      <c r="A238" s="734" t="s">
        <v>707</v>
      </c>
      <c r="B238" s="734" t="s">
        <v>2698</v>
      </c>
      <c r="C238" s="735" t="s">
        <v>1967</v>
      </c>
      <c r="D238" s="734" t="s">
        <v>4460</v>
      </c>
      <c r="E238" s="1666" t="str">
        <f>VLOOKUP(F238,plasmids!$A$2:$B$351,2)</f>
        <v>AAV9</v>
      </c>
      <c r="F238" s="734">
        <v>166</v>
      </c>
      <c r="G238" s="1667"/>
      <c r="H238" s="1667" t="str">
        <f>VLOOKUP(I238,plasmids!$A$2:$B$960,2)</f>
        <v>pssAAV-1xGrm6-GFP_x000D_</v>
      </c>
      <c r="I238" s="734">
        <v>359</v>
      </c>
      <c r="J238" s="744"/>
      <c r="K238" s="1668"/>
      <c r="L238" s="811"/>
      <c r="M238" s="737">
        <v>41719</v>
      </c>
      <c r="N238" s="2225">
        <v>277</v>
      </c>
      <c r="O238" s="739">
        <v>6</v>
      </c>
      <c r="P238" s="742"/>
      <c r="Q238" s="1613">
        <v>274000000000000</v>
      </c>
      <c r="R238" s="740">
        <v>16700000000</v>
      </c>
      <c r="S238" s="743">
        <f t="shared" si="0"/>
        <v>538155688622754.5</v>
      </c>
      <c r="T238" s="2222">
        <v>41995</v>
      </c>
      <c r="U238" s="744"/>
      <c r="V238" s="2227">
        <f>102</f>
        <v>102</v>
      </c>
      <c r="W238" s="733"/>
      <c r="X238" s="733"/>
      <c r="Y238" s="733"/>
      <c r="Z238" s="733"/>
      <c r="AA238" s="733"/>
      <c r="AB238" s="733"/>
      <c r="AC238" s="733"/>
      <c r="AD238" s="733"/>
      <c r="AE238" s="733"/>
      <c r="AF238" s="733"/>
      <c r="AG238" s="733"/>
      <c r="AH238" s="733"/>
      <c r="AI238" s="733"/>
      <c r="AJ238" s="733"/>
      <c r="AK238" s="733"/>
      <c r="AL238" s="733"/>
      <c r="AM238" s="733"/>
      <c r="AN238" s="733"/>
      <c r="AO238" s="733"/>
      <c r="AP238" s="733"/>
      <c r="AQ238" s="733"/>
      <c r="AR238" s="733"/>
      <c r="AS238" s="733"/>
      <c r="AT238" s="733"/>
      <c r="AU238" s="733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</row>
    <row r="239" spans="1:61" ht="27.75" hidden="1" customHeight="1">
      <c r="A239" s="470" t="s">
        <v>52</v>
      </c>
      <c r="B239" s="470" t="s">
        <v>3348</v>
      </c>
      <c r="C239" s="1001" t="s">
        <v>4457</v>
      </c>
      <c r="D239" s="470" t="s">
        <v>568</v>
      </c>
      <c r="E239" s="470" t="s">
        <v>58</v>
      </c>
      <c r="F239" s="1008">
        <v>178</v>
      </c>
      <c r="G239" s="1828"/>
      <c r="H239" s="1828" t="str">
        <f>VLOOKUP(I239,plasmids!$A$2:$B$400,2)</f>
        <v>pAAV-ss-4xGRm6-GFP_x000D_</v>
      </c>
      <c r="I239" s="470">
        <v>361</v>
      </c>
      <c r="J239" s="471"/>
      <c r="K239" s="1830">
        <v>41701</v>
      </c>
      <c r="L239" s="1003"/>
      <c r="M239" s="1005">
        <v>41719</v>
      </c>
      <c r="N239" s="1006">
        <v>278</v>
      </c>
      <c r="O239" s="1008">
        <v>6</v>
      </c>
      <c r="P239" s="466"/>
      <c r="Q239" s="1604">
        <v>2590000000000</v>
      </c>
      <c r="R239" s="462">
        <v>16700000000</v>
      </c>
      <c r="S239" s="468">
        <f t="shared" si="0"/>
        <v>5086946107784.4307</v>
      </c>
      <c r="T239" s="1830">
        <v>41995</v>
      </c>
      <c r="U239" s="471"/>
      <c r="V239" s="2351">
        <v>155</v>
      </c>
      <c r="W239" s="1659"/>
      <c r="X239" s="1008" t="s">
        <v>4468</v>
      </c>
      <c r="Y239" s="1011"/>
      <c r="Z239" s="1011"/>
      <c r="AA239" s="1011"/>
      <c r="AB239" s="1011"/>
      <c r="AC239" s="1011"/>
      <c r="AD239" s="1011"/>
      <c r="AE239" s="1011"/>
      <c r="AF239" s="27"/>
      <c r="AG239" s="1011"/>
      <c r="AH239" s="1011"/>
      <c r="AI239" s="1011"/>
      <c r="AJ239" s="1011"/>
      <c r="AK239" s="1011"/>
      <c r="AL239" s="1011"/>
      <c r="AM239" s="1011"/>
      <c r="AN239" s="1011"/>
      <c r="AO239" s="1011"/>
      <c r="AP239" s="1011"/>
      <c r="AQ239" s="1011"/>
      <c r="AR239" s="1011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</row>
    <row r="240" spans="1:61" ht="26.25" hidden="1" customHeight="1">
      <c r="A240" s="664" t="s">
        <v>52</v>
      </c>
      <c r="B240" s="664" t="s">
        <v>3348</v>
      </c>
      <c r="C240" s="666" t="s">
        <v>178</v>
      </c>
      <c r="D240" s="664" t="s">
        <v>1045</v>
      </c>
      <c r="E240" s="664" t="s">
        <v>58</v>
      </c>
      <c r="F240" s="668">
        <v>178</v>
      </c>
      <c r="G240" s="670"/>
      <c r="H240" s="670" t="s">
        <v>3355</v>
      </c>
      <c r="I240" s="664">
        <v>190</v>
      </c>
      <c r="J240" s="664" t="s">
        <v>1012</v>
      </c>
      <c r="K240" s="999"/>
      <c r="L240" s="1491"/>
      <c r="M240" s="674">
        <v>41719</v>
      </c>
      <c r="N240" s="675">
        <v>279</v>
      </c>
      <c r="O240" s="668">
        <v>6</v>
      </c>
      <c r="P240" s="679"/>
      <c r="Q240" s="1493">
        <v>7450000000000</v>
      </c>
      <c r="R240" s="676">
        <v>16700000000</v>
      </c>
      <c r="S240" s="681">
        <f t="shared" si="0"/>
        <v>14632335329341.316</v>
      </c>
      <c r="T240" s="683"/>
      <c r="U240" s="683"/>
      <c r="V240" s="668">
        <v>140</v>
      </c>
      <c r="W240" s="2352" t="s">
        <v>4480</v>
      </c>
      <c r="X240" s="686"/>
      <c r="Y240" s="686"/>
      <c r="Z240" s="686"/>
      <c r="AA240" s="686"/>
      <c r="AB240" s="686"/>
      <c r="AC240" s="686"/>
      <c r="AD240" s="686"/>
      <c r="AE240" s="686"/>
      <c r="AF240" s="686"/>
      <c r="AG240" s="686"/>
      <c r="AH240" s="686"/>
      <c r="AI240" s="686"/>
      <c r="AJ240" s="686"/>
      <c r="AK240" s="686"/>
      <c r="AL240" s="686"/>
      <c r="AM240" s="686"/>
      <c r="AN240" s="377"/>
      <c r="AO240" s="377"/>
      <c r="AP240" s="377"/>
      <c r="AQ240" s="377"/>
      <c r="AR240" s="377"/>
      <c r="AS240" s="377"/>
      <c r="AT240" s="377"/>
      <c r="AU240" s="377"/>
      <c r="AV240" s="377"/>
      <c r="AW240" s="377"/>
      <c r="AX240" s="37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</row>
    <row r="241" spans="1:61" ht="27.75" hidden="1" customHeight="1">
      <c r="A241" s="1640" t="s">
        <v>3891</v>
      </c>
      <c r="B241" s="1641" t="s">
        <v>3930</v>
      </c>
      <c r="C241" s="1642" t="s">
        <v>178</v>
      </c>
      <c r="D241" s="1641" t="s">
        <v>4486</v>
      </c>
      <c r="E241" s="1906" t="str">
        <f>VLOOKUP(F241,plasmids!$A$2:$B$351,2)</f>
        <v>AAV2-7m8</v>
      </c>
      <c r="F241" s="1641">
        <v>178</v>
      </c>
      <c r="G241" s="1930"/>
      <c r="H241" s="1930" t="str">
        <f>VLOOKUP(I241,plasmids!$A$2:$B$911,2)</f>
        <v>psc-AAV-1xGrM6-ReachR-Citrine-BGHpA</v>
      </c>
      <c r="I241" s="1641">
        <v>365</v>
      </c>
      <c r="J241" s="1650"/>
      <c r="K241" s="1643">
        <v>41701</v>
      </c>
      <c r="L241" s="1643"/>
      <c r="M241" s="1644">
        <v>41726</v>
      </c>
      <c r="N241" s="2355">
        <v>280</v>
      </c>
      <c r="O241" s="1646">
        <v>6</v>
      </c>
      <c r="P241" s="1647"/>
      <c r="Q241" s="1648">
        <v>17100000000000</v>
      </c>
      <c r="R241" s="2357">
        <v>51600000000</v>
      </c>
      <c r="S241" s="1649">
        <f t="shared" si="0"/>
        <v>10869767441860.465</v>
      </c>
      <c r="T241" s="1650"/>
      <c r="U241" s="2359">
        <v>41808</v>
      </c>
      <c r="V241" s="1641">
        <v>125</v>
      </c>
      <c r="W241" s="1640" t="s">
        <v>483</v>
      </c>
      <c r="X241" s="377"/>
      <c r="Y241" s="377"/>
      <c r="Z241" s="377"/>
      <c r="AA241" s="377"/>
      <c r="AB241" s="377"/>
      <c r="AC241" s="377"/>
      <c r="AD241" s="377"/>
      <c r="AE241" s="377"/>
      <c r="AF241" s="377"/>
      <c r="AG241" s="377"/>
      <c r="AH241" s="377"/>
      <c r="AI241" s="377"/>
      <c r="AJ241" s="377"/>
      <c r="AK241" s="377"/>
      <c r="AL241" s="377"/>
      <c r="AM241" s="377"/>
      <c r="AN241" s="377"/>
      <c r="AO241" s="377"/>
      <c r="AP241" s="377"/>
      <c r="AQ241" s="377"/>
      <c r="AR241" s="377"/>
      <c r="AS241" s="377"/>
      <c r="AT241" s="377"/>
      <c r="AU241" s="377"/>
      <c r="AV241" s="377"/>
      <c r="AW241" s="377"/>
      <c r="AX241" s="377"/>
      <c r="AY241" s="377"/>
      <c r="AZ241" s="377"/>
      <c r="BA241" s="377"/>
      <c r="BB241" s="377"/>
      <c r="BC241" s="377"/>
      <c r="BD241" s="377"/>
      <c r="BE241" s="377"/>
      <c r="BF241" s="377"/>
      <c r="BG241" s="377"/>
      <c r="BH241" s="377"/>
      <c r="BI241" s="377"/>
    </row>
    <row r="242" spans="1:61" ht="36" hidden="1">
      <c r="A242" s="2360" t="s">
        <v>600</v>
      </c>
      <c r="B242" s="2361" t="s">
        <v>4496</v>
      </c>
      <c r="C242" s="2363" t="s">
        <v>4497</v>
      </c>
      <c r="D242" s="2360" t="s">
        <v>70</v>
      </c>
      <c r="E242" s="2365" t="str">
        <f>VLOOKUP(F242,plasmids!$A$2:$B$351,2)</f>
        <v>pXR8 Y447 733F</v>
      </c>
      <c r="F242" s="2360">
        <v>195</v>
      </c>
      <c r="G242" s="2366"/>
      <c r="H242" s="2366" t="str">
        <f>VLOOKUP(I242,plasmids!$A$2:$B$911,2)</f>
        <v>pscAAV-CAG-hCatCh-GFP</v>
      </c>
      <c r="I242" s="2360">
        <v>358</v>
      </c>
      <c r="J242" s="2367"/>
      <c r="K242" s="2369">
        <v>41705</v>
      </c>
      <c r="L242" s="2370"/>
      <c r="M242" s="2371">
        <v>41726</v>
      </c>
      <c r="N242" s="2378">
        <v>281</v>
      </c>
      <c r="O242" s="2379">
        <v>6</v>
      </c>
      <c r="P242" s="2380"/>
      <c r="Q242" s="2383">
        <v>679000000000</v>
      </c>
      <c r="R242" s="2384">
        <v>51600000000</v>
      </c>
      <c r="S242" s="2385">
        <f t="shared" si="0"/>
        <v>431612403100.77521</v>
      </c>
      <c r="T242" s="2369">
        <v>41995</v>
      </c>
      <c r="U242" s="2367"/>
      <c r="V242" s="2386">
        <f>120</f>
        <v>120</v>
      </c>
      <c r="W242" s="2387" t="s">
        <v>4505</v>
      </c>
      <c r="X242" s="2388"/>
      <c r="Y242" s="2388"/>
      <c r="Z242" s="2388"/>
      <c r="AA242" s="2388"/>
      <c r="AB242" s="2388"/>
      <c r="AC242" s="2388"/>
      <c r="AD242" s="2388"/>
      <c r="AE242" s="2388"/>
      <c r="AF242" s="2388"/>
      <c r="AG242" s="2388"/>
      <c r="AH242" s="2388"/>
      <c r="AI242" s="2388"/>
      <c r="AJ242" s="2388"/>
      <c r="AK242" s="2388"/>
      <c r="AL242" s="2388"/>
      <c r="AM242" s="2388"/>
      <c r="AN242" s="2388"/>
      <c r="AO242" s="2388"/>
      <c r="AP242" s="2388"/>
      <c r="AQ242" s="2388"/>
      <c r="AR242" s="2388"/>
      <c r="AS242" s="2388"/>
      <c r="AT242" s="2388"/>
      <c r="AU242" s="2388"/>
      <c r="AV242" s="2388"/>
      <c r="AW242" s="2388"/>
      <c r="AX242" s="2388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</row>
    <row r="243" spans="1:61" ht="36" hidden="1">
      <c r="A243" s="2387" t="s">
        <v>52</v>
      </c>
      <c r="B243" s="2361" t="s">
        <v>4496</v>
      </c>
      <c r="C243" s="2363" t="s">
        <v>4497</v>
      </c>
      <c r="D243" s="2360" t="s">
        <v>4509</v>
      </c>
      <c r="E243" s="2365" t="str">
        <f>VLOOKUP(F243,plasmids!$A$2:$B$351,2)</f>
        <v>pXR8 Y447 733F</v>
      </c>
      <c r="F243" s="2360">
        <v>195</v>
      </c>
      <c r="G243" s="2366"/>
      <c r="H243" s="2366" t="str">
        <f>VLOOKUP(I243,plasmids!$A$2:$B$391,2)</f>
        <v>scCAG-ChrimsonR-GFP</v>
      </c>
      <c r="I243" s="2360">
        <v>354</v>
      </c>
      <c r="J243" s="2367"/>
      <c r="K243" s="2369">
        <v>41705</v>
      </c>
      <c r="L243" s="2370"/>
      <c r="M243" s="2371">
        <v>41726</v>
      </c>
      <c r="N243" s="874">
        <v>282</v>
      </c>
      <c r="O243" s="2379">
        <v>6</v>
      </c>
      <c r="P243" s="2380"/>
      <c r="Q243" s="2383">
        <v>620000000000</v>
      </c>
      <c r="R243" s="2384">
        <v>51600000000</v>
      </c>
      <c r="S243" s="2385">
        <f t="shared" si="0"/>
        <v>394108527131.78296</v>
      </c>
      <c r="T243" s="2369">
        <v>41995</v>
      </c>
      <c r="U243" s="2388"/>
      <c r="V243" s="2392">
        <f>122</f>
        <v>122</v>
      </c>
      <c r="W243" s="2387" t="s">
        <v>4505</v>
      </c>
      <c r="X243" s="2388"/>
      <c r="Y243" s="2388"/>
      <c r="Z243" s="2388"/>
      <c r="AA243" s="2388"/>
      <c r="AB243" s="2388"/>
      <c r="AC243" s="2388"/>
      <c r="AD243" s="2388"/>
      <c r="AE243" s="2388"/>
      <c r="AF243" s="2388"/>
      <c r="AG243" s="2388"/>
      <c r="AH243" s="2388"/>
      <c r="AI243" s="2388"/>
      <c r="AJ243" s="2388"/>
      <c r="AK243" s="2388"/>
      <c r="AL243" s="2388"/>
      <c r="AM243" s="2388"/>
      <c r="AN243" s="2388"/>
      <c r="AO243" s="2388"/>
      <c r="AP243" s="2388"/>
      <c r="AQ243" s="2388"/>
      <c r="AR243" s="2388"/>
      <c r="AS243" s="2388"/>
      <c r="AT243" s="2388"/>
      <c r="AU243" s="2388"/>
      <c r="AV243" s="2388"/>
      <c r="AW243" s="2388"/>
      <c r="AX243" s="2388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</row>
    <row r="244" spans="1:61" ht="24" hidden="1">
      <c r="A244" s="2387" t="s">
        <v>52</v>
      </c>
      <c r="B244" s="2361" t="s">
        <v>4496</v>
      </c>
      <c r="C244" s="2363" t="s">
        <v>4497</v>
      </c>
      <c r="D244" s="2360" t="s">
        <v>568</v>
      </c>
      <c r="E244" s="2365" t="str">
        <f>VLOOKUP(F244,plasmids!$A$2:$B$351,2)</f>
        <v>pXR8 Y447 733F</v>
      </c>
      <c r="F244" s="2360">
        <v>195</v>
      </c>
      <c r="G244" s="2366"/>
      <c r="H244" s="2366" t="str">
        <f>VLOOKUP(I244,plasmids!$A$2:$B$391,2)</f>
        <v>pscAAV-CAG-eNpHR-eYFP</v>
      </c>
      <c r="I244" s="2360">
        <v>295</v>
      </c>
      <c r="J244" s="2367"/>
      <c r="K244" s="2369">
        <v>41705</v>
      </c>
      <c r="L244" s="2370"/>
      <c r="M244" s="2371">
        <v>41726</v>
      </c>
      <c r="N244" s="874">
        <v>283</v>
      </c>
      <c r="O244" s="2379">
        <v>6</v>
      </c>
      <c r="P244" s="2380"/>
      <c r="Q244" s="2383">
        <v>437000000000</v>
      </c>
      <c r="R244" s="2384">
        <v>51600000000</v>
      </c>
      <c r="S244" s="2385">
        <f t="shared" si="0"/>
        <v>277782945736.43414</v>
      </c>
      <c r="T244" s="2367"/>
      <c r="U244" s="2388"/>
      <c r="V244" s="2360">
        <v>150</v>
      </c>
      <c r="W244" s="2387" t="s">
        <v>4518</v>
      </c>
      <c r="X244" s="2388"/>
      <c r="Y244" s="2388"/>
      <c r="Z244" s="2388"/>
      <c r="AA244" s="2388"/>
      <c r="AB244" s="2388"/>
      <c r="AC244" s="2388"/>
      <c r="AD244" s="2388"/>
      <c r="AE244" s="2388"/>
      <c r="AF244" s="2388"/>
      <c r="AG244" s="2388"/>
      <c r="AH244" s="2388"/>
      <c r="AI244" s="2388"/>
      <c r="AJ244" s="2388"/>
      <c r="AK244" s="2388"/>
      <c r="AL244" s="2388"/>
      <c r="AM244" s="2388"/>
      <c r="AN244" s="2388"/>
      <c r="AO244" s="2388"/>
      <c r="AP244" s="2388"/>
      <c r="AQ244" s="2388"/>
      <c r="AR244" s="2388"/>
      <c r="AS244" s="2388"/>
      <c r="AT244" s="2388"/>
      <c r="AU244" s="2388"/>
      <c r="AV244" s="2388"/>
      <c r="AW244" s="2388"/>
      <c r="AX244" s="2388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</row>
    <row r="245" spans="1:61" ht="24" hidden="1" customHeight="1">
      <c r="A245" s="734" t="s">
        <v>707</v>
      </c>
      <c r="B245" s="734" t="s">
        <v>2698</v>
      </c>
      <c r="C245" s="735" t="s">
        <v>1967</v>
      </c>
      <c r="D245" s="734" t="s">
        <v>4460</v>
      </c>
      <c r="E245" s="1666" t="str">
        <f>VLOOKUP(F245,plasmids!$A$2:$B$351,2)</f>
        <v>AAV2</v>
      </c>
      <c r="F245" s="734">
        <v>140</v>
      </c>
      <c r="G245" s="1667"/>
      <c r="H245" s="1667" t="str">
        <f>VLOOKUP(I245,plasmids!$A$2:$B$391,2)</f>
        <v>pssAAV-1xGrm6-GFP_x000D_</v>
      </c>
      <c r="I245" s="734">
        <v>359</v>
      </c>
      <c r="J245" s="744"/>
      <c r="K245" s="736" t="s">
        <v>4428</v>
      </c>
      <c r="L245" s="811"/>
      <c r="M245" s="737">
        <v>41733</v>
      </c>
      <c r="N245" s="2225">
        <v>284</v>
      </c>
      <c r="O245" s="739">
        <v>6</v>
      </c>
      <c r="P245" s="742"/>
      <c r="Q245" s="1613">
        <v>671000000000</v>
      </c>
      <c r="R245" s="740">
        <v>11200000000</v>
      </c>
      <c r="S245" s="743">
        <f t="shared" si="0"/>
        <v>1965071428571.4285</v>
      </c>
      <c r="T245" s="2222">
        <v>41995</v>
      </c>
      <c r="U245" s="744"/>
      <c r="V245" s="2227">
        <f>140</f>
        <v>140</v>
      </c>
      <c r="W245" s="733"/>
      <c r="X245" s="733"/>
      <c r="Y245" s="733"/>
      <c r="Z245" s="733"/>
      <c r="AA245" s="733"/>
      <c r="AB245" s="733"/>
      <c r="AC245" s="733"/>
      <c r="AD245" s="733"/>
      <c r="AE245" s="733"/>
      <c r="AF245" s="733"/>
      <c r="AG245" s="733"/>
      <c r="AH245" s="733"/>
      <c r="AI245" s="733"/>
      <c r="AJ245" s="733"/>
      <c r="AK245" s="733"/>
      <c r="AL245" s="733"/>
      <c r="AM245" s="733"/>
      <c r="AN245" s="733"/>
      <c r="AO245" s="733"/>
      <c r="AP245" s="733"/>
      <c r="AQ245" s="733"/>
      <c r="AR245" s="733"/>
      <c r="AS245" s="733"/>
      <c r="AT245" s="733"/>
      <c r="AU245" s="733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</row>
    <row r="246" spans="1:61" ht="12" hidden="1">
      <c r="A246" s="2403" t="s">
        <v>3891</v>
      </c>
      <c r="B246" s="2404" t="s">
        <v>3930</v>
      </c>
      <c r="C246" s="2405" t="s">
        <v>178</v>
      </c>
      <c r="D246" s="2404" t="s">
        <v>70</v>
      </c>
      <c r="E246" s="2406" t="str">
        <f>VLOOKUP(F246,plasmids!$A$2:$B$351,2)</f>
        <v>AAV2</v>
      </c>
      <c r="F246" s="2404">
        <v>140</v>
      </c>
      <c r="G246" s="2407"/>
      <c r="H246" s="2407" t="str">
        <f>VLOOKUP(I246,plasmids!$A$2:$B$911,2)</f>
        <v>pAAV2-hSyn-ReaChR-Citrine</v>
      </c>
      <c r="I246" s="2404">
        <v>304</v>
      </c>
      <c r="J246" s="2409"/>
      <c r="K246" s="2410" t="s">
        <v>4428</v>
      </c>
      <c r="L246" s="2411"/>
      <c r="M246" s="2413">
        <v>41733</v>
      </c>
      <c r="N246" s="2414">
        <v>285</v>
      </c>
      <c r="O246" s="2416">
        <v>6</v>
      </c>
      <c r="P246" s="2417"/>
      <c r="Q246" s="2418">
        <v>28100000000000</v>
      </c>
      <c r="R246" s="2419">
        <v>11200000000</v>
      </c>
      <c r="S246" s="1649">
        <f t="shared" si="0"/>
        <v>82292857142857.141</v>
      </c>
      <c r="T246" s="2409"/>
      <c r="U246" s="2409"/>
      <c r="V246" s="2404">
        <v>180</v>
      </c>
      <c r="W246" s="2403" t="s">
        <v>483</v>
      </c>
      <c r="X246" s="2420"/>
      <c r="Y246" s="2420"/>
      <c r="Z246" s="2420"/>
      <c r="AA246" s="2420"/>
      <c r="AB246" s="2420"/>
      <c r="AC246" s="2420"/>
      <c r="AD246" s="2420"/>
      <c r="AE246" s="2420"/>
      <c r="AF246" s="2420"/>
      <c r="AG246" s="2420"/>
      <c r="AH246" s="2420"/>
      <c r="AI246" s="2420"/>
      <c r="AJ246" s="2420"/>
      <c r="AK246" s="2420"/>
      <c r="AL246" s="2420"/>
      <c r="AM246" s="2420"/>
      <c r="AN246" s="2420"/>
      <c r="AO246" s="2420"/>
      <c r="AP246" s="2420"/>
      <c r="AQ246" s="2420"/>
      <c r="AR246" s="2420"/>
      <c r="AS246" s="2420"/>
      <c r="AT246" s="2420"/>
      <c r="AU246" s="2420"/>
      <c r="AV246" s="2420"/>
      <c r="AW246" s="2420"/>
      <c r="AX246" s="2420"/>
      <c r="AY246" s="2420"/>
      <c r="AZ246" s="2420"/>
      <c r="BA246" s="2420"/>
      <c r="BB246" s="2420"/>
      <c r="BC246" s="2420"/>
      <c r="BD246" s="2420"/>
      <c r="BE246" s="2420"/>
      <c r="BF246" s="2420"/>
      <c r="BG246" s="2420"/>
      <c r="BH246" s="377"/>
      <c r="BI246" s="377"/>
    </row>
    <row r="247" spans="1:61" ht="12" hidden="1">
      <c r="A247" s="2421" t="s">
        <v>707</v>
      </c>
      <c r="B247" s="2421" t="s">
        <v>2698</v>
      </c>
      <c r="C247" s="2422" t="s">
        <v>178</v>
      </c>
      <c r="D247" s="2421" t="s">
        <v>345</v>
      </c>
      <c r="E247" s="2423" t="str">
        <f>VLOOKUP(F247,plasmids!$A$2:$B$351,2)</f>
        <v>AAV9 7M8 (AA------)</v>
      </c>
      <c r="F247" s="2421">
        <v>170</v>
      </c>
      <c r="G247" s="2424"/>
      <c r="H247" s="2424" t="str">
        <f>VLOOKUP(I247,plasmids!$A$2:$B$351,2)</f>
        <v>sc-CAG-GFP</v>
      </c>
      <c r="I247" s="2421">
        <v>120</v>
      </c>
      <c r="J247" s="2425"/>
      <c r="K247" s="2426" t="s">
        <v>4428</v>
      </c>
      <c r="L247" s="2427"/>
      <c r="M247" s="2428">
        <v>41733</v>
      </c>
      <c r="N247" s="2429">
        <v>286</v>
      </c>
      <c r="O247" s="2430">
        <v>6</v>
      </c>
      <c r="P247" s="2431"/>
      <c r="Q247" s="2432">
        <v>8810000000000</v>
      </c>
      <c r="R247" s="740">
        <v>11200000000</v>
      </c>
      <c r="S247" s="743">
        <f t="shared" si="0"/>
        <v>25800714285714.285</v>
      </c>
      <c r="T247" s="2433">
        <v>41995</v>
      </c>
      <c r="U247" s="2433">
        <v>41808</v>
      </c>
      <c r="V247" s="2435">
        <f>210-10-10</f>
        <v>190</v>
      </c>
      <c r="W247" s="2437" t="s">
        <v>2812</v>
      </c>
      <c r="X247" s="2439"/>
      <c r="Y247" s="2441"/>
      <c r="Z247" s="2441"/>
      <c r="AA247" s="2441"/>
      <c r="AB247" s="2441"/>
      <c r="AC247" s="2441"/>
      <c r="AD247" s="2441"/>
      <c r="AE247" s="2441"/>
      <c r="AF247" s="2441"/>
      <c r="AG247" s="1736"/>
      <c r="AH247" s="1736"/>
      <c r="AI247" s="1736"/>
      <c r="AJ247" s="1736"/>
      <c r="AK247" s="1736"/>
      <c r="AL247" s="1736"/>
      <c r="AM247" s="1736"/>
      <c r="AN247" s="1736"/>
      <c r="AO247" s="1736"/>
      <c r="AP247" s="1736"/>
      <c r="AQ247" s="1736"/>
      <c r="AR247" s="1736"/>
      <c r="AS247" s="1736"/>
      <c r="AT247" s="1736"/>
      <c r="AU247" s="1736"/>
      <c r="AV247" s="1736"/>
      <c r="AW247" s="1736"/>
      <c r="AX247" s="1736"/>
      <c r="AY247" s="1736"/>
      <c r="AZ247" s="1736"/>
      <c r="BA247" s="1736"/>
      <c r="BB247" s="1736"/>
      <c r="BC247" s="1736"/>
      <c r="BD247" s="1736"/>
      <c r="BE247" s="1736"/>
      <c r="BF247" s="1736"/>
      <c r="BG247" s="1736"/>
      <c r="BH247" s="27"/>
      <c r="BI247" s="27"/>
    </row>
    <row r="248" spans="1:61" ht="26.25" hidden="1" customHeight="1">
      <c r="A248" s="734" t="s">
        <v>707</v>
      </c>
      <c r="B248" s="734" t="s">
        <v>2698</v>
      </c>
      <c r="C248" s="735" t="s">
        <v>178</v>
      </c>
      <c r="D248" s="734" t="s">
        <v>345</v>
      </c>
      <c r="E248" s="1666" t="str">
        <f>VLOOKUP(F248,plasmids!$A$2:$B$351,2)</f>
        <v>AAV 10-7m8</v>
      </c>
      <c r="F248" s="734">
        <v>208</v>
      </c>
      <c r="G248" s="1667"/>
      <c r="H248" s="1667" t="str">
        <f>VLOOKUP(I248,plasmids!$A$2:$B$351,2)</f>
        <v>sc-CAG-GFP</v>
      </c>
      <c r="I248" s="734">
        <v>120</v>
      </c>
      <c r="J248" s="744"/>
      <c r="K248" s="736" t="s">
        <v>4428</v>
      </c>
      <c r="L248" s="811"/>
      <c r="M248" s="737">
        <v>41733</v>
      </c>
      <c r="N248" s="738">
        <v>287</v>
      </c>
      <c r="O248" s="739">
        <v>6</v>
      </c>
      <c r="P248" s="742"/>
      <c r="Q248" s="1613">
        <v>1390000000000</v>
      </c>
      <c r="R248" s="740">
        <v>11200000000</v>
      </c>
      <c r="S248" s="743">
        <f t="shared" si="0"/>
        <v>4070714285714.2856</v>
      </c>
      <c r="T248" s="2222">
        <v>41995</v>
      </c>
      <c r="U248" s="744"/>
      <c r="V248" s="746">
        <f>210</f>
        <v>210</v>
      </c>
      <c r="W248" s="733"/>
      <c r="X248" s="732"/>
      <c r="Y248" s="733"/>
      <c r="Z248" s="733"/>
      <c r="AA248" s="733"/>
      <c r="AB248" s="733"/>
      <c r="AC248" s="733"/>
      <c r="AD248" s="733"/>
      <c r="AE248" s="733"/>
      <c r="AF248" s="733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</row>
    <row r="249" spans="1:61" ht="28.5" hidden="1" customHeight="1">
      <c r="A249" s="1145" t="s">
        <v>52</v>
      </c>
      <c r="B249" s="1145" t="s">
        <v>139</v>
      </c>
      <c r="C249" s="1147" t="s">
        <v>55</v>
      </c>
      <c r="D249" s="1145" t="s">
        <v>568</v>
      </c>
      <c r="E249" s="1145" t="s">
        <v>58</v>
      </c>
      <c r="F249" s="1153">
        <v>178</v>
      </c>
      <c r="G249" s="2072"/>
      <c r="H249" s="2072" t="str">
        <f>VLOOKUP(I249,plasmids!$A$2:$B$911,2)</f>
        <v>pssAAV-mCar-ChrimsonR-tdTomato</v>
      </c>
      <c r="I249" s="1145">
        <v>364</v>
      </c>
      <c r="J249" s="1166"/>
      <c r="K249" s="1150" t="s">
        <v>4428</v>
      </c>
      <c r="L249" s="1149"/>
      <c r="M249" s="1151">
        <v>41740</v>
      </c>
      <c r="N249" s="1152">
        <v>288</v>
      </c>
      <c r="O249" s="1153">
        <v>6</v>
      </c>
      <c r="P249" s="1158"/>
      <c r="Q249" s="1615">
        <v>113000000000000</v>
      </c>
      <c r="R249" s="1155">
        <v>11200000000</v>
      </c>
      <c r="S249" s="1160">
        <f t="shared" si="0"/>
        <v>330928571428571.44</v>
      </c>
      <c r="T249" s="1158"/>
      <c r="U249" s="1633">
        <v>41808</v>
      </c>
      <c r="V249" s="1616">
        <v>120</v>
      </c>
      <c r="W249" s="1153" t="s">
        <v>4559</v>
      </c>
      <c r="X249" s="1011"/>
      <c r="Y249" s="1011"/>
      <c r="Z249" s="1011"/>
      <c r="AA249" s="1011"/>
      <c r="AB249" s="1011"/>
      <c r="AC249" s="27"/>
      <c r="AD249" s="1011"/>
      <c r="AE249" s="1011"/>
      <c r="AF249" s="1011"/>
      <c r="AG249" s="1011"/>
      <c r="AH249" s="1011"/>
      <c r="AI249" s="1011"/>
      <c r="AJ249" s="1011"/>
      <c r="AK249" s="1011"/>
      <c r="AL249" s="1011"/>
      <c r="AM249" s="1011"/>
      <c r="AN249" s="1011"/>
      <c r="AO249" s="1011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</row>
    <row r="250" spans="1:61" ht="24" hidden="1" customHeight="1">
      <c r="A250" s="1832" t="s">
        <v>2852</v>
      </c>
      <c r="B250" s="1832" t="s">
        <v>3348</v>
      </c>
      <c r="C250" s="1833" t="s">
        <v>4457</v>
      </c>
      <c r="D250" s="1832" t="s">
        <v>568</v>
      </c>
      <c r="E250" s="1832" t="s">
        <v>58</v>
      </c>
      <c r="F250" s="1898">
        <v>178</v>
      </c>
      <c r="G250" s="1834"/>
      <c r="H250" s="1834" t="str">
        <f>VLOOKUP(I250,plasmids!$A$2:$B$391,2)</f>
        <v>pssAAV-1xGrm6-GFP_x000D_</v>
      </c>
      <c r="I250" s="1832">
        <v>359</v>
      </c>
      <c r="J250" s="1854"/>
      <c r="K250" s="1832" t="s">
        <v>4428</v>
      </c>
      <c r="L250" s="1856"/>
      <c r="M250" s="1857">
        <v>41740</v>
      </c>
      <c r="N250" s="1897">
        <v>289</v>
      </c>
      <c r="O250" s="1898">
        <v>6</v>
      </c>
      <c r="P250" s="1899"/>
      <c r="Q250" s="1900">
        <v>49300000000000</v>
      </c>
      <c r="R250" s="2450">
        <v>11200000000</v>
      </c>
      <c r="S250" s="1902">
        <f t="shared" si="0"/>
        <v>144378571428571.41</v>
      </c>
      <c r="T250" s="2452">
        <v>41995</v>
      </c>
      <c r="U250" s="2452">
        <v>41963</v>
      </c>
      <c r="V250" s="2453">
        <f>32-25</f>
        <v>7</v>
      </c>
      <c r="W250" s="1898" t="s">
        <v>4573</v>
      </c>
      <c r="X250" s="1905"/>
      <c r="Y250" s="1905"/>
      <c r="Z250" s="1905"/>
      <c r="AA250" s="1905"/>
      <c r="AB250" s="1905"/>
      <c r="AC250" s="1905"/>
      <c r="AD250" s="1905"/>
      <c r="AE250" s="1905"/>
      <c r="AF250" s="1905"/>
      <c r="AG250" s="1905"/>
      <c r="AH250" s="1905"/>
      <c r="AI250" s="1905"/>
      <c r="AJ250" s="1905"/>
      <c r="AK250" s="1905"/>
      <c r="AL250" s="1905"/>
      <c r="AM250" s="1905"/>
      <c r="AN250" s="1905"/>
      <c r="AO250" s="1905"/>
      <c r="AP250" s="1905"/>
      <c r="AQ250" s="1905"/>
      <c r="AR250" s="1905"/>
      <c r="AS250" s="1905"/>
      <c r="AT250" s="1905"/>
      <c r="AU250" s="1905"/>
      <c r="AV250" s="1905"/>
      <c r="AW250" s="1905"/>
      <c r="AX250" s="1905"/>
      <c r="AY250" s="234"/>
      <c r="AZ250" s="234"/>
      <c r="BA250" s="234"/>
      <c r="BB250" s="234"/>
      <c r="BC250" s="234"/>
      <c r="BD250" s="234"/>
      <c r="BE250" s="234"/>
      <c r="BF250" s="234"/>
      <c r="BG250" s="234"/>
      <c r="BH250" s="234"/>
      <c r="BI250" s="234"/>
    </row>
    <row r="251" spans="1:61" ht="12" hidden="1">
      <c r="A251" s="934" t="s">
        <v>2247</v>
      </c>
      <c r="B251" s="934" t="s">
        <v>2886</v>
      </c>
      <c r="C251" s="937" t="s">
        <v>4303</v>
      </c>
      <c r="D251" s="934" t="s">
        <v>345</v>
      </c>
      <c r="E251" s="934" t="s">
        <v>490</v>
      </c>
      <c r="F251" s="939">
        <v>168</v>
      </c>
      <c r="G251" s="2193"/>
      <c r="H251" s="2193" t="str">
        <f>VLOOKUP(I251,plasmids!$A$2:$B$351,2)</f>
        <v>sc-CAG-GFP</v>
      </c>
      <c r="I251" s="934">
        <v>120</v>
      </c>
      <c r="J251" s="934" t="s">
        <v>2902</v>
      </c>
      <c r="K251" s="2454" t="s">
        <v>4428</v>
      </c>
      <c r="L251" s="941"/>
      <c r="M251" s="943">
        <v>41740</v>
      </c>
      <c r="N251" s="945">
        <v>290</v>
      </c>
      <c r="O251" s="939">
        <v>6</v>
      </c>
      <c r="P251" s="954"/>
      <c r="Q251" s="1627">
        <v>145000000000000</v>
      </c>
      <c r="R251" s="950">
        <v>11200000000</v>
      </c>
      <c r="S251" s="956">
        <f t="shared" si="0"/>
        <v>424642857142857.12</v>
      </c>
      <c r="T251" s="957"/>
      <c r="U251" s="957"/>
      <c r="V251" s="958">
        <v>150</v>
      </c>
      <c r="W251" s="959" t="s">
        <v>501</v>
      </c>
      <c r="X251" s="1629"/>
      <c r="Y251" s="1629"/>
      <c r="Z251" s="1629"/>
      <c r="AA251" s="1629"/>
      <c r="AB251" s="1629"/>
      <c r="AC251" s="1629"/>
      <c r="AD251" s="1629"/>
      <c r="AE251" s="1629"/>
      <c r="AF251" s="377"/>
      <c r="AG251" s="377"/>
      <c r="AH251" s="377"/>
      <c r="AI251" s="377"/>
      <c r="AJ251" s="377"/>
      <c r="AK251" s="377"/>
      <c r="AL251" s="377"/>
      <c r="AM251" s="377"/>
      <c r="AN251" s="377"/>
      <c r="AO251" s="377"/>
      <c r="AP251" s="377"/>
      <c r="AQ251" s="377"/>
      <c r="AR251" s="377"/>
      <c r="AS251" s="377"/>
      <c r="AT251" s="377"/>
      <c r="AU251" s="377"/>
      <c r="AV251" s="377"/>
      <c r="AW251" s="377"/>
      <c r="AX251" s="377"/>
      <c r="AY251" s="377"/>
      <c r="AZ251" s="377"/>
      <c r="BA251" s="377"/>
      <c r="BB251" s="377"/>
      <c r="BC251" s="377"/>
      <c r="BD251" s="377"/>
      <c r="BE251" s="377"/>
      <c r="BF251" s="377"/>
      <c r="BG251" s="377"/>
      <c r="BH251" s="377"/>
      <c r="BI251" s="377"/>
    </row>
    <row r="252" spans="1:61" ht="21.75" hidden="1" customHeight="1">
      <c r="A252" s="734" t="s">
        <v>707</v>
      </c>
      <c r="B252" s="734" t="s">
        <v>2698</v>
      </c>
      <c r="C252" s="735" t="s">
        <v>1967</v>
      </c>
      <c r="D252" s="734" t="s">
        <v>4460</v>
      </c>
      <c r="E252" s="1666" t="str">
        <f>VLOOKUP(F252,plasmids!$A$2:$B$351,2)</f>
        <v>AAV9 7M8 (AA------)</v>
      </c>
      <c r="F252" s="734">
        <v>170</v>
      </c>
      <c r="G252" s="1667"/>
      <c r="H252" s="1667" t="str">
        <f>VLOOKUP(I252,plasmids!$A$2:$B$960,2)</f>
        <v>pssAAV-1xGrm6-GFP_x000D_</v>
      </c>
      <c r="I252" s="734">
        <v>359</v>
      </c>
      <c r="J252" s="744"/>
      <c r="K252" s="736" t="s">
        <v>4428</v>
      </c>
      <c r="L252" s="811"/>
      <c r="M252" s="737">
        <v>41740</v>
      </c>
      <c r="N252" s="2225">
        <v>291</v>
      </c>
      <c r="O252" s="739">
        <v>6</v>
      </c>
      <c r="P252" s="742"/>
      <c r="Q252" s="1613">
        <v>1650000000000</v>
      </c>
      <c r="R252" s="740">
        <v>11200000000</v>
      </c>
      <c r="S252" s="743">
        <f t="shared" si="0"/>
        <v>4832142857142.8564</v>
      </c>
      <c r="T252" s="2222">
        <v>41981</v>
      </c>
      <c r="U252" s="744"/>
      <c r="V252" s="2458">
        <f>185-24</f>
        <v>161</v>
      </c>
      <c r="W252" s="733"/>
      <c r="X252" s="733"/>
      <c r="Y252" s="733"/>
      <c r="Z252" s="733"/>
      <c r="AA252" s="733"/>
      <c r="AB252" s="733"/>
      <c r="AC252" s="733"/>
      <c r="AD252" s="733"/>
      <c r="AE252" s="733"/>
      <c r="AF252" s="733"/>
      <c r="AG252" s="733"/>
      <c r="AH252" s="733"/>
      <c r="AI252" s="733"/>
      <c r="AJ252" s="733"/>
      <c r="AK252" s="733"/>
      <c r="AL252" s="733"/>
      <c r="AM252" s="733"/>
      <c r="AN252" s="733"/>
      <c r="AO252" s="733"/>
      <c r="AP252" s="733"/>
      <c r="AQ252" s="733"/>
      <c r="AR252" s="733"/>
      <c r="AS252" s="733"/>
      <c r="AT252" s="733"/>
      <c r="AU252" s="733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</row>
    <row r="253" spans="1:61" ht="22.5" hidden="1" customHeight="1">
      <c r="A253" s="1786" t="s">
        <v>52</v>
      </c>
      <c r="B253" s="2255" t="s">
        <v>4575</v>
      </c>
      <c r="C253" s="1787" t="s">
        <v>567</v>
      </c>
      <c r="D253" s="1786" t="s">
        <v>568</v>
      </c>
      <c r="E253" s="1788" t="str">
        <f>VLOOKUP(F253,plasmids!$A$2:$B$351,2)</f>
        <v>pXR8 Y447 733F</v>
      </c>
      <c r="F253" s="1798">
        <v>195</v>
      </c>
      <c r="G253" s="1789"/>
      <c r="H253" s="1789" t="str">
        <f>VLOOKUP(I253,plasmids!$A$2:$B$911,2)</f>
        <v>pssAAV-mCAR-LWO-GFP</v>
      </c>
      <c r="I253" s="1786">
        <v>370</v>
      </c>
      <c r="J253" s="1790"/>
      <c r="K253" s="1792">
        <v>41954</v>
      </c>
      <c r="L253" s="1792"/>
      <c r="M253" s="1793">
        <v>41747</v>
      </c>
      <c r="N253" s="8">
        <v>292</v>
      </c>
      <c r="O253" s="1798">
        <v>6</v>
      </c>
      <c r="P253" s="1624"/>
      <c r="Q253" s="15">
        <v>107000000000000</v>
      </c>
      <c r="R253" s="1589">
        <v>39400000000</v>
      </c>
      <c r="S253" s="1800">
        <f t="shared" si="0"/>
        <v>89076142131979.703</v>
      </c>
      <c r="T253" s="1802">
        <v>41995</v>
      </c>
      <c r="U253" s="1790"/>
      <c r="V253" s="2465">
        <f>35-5.61-2.24-6.78-7.86</f>
        <v>12.509999999999998</v>
      </c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</row>
    <row r="254" spans="1:61" ht="24" hidden="1">
      <c r="A254" s="628" t="s">
        <v>52</v>
      </c>
      <c r="B254" s="628" t="s">
        <v>2508</v>
      </c>
      <c r="C254" s="629" t="s">
        <v>3233</v>
      </c>
      <c r="D254" s="628" t="s">
        <v>70</v>
      </c>
      <c r="E254" s="628" t="s">
        <v>516</v>
      </c>
      <c r="F254" s="628">
        <v>140</v>
      </c>
      <c r="G254" s="2258"/>
      <c r="H254" s="2258" t="str">
        <f>VLOOKUP(I254,plasmids!$A$2:$B$391,2)</f>
        <v xml:space="preserve">pssAAV-SNCG-hCatch-MBD-GFP </v>
      </c>
      <c r="I254" s="628">
        <v>339</v>
      </c>
      <c r="J254" s="628" t="s">
        <v>3033</v>
      </c>
      <c r="K254" s="1345">
        <v>41695</v>
      </c>
      <c r="L254" s="1345"/>
      <c r="M254" s="631">
        <v>41747</v>
      </c>
      <c r="N254" s="633">
        <v>293</v>
      </c>
      <c r="O254" s="634">
        <v>6</v>
      </c>
      <c r="P254" s="638"/>
      <c r="Q254" s="660">
        <v>9040000000000</v>
      </c>
      <c r="R254" s="635">
        <v>39400000000</v>
      </c>
      <c r="S254" s="640">
        <f t="shared" si="0"/>
        <v>7525685279187.8174</v>
      </c>
      <c r="T254" s="1605">
        <v>41981</v>
      </c>
      <c r="U254" s="1605">
        <v>41808</v>
      </c>
      <c r="V254" s="1606">
        <f>117</f>
        <v>117</v>
      </c>
      <c r="W254" s="645"/>
      <c r="X254" s="645"/>
      <c r="Y254" s="645"/>
      <c r="Z254" s="2471"/>
      <c r="AA254" s="645"/>
      <c r="AB254" s="645"/>
      <c r="AC254" s="645"/>
      <c r="AD254" s="645"/>
      <c r="AE254" s="645"/>
      <c r="AF254" s="645"/>
      <c r="AG254" s="645"/>
      <c r="AH254" s="645"/>
      <c r="AI254" s="645"/>
      <c r="AJ254" s="645"/>
      <c r="AK254" s="645"/>
      <c r="AL254" s="645"/>
      <c r="AM254" s="645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</row>
    <row r="255" spans="1:61" ht="23.25" hidden="1" customHeight="1">
      <c r="A255" s="628" t="s">
        <v>52</v>
      </c>
      <c r="B255" s="628" t="s">
        <v>2508</v>
      </c>
      <c r="C255" s="629" t="s">
        <v>3233</v>
      </c>
      <c r="D255" s="628" t="s">
        <v>70</v>
      </c>
      <c r="E255" s="628" t="s">
        <v>516</v>
      </c>
      <c r="F255" s="628">
        <v>140</v>
      </c>
      <c r="G255" s="2258"/>
      <c r="H255" s="2258" t="str">
        <f>VLOOKUP(I255,plasmids!$A$2:$B$391,2)</f>
        <v xml:space="preserve">pssAAV-SNCG-hChR2 (H134R)-GFP-WPRE </v>
      </c>
      <c r="I255" s="628">
        <v>373</v>
      </c>
      <c r="J255" s="628" t="s">
        <v>3033</v>
      </c>
      <c r="K255" s="1345">
        <v>41695</v>
      </c>
      <c r="L255" s="1345"/>
      <c r="M255" s="631">
        <v>41747</v>
      </c>
      <c r="N255" s="633">
        <v>294</v>
      </c>
      <c r="O255" s="634">
        <v>6</v>
      </c>
      <c r="P255" s="638"/>
      <c r="Q255" s="660">
        <v>875000000000</v>
      </c>
      <c r="R255" s="635">
        <v>39400000000</v>
      </c>
      <c r="S255" s="640">
        <f t="shared" si="0"/>
        <v>728426395939.0863</v>
      </c>
      <c r="T255" s="1605">
        <v>41981</v>
      </c>
      <c r="U255" s="642"/>
      <c r="V255" s="1606">
        <f>85</f>
        <v>85</v>
      </c>
      <c r="W255" s="645"/>
      <c r="X255" s="648" t="s">
        <v>4593</v>
      </c>
      <c r="Y255" s="645"/>
      <c r="Z255" s="2471"/>
      <c r="AA255" s="645"/>
      <c r="AB255" s="645"/>
      <c r="AC255" s="645"/>
      <c r="AD255" s="645"/>
      <c r="AE255" s="645"/>
      <c r="AF255" s="645"/>
      <c r="AG255" s="645"/>
      <c r="AH255" s="645"/>
      <c r="AI255" s="645"/>
      <c r="AJ255" s="645"/>
      <c r="AK255" s="645"/>
      <c r="AL255" s="645"/>
      <c r="AM255" s="645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</row>
    <row r="256" spans="1:61" ht="24" hidden="1">
      <c r="A256" s="981" t="s">
        <v>2247</v>
      </c>
      <c r="B256" s="981" t="s">
        <v>2886</v>
      </c>
      <c r="C256" s="983" t="s">
        <v>4303</v>
      </c>
      <c r="D256" s="981" t="s">
        <v>345</v>
      </c>
      <c r="E256" s="981" t="s">
        <v>490</v>
      </c>
      <c r="F256" s="984">
        <v>168</v>
      </c>
      <c r="G256" s="983"/>
      <c r="H256" s="983" t="s">
        <v>2892</v>
      </c>
      <c r="I256" s="981" t="s">
        <v>4594</v>
      </c>
      <c r="J256" s="981" t="s">
        <v>1012</v>
      </c>
      <c r="K256" s="986">
        <v>41661</v>
      </c>
      <c r="L256" s="986"/>
      <c r="M256" s="988">
        <v>41747</v>
      </c>
      <c r="N256" s="989">
        <v>295</v>
      </c>
      <c r="O256" s="984">
        <v>6</v>
      </c>
      <c r="P256" s="992"/>
      <c r="Q256" s="1618">
        <v>158000000000000</v>
      </c>
      <c r="R256" s="990">
        <v>39400000000</v>
      </c>
      <c r="S256" s="994">
        <f t="shared" si="0"/>
        <v>131532994923857.88</v>
      </c>
      <c r="T256" s="992"/>
      <c r="U256" s="995"/>
      <c r="V256" s="2478">
        <v>100</v>
      </c>
      <c r="W256" s="997" t="s">
        <v>2934</v>
      </c>
      <c r="X256" s="998"/>
      <c r="Y256" s="998"/>
      <c r="Z256" s="998"/>
      <c r="AA256" s="998"/>
      <c r="AB256" s="998"/>
      <c r="AC256" s="998"/>
      <c r="AD256" s="998"/>
      <c r="AE256" s="998"/>
      <c r="AF256" s="234"/>
      <c r="AG256" s="234"/>
      <c r="AH256" s="234"/>
      <c r="AI256" s="234"/>
      <c r="AJ256" s="234"/>
      <c r="AK256" s="234"/>
      <c r="AL256" s="234"/>
      <c r="AM256" s="234"/>
      <c r="AN256" s="234"/>
      <c r="AO256" s="234"/>
      <c r="AP256" s="234"/>
      <c r="AQ256" s="234"/>
      <c r="AR256" s="234"/>
      <c r="AS256" s="234"/>
      <c r="AT256" s="234"/>
      <c r="AU256" s="234"/>
      <c r="AV256" s="234"/>
      <c r="AW256" s="234"/>
      <c r="AX256" s="234"/>
      <c r="AY256" s="234"/>
      <c r="AZ256" s="234"/>
      <c r="BA256" s="234"/>
      <c r="BB256" s="234"/>
      <c r="BC256" s="234"/>
      <c r="BD256" s="234"/>
      <c r="BE256" s="234"/>
      <c r="BF256" s="234"/>
      <c r="BG256" s="234"/>
      <c r="BH256" s="234"/>
      <c r="BI256" s="234"/>
    </row>
    <row r="257" spans="1:61" ht="24" hidden="1">
      <c r="A257" s="1940" t="s">
        <v>52</v>
      </c>
      <c r="B257" s="1940" t="s">
        <v>2508</v>
      </c>
      <c r="C257" s="1941" t="s">
        <v>3233</v>
      </c>
      <c r="D257" s="1940" t="s">
        <v>70</v>
      </c>
      <c r="E257" s="1940" t="s">
        <v>516</v>
      </c>
      <c r="F257" s="1940">
        <v>140</v>
      </c>
      <c r="G257" s="1944"/>
      <c r="H257" s="1944" t="str">
        <f>VLOOKUP(I257,plasmids!$A$2:$B$391,2)</f>
        <v xml:space="preserve">pssAAV-SNCG-hChR2 (H134R)-GFP-WPRE </v>
      </c>
      <c r="I257" s="1940">
        <v>373</v>
      </c>
      <c r="J257" s="1940" t="s">
        <v>3033</v>
      </c>
      <c r="K257" s="1947">
        <v>41695</v>
      </c>
      <c r="L257" s="1947"/>
      <c r="M257" s="1948">
        <v>41754</v>
      </c>
      <c r="N257" s="2483">
        <v>296</v>
      </c>
      <c r="O257" s="1954">
        <v>6</v>
      </c>
      <c r="P257" s="1957"/>
      <c r="Q257" s="1961">
        <v>60700000000000</v>
      </c>
      <c r="R257" s="2212">
        <v>58800000000</v>
      </c>
      <c r="S257" s="1963">
        <f t="shared" si="0"/>
        <v>33859863945578.227</v>
      </c>
      <c r="T257" s="2485">
        <v>41981</v>
      </c>
      <c r="U257" s="2485">
        <v>41808</v>
      </c>
      <c r="V257" s="1968">
        <f>35-15-15</f>
        <v>5</v>
      </c>
      <c r="W257" s="1970"/>
      <c r="X257" s="1970"/>
      <c r="Y257" s="1970"/>
      <c r="Z257" s="2487"/>
      <c r="AA257" s="1970"/>
      <c r="AB257" s="1970"/>
      <c r="AC257" s="1970"/>
      <c r="AD257" s="1970"/>
      <c r="AE257" s="1970"/>
      <c r="AF257" s="1970"/>
      <c r="AG257" s="1970"/>
      <c r="AH257" s="1970"/>
      <c r="AI257" s="1970"/>
      <c r="AJ257" s="1970"/>
      <c r="AK257" s="1970"/>
      <c r="AL257" s="1970"/>
      <c r="AM257" s="1970"/>
      <c r="AN257" s="234"/>
      <c r="AO257" s="234"/>
      <c r="AP257" s="234"/>
      <c r="AQ257" s="234"/>
      <c r="AR257" s="234"/>
      <c r="AS257" s="234"/>
      <c r="AT257" s="234"/>
      <c r="AU257" s="234"/>
      <c r="AV257" s="234"/>
      <c r="AW257" s="234"/>
      <c r="AX257" s="234"/>
      <c r="AY257" s="234"/>
      <c r="AZ257" s="234"/>
      <c r="BA257" s="234"/>
      <c r="BB257" s="234"/>
      <c r="BC257" s="234"/>
      <c r="BD257" s="234"/>
      <c r="BE257" s="234"/>
      <c r="BF257" s="234"/>
      <c r="BG257" s="234"/>
      <c r="BH257" s="234"/>
      <c r="BI257" s="234"/>
    </row>
    <row r="258" spans="1:61" ht="25.5" hidden="1" customHeight="1">
      <c r="A258" s="263" t="s">
        <v>1245</v>
      </c>
      <c r="B258" s="263" t="s">
        <v>1262</v>
      </c>
      <c r="C258" s="265" t="s">
        <v>626</v>
      </c>
      <c r="D258" s="263" t="s">
        <v>187</v>
      </c>
      <c r="E258" s="2345" t="str">
        <f>VLOOKUP(F258,plasmids!$A$2:$B$351,2)</f>
        <v>AAV9 2YF</v>
      </c>
      <c r="F258" s="269">
        <v>168</v>
      </c>
      <c r="G258" s="2346"/>
      <c r="H258" s="2346" t="str">
        <f>VLOOKUP(I258,plasmids!$A$2:$B$391,2)</f>
        <v>pscAAV-CMV-GFP</v>
      </c>
      <c r="I258" s="263">
        <v>22</v>
      </c>
      <c r="J258" s="263" t="s">
        <v>1295</v>
      </c>
      <c r="K258" s="274">
        <v>41704</v>
      </c>
      <c r="L258" s="274"/>
      <c r="M258" s="277">
        <v>41754</v>
      </c>
      <c r="N258" s="278">
        <v>297</v>
      </c>
      <c r="O258" s="269">
        <v>6</v>
      </c>
      <c r="P258" s="292"/>
      <c r="Q258" s="1635">
        <v>35400000000000</v>
      </c>
      <c r="R258" s="281">
        <v>58800000000</v>
      </c>
      <c r="S258" s="293">
        <f t="shared" si="0"/>
        <v>19746938775510.203</v>
      </c>
      <c r="T258" s="2493">
        <v>41981</v>
      </c>
      <c r="U258" s="271"/>
      <c r="V258" s="620">
        <f>125</f>
        <v>125</v>
      </c>
      <c r="W258" s="295"/>
      <c r="X258" s="295"/>
      <c r="Y258" s="295"/>
      <c r="Z258" s="295"/>
      <c r="AA258" s="295"/>
      <c r="AB258" s="295"/>
      <c r="AC258" s="295"/>
      <c r="AD258" s="295"/>
      <c r="AE258" s="295"/>
      <c r="AF258" s="295"/>
      <c r="AG258" s="295"/>
      <c r="AH258" s="295"/>
      <c r="AI258" s="295"/>
      <c r="AJ258" s="295"/>
      <c r="AK258" s="295"/>
      <c r="AL258" s="295"/>
      <c r="AM258" s="295"/>
      <c r="AN258" s="295"/>
      <c r="AO258" s="295"/>
      <c r="AP258" s="295"/>
      <c r="AQ258" s="295"/>
      <c r="AR258" s="295"/>
      <c r="AS258" s="295"/>
      <c r="AT258" s="295"/>
      <c r="AU258" s="295"/>
      <c r="AV258" s="295"/>
      <c r="AW258" s="295"/>
      <c r="AX258" s="295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</row>
    <row r="259" spans="1:61" ht="24" hidden="1">
      <c r="A259" s="2387" t="s">
        <v>52</v>
      </c>
      <c r="B259" s="2361" t="s">
        <v>4496</v>
      </c>
      <c r="C259" s="2363" t="s">
        <v>4497</v>
      </c>
      <c r="D259" s="2360" t="s">
        <v>4509</v>
      </c>
      <c r="E259" s="2365" t="str">
        <f>VLOOKUP(F259,plasmids!$A$2:$B$351,2)</f>
        <v>AAV2-7m8</v>
      </c>
      <c r="F259" s="2360">
        <v>178</v>
      </c>
      <c r="G259" s="2366"/>
      <c r="H259" s="2366" t="str">
        <f>VLOOKUP(I259,plasmids!$A$2:$B$391,2)</f>
        <v>scCAG-ChrimsonR-GFP</v>
      </c>
      <c r="I259" s="2360">
        <v>354</v>
      </c>
      <c r="J259" s="2367"/>
      <c r="K259" s="2367"/>
      <c r="L259" s="2370"/>
      <c r="M259" s="2371">
        <v>41754</v>
      </c>
      <c r="N259" s="874">
        <v>298</v>
      </c>
      <c r="O259" s="2379">
        <v>6</v>
      </c>
      <c r="P259" s="2380"/>
      <c r="Q259" s="2383">
        <v>6080000000000</v>
      </c>
      <c r="R259" s="2384">
        <v>58800000000</v>
      </c>
      <c r="S259" s="2385">
        <f t="shared" si="0"/>
        <v>3391564625850.3398</v>
      </c>
      <c r="T259" s="2369">
        <v>41981</v>
      </c>
      <c r="U259" s="2388"/>
      <c r="V259" s="2392">
        <f>17</f>
        <v>17</v>
      </c>
      <c r="W259" s="2388"/>
      <c r="X259" s="2388"/>
      <c r="Y259" s="2388"/>
      <c r="Z259" s="2388"/>
      <c r="AA259" s="2388"/>
      <c r="AB259" s="2388"/>
      <c r="AC259" s="2388"/>
      <c r="AD259" s="2388"/>
      <c r="AE259" s="2388"/>
      <c r="AF259" s="2388"/>
      <c r="AG259" s="2388"/>
      <c r="AH259" s="2388"/>
      <c r="AI259" s="2388"/>
      <c r="AJ259" s="2388"/>
      <c r="AK259" s="2388"/>
      <c r="AL259" s="2388"/>
      <c r="AM259" s="2388"/>
      <c r="AN259" s="2388"/>
      <c r="AO259" s="2388"/>
      <c r="AP259" s="2388"/>
      <c r="AQ259" s="2388"/>
      <c r="AR259" s="2388"/>
      <c r="AS259" s="2388"/>
      <c r="AT259" s="2388"/>
      <c r="AU259" s="2388"/>
      <c r="AV259" s="2388"/>
      <c r="AW259" s="2388"/>
      <c r="AX259" s="2388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</row>
    <row r="260" spans="1:61" ht="24" hidden="1">
      <c r="A260" s="343" t="s">
        <v>52</v>
      </c>
      <c r="B260" s="343" t="s">
        <v>3367</v>
      </c>
      <c r="C260" s="345" t="s">
        <v>178</v>
      </c>
      <c r="D260" s="343" t="s">
        <v>3368</v>
      </c>
      <c r="E260" s="1672" t="str">
        <f>VLOOKUP(F260,plasmids!$A$2:$B$351,2)</f>
        <v>AAV9 2YF</v>
      </c>
      <c r="F260" s="343">
        <v>168</v>
      </c>
      <c r="G260" s="1675"/>
      <c r="H260" s="1675" t="str">
        <f>VLOOKUP(I260,plasmids!$A$2:$B$351,2)</f>
        <v>sc-CAG-GFP</v>
      </c>
      <c r="I260" s="343">
        <v>120</v>
      </c>
      <c r="J260" s="343" t="s">
        <v>3767</v>
      </c>
      <c r="K260" s="349">
        <v>41575</v>
      </c>
      <c r="L260" s="349"/>
      <c r="M260" s="352">
        <v>41754</v>
      </c>
      <c r="N260" s="357">
        <v>299</v>
      </c>
      <c r="O260" s="347">
        <v>6</v>
      </c>
      <c r="P260" s="365"/>
      <c r="Q260" s="1677">
        <v>20700000000000</v>
      </c>
      <c r="R260" s="361">
        <v>58800000000</v>
      </c>
      <c r="S260" s="367">
        <f t="shared" si="0"/>
        <v>11546938775510.203</v>
      </c>
      <c r="T260" s="369"/>
      <c r="U260" s="369"/>
      <c r="V260" s="1678">
        <v>140</v>
      </c>
      <c r="W260" s="371" t="s">
        <v>483</v>
      </c>
      <c r="X260" s="375"/>
      <c r="Y260" s="375"/>
      <c r="Z260" s="375"/>
      <c r="AA260" s="375"/>
      <c r="AB260" s="375"/>
      <c r="AC260" s="375"/>
      <c r="AD260" s="375"/>
      <c r="AE260" s="375"/>
      <c r="AF260" s="375"/>
      <c r="AG260" s="375"/>
      <c r="AH260" s="375"/>
      <c r="AI260" s="375"/>
      <c r="AJ260" s="375"/>
      <c r="AK260" s="375"/>
      <c r="AL260" s="375"/>
      <c r="AM260" s="375"/>
      <c r="AN260" s="375"/>
      <c r="AO260" s="375"/>
      <c r="AP260" s="375"/>
      <c r="AQ260" s="375"/>
      <c r="AR260" s="375"/>
      <c r="AS260" s="375"/>
      <c r="AT260" s="375"/>
      <c r="AU260" s="375"/>
      <c r="AV260" s="375"/>
      <c r="AW260" s="375"/>
      <c r="AX260" s="375"/>
      <c r="AY260" s="377"/>
      <c r="AZ260" s="377"/>
      <c r="BA260" s="377"/>
      <c r="BB260" s="377"/>
      <c r="BC260" s="377"/>
      <c r="BD260" s="377"/>
      <c r="BE260" s="377"/>
      <c r="BF260" s="377"/>
      <c r="BG260" s="377"/>
      <c r="BH260" s="377"/>
      <c r="BI260" s="377"/>
    </row>
    <row r="261" spans="1:61" ht="24" hidden="1">
      <c r="A261" s="628" t="s">
        <v>52</v>
      </c>
      <c r="B261" s="628" t="s">
        <v>2508</v>
      </c>
      <c r="C261" s="629" t="s">
        <v>3233</v>
      </c>
      <c r="D261" s="628" t="s">
        <v>70</v>
      </c>
      <c r="E261" s="628" t="s">
        <v>516</v>
      </c>
      <c r="F261" s="628">
        <v>140</v>
      </c>
      <c r="G261" s="2258"/>
      <c r="H261" s="2258" t="str">
        <f>VLOOKUP(I261,plasmids!$A$2:$B$391,2)</f>
        <v xml:space="preserve">pssAAV-SNCG-hCatch-MBD-GFP </v>
      </c>
      <c r="I261" s="628">
        <v>339</v>
      </c>
      <c r="J261" s="628" t="s">
        <v>3033</v>
      </c>
      <c r="K261" s="1345">
        <v>41695</v>
      </c>
      <c r="L261" s="1345"/>
      <c r="M261" s="631">
        <v>41758</v>
      </c>
      <c r="N261" s="633">
        <v>300</v>
      </c>
      <c r="O261" s="634">
        <v>6</v>
      </c>
      <c r="P261" s="638"/>
      <c r="Q261" s="660">
        <v>3330000000000</v>
      </c>
      <c r="R261" s="635">
        <v>13600000000</v>
      </c>
      <c r="S261" s="640">
        <f t="shared" si="0"/>
        <v>8031176470588.2344</v>
      </c>
      <c r="T261" s="1605">
        <v>41981</v>
      </c>
      <c r="U261" s="642"/>
      <c r="V261" s="1606">
        <f>100</f>
        <v>100</v>
      </c>
      <c r="W261" s="645"/>
      <c r="X261" s="645"/>
      <c r="Y261" s="645"/>
      <c r="Z261" s="2471"/>
      <c r="AA261" s="645"/>
      <c r="AB261" s="645"/>
      <c r="AC261" s="645"/>
      <c r="AD261" s="645"/>
      <c r="AE261" s="645"/>
      <c r="AF261" s="645"/>
      <c r="AG261" s="645"/>
      <c r="AH261" s="645"/>
      <c r="AI261" s="645"/>
      <c r="AJ261" s="645"/>
      <c r="AK261" s="645"/>
      <c r="AL261" s="645"/>
      <c r="AM261" s="645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</row>
    <row r="262" spans="1:61" ht="25.5" hidden="1" customHeight="1">
      <c r="A262" s="664" t="s">
        <v>52</v>
      </c>
      <c r="B262" s="664" t="s">
        <v>3348</v>
      </c>
      <c r="C262" s="666" t="s">
        <v>178</v>
      </c>
      <c r="D262" s="664" t="s">
        <v>1045</v>
      </c>
      <c r="E262" s="664" t="s">
        <v>58</v>
      </c>
      <c r="F262" s="668">
        <v>178</v>
      </c>
      <c r="G262" s="670"/>
      <c r="H262" s="670" t="s">
        <v>3355</v>
      </c>
      <c r="I262" s="664">
        <v>190</v>
      </c>
      <c r="J262" s="664" t="s">
        <v>1012</v>
      </c>
      <c r="K262" s="999"/>
      <c r="L262" s="1491"/>
      <c r="M262" s="674">
        <v>41758</v>
      </c>
      <c r="N262" s="675">
        <v>301</v>
      </c>
      <c r="O262" s="668">
        <v>6</v>
      </c>
      <c r="P262" s="679"/>
      <c r="Q262" s="1493">
        <v>45700000000000</v>
      </c>
      <c r="R262" s="676">
        <v>13600000000</v>
      </c>
      <c r="S262" s="681">
        <f t="shared" si="0"/>
        <v>110217647058823.53</v>
      </c>
      <c r="T262" s="2510">
        <v>41981</v>
      </c>
      <c r="U262" s="683"/>
      <c r="V262" s="1000">
        <v>105</v>
      </c>
      <c r="W262" s="686"/>
      <c r="X262" s="686"/>
      <c r="Y262" s="686"/>
      <c r="Z262" s="686"/>
      <c r="AA262" s="686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  <c r="AM262" s="686"/>
      <c r="AN262" s="377"/>
      <c r="AO262" s="377"/>
      <c r="AP262" s="377"/>
      <c r="AQ262" s="377"/>
      <c r="AR262" s="377"/>
      <c r="AS262" s="377"/>
      <c r="AT262" s="377"/>
      <c r="AU262" s="377"/>
      <c r="AV262" s="377"/>
      <c r="AW262" s="377"/>
      <c r="AX262" s="377"/>
      <c r="AY262" s="377"/>
      <c r="AZ262" s="377"/>
      <c r="BA262" s="377"/>
      <c r="BB262" s="377"/>
      <c r="BC262" s="377"/>
      <c r="BD262" s="377"/>
      <c r="BE262" s="377"/>
      <c r="BF262" s="377"/>
      <c r="BG262" s="377"/>
      <c r="BH262" s="377"/>
      <c r="BI262" s="377"/>
    </row>
    <row r="263" spans="1:61" ht="25.5" hidden="1" customHeight="1">
      <c r="A263" s="1785" t="s">
        <v>1954</v>
      </c>
      <c r="B263" s="1786" t="s">
        <v>4080</v>
      </c>
      <c r="C263" s="1787" t="s">
        <v>178</v>
      </c>
      <c r="D263" s="1786" t="s">
        <v>1088</v>
      </c>
      <c r="E263" s="1788" t="str">
        <f>VLOOKUP(F263,plasmids!$A$2:$B$351,2)</f>
        <v>pXR5</v>
      </c>
      <c r="F263" s="1786">
        <v>154</v>
      </c>
      <c r="G263" s="1789"/>
      <c r="H263" s="1789" t="str">
        <f>VLOOKUP(I263,plasmids!$A$2:$B$351,2)</f>
        <v>pssAAV CMV-hCatCH-GFP</v>
      </c>
      <c r="I263" s="1786">
        <v>257</v>
      </c>
      <c r="J263" s="1790"/>
      <c r="K263" s="1791"/>
      <c r="L263" s="1792"/>
      <c r="M263" s="1793">
        <v>41758</v>
      </c>
      <c r="N263" s="4">
        <v>302</v>
      </c>
      <c r="O263" s="1798">
        <v>6</v>
      </c>
      <c r="P263" s="1624"/>
      <c r="Q263" s="15">
        <v>51700000000</v>
      </c>
      <c r="R263" s="1589">
        <v>13600000000</v>
      </c>
      <c r="S263" s="1800">
        <f t="shared" si="0"/>
        <v>124688235294.11765</v>
      </c>
      <c r="T263" s="1802">
        <v>41981</v>
      </c>
      <c r="U263" s="1790"/>
      <c r="V263" s="1803">
        <f>115</f>
        <v>115</v>
      </c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</row>
    <row r="264" spans="1:61" ht="24" hidden="1">
      <c r="A264" s="2512" t="s">
        <v>3891</v>
      </c>
      <c r="B264" s="2513" t="s">
        <v>4496</v>
      </c>
      <c r="C264" s="2514" t="s">
        <v>4497</v>
      </c>
      <c r="D264" s="2512" t="s">
        <v>70</v>
      </c>
      <c r="E264" s="2516" t="str">
        <f>VLOOKUP(F264,plasmids!$A$2:$B$351,2)</f>
        <v>pXR8 Y447 733F</v>
      </c>
      <c r="F264" s="2512">
        <v>195</v>
      </c>
      <c r="G264" s="2517"/>
      <c r="H264" s="2517" t="str">
        <f>VLOOKUP(I264,plasmids!$A$2:$B$911,2)</f>
        <v>scCAG-ReachR-GFP</v>
      </c>
      <c r="I264" s="2512">
        <v>353</v>
      </c>
      <c r="J264" s="2522"/>
      <c r="K264" s="2524">
        <v>41705</v>
      </c>
      <c r="L264" s="1643"/>
      <c r="M264" s="1644">
        <v>41758</v>
      </c>
      <c r="N264" s="2355">
        <v>303</v>
      </c>
      <c r="O264" s="2526">
        <v>6</v>
      </c>
      <c r="P264" s="2528"/>
      <c r="Q264" s="2529">
        <v>6860000000000</v>
      </c>
      <c r="R264" s="2357">
        <v>13600000000</v>
      </c>
      <c r="S264" s="2530">
        <f t="shared" si="0"/>
        <v>16544705882352.939</v>
      </c>
      <c r="T264" s="2524">
        <v>41981</v>
      </c>
      <c r="U264" s="2522"/>
      <c r="V264" s="2531">
        <v>130</v>
      </c>
      <c r="W264" s="2533"/>
      <c r="X264" s="2533"/>
      <c r="Y264" s="2533"/>
      <c r="Z264" s="2533"/>
      <c r="AA264" s="2533"/>
      <c r="AB264" s="2533"/>
      <c r="AC264" s="2533"/>
      <c r="AD264" s="2533"/>
      <c r="AE264" s="2533"/>
      <c r="AF264" s="2533"/>
      <c r="AG264" s="2533"/>
      <c r="AH264" s="2533"/>
      <c r="AI264" s="2533"/>
      <c r="AJ264" s="2533"/>
      <c r="AK264" s="2533"/>
      <c r="AL264" s="2533"/>
      <c r="AM264" s="2533"/>
      <c r="AN264" s="2533"/>
      <c r="AO264" s="2533"/>
      <c r="AP264" s="2533"/>
      <c r="AQ264" s="2533"/>
      <c r="AR264" s="2533"/>
      <c r="AS264" s="2533"/>
      <c r="AT264" s="2533"/>
      <c r="AU264" s="2533"/>
      <c r="AV264" s="2533"/>
      <c r="AW264" s="2533"/>
      <c r="AX264" s="2533"/>
      <c r="AY264" s="377"/>
      <c r="AZ264" s="377"/>
      <c r="BA264" s="377"/>
      <c r="BB264" s="377"/>
      <c r="BC264" s="377"/>
      <c r="BD264" s="377"/>
      <c r="BE264" s="377"/>
      <c r="BF264" s="377"/>
      <c r="BG264" s="377"/>
      <c r="BH264" s="377"/>
      <c r="BI264" s="377"/>
    </row>
    <row r="265" spans="1:61" ht="24" hidden="1">
      <c r="A265" s="2534" t="s">
        <v>600</v>
      </c>
      <c r="B265" s="2535" t="s">
        <v>4496</v>
      </c>
      <c r="C265" s="2537" t="s">
        <v>4497</v>
      </c>
      <c r="D265" s="2534" t="s">
        <v>70</v>
      </c>
      <c r="E265" s="2539" t="str">
        <f>VLOOKUP(F265,plasmids!$A$2:$B$351,2)</f>
        <v>pXR8 Y447 733F</v>
      </c>
      <c r="F265" s="2534">
        <v>195</v>
      </c>
      <c r="G265" s="2540"/>
      <c r="H265" s="2540" t="str">
        <f>VLOOKUP(I265,plasmids!$A$2:$B$911,2)</f>
        <v>pscAAV-CAG-hCatCh-GFP</v>
      </c>
      <c r="I265" s="2534">
        <v>358</v>
      </c>
      <c r="J265" s="2542"/>
      <c r="K265" s="2534" t="s">
        <v>4456</v>
      </c>
      <c r="L265" s="2543"/>
      <c r="M265" s="2544">
        <v>41765</v>
      </c>
      <c r="N265" s="2545">
        <v>304</v>
      </c>
      <c r="O265" s="2547">
        <v>6</v>
      </c>
      <c r="P265" s="2548"/>
      <c r="Q265" s="2549">
        <v>24200000000000</v>
      </c>
      <c r="R265" s="2550">
        <v>13600000000</v>
      </c>
      <c r="S265" s="2551">
        <f t="shared" si="0"/>
        <v>58364705882352.938</v>
      </c>
      <c r="T265" s="2552">
        <v>41981</v>
      </c>
      <c r="U265" s="2542"/>
      <c r="V265" s="2553">
        <f>60</f>
        <v>60</v>
      </c>
      <c r="W265" s="2555"/>
      <c r="X265" s="2555"/>
      <c r="Y265" s="2555"/>
      <c r="Z265" s="2555"/>
      <c r="AA265" s="2555"/>
      <c r="AB265" s="2555"/>
      <c r="AC265" s="2555"/>
      <c r="AD265" s="2555"/>
      <c r="AE265" s="2555"/>
      <c r="AF265" s="2555"/>
      <c r="AG265" s="2555"/>
      <c r="AH265" s="2555"/>
      <c r="AI265" s="2555"/>
      <c r="AJ265" s="2555"/>
      <c r="AK265" s="2555"/>
      <c r="AL265" s="2555"/>
      <c r="AM265" s="2555"/>
      <c r="AN265" s="2555"/>
      <c r="AO265" s="2555"/>
      <c r="AP265" s="2555"/>
      <c r="AQ265" s="2555"/>
      <c r="AR265" s="2555"/>
      <c r="AS265" s="2555"/>
      <c r="AT265" s="2555"/>
      <c r="AU265" s="2555"/>
      <c r="AV265" s="2555"/>
      <c r="AW265" s="2555"/>
      <c r="AX265" s="2555"/>
      <c r="AY265" s="234"/>
      <c r="AZ265" s="234"/>
      <c r="BA265" s="234"/>
      <c r="BB265" s="234"/>
      <c r="BC265" s="234"/>
      <c r="BD265" s="234"/>
      <c r="BE265" s="234"/>
      <c r="BF265" s="234"/>
      <c r="BG265" s="234"/>
      <c r="BH265" s="234"/>
      <c r="BI265" s="234"/>
    </row>
    <row r="266" spans="1:61" ht="24" hidden="1">
      <c r="A266" s="2387" t="s">
        <v>52</v>
      </c>
      <c r="B266" s="2361" t="s">
        <v>4496</v>
      </c>
      <c r="C266" s="2363" t="s">
        <v>4497</v>
      </c>
      <c r="D266" s="2360" t="s">
        <v>4509</v>
      </c>
      <c r="E266" s="2365" t="str">
        <f>VLOOKUP(F266,plasmids!$A$2:$B$351,2)</f>
        <v>pXR8 Y447 733F</v>
      </c>
      <c r="F266" s="2360">
        <v>195</v>
      </c>
      <c r="G266" s="2366"/>
      <c r="H266" s="2366" t="str">
        <f>VLOOKUP(I266,plasmids!$A$2:$B$391,2)</f>
        <v>scCAG-ChrimsonR-GFP</v>
      </c>
      <c r="I266" s="2360">
        <v>354</v>
      </c>
      <c r="J266" s="2367"/>
      <c r="K266" s="2360" t="s">
        <v>4456</v>
      </c>
      <c r="L266" s="2370"/>
      <c r="M266" s="2371">
        <v>41765</v>
      </c>
      <c r="N266" s="874">
        <v>305</v>
      </c>
      <c r="O266" s="2379">
        <v>6</v>
      </c>
      <c r="P266" s="2380"/>
      <c r="Q266" s="2383">
        <v>6440000000000</v>
      </c>
      <c r="R266" s="2384">
        <v>13600000000</v>
      </c>
      <c r="S266" s="2385">
        <f t="shared" si="0"/>
        <v>15531764705882.352</v>
      </c>
      <c r="T266" s="2369">
        <v>41981</v>
      </c>
      <c r="U266" s="2388"/>
      <c r="V266" s="2392">
        <f>6</f>
        <v>6</v>
      </c>
      <c r="W266" s="2388"/>
      <c r="X266" s="2388"/>
      <c r="Y266" s="2388"/>
      <c r="Z266" s="2388"/>
      <c r="AA266" s="2388"/>
      <c r="AB266" s="2388"/>
      <c r="AC266" s="2388"/>
      <c r="AD266" s="2388"/>
      <c r="AE266" s="2388"/>
      <c r="AF266" s="2388"/>
      <c r="AG266" s="2388"/>
      <c r="AH266" s="2388"/>
      <c r="AI266" s="2388"/>
      <c r="AJ266" s="2388"/>
      <c r="AK266" s="2388"/>
      <c r="AL266" s="2388"/>
      <c r="AM266" s="2388"/>
      <c r="AN266" s="2388"/>
      <c r="AO266" s="2388"/>
      <c r="AP266" s="2388"/>
      <c r="AQ266" s="2388"/>
      <c r="AR266" s="2388"/>
      <c r="AS266" s="2388"/>
      <c r="AT266" s="2388"/>
      <c r="AU266" s="2388"/>
      <c r="AV266" s="2388"/>
      <c r="AW266" s="2388"/>
      <c r="AX266" s="2388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</row>
    <row r="267" spans="1:61" ht="24" hidden="1">
      <c r="A267" s="2557" t="s">
        <v>52</v>
      </c>
      <c r="B267" s="2558" t="s">
        <v>4496</v>
      </c>
      <c r="C267" s="2559" t="s">
        <v>4497</v>
      </c>
      <c r="D267" s="2560" t="s">
        <v>568</v>
      </c>
      <c r="E267" s="2562" t="str">
        <f>VLOOKUP(F267,plasmids!$A$2:$B$351,2)</f>
        <v>pXR8 Y447 733F</v>
      </c>
      <c r="F267" s="2560">
        <v>195</v>
      </c>
      <c r="G267" s="2564"/>
      <c r="H267" s="2564" t="str">
        <f>VLOOKUP(I267,plasmids!$A$2:$B$391,2)</f>
        <v>pscAAV-CAG-eNpHR-eYFP</v>
      </c>
      <c r="I267" s="2560">
        <v>295</v>
      </c>
      <c r="J267" s="2568"/>
      <c r="K267" s="2560" t="s">
        <v>4456</v>
      </c>
      <c r="L267" s="2570"/>
      <c r="M267" s="2572">
        <v>41765</v>
      </c>
      <c r="N267" s="1839">
        <v>306</v>
      </c>
      <c r="O267" s="2574">
        <v>6</v>
      </c>
      <c r="P267" s="2576"/>
      <c r="Q267" s="2577">
        <v>15800000000000</v>
      </c>
      <c r="R267" s="2578">
        <v>13600000000</v>
      </c>
      <c r="S267" s="2580">
        <f t="shared" si="0"/>
        <v>38105882352941.172</v>
      </c>
      <c r="T267" s="2568"/>
      <c r="U267" s="2581"/>
      <c r="V267" s="2560">
        <v>115</v>
      </c>
      <c r="W267" s="2557" t="s">
        <v>4726</v>
      </c>
      <c r="X267" s="2581"/>
      <c r="Y267" s="2581"/>
      <c r="Z267" s="2581"/>
      <c r="AA267" s="2581"/>
      <c r="AB267" s="2581"/>
      <c r="AC267" s="2581"/>
      <c r="AD267" s="2581"/>
      <c r="AE267" s="2581"/>
      <c r="AF267" s="2581"/>
      <c r="AG267" s="2581"/>
      <c r="AH267" s="2581"/>
      <c r="AI267" s="2581"/>
      <c r="AJ267" s="2581"/>
      <c r="AK267" s="2581"/>
      <c r="AL267" s="2581"/>
      <c r="AM267" s="2581"/>
      <c r="AN267" s="2581"/>
      <c r="AO267" s="2581"/>
      <c r="AP267" s="2581"/>
      <c r="AQ267" s="2581"/>
      <c r="AR267" s="2581"/>
      <c r="AS267" s="2581"/>
      <c r="AT267" s="2581"/>
      <c r="AU267" s="2581"/>
      <c r="AV267" s="2581"/>
      <c r="AW267" s="2581"/>
      <c r="AX267" s="2581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</row>
    <row r="268" spans="1:61" ht="22.5" hidden="1" customHeight="1">
      <c r="A268" s="778" t="s">
        <v>707</v>
      </c>
      <c r="B268" s="778" t="s">
        <v>2698</v>
      </c>
      <c r="C268" s="782" t="s">
        <v>178</v>
      </c>
      <c r="D268" s="778" t="s">
        <v>345</v>
      </c>
      <c r="E268" s="2584" t="str">
        <f>VLOOKUP(F268,plasmids!$A$2:$B$351,2)</f>
        <v>AAV9</v>
      </c>
      <c r="F268" s="778">
        <v>166</v>
      </c>
      <c r="G268" s="2585"/>
      <c r="H268" s="2585" t="str">
        <f>VLOOKUP(I268,plasmids!$A$2:$B$911,2)</f>
        <v>sc-CAG-GFP</v>
      </c>
      <c r="I268" s="778">
        <v>120</v>
      </c>
      <c r="J268" s="778" t="s">
        <v>1675</v>
      </c>
      <c r="K268" s="1462" t="s">
        <v>4734</v>
      </c>
      <c r="L268" s="784"/>
      <c r="M268" s="786">
        <v>41765</v>
      </c>
      <c r="N268" s="788">
        <v>307</v>
      </c>
      <c r="O268" s="790">
        <v>6</v>
      </c>
      <c r="P268" s="1466"/>
      <c r="Q268" s="2586">
        <v>71800000000000</v>
      </c>
      <c r="R268" s="792">
        <v>13600000000</v>
      </c>
      <c r="S268" s="797">
        <f t="shared" si="0"/>
        <v>173164705882352.94</v>
      </c>
      <c r="T268" s="2587">
        <v>41981</v>
      </c>
      <c r="U268" s="799"/>
      <c r="V268" s="2589">
        <f>130-3-22-2-2</f>
        <v>101</v>
      </c>
      <c r="W268" s="805" t="s">
        <v>4743</v>
      </c>
      <c r="X268" s="807"/>
      <c r="Y268" s="809"/>
      <c r="Z268" s="809"/>
      <c r="AA268" s="809"/>
      <c r="AB268" s="809"/>
      <c r="AC268" s="809"/>
      <c r="AD268" s="809"/>
      <c r="AE268" s="809"/>
      <c r="AF268" s="809"/>
      <c r="AG268" s="234"/>
      <c r="AH268" s="234"/>
      <c r="AI268" s="234"/>
      <c r="AJ268" s="234"/>
      <c r="AK268" s="234"/>
      <c r="AL268" s="234"/>
      <c r="AM268" s="234"/>
      <c r="AN268" s="234"/>
      <c r="AO268" s="234"/>
      <c r="AP268" s="234"/>
      <c r="AQ268" s="234"/>
      <c r="AR268" s="234"/>
      <c r="AS268" s="234"/>
      <c r="AT268" s="234"/>
      <c r="AU268" s="234"/>
      <c r="AV268" s="234"/>
      <c r="AW268" s="234"/>
      <c r="AX268" s="234"/>
      <c r="AY268" s="234"/>
      <c r="AZ268" s="234"/>
      <c r="BA268" s="234"/>
      <c r="BB268" s="234"/>
      <c r="BC268" s="234"/>
      <c r="BD268" s="234"/>
      <c r="BE268" s="234"/>
      <c r="BF268" s="234"/>
      <c r="BG268" s="234"/>
      <c r="BH268" s="234"/>
      <c r="BI268" s="234"/>
    </row>
    <row r="269" spans="1:61" ht="24" hidden="1" customHeight="1">
      <c r="A269" s="2255" t="s">
        <v>4745</v>
      </c>
      <c r="B269" s="1786" t="s">
        <v>4747</v>
      </c>
      <c r="C269" s="1787" t="s">
        <v>567</v>
      </c>
      <c r="D269" s="1786" t="s">
        <v>4748</v>
      </c>
      <c r="E269" s="1788" t="str">
        <f>VLOOKUP(F269,plasmids!$A$2:$B$351,2)</f>
        <v>ShH10,1 Y444F</v>
      </c>
      <c r="F269" s="1798">
        <v>177</v>
      </c>
      <c r="G269" s="2596"/>
      <c r="H269" s="2596" t="str">
        <f>VLOOKUP(I269,plasmids!$A$2:$B$911,2)</f>
        <v>pAAV-EF1a-mCherry-IRES-Cre-WPRE</v>
      </c>
      <c r="I269" s="1786">
        <v>242</v>
      </c>
      <c r="J269" s="1790"/>
      <c r="K269" s="2597" t="s">
        <v>4734</v>
      </c>
      <c r="L269" s="1792"/>
      <c r="M269" s="1793">
        <v>41775</v>
      </c>
      <c r="N269" s="8">
        <v>308</v>
      </c>
      <c r="O269" s="1798">
        <v>6</v>
      </c>
      <c r="P269" s="1624"/>
      <c r="Q269" s="15">
        <v>16700000000000</v>
      </c>
      <c r="R269" s="1589">
        <v>68500000000</v>
      </c>
      <c r="S269" s="1800">
        <f t="shared" si="0"/>
        <v>7996496350364.9639</v>
      </c>
      <c r="T269" s="1790"/>
      <c r="U269" s="1790"/>
      <c r="V269" s="1798">
        <v>155</v>
      </c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</row>
    <row r="270" spans="1:61" ht="26.25" hidden="1" customHeight="1">
      <c r="A270" s="2255" t="s">
        <v>4745</v>
      </c>
      <c r="B270" s="1786" t="s">
        <v>4747</v>
      </c>
      <c r="C270" s="1787" t="s">
        <v>567</v>
      </c>
      <c r="D270" s="1786" t="s">
        <v>4763</v>
      </c>
      <c r="E270" s="1788" t="str">
        <f>VLOOKUP(F270,plasmids!$A$2:$B$351,2)</f>
        <v>AAV2-7m8</v>
      </c>
      <c r="F270" s="1798">
        <v>178</v>
      </c>
      <c r="G270" s="1789"/>
      <c r="H270" s="1789" t="str">
        <f>VLOOKUP(I270,plasmids!$A$2:$B$911,2)</f>
        <v>pAAV-EF1a-mCherry-IRES-Cre-WPRE</v>
      </c>
      <c r="I270" s="1786">
        <v>242</v>
      </c>
      <c r="J270" s="1790"/>
      <c r="K270" s="2597" t="s">
        <v>4734</v>
      </c>
      <c r="L270" s="1792"/>
      <c r="M270" s="1793">
        <v>41775</v>
      </c>
      <c r="N270" s="8">
        <v>309</v>
      </c>
      <c r="O270" s="1798">
        <v>6</v>
      </c>
      <c r="P270" s="1624"/>
      <c r="Q270" s="15">
        <v>1530000000000</v>
      </c>
      <c r="R270" s="1589">
        <v>68500000000</v>
      </c>
      <c r="S270" s="1800">
        <f t="shared" si="0"/>
        <v>732613138686.13135</v>
      </c>
      <c r="T270" s="1802">
        <v>41981</v>
      </c>
      <c r="U270" s="1786" t="s">
        <v>4767</v>
      </c>
      <c r="V270" s="1798">
        <v>120</v>
      </c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</row>
    <row r="271" spans="1:61" ht="18.75" hidden="1" customHeight="1">
      <c r="A271" s="1785" t="s">
        <v>1954</v>
      </c>
      <c r="B271" s="1786" t="s">
        <v>4080</v>
      </c>
      <c r="C271" s="1787" t="s">
        <v>178</v>
      </c>
      <c r="D271" s="1786" t="s">
        <v>1088</v>
      </c>
      <c r="E271" s="1788" t="str">
        <f>VLOOKUP(F271,plasmids!$A$2:$B$351,2)</f>
        <v>pXR5</v>
      </c>
      <c r="F271" s="1786">
        <v>154</v>
      </c>
      <c r="G271" s="1789"/>
      <c r="H271" s="1789" t="str">
        <f>VLOOKUP(I271,plasmids!$A$2:$B$351,2)</f>
        <v>pssAAV CMV-hCatCH-GFP</v>
      </c>
      <c r="I271" s="1786">
        <v>257</v>
      </c>
      <c r="J271" s="1790"/>
      <c r="K271" s="2597" t="s">
        <v>4734</v>
      </c>
      <c r="L271" s="1792"/>
      <c r="M271" s="1793">
        <v>41775</v>
      </c>
      <c r="N271" s="4">
        <v>310</v>
      </c>
      <c r="O271" s="1798">
        <v>6</v>
      </c>
      <c r="P271" s="1624"/>
      <c r="Q271" s="15">
        <v>5330000000000</v>
      </c>
      <c r="R271" s="1589">
        <v>68500000000</v>
      </c>
      <c r="S271" s="1800">
        <f t="shared" si="0"/>
        <v>2552175182481.752</v>
      </c>
      <c r="T271" s="1802">
        <v>41981</v>
      </c>
      <c r="U271" s="1790"/>
      <c r="V271" s="1786">
        <v>130</v>
      </c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</row>
    <row r="272" spans="1:61" ht="26.25" hidden="1" customHeight="1">
      <c r="A272" s="188" t="s">
        <v>978</v>
      </c>
      <c r="B272" s="188" t="s">
        <v>985</v>
      </c>
      <c r="C272" s="189" t="s">
        <v>178</v>
      </c>
      <c r="D272" s="188" t="s">
        <v>987</v>
      </c>
      <c r="E272" s="190" t="s">
        <v>988</v>
      </c>
      <c r="F272" s="191">
        <v>177</v>
      </c>
      <c r="G272" s="189"/>
      <c r="H272" s="189" t="s">
        <v>3035</v>
      </c>
      <c r="I272" s="188" t="s">
        <v>2244</v>
      </c>
      <c r="J272" s="188" t="s">
        <v>1012</v>
      </c>
      <c r="K272" s="194" t="s">
        <v>4734</v>
      </c>
      <c r="L272" s="1484"/>
      <c r="M272" s="196">
        <v>41775</v>
      </c>
      <c r="N272" s="774">
        <v>311</v>
      </c>
      <c r="O272" s="191">
        <v>6</v>
      </c>
      <c r="P272" s="202"/>
      <c r="Q272" s="1749">
        <v>24400000000000</v>
      </c>
      <c r="R272" s="199">
        <v>68500000000</v>
      </c>
      <c r="S272" s="203">
        <f t="shared" si="0"/>
        <v>11683503649635.037</v>
      </c>
      <c r="T272" s="2197">
        <v>41981</v>
      </c>
      <c r="U272" s="188" t="s">
        <v>4775</v>
      </c>
      <c r="V272" s="191">
        <v>130</v>
      </c>
      <c r="W272" s="205"/>
      <c r="X272" s="205"/>
      <c r="Y272" s="205"/>
      <c r="Z272" s="205"/>
      <c r="AA272" s="205"/>
      <c r="AB272" s="205"/>
      <c r="AC272" s="205"/>
      <c r="AD272" s="205"/>
      <c r="AE272" s="205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</row>
    <row r="273" spans="1:61" ht="24.75" hidden="1" customHeight="1">
      <c r="A273" s="734" t="s">
        <v>707</v>
      </c>
      <c r="B273" s="734" t="s">
        <v>2698</v>
      </c>
      <c r="C273" s="735" t="s">
        <v>1967</v>
      </c>
      <c r="D273" s="734" t="s">
        <v>4460</v>
      </c>
      <c r="E273" s="1666" t="str">
        <f>VLOOKUP(F273,plasmids!$A$2:$B$351,2)</f>
        <v>AAV9 7M8 (AA------)</v>
      </c>
      <c r="F273" s="734">
        <v>170</v>
      </c>
      <c r="G273" s="1667"/>
      <c r="H273" s="1667" t="str">
        <f>VLOOKUP(I273,plasmids!$A$2:$B$960,2)</f>
        <v>pssAAV-1xGrm6-GFP_x000D_</v>
      </c>
      <c r="I273" s="734">
        <v>359</v>
      </c>
      <c r="J273" s="744"/>
      <c r="K273" s="736" t="s">
        <v>4428</v>
      </c>
      <c r="L273" s="811"/>
      <c r="M273" s="737">
        <v>41787</v>
      </c>
      <c r="N273" s="2225">
        <v>312</v>
      </c>
      <c r="O273" s="2602"/>
      <c r="P273" s="742"/>
      <c r="Q273" s="1613">
        <v>969000000000</v>
      </c>
      <c r="R273" s="740">
        <v>3980000000</v>
      </c>
      <c r="S273" s="743">
        <f t="shared" si="0"/>
        <v>7985728643216.0801</v>
      </c>
      <c r="T273" s="2222">
        <v>41981</v>
      </c>
      <c r="U273" s="744"/>
      <c r="V273" s="744"/>
      <c r="W273" s="733"/>
      <c r="X273" s="733"/>
      <c r="Y273" s="733"/>
      <c r="Z273" s="733"/>
      <c r="AA273" s="733"/>
      <c r="AB273" s="733"/>
      <c r="AC273" s="733"/>
      <c r="AD273" s="733"/>
      <c r="AE273" s="733"/>
      <c r="AF273" s="733"/>
      <c r="AG273" s="733"/>
      <c r="AH273" s="733"/>
      <c r="AI273" s="733"/>
      <c r="AJ273" s="733"/>
      <c r="AK273" s="733"/>
      <c r="AL273" s="733"/>
      <c r="AM273" s="733"/>
      <c r="AN273" s="733"/>
      <c r="AO273" s="733"/>
      <c r="AP273" s="733"/>
      <c r="AQ273" s="733"/>
      <c r="AR273" s="733"/>
      <c r="AS273" s="733"/>
      <c r="AT273" s="733"/>
      <c r="AU273" s="733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</row>
    <row r="274" spans="1:61" ht="26.25" hidden="1" customHeight="1">
      <c r="A274" s="734" t="s">
        <v>707</v>
      </c>
      <c r="B274" s="734" t="s">
        <v>2698</v>
      </c>
      <c r="C274" s="735" t="s">
        <v>1967</v>
      </c>
      <c r="D274" s="734" t="s">
        <v>4460</v>
      </c>
      <c r="E274" s="1666" t="str">
        <f>VLOOKUP(F274,plasmids!$A$2:$B$351,2)</f>
        <v>AAV2</v>
      </c>
      <c r="F274" s="734">
        <v>140</v>
      </c>
      <c r="G274" s="1667"/>
      <c r="H274" s="1667" t="str">
        <f>VLOOKUP(I274,plasmids!$A$2:$B$960,2)</f>
        <v>pssAAV-1xGrm6-GFP_x000D_</v>
      </c>
      <c r="I274" s="734">
        <v>359</v>
      </c>
      <c r="J274" s="744"/>
      <c r="K274" s="736" t="s">
        <v>4428</v>
      </c>
      <c r="L274" s="811"/>
      <c r="M274" s="737">
        <v>41787</v>
      </c>
      <c r="N274" s="2225">
        <v>313</v>
      </c>
      <c r="O274" s="2602"/>
      <c r="P274" s="742"/>
      <c r="Q274" s="1613">
        <v>4510000000000</v>
      </c>
      <c r="R274" s="740">
        <v>3.9799999999999999E-9</v>
      </c>
      <c r="S274" s="743">
        <f t="shared" si="0"/>
        <v>3.7167839195979904E+31</v>
      </c>
      <c r="T274" s="2222">
        <v>41981</v>
      </c>
      <c r="U274" s="744"/>
      <c r="V274" s="744"/>
      <c r="W274" s="733"/>
      <c r="X274" s="733"/>
      <c r="Y274" s="733"/>
      <c r="Z274" s="733"/>
      <c r="AA274" s="733"/>
      <c r="AB274" s="733"/>
      <c r="AC274" s="733"/>
      <c r="AD274" s="733"/>
      <c r="AE274" s="733"/>
      <c r="AF274" s="733"/>
      <c r="AG274" s="733"/>
      <c r="AH274" s="733"/>
      <c r="AI274" s="733"/>
      <c r="AJ274" s="733"/>
      <c r="AK274" s="733"/>
      <c r="AL274" s="733"/>
      <c r="AM274" s="733"/>
      <c r="AN274" s="733"/>
      <c r="AO274" s="733"/>
      <c r="AP274" s="733"/>
      <c r="AQ274" s="733"/>
      <c r="AR274" s="733"/>
      <c r="AS274" s="733"/>
      <c r="AT274" s="733"/>
      <c r="AU274" s="733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</row>
    <row r="275" spans="1:61" ht="24" hidden="1" customHeight="1">
      <c r="A275" s="734" t="s">
        <v>707</v>
      </c>
      <c r="B275" s="734" t="s">
        <v>2698</v>
      </c>
      <c r="C275" s="735" t="s">
        <v>178</v>
      </c>
      <c r="D275" s="734" t="s">
        <v>345</v>
      </c>
      <c r="E275" s="1666" t="str">
        <f>VLOOKUP(F275,plasmids!$A$2:$B$911,2)</f>
        <v>pXR5</v>
      </c>
      <c r="F275" s="734">
        <v>154</v>
      </c>
      <c r="G275" s="1667"/>
      <c r="H275" s="1667" t="str">
        <f>VLOOKUP(I275,plasmids!$A$2:$B$911,2)</f>
        <v>sc-CAG-GFP</v>
      </c>
      <c r="I275" s="734">
        <v>120</v>
      </c>
      <c r="J275" s="734" t="s">
        <v>1675</v>
      </c>
      <c r="K275" s="736" t="s">
        <v>4734</v>
      </c>
      <c r="L275" s="811"/>
      <c r="M275" s="737">
        <v>41787</v>
      </c>
      <c r="N275" s="738">
        <v>314</v>
      </c>
      <c r="O275" s="2602"/>
      <c r="P275" s="742"/>
      <c r="Q275" s="1613">
        <v>27700000000000</v>
      </c>
      <c r="R275" s="740">
        <v>3980000000</v>
      </c>
      <c r="S275" s="743">
        <f t="shared" si="0"/>
        <v>228281407035175.84</v>
      </c>
      <c r="T275" s="2222">
        <v>41981</v>
      </c>
      <c r="U275" s="2619">
        <v>82100000000000</v>
      </c>
      <c r="V275" s="815">
        <f>68-1</f>
        <v>67</v>
      </c>
      <c r="W275" s="2224" t="s">
        <v>2812</v>
      </c>
      <c r="X275" s="732"/>
      <c r="Y275" s="733"/>
      <c r="Z275" s="733"/>
      <c r="AA275" s="733"/>
      <c r="AB275" s="733"/>
      <c r="AC275" s="733"/>
      <c r="AD275" s="733"/>
      <c r="AE275" s="733"/>
      <c r="AF275" s="733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</row>
    <row r="276" spans="1:61" ht="24" hidden="1">
      <c r="A276" s="628" t="s">
        <v>52</v>
      </c>
      <c r="B276" s="628" t="s">
        <v>2508</v>
      </c>
      <c r="C276" s="629" t="s">
        <v>3233</v>
      </c>
      <c r="D276" s="628" t="s">
        <v>70</v>
      </c>
      <c r="E276" s="628" t="s">
        <v>516</v>
      </c>
      <c r="F276" s="628">
        <v>140</v>
      </c>
      <c r="G276" s="2258"/>
      <c r="H276" s="2258" t="str">
        <f>VLOOKUP(I276,plasmids!$A$2:$B$391,2)</f>
        <v xml:space="preserve">pssAAV-SNCG-hCatch-MBD-GFP </v>
      </c>
      <c r="I276" s="628">
        <v>339</v>
      </c>
      <c r="J276" s="628" t="s">
        <v>3033</v>
      </c>
      <c r="K276" s="630" t="s">
        <v>4734</v>
      </c>
      <c r="L276" s="1345"/>
      <c r="M276" s="631">
        <v>41787</v>
      </c>
      <c r="N276" s="633">
        <v>315</v>
      </c>
      <c r="O276" s="2471"/>
      <c r="P276" s="638"/>
      <c r="Q276" s="660">
        <v>39700000000000</v>
      </c>
      <c r="R276" s="635">
        <v>3980000000</v>
      </c>
      <c r="S276" s="640">
        <f t="shared" si="0"/>
        <v>327175879396984.88</v>
      </c>
      <c r="T276" s="1605">
        <v>41981</v>
      </c>
      <c r="U276" s="642"/>
      <c r="V276" s="642"/>
      <c r="W276" s="645"/>
      <c r="X276" s="645"/>
      <c r="Y276" s="645"/>
      <c r="Z276" s="2471"/>
      <c r="AA276" s="645"/>
      <c r="AB276" s="645"/>
      <c r="AC276" s="645"/>
      <c r="AD276" s="645"/>
      <c r="AE276" s="645"/>
      <c r="AF276" s="645"/>
      <c r="AG276" s="645"/>
      <c r="AH276" s="645"/>
      <c r="AI276" s="645"/>
      <c r="AJ276" s="645"/>
      <c r="AK276" s="645"/>
      <c r="AL276" s="645"/>
      <c r="AM276" s="645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</row>
    <row r="277" spans="1:61" ht="20.25" hidden="1" customHeight="1">
      <c r="A277" s="1145" t="s">
        <v>52</v>
      </c>
      <c r="B277" s="1145" t="s">
        <v>139</v>
      </c>
      <c r="C277" s="1147" t="s">
        <v>178</v>
      </c>
      <c r="D277" s="1145" t="s">
        <v>57</v>
      </c>
      <c r="E277" s="2138" t="str">
        <f>VLOOKUP(F277,plasmids!$A$2:$B$351,2)</f>
        <v>AAV2-7m8</v>
      </c>
      <c r="F277" s="1153">
        <v>178</v>
      </c>
      <c r="G277" s="2072"/>
      <c r="H277" s="2072" t="str">
        <f>VLOOKUP(I277,plasmids!$A$2:$B$400,2)</f>
        <v>pssAAV-mCAR-eNphR2,0V-EYFP</v>
      </c>
      <c r="I277" s="1145">
        <v>378</v>
      </c>
      <c r="J277" s="1166"/>
      <c r="K277" s="1149">
        <v>41786</v>
      </c>
      <c r="L277" s="1149"/>
      <c r="M277" s="1151">
        <v>41796</v>
      </c>
      <c r="N277" s="1152">
        <v>316</v>
      </c>
      <c r="O277" s="2077"/>
      <c r="P277" s="1158"/>
      <c r="Q277" s="1615">
        <v>35800000000000</v>
      </c>
      <c r="R277" s="1155">
        <v>9090000000</v>
      </c>
      <c r="S277" s="1160">
        <f t="shared" si="0"/>
        <v>129179317931793.17</v>
      </c>
      <c r="T277" s="1633">
        <v>41981</v>
      </c>
      <c r="U277" s="1633">
        <v>41808</v>
      </c>
      <c r="V277" s="1153">
        <v>135</v>
      </c>
      <c r="W277" s="1634"/>
      <c r="X277" s="1634"/>
      <c r="Y277" s="1634"/>
      <c r="Z277" s="1634"/>
      <c r="AA277" s="1634"/>
      <c r="AB277" s="1634"/>
      <c r="AC277" s="1634"/>
      <c r="AD277" s="1634"/>
      <c r="AE277" s="1634"/>
      <c r="AF277" s="1634"/>
      <c r="AG277" s="1634"/>
      <c r="AH277" s="1634"/>
      <c r="AI277" s="1634"/>
      <c r="AJ277" s="1634"/>
      <c r="AK277" s="1634"/>
      <c r="AL277" s="1634"/>
      <c r="AM277" s="1634"/>
      <c r="AN277" s="1634"/>
      <c r="AO277" s="1634"/>
      <c r="AP277" s="1634"/>
      <c r="AQ277" s="1634"/>
      <c r="AR277" s="1634"/>
      <c r="AS277" s="1634"/>
      <c r="AT277" s="1634"/>
      <c r="AU277" s="1634"/>
      <c r="AV277" s="1634"/>
      <c r="AW277" s="1634"/>
      <c r="AX277" s="1634"/>
      <c r="AY277" s="377"/>
      <c r="AZ277" s="377"/>
      <c r="BA277" s="377"/>
      <c r="BB277" s="377"/>
      <c r="BC277" s="377"/>
      <c r="BD277" s="377"/>
      <c r="BE277" s="377"/>
      <c r="BF277" s="377"/>
      <c r="BG277" s="377"/>
      <c r="BH277" s="377"/>
      <c r="BI277" s="377"/>
    </row>
    <row r="278" spans="1:61" ht="1.5" hidden="1" customHeight="1">
      <c r="A278" s="1145" t="s">
        <v>52</v>
      </c>
      <c r="B278" s="1145" t="s">
        <v>139</v>
      </c>
      <c r="C278" s="1147" t="s">
        <v>178</v>
      </c>
      <c r="D278" s="1145" t="s">
        <v>57</v>
      </c>
      <c r="E278" s="2138" t="str">
        <f>VLOOKUP(F278,plasmids!$A$2:$B$351,2)</f>
        <v>AAV2-7m8</v>
      </c>
      <c r="F278" s="1145">
        <v>178</v>
      </c>
      <c r="G278" s="2072"/>
      <c r="H278" s="2072" t="str">
        <f>VLOOKUP(I278,plasmids!$A$2:$B$351,2)</f>
        <v>pssAAV-mCAR-eNphR-eYFP</v>
      </c>
      <c r="I278" s="1145">
        <v>92</v>
      </c>
      <c r="J278" s="1166"/>
      <c r="K278" s="1149">
        <v>41786</v>
      </c>
      <c r="L278" s="1149"/>
      <c r="M278" s="1151">
        <v>41796</v>
      </c>
      <c r="N278" s="1152">
        <v>317</v>
      </c>
      <c r="O278" s="2077"/>
      <c r="P278" s="1158"/>
      <c r="Q278" s="1615">
        <v>27800000000000</v>
      </c>
      <c r="R278" s="1155">
        <v>9090000000</v>
      </c>
      <c r="S278" s="1160">
        <f t="shared" si="0"/>
        <v>100312431243124.31</v>
      </c>
      <c r="T278" s="1166"/>
      <c r="U278" s="1633">
        <v>41808</v>
      </c>
      <c r="V278" s="1145">
        <v>135</v>
      </c>
      <c r="W278" s="1173" t="s">
        <v>4806</v>
      </c>
      <c r="X278" s="1634"/>
      <c r="Y278" s="1634"/>
      <c r="Z278" s="1634"/>
      <c r="AA278" s="1634"/>
      <c r="AB278" s="1634"/>
      <c r="AC278" s="1634"/>
      <c r="AD278" s="1634"/>
      <c r="AE278" s="1634"/>
      <c r="AF278" s="1634"/>
      <c r="AG278" s="1634"/>
      <c r="AH278" s="1634"/>
      <c r="AI278" s="1634"/>
      <c r="AJ278" s="1634"/>
      <c r="AK278" s="1634"/>
      <c r="AL278" s="1634"/>
      <c r="AM278" s="1634"/>
      <c r="AN278" s="1634"/>
      <c r="AO278" s="1634"/>
      <c r="AP278" s="1634"/>
      <c r="AQ278" s="1634"/>
      <c r="AR278" s="1634"/>
      <c r="AS278" s="1634"/>
      <c r="AT278" s="1634"/>
      <c r="AU278" s="1634"/>
      <c r="AV278" s="377"/>
      <c r="AW278" s="377"/>
      <c r="AX278" s="377"/>
      <c r="AY278" s="377"/>
      <c r="AZ278" s="377"/>
      <c r="BA278" s="377"/>
      <c r="BB278" s="377"/>
      <c r="BC278" s="377"/>
      <c r="BD278" s="377"/>
      <c r="BE278" s="377"/>
      <c r="BF278" s="377"/>
      <c r="BG278" s="377"/>
      <c r="BH278" s="377"/>
      <c r="BI278" s="377"/>
    </row>
    <row r="279" spans="1:61" ht="24" hidden="1">
      <c r="A279" s="966" t="s">
        <v>506</v>
      </c>
      <c r="B279" s="966" t="s">
        <v>4808</v>
      </c>
      <c r="C279" s="967" t="s">
        <v>178</v>
      </c>
      <c r="D279" s="966" t="s">
        <v>4809</v>
      </c>
      <c r="E279" s="966" t="s">
        <v>490</v>
      </c>
      <c r="F279" s="966">
        <v>168</v>
      </c>
      <c r="G279" s="2059"/>
      <c r="H279" s="2059" t="str">
        <f>VLOOKUP(I279,plasmids!$A$2:$B$351,2)</f>
        <v>pscAAV-CAG-eNpHR-eYFP</v>
      </c>
      <c r="I279" s="966">
        <v>295</v>
      </c>
      <c r="J279" s="966" t="s">
        <v>1675</v>
      </c>
      <c r="K279" s="1496">
        <v>41776</v>
      </c>
      <c r="L279" s="1496"/>
      <c r="M279" s="971">
        <v>41796</v>
      </c>
      <c r="N279" s="972">
        <v>318</v>
      </c>
      <c r="O279" s="2630"/>
      <c r="P279" s="976"/>
      <c r="Q279" s="1599">
        <v>1140000000000</v>
      </c>
      <c r="R279" s="974">
        <v>3980000000</v>
      </c>
      <c r="S279" s="977">
        <f t="shared" si="0"/>
        <v>9394974874371.8594</v>
      </c>
      <c r="T279" s="2183">
        <v>41981</v>
      </c>
      <c r="U279" s="978"/>
      <c r="V279" s="973">
        <v>90</v>
      </c>
      <c r="W279" s="932"/>
      <c r="X279" s="932"/>
      <c r="Y279" s="932"/>
      <c r="Z279" s="932"/>
      <c r="AA279" s="932"/>
      <c r="AB279" s="932"/>
      <c r="AC279" s="932"/>
      <c r="AD279" s="932"/>
      <c r="AE279" s="932"/>
      <c r="AF279" s="932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</row>
    <row r="280" spans="1:61" ht="19.5" hidden="1" customHeight="1">
      <c r="A280" s="2255" t="s">
        <v>4745</v>
      </c>
      <c r="B280" s="1786" t="s">
        <v>4747</v>
      </c>
      <c r="C280" s="1787" t="s">
        <v>567</v>
      </c>
      <c r="D280" s="1786" t="s">
        <v>4763</v>
      </c>
      <c r="E280" s="1788" t="str">
        <f>VLOOKUP(F280,plasmids!$A$2:$B$351,2)</f>
        <v>AAV2-7m8</v>
      </c>
      <c r="F280" s="1798">
        <v>178</v>
      </c>
      <c r="G280" s="1789"/>
      <c r="H280" s="1789" t="str">
        <f>VLOOKUP(I280,plasmids!$A$2:$B$911,2)</f>
        <v>pAAV-EF1a-mCherry-IRES-Cre-WPRE</v>
      </c>
      <c r="I280" s="1786">
        <v>242</v>
      </c>
      <c r="J280" s="1790"/>
      <c r="K280" s="1792">
        <v>41699</v>
      </c>
      <c r="L280" s="1792"/>
      <c r="M280" s="1793">
        <v>41796</v>
      </c>
      <c r="N280" s="8">
        <v>319</v>
      </c>
      <c r="O280" s="2632"/>
      <c r="P280" s="1624"/>
      <c r="Q280" s="15">
        <v>22000000000000</v>
      </c>
      <c r="R280" s="1589">
        <v>3980000000</v>
      </c>
      <c r="S280" s="1800">
        <f t="shared" si="0"/>
        <v>181306532663316.56</v>
      </c>
      <c r="T280" s="1790"/>
      <c r="U280" s="1790"/>
      <c r="V280" s="1798">
        <v>90</v>
      </c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</row>
    <row r="281" spans="1:61" ht="17.25" hidden="1" customHeight="1">
      <c r="A281" s="1785" t="s">
        <v>3891</v>
      </c>
      <c r="B281" s="1786" t="s">
        <v>508</v>
      </c>
      <c r="C281" s="1787" t="s">
        <v>178</v>
      </c>
      <c r="D281" s="1786" t="s">
        <v>70</v>
      </c>
      <c r="E281" s="1788" t="str">
        <f>VLOOKUP(F281,plasmids!$A$2:$B$351,2)</f>
        <v>AAV2</v>
      </c>
      <c r="F281" s="1786">
        <v>140</v>
      </c>
      <c r="G281" s="2596"/>
      <c r="H281" s="2596" t="str">
        <f>VLOOKUP(I281,plasmids!$A$2:$B$391,2)</f>
        <v>pAAV2-hSyn-ReaChR-Citrine</v>
      </c>
      <c r="I281" s="1786">
        <v>304</v>
      </c>
      <c r="J281" s="1790"/>
      <c r="K281" s="1792">
        <v>41699</v>
      </c>
      <c r="L281" s="1792"/>
      <c r="M281" s="1793">
        <v>41803</v>
      </c>
      <c r="N281" s="4">
        <v>320</v>
      </c>
      <c r="O281" s="2632"/>
      <c r="P281" s="1624"/>
      <c r="Q281" s="15">
        <v>36400000000000</v>
      </c>
      <c r="R281" s="1589">
        <v>10600000000</v>
      </c>
      <c r="S281" s="1800">
        <f t="shared" si="0"/>
        <v>112633962264150.95</v>
      </c>
      <c r="T281" s="1802">
        <v>41981</v>
      </c>
      <c r="U281" s="1790"/>
      <c r="V281" s="1786">
        <v>200</v>
      </c>
      <c r="W281" s="1785" t="s">
        <v>4828</v>
      </c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</row>
    <row r="282" spans="1:61" ht="24.75" hidden="1" customHeight="1">
      <c r="A282" s="470" t="s">
        <v>52</v>
      </c>
      <c r="B282" s="470" t="s">
        <v>139</v>
      </c>
      <c r="C282" s="1001" t="s">
        <v>178</v>
      </c>
      <c r="D282" s="470" t="s">
        <v>57</v>
      </c>
      <c r="E282" s="2633" t="str">
        <f>VLOOKUP(F282,plasmids!$A$2:$B$351,2)</f>
        <v>AAV2-7m8</v>
      </c>
      <c r="F282" s="470">
        <v>178</v>
      </c>
      <c r="G282" s="1828"/>
      <c r="H282" s="1828" t="str">
        <f>VLOOKUP(I282,plasmids!$A$2:$B$391,2)</f>
        <v>pssAAV-hCAr-eNpHR2,0V-YFP-WPRE</v>
      </c>
      <c r="I282" s="470">
        <v>387</v>
      </c>
      <c r="J282" s="471"/>
      <c r="K282" s="1003">
        <v>41803</v>
      </c>
      <c r="L282" s="1003"/>
      <c r="M282" s="1005">
        <v>41803</v>
      </c>
      <c r="N282" s="1006">
        <v>321</v>
      </c>
      <c r="O282" s="1659"/>
      <c r="P282" s="466"/>
      <c r="Q282" s="1604">
        <v>13100000000000</v>
      </c>
      <c r="R282" s="462">
        <v>10600000000</v>
      </c>
      <c r="S282" s="468">
        <f t="shared" si="0"/>
        <v>40535849056603.773</v>
      </c>
      <c r="T282" s="1830">
        <v>41981</v>
      </c>
      <c r="U282" s="1830">
        <v>42002</v>
      </c>
      <c r="V282" s="470">
        <v>150</v>
      </c>
      <c r="W282" s="1011"/>
      <c r="X282" s="1011"/>
      <c r="Y282" s="1011"/>
      <c r="Z282" s="1011"/>
      <c r="AA282" s="1011"/>
      <c r="AB282" s="1011"/>
      <c r="AC282" s="1011"/>
      <c r="AD282" s="1011"/>
      <c r="AE282" s="1011"/>
      <c r="AF282" s="1011"/>
      <c r="AG282" s="1011"/>
      <c r="AH282" s="1011"/>
      <c r="AI282" s="1011"/>
      <c r="AJ282" s="1011"/>
      <c r="AK282" s="1011"/>
      <c r="AL282" s="1011"/>
      <c r="AM282" s="1011"/>
      <c r="AN282" s="1011"/>
      <c r="AO282" s="1011"/>
      <c r="AP282" s="1011"/>
      <c r="AQ282" s="1011"/>
      <c r="AR282" s="1011"/>
      <c r="AS282" s="1011"/>
      <c r="AT282" s="1011"/>
      <c r="AU282" s="1011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</row>
    <row r="283" spans="1:61" ht="20.25" hidden="1" customHeight="1">
      <c r="A283" s="1832" t="s">
        <v>52</v>
      </c>
      <c r="B283" s="1832" t="s">
        <v>139</v>
      </c>
      <c r="C283" s="1833" t="s">
        <v>178</v>
      </c>
      <c r="D283" s="1832" t="s">
        <v>57</v>
      </c>
      <c r="E283" s="2634" t="str">
        <f>VLOOKUP(F283,plasmids!$A$2:$B$351,2)</f>
        <v>AAV2-7m8</v>
      </c>
      <c r="F283" s="1898">
        <v>178</v>
      </c>
      <c r="G283" s="1834"/>
      <c r="H283" s="1834" t="str">
        <f>VLOOKUP(I283,plasmids!$A$2:$B$400,2)</f>
        <v>pssAAV-mCAR-GFP</v>
      </c>
      <c r="I283" s="1832">
        <v>93</v>
      </c>
      <c r="J283" s="1854"/>
      <c r="K283" s="1856">
        <v>41802</v>
      </c>
      <c r="L283" s="1856"/>
      <c r="M283" s="1857">
        <v>41803</v>
      </c>
      <c r="N283" s="1897">
        <v>322</v>
      </c>
      <c r="O283" s="2635"/>
      <c r="P283" s="1899"/>
      <c r="Q283" s="1900">
        <v>8240000000000</v>
      </c>
      <c r="R283" s="2450">
        <v>10600000000</v>
      </c>
      <c r="S283" s="1902">
        <f t="shared" si="0"/>
        <v>25497358490566.039</v>
      </c>
      <c r="T283" s="2452">
        <v>41981</v>
      </c>
      <c r="U283" s="1854"/>
      <c r="V283" s="2635">
        <f>150-56</f>
        <v>94</v>
      </c>
      <c r="W283" s="1904" t="s">
        <v>4230</v>
      </c>
      <c r="X283" s="1905"/>
      <c r="Y283" s="1905"/>
      <c r="Z283" s="1905"/>
      <c r="AA283" s="1905"/>
      <c r="AB283" s="1905"/>
      <c r="AC283" s="1905"/>
      <c r="AD283" s="1905"/>
      <c r="AE283" s="1905"/>
      <c r="AF283" s="1905"/>
      <c r="AG283" s="1905"/>
      <c r="AH283" s="1905"/>
      <c r="AI283" s="1905"/>
      <c r="AJ283" s="1905"/>
      <c r="AK283" s="1905"/>
      <c r="AL283" s="1905"/>
      <c r="AM283" s="1905"/>
      <c r="AN283" s="1905"/>
      <c r="AO283" s="1905"/>
      <c r="AP283" s="1905"/>
      <c r="AQ283" s="1905"/>
      <c r="AR283" s="1905"/>
      <c r="AS283" s="1905"/>
      <c r="AT283" s="1905"/>
      <c r="AU283" s="1905"/>
      <c r="AV283" s="1905"/>
      <c r="AW283" s="1905"/>
      <c r="AX283" s="1905"/>
      <c r="AY283" s="234"/>
      <c r="AZ283" s="234"/>
      <c r="BA283" s="234"/>
      <c r="BB283" s="234"/>
      <c r="BC283" s="234"/>
      <c r="BD283" s="234"/>
      <c r="BE283" s="234"/>
      <c r="BF283" s="234"/>
      <c r="BG283" s="234"/>
      <c r="BH283" s="234"/>
      <c r="BI283" s="234"/>
    </row>
    <row r="284" spans="1:61" ht="21.75" hidden="1" customHeight="1">
      <c r="A284" s="64" t="s">
        <v>52</v>
      </c>
      <c r="B284" s="84"/>
      <c r="C284" s="2636"/>
      <c r="D284" s="64" t="s">
        <v>345</v>
      </c>
      <c r="E284" s="64" t="s">
        <v>490</v>
      </c>
      <c r="F284" s="67">
        <v>168</v>
      </c>
      <c r="G284" s="2339"/>
      <c r="H284" s="2339" t="str">
        <f>VLOOKUP(I284,plasmids!$A$2:$B$1011,2)</f>
        <v>sc-CAG-GFP</v>
      </c>
      <c r="I284" s="64">
        <v>120</v>
      </c>
      <c r="J284" s="64" t="s">
        <v>1012</v>
      </c>
      <c r="K284" s="68">
        <v>41787</v>
      </c>
      <c r="L284" s="68"/>
      <c r="M284" s="70">
        <v>41803</v>
      </c>
      <c r="N284" s="1006">
        <v>323</v>
      </c>
      <c r="O284" s="72"/>
      <c r="P284" s="78"/>
      <c r="Q284" s="2637">
        <v>7610000000000</v>
      </c>
      <c r="R284" s="74">
        <v>10600000000</v>
      </c>
      <c r="S284" s="82">
        <f t="shared" si="0"/>
        <v>23547924528301.887</v>
      </c>
      <c r="T284" s="2638">
        <v>41981</v>
      </c>
      <c r="U284" s="84"/>
      <c r="V284" s="67">
        <v>200</v>
      </c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</row>
    <row r="285" spans="1:61" ht="24" hidden="1">
      <c r="A285" s="981" t="s">
        <v>2247</v>
      </c>
      <c r="B285" s="981" t="s">
        <v>2886</v>
      </c>
      <c r="C285" s="983" t="s">
        <v>4303</v>
      </c>
      <c r="D285" s="981" t="s">
        <v>345</v>
      </c>
      <c r="E285" s="981" t="s">
        <v>490</v>
      </c>
      <c r="F285" s="984">
        <v>168</v>
      </c>
      <c r="G285" s="2639"/>
      <c r="H285" s="2639" t="str">
        <f>VLOOKUP(I285,plasmids!$A$2:$B$1011,2)</f>
        <v>pAAVsc-CAG-GFP-2A-hrdcvf-e64k</v>
      </c>
      <c r="I285" s="981">
        <v>237</v>
      </c>
      <c r="J285" s="981" t="s">
        <v>1012</v>
      </c>
      <c r="K285" s="986">
        <v>41787</v>
      </c>
      <c r="L285" s="986"/>
      <c r="M285" s="988">
        <v>41831</v>
      </c>
      <c r="N285" s="989">
        <v>324</v>
      </c>
      <c r="O285" s="984">
        <v>6</v>
      </c>
      <c r="P285" s="992"/>
      <c r="Q285" s="1618">
        <v>295000000000000</v>
      </c>
      <c r="R285" s="990">
        <v>29200000000</v>
      </c>
      <c r="S285" s="994">
        <f t="shared" si="0"/>
        <v>331369863013698.62</v>
      </c>
      <c r="T285" s="2641">
        <v>41981</v>
      </c>
      <c r="U285" s="995"/>
      <c r="V285" s="984">
        <v>200</v>
      </c>
      <c r="W285" s="997" t="s">
        <v>2934</v>
      </c>
      <c r="X285" s="998"/>
      <c r="Y285" s="998"/>
      <c r="Z285" s="998"/>
      <c r="AA285" s="998"/>
      <c r="AB285" s="998"/>
      <c r="AC285" s="998"/>
      <c r="AD285" s="998"/>
      <c r="AE285" s="998"/>
      <c r="AF285" s="234"/>
      <c r="AG285" s="234"/>
      <c r="AH285" s="234"/>
      <c r="AI285" s="234"/>
      <c r="AJ285" s="234"/>
      <c r="AK285" s="234"/>
      <c r="AL285" s="234"/>
      <c r="AM285" s="234"/>
      <c r="AN285" s="234"/>
      <c r="AO285" s="234"/>
      <c r="AP285" s="234"/>
      <c r="AQ285" s="234"/>
      <c r="AR285" s="234"/>
      <c r="AS285" s="234"/>
      <c r="AT285" s="234"/>
      <c r="AU285" s="234"/>
      <c r="AV285" s="234"/>
      <c r="AW285" s="234"/>
      <c r="AX285" s="234"/>
      <c r="AY285" s="234"/>
      <c r="AZ285" s="234"/>
      <c r="BA285" s="234"/>
      <c r="BB285" s="234"/>
      <c r="BC285" s="234"/>
      <c r="BD285" s="234"/>
      <c r="BE285" s="234"/>
      <c r="BF285" s="234"/>
      <c r="BG285" s="234"/>
      <c r="BH285" s="234"/>
      <c r="BI285" s="234"/>
    </row>
    <row r="286" spans="1:61" ht="24" hidden="1">
      <c r="A286" s="981" t="s">
        <v>2247</v>
      </c>
      <c r="B286" s="981" t="s">
        <v>2886</v>
      </c>
      <c r="C286" s="983" t="s">
        <v>4303</v>
      </c>
      <c r="D286" s="981" t="s">
        <v>345</v>
      </c>
      <c r="E286" s="981" t="s">
        <v>490</v>
      </c>
      <c r="F286" s="984">
        <v>168</v>
      </c>
      <c r="G286" s="2639"/>
      <c r="H286" s="2639" t="str">
        <f>VLOOKUP(I286,plasmids!$A$2:$B$1011,2)</f>
        <v>pAAVsc-CAG-GFP-2A-hrdcvf-wt</v>
      </c>
      <c r="I286" s="981">
        <v>238</v>
      </c>
      <c r="J286" s="981" t="s">
        <v>1012</v>
      </c>
      <c r="K286" s="986">
        <v>41787</v>
      </c>
      <c r="L286" s="986"/>
      <c r="M286" s="988">
        <v>41831</v>
      </c>
      <c r="N286" s="989">
        <v>325</v>
      </c>
      <c r="O286" s="984">
        <v>6</v>
      </c>
      <c r="P286" s="992"/>
      <c r="Q286" s="1618">
        <v>31500000000000</v>
      </c>
      <c r="R286" s="990">
        <v>29200000000</v>
      </c>
      <c r="S286" s="994">
        <f t="shared" si="0"/>
        <v>35383561643835.617</v>
      </c>
      <c r="T286" s="2641">
        <v>41981</v>
      </c>
      <c r="U286" s="995"/>
      <c r="V286" s="984">
        <v>230</v>
      </c>
      <c r="W286" s="997" t="s">
        <v>2934</v>
      </c>
      <c r="X286" s="2643" t="s">
        <v>4834</v>
      </c>
      <c r="Y286" s="998"/>
      <c r="Z286" s="998"/>
      <c r="AA286" s="998"/>
      <c r="AB286" s="998"/>
      <c r="AC286" s="998"/>
      <c r="AD286" s="998"/>
      <c r="AE286" s="998"/>
      <c r="AF286" s="234"/>
      <c r="AG286" s="234"/>
      <c r="AH286" s="234"/>
      <c r="AI286" s="234"/>
      <c r="AJ286" s="234"/>
      <c r="AK286" s="234"/>
      <c r="AL286" s="234"/>
      <c r="AM286" s="234"/>
      <c r="AN286" s="234"/>
      <c r="AO286" s="234"/>
      <c r="AP286" s="234"/>
      <c r="AQ286" s="234"/>
      <c r="AR286" s="234"/>
      <c r="AS286" s="234"/>
      <c r="AT286" s="234"/>
      <c r="AU286" s="234"/>
      <c r="AV286" s="234"/>
      <c r="AW286" s="234"/>
      <c r="AX286" s="234"/>
      <c r="AY286" s="234"/>
      <c r="AZ286" s="234"/>
      <c r="BA286" s="234"/>
      <c r="BB286" s="234"/>
      <c r="BC286" s="234"/>
      <c r="BD286" s="234"/>
      <c r="BE286" s="234"/>
      <c r="BF286" s="234"/>
      <c r="BG286" s="234"/>
      <c r="BH286" s="234"/>
      <c r="BI286" s="234"/>
    </row>
    <row r="287" spans="1:61" ht="24" hidden="1">
      <c r="A287" s="981" t="s">
        <v>2247</v>
      </c>
      <c r="B287" s="981" t="s">
        <v>2886</v>
      </c>
      <c r="C287" s="983" t="s">
        <v>4303</v>
      </c>
      <c r="D287" s="981" t="s">
        <v>345</v>
      </c>
      <c r="E287" s="981" t="s">
        <v>490</v>
      </c>
      <c r="F287" s="984">
        <v>168</v>
      </c>
      <c r="G287" s="2639"/>
      <c r="H287" s="2639" t="str">
        <f>VLOOKUP(I287,plasmids!$A$2:$B$1011,2)</f>
        <v>sc-CAG-GFP</v>
      </c>
      <c r="I287" s="981">
        <v>120</v>
      </c>
      <c r="J287" s="981" t="s">
        <v>1012</v>
      </c>
      <c r="K287" s="986">
        <v>41787</v>
      </c>
      <c r="L287" s="986"/>
      <c r="M287" s="988">
        <v>41831</v>
      </c>
      <c r="N287" s="989">
        <v>326</v>
      </c>
      <c r="O287" s="984">
        <v>6</v>
      </c>
      <c r="P287" s="992"/>
      <c r="Q287" s="1618">
        <v>430000000000000</v>
      </c>
      <c r="R287" s="990">
        <v>29200000000</v>
      </c>
      <c r="S287" s="994">
        <f t="shared" si="0"/>
        <v>483013698630137</v>
      </c>
      <c r="T287" s="2641">
        <v>41981</v>
      </c>
      <c r="U287" s="995"/>
      <c r="V287" s="984">
        <f>144-30</f>
        <v>114</v>
      </c>
      <c r="W287" s="997" t="s">
        <v>2934</v>
      </c>
      <c r="X287" s="998"/>
      <c r="Y287" s="998"/>
      <c r="Z287" s="998"/>
      <c r="AA287" s="998"/>
      <c r="AB287" s="998"/>
      <c r="AC287" s="998"/>
      <c r="AD287" s="998"/>
      <c r="AE287" s="998"/>
      <c r="AF287" s="234"/>
      <c r="AG287" s="234"/>
      <c r="AH287" s="234"/>
      <c r="AI287" s="234"/>
      <c r="AJ287" s="234"/>
      <c r="AK287" s="234"/>
      <c r="AL287" s="234"/>
      <c r="AM287" s="234"/>
      <c r="AN287" s="234"/>
      <c r="AO287" s="234"/>
      <c r="AP287" s="234"/>
      <c r="AQ287" s="234"/>
      <c r="AR287" s="234"/>
      <c r="AS287" s="234"/>
      <c r="AT287" s="234"/>
      <c r="AU287" s="234"/>
      <c r="AV287" s="234"/>
      <c r="AW287" s="234"/>
      <c r="AX287" s="234"/>
      <c r="AY287" s="234"/>
      <c r="AZ287" s="234"/>
      <c r="BA287" s="234"/>
      <c r="BB287" s="234"/>
      <c r="BC287" s="234"/>
      <c r="BD287" s="234"/>
      <c r="BE287" s="234"/>
      <c r="BF287" s="234"/>
      <c r="BG287" s="234"/>
      <c r="BH287" s="234"/>
      <c r="BI287" s="234"/>
    </row>
    <row r="288" spans="1:61" ht="24" hidden="1">
      <c r="A288" s="966" t="s">
        <v>506</v>
      </c>
      <c r="B288" s="966" t="s">
        <v>4808</v>
      </c>
      <c r="C288" s="967" t="s">
        <v>178</v>
      </c>
      <c r="D288" s="966" t="s">
        <v>4809</v>
      </c>
      <c r="E288" s="966" t="s">
        <v>490</v>
      </c>
      <c r="F288" s="966">
        <v>168</v>
      </c>
      <c r="G288" s="2059"/>
      <c r="H288" s="2059" t="str">
        <f>VLOOKUP(I288,plasmids!$A$2:$B$351,2)</f>
        <v>pscAAV-CAG-eNpHR-eYFP</v>
      </c>
      <c r="I288" s="966">
        <v>295</v>
      </c>
      <c r="J288" s="966" t="s">
        <v>1675</v>
      </c>
      <c r="K288" s="1496">
        <v>41776</v>
      </c>
      <c r="L288" s="1496"/>
      <c r="M288" s="971">
        <v>41831</v>
      </c>
      <c r="N288" s="972">
        <v>327</v>
      </c>
      <c r="O288" s="973">
        <v>6</v>
      </c>
      <c r="P288" s="976"/>
      <c r="Q288" s="1599">
        <v>30000000000000</v>
      </c>
      <c r="R288" s="974">
        <v>29200000000</v>
      </c>
      <c r="S288" s="977">
        <f t="shared" si="0"/>
        <v>33698630136986.305</v>
      </c>
      <c r="T288" s="2183">
        <v>41981</v>
      </c>
      <c r="U288" s="978"/>
      <c r="V288" s="973">
        <v>190</v>
      </c>
      <c r="W288" s="932"/>
      <c r="X288" s="1500" t="s">
        <v>4840</v>
      </c>
      <c r="Y288" s="932"/>
      <c r="Z288" s="932"/>
      <c r="AA288" s="932"/>
      <c r="AB288" s="932"/>
      <c r="AC288" s="932"/>
      <c r="AD288" s="932"/>
      <c r="AE288" s="932"/>
      <c r="AF288" s="932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</row>
    <row r="289" spans="1:61" ht="23.25" hidden="1" customHeight="1">
      <c r="A289" s="1785" t="s">
        <v>3891</v>
      </c>
      <c r="B289" s="1786" t="s">
        <v>4841</v>
      </c>
      <c r="C289" s="1787" t="s">
        <v>178</v>
      </c>
      <c r="D289" s="1786" t="s">
        <v>568</v>
      </c>
      <c r="E289" s="1786" t="s">
        <v>58</v>
      </c>
      <c r="F289" s="1786">
        <v>178</v>
      </c>
      <c r="G289" s="1789"/>
      <c r="H289" s="1789" t="str">
        <f>VLOOKUP(I289,plasmids!$A$2:$B$351,2)</f>
        <v>pAAV-CMV-ChR2-D156A-mKate-NpHR</v>
      </c>
      <c r="I289" s="1786">
        <v>284</v>
      </c>
      <c r="J289" s="1790"/>
      <c r="K289" s="1792">
        <v>41808</v>
      </c>
      <c r="L289" s="1792"/>
      <c r="M289" s="1793">
        <v>41838</v>
      </c>
      <c r="N289" s="4">
        <v>328</v>
      </c>
      <c r="O289" s="2632"/>
      <c r="P289" s="1624"/>
      <c r="Q289" s="15">
        <v>366000000000</v>
      </c>
      <c r="R289" s="1589">
        <v>10400000000</v>
      </c>
      <c r="S289" s="1800">
        <f t="shared" si="0"/>
        <v>1154307692307.6924</v>
      </c>
      <c r="T289" s="1802">
        <v>41981</v>
      </c>
      <c r="U289" s="1790"/>
      <c r="V289" s="1786">
        <v>191</v>
      </c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</row>
    <row r="290" spans="1:61" ht="26.25" hidden="1" customHeight="1">
      <c r="A290" s="1785" t="s">
        <v>3891</v>
      </c>
      <c r="B290" s="2646" t="s">
        <v>4841</v>
      </c>
      <c r="C290" s="2647" t="s">
        <v>1967</v>
      </c>
      <c r="D290" s="2646" t="s">
        <v>568</v>
      </c>
      <c r="E290" s="1788" t="str">
        <f>VLOOKUP(F290,plasmids!$A$2:$B$351,2)</f>
        <v>AAV2-7m8</v>
      </c>
      <c r="F290" s="1798">
        <v>178</v>
      </c>
      <c r="G290" s="1789"/>
      <c r="H290" s="1789" t="str">
        <f>VLOOKUP(I290,plasmids!$A$2:$B$351,2)</f>
        <v>pAAV-CMV-ChR2-H134R-mKate-NpHR</v>
      </c>
      <c r="I290" s="2646">
        <v>285</v>
      </c>
      <c r="J290" s="2648"/>
      <c r="K290" s="1792">
        <v>41808</v>
      </c>
      <c r="L290" s="1792"/>
      <c r="M290" s="1793">
        <v>41838</v>
      </c>
      <c r="N290" s="2649">
        <v>329</v>
      </c>
      <c r="O290" s="2650"/>
      <c r="P290" s="2651"/>
      <c r="Q290" s="2652">
        <v>1080000000000</v>
      </c>
      <c r="R290" s="1589">
        <v>10400000000</v>
      </c>
      <c r="S290" s="2653">
        <f t="shared" si="0"/>
        <v>3406153846153.8462</v>
      </c>
      <c r="T290" s="2654">
        <v>41981</v>
      </c>
      <c r="U290" s="2648"/>
      <c r="V290" s="2655">
        <f>185-35</f>
        <v>150</v>
      </c>
      <c r="W290" s="2656"/>
      <c r="X290" s="2656"/>
      <c r="Y290" s="2656"/>
      <c r="Z290" s="2656"/>
      <c r="AA290" s="2656"/>
      <c r="AB290" s="2656"/>
      <c r="AC290" s="2656"/>
      <c r="AD290" s="2656"/>
      <c r="AE290" s="2656"/>
      <c r="AF290" s="2656"/>
      <c r="AG290" s="2656"/>
      <c r="AH290" s="2656"/>
      <c r="AI290" s="2656"/>
      <c r="AJ290" s="2656"/>
      <c r="AK290" s="2656"/>
      <c r="AL290" s="2656"/>
      <c r="AM290" s="2656"/>
      <c r="AN290" s="2656"/>
      <c r="AO290" s="2656"/>
      <c r="AP290" s="2656"/>
      <c r="AQ290" s="2656"/>
      <c r="AR290" s="2656"/>
      <c r="AS290" s="2656"/>
      <c r="AT290" s="2656"/>
      <c r="AU290" s="2656"/>
      <c r="AV290" s="2656"/>
      <c r="AW290" s="2656"/>
      <c r="AX290" s="2656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</row>
    <row r="291" spans="1:61" ht="36" hidden="1">
      <c r="A291" s="135" t="s">
        <v>4383</v>
      </c>
      <c r="B291" s="135" t="s">
        <v>625</v>
      </c>
      <c r="C291" s="137" t="s">
        <v>626</v>
      </c>
      <c r="D291" s="135" t="s">
        <v>655</v>
      </c>
      <c r="E291" s="2657" t="str">
        <f>VLOOKUP(F291,plasmids!$A$2:$B$351,2)</f>
        <v>AAV2</v>
      </c>
      <c r="F291" s="139">
        <v>140</v>
      </c>
      <c r="G291" s="2334"/>
      <c r="H291" s="2334" t="str">
        <f>VLOOKUP(I291,plasmids!$A$2:$B$391,2)</f>
        <v>pAAV-CMV-TGFbeta-muté</v>
      </c>
      <c r="I291" s="135">
        <v>219</v>
      </c>
      <c r="J291" s="135" t="s">
        <v>60</v>
      </c>
      <c r="K291" s="143"/>
      <c r="L291" s="1086"/>
      <c r="M291" s="1087">
        <v>41838</v>
      </c>
      <c r="N291" s="145">
        <v>330</v>
      </c>
      <c r="O291" s="147"/>
      <c r="P291" s="1090"/>
      <c r="Q291" s="150">
        <v>3450000000000</v>
      </c>
      <c r="R291" s="149">
        <v>10400000000</v>
      </c>
      <c r="S291" s="153">
        <f t="shared" si="0"/>
        <v>10880769230769.23</v>
      </c>
      <c r="T291" s="2337">
        <v>41981</v>
      </c>
      <c r="U291" s="156"/>
      <c r="V291" s="1474">
        <v>150</v>
      </c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</row>
    <row r="292" spans="1:61" ht="24" hidden="1">
      <c r="A292" s="2387" t="s">
        <v>52</v>
      </c>
      <c r="B292" s="2361" t="s">
        <v>4496</v>
      </c>
      <c r="C292" s="2363" t="s">
        <v>4497</v>
      </c>
      <c r="D292" s="2360" t="s">
        <v>568</v>
      </c>
      <c r="E292" s="2365" t="str">
        <f>VLOOKUP(F292,plasmids!$A$2:$B$351,2)</f>
        <v>pXR8 Y447 733F</v>
      </c>
      <c r="F292" s="2360">
        <v>195</v>
      </c>
      <c r="G292" s="2366"/>
      <c r="H292" s="2366" t="str">
        <f>VLOOKUP(I292,plasmids!$A$2:$B$391,2)</f>
        <v>pscAAV-CAG-eNpHR-eYFP</v>
      </c>
      <c r="I292" s="2360">
        <v>295</v>
      </c>
      <c r="J292" s="2367"/>
      <c r="K292" s="2367"/>
      <c r="L292" s="2370"/>
      <c r="M292" s="2371">
        <v>41838</v>
      </c>
      <c r="N292" s="874">
        <v>331</v>
      </c>
      <c r="O292" s="2659"/>
      <c r="P292" s="2380"/>
      <c r="Q292" s="2383">
        <v>14300000000</v>
      </c>
      <c r="R292" s="2384">
        <v>10400000000</v>
      </c>
      <c r="S292" s="2385">
        <f t="shared" si="0"/>
        <v>45100000000</v>
      </c>
      <c r="T292" s="2369">
        <v>41981</v>
      </c>
      <c r="U292" s="2388"/>
      <c r="V292" s="2360">
        <v>173</v>
      </c>
      <c r="W292" s="2388"/>
      <c r="X292" s="2388"/>
      <c r="Y292" s="2388"/>
      <c r="Z292" s="2388"/>
      <c r="AA292" s="2388"/>
      <c r="AB292" s="2388"/>
      <c r="AC292" s="2388"/>
      <c r="AD292" s="2388"/>
      <c r="AE292" s="2388"/>
      <c r="AF292" s="2388"/>
      <c r="AG292" s="2388"/>
      <c r="AH292" s="2388"/>
      <c r="AI292" s="2388"/>
      <c r="AJ292" s="2388"/>
      <c r="AK292" s="2388"/>
      <c r="AL292" s="2388"/>
      <c r="AM292" s="2388"/>
      <c r="AN292" s="2388"/>
      <c r="AO292" s="2388"/>
      <c r="AP292" s="2388"/>
      <c r="AQ292" s="2388"/>
      <c r="AR292" s="2388"/>
      <c r="AS292" s="2388"/>
      <c r="AT292" s="2388"/>
      <c r="AU292" s="2388"/>
      <c r="AV292" s="2388"/>
      <c r="AW292" s="2388"/>
      <c r="AX292" s="2388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</row>
    <row r="293" spans="1:61" ht="24" hidden="1">
      <c r="A293" s="2387" t="s">
        <v>52</v>
      </c>
      <c r="B293" s="2361" t="s">
        <v>4496</v>
      </c>
      <c r="C293" s="2363" t="s">
        <v>4497</v>
      </c>
      <c r="D293" s="2360" t="s">
        <v>568</v>
      </c>
      <c r="E293" s="2365" t="str">
        <f>VLOOKUP(F293,plasmids!$A$2:$B$351,2)</f>
        <v>pXR8 Y447 733F</v>
      </c>
      <c r="F293" s="2360">
        <v>195</v>
      </c>
      <c r="G293" s="2366"/>
      <c r="H293" s="2366" t="str">
        <f>VLOOKUP(I293,plasmids!$A$2:$B$391,2)</f>
        <v>pscAAV-CAG-eNpHR-eYFP</v>
      </c>
      <c r="I293" s="2360">
        <v>295</v>
      </c>
      <c r="J293" s="2367"/>
      <c r="K293" s="2367"/>
      <c r="L293" s="2370"/>
      <c r="M293" s="2371">
        <v>41845</v>
      </c>
      <c r="N293" s="874">
        <v>332</v>
      </c>
      <c r="O293" s="2659"/>
      <c r="P293" s="2380"/>
      <c r="Q293" s="2383">
        <v>130000000000</v>
      </c>
      <c r="R293" s="2384">
        <v>6490000000</v>
      </c>
      <c r="S293" s="2385">
        <f t="shared" si="0"/>
        <v>657010785824.34509</v>
      </c>
      <c r="T293" s="2369">
        <v>41981</v>
      </c>
      <c r="U293" s="2388"/>
      <c r="V293" s="2360">
        <v>200</v>
      </c>
      <c r="W293" s="2388"/>
      <c r="X293" s="2388"/>
      <c r="Y293" s="2388"/>
      <c r="Z293" s="2388"/>
      <c r="AA293" s="2388"/>
      <c r="AB293" s="2388"/>
      <c r="AC293" s="2388"/>
      <c r="AD293" s="2388"/>
      <c r="AE293" s="2388"/>
      <c r="AF293" s="2388"/>
      <c r="AG293" s="2388"/>
      <c r="AH293" s="2388"/>
      <c r="AI293" s="2388"/>
      <c r="AJ293" s="2388"/>
      <c r="AK293" s="2388"/>
      <c r="AL293" s="2388"/>
      <c r="AM293" s="2388"/>
      <c r="AN293" s="2388"/>
      <c r="AO293" s="2388"/>
      <c r="AP293" s="2388"/>
      <c r="AQ293" s="2388"/>
      <c r="AR293" s="2388"/>
      <c r="AS293" s="2388"/>
      <c r="AT293" s="2388"/>
      <c r="AU293" s="2388"/>
      <c r="AV293" s="2388"/>
      <c r="AW293" s="2388"/>
      <c r="AX293" s="2388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</row>
    <row r="294" spans="1:61" ht="36" hidden="1">
      <c r="A294" s="135" t="s">
        <v>4383</v>
      </c>
      <c r="B294" s="135" t="s">
        <v>625</v>
      </c>
      <c r="C294" s="137" t="s">
        <v>626</v>
      </c>
      <c r="D294" s="135" t="s">
        <v>655</v>
      </c>
      <c r="E294" s="164" t="s">
        <v>882</v>
      </c>
      <c r="F294" s="139">
        <v>142</v>
      </c>
      <c r="G294" s="2334"/>
      <c r="H294" s="2334" t="str">
        <f>VLOOKUP(I294,plasmids!$A$2:$B$393,2)</f>
        <v>pAAV-CMV-TGFbeta-muté</v>
      </c>
      <c r="I294" s="135">
        <v>219</v>
      </c>
      <c r="J294" s="135" t="s">
        <v>60</v>
      </c>
      <c r="K294" s="143"/>
      <c r="L294" s="1086"/>
      <c r="M294" s="1087">
        <v>41845</v>
      </c>
      <c r="N294" s="145">
        <v>333</v>
      </c>
      <c r="O294" s="139">
        <v>6</v>
      </c>
      <c r="P294" s="1090"/>
      <c r="Q294" s="150">
        <v>35600000000000</v>
      </c>
      <c r="R294" s="149">
        <v>6490000000</v>
      </c>
      <c r="S294" s="153">
        <f t="shared" si="0"/>
        <v>179919876733436.06</v>
      </c>
      <c r="T294" s="2337">
        <v>41963</v>
      </c>
      <c r="U294" s="156"/>
      <c r="V294" s="1474">
        <v>155</v>
      </c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</row>
    <row r="295" spans="1:61" ht="12" hidden="1">
      <c r="A295" s="2667" t="s">
        <v>4846</v>
      </c>
      <c r="B295" s="2667" t="s">
        <v>4847</v>
      </c>
      <c r="C295" s="2669" t="s">
        <v>178</v>
      </c>
      <c r="D295" s="2667" t="s">
        <v>288</v>
      </c>
      <c r="E295" s="2667" t="s">
        <v>58</v>
      </c>
      <c r="F295" s="2671">
        <v>178</v>
      </c>
      <c r="G295" s="2669"/>
      <c r="H295" s="2669" t="s">
        <v>1530</v>
      </c>
      <c r="I295" s="2667">
        <v>396</v>
      </c>
      <c r="J295" s="2672"/>
      <c r="K295" s="2673">
        <v>41838</v>
      </c>
      <c r="L295" s="2673"/>
      <c r="M295" s="2674">
        <v>41845</v>
      </c>
      <c r="N295" s="2675">
        <v>334</v>
      </c>
      <c r="O295" s="2676"/>
      <c r="P295" s="2677"/>
      <c r="Q295" s="2678">
        <v>2600000000000</v>
      </c>
      <c r="R295" s="2679">
        <v>6490000000</v>
      </c>
      <c r="S295" s="2680">
        <f t="shared" si="0"/>
        <v>13140215716486.902</v>
      </c>
      <c r="T295" s="2681">
        <v>41963</v>
      </c>
      <c r="U295" s="2672"/>
      <c r="V295" s="2671">
        <v>189</v>
      </c>
      <c r="W295" s="2682"/>
      <c r="X295" s="2682"/>
      <c r="Y295" s="2682"/>
      <c r="Z295" s="2682"/>
      <c r="AA295" s="2682"/>
      <c r="AB295" s="2682"/>
      <c r="AC295" s="2682"/>
      <c r="AD295" s="2682"/>
      <c r="AE295" s="2682"/>
      <c r="AF295" s="2682"/>
      <c r="AG295" s="2682"/>
      <c r="AH295" s="2682"/>
      <c r="AI295" s="2682"/>
      <c r="AJ295" s="2682"/>
      <c r="AK295" s="2682"/>
      <c r="AL295" s="2682"/>
      <c r="AM295" s="2682"/>
      <c r="AN295" s="2682"/>
      <c r="AO295" s="2682"/>
      <c r="AP295" s="2682"/>
      <c r="AQ295" s="2682"/>
      <c r="AR295" s="2682"/>
      <c r="AS295" s="2682"/>
      <c r="AT295" s="2682"/>
      <c r="AU295" s="2682"/>
      <c r="AV295" s="2682"/>
      <c r="AW295" s="2682"/>
      <c r="AX295" s="2682"/>
      <c r="AY295" s="2682"/>
      <c r="AZ295" s="2682"/>
      <c r="BA295" s="2682"/>
      <c r="BB295" s="2682"/>
      <c r="BC295" s="2682"/>
      <c r="BD295" s="2682"/>
      <c r="BE295" s="2682"/>
      <c r="BF295" s="2682"/>
      <c r="BG295" s="2682"/>
      <c r="BH295" s="2682"/>
      <c r="BI295" s="2682"/>
    </row>
    <row r="296" spans="1:61" ht="12" hidden="1">
      <c r="A296" s="2667" t="s">
        <v>4846</v>
      </c>
      <c r="B296" s="2667" t="s">
        <v>4847</v>
      </c>
      <c r="C296" s="2669" t="s">
        <v>178</v>
      </c>
      <c r="D296" s="2667" t="s">
        <v>288</v>
      </c>
      <c r="E296" s="2667" t="s">
        <v>58</v>
      </c>
      <c r="F296" s="2671">
        <v>178</v>
      </c>
      <c r="G296" s="2669"/>
      <c r="H296" s="2669" t="s">
        <v>1532</v>
      </c>
      <c r="I296" s="2667">
        <v>397</v>
      </c>
      <c r="J296" s="2672"/>
      <c r="K296" s="2673">
        <v>41838</v>
      </c>
      <c r="L296" s="2673"/>
      <c r="M296" s="2674">
        <v>41845</v>
      </c>
      <c r="N296" s="2675">
        <v>335</v>
      </c>
      <c r="O296" s="2676"/>
      <c r="P296" s="2677"/>
      <c r="Q296" s="2678">
        <v>1790000000000</v>
      </c>
      <c r="R296" s="2679">
        <v>6490000000</v>
      </c>
      <c r="S296" s="2680">
        <f t="shared" si="0"/>
        <v>9046533127889.0605</v>
      </c>
      <c r="T296" s="2681">
        <v>41963</v>
      </c>
      <c r="U296" s="2672"/>
      <c r="V296" s="2671">
        <v>220</v>
      </c>
      <c r="W296" s="2682"/>
      <c r="X296" s="2682"/>
      <c r="Y296" s="2682"/>
      <c r="Z296" s="2682"/>
      <c r="AA296" s="2682"/>
      <c r="AB296" s="2682"/>
      <c r="AC296" s="2682"/>
      <c r="AD296" s="2682"/>
      <c r="AE296" s="2682"/>
      <c r="AF296" s="2682"/>
      <c r="AG296" s="2682"/>
      <c r="AH296" s="2682"/>
      <c r="AI296" s="2682"/>
      <c r="AJ296" s="2682"/>
      <c r="AK296" s="2682"/>
      <c r="AL296" s="2682"/>
      <c r="AM296" s="2682"/>
      <c r="AN296" s="2682"/>
      <c r="AO296" s="2682"/>
      <c r="AP296" s="2682"/>
      <c r="AQ296" s="2682"/>
      <c r="AR296" s="2682"/>
      <c r="AS296" s="2682"/>
      <c r="AT296" s="2682"/>
      <c r="AU296" s="2682"/>
      <c r="AV296" s="2682"/>
      <c r="AW296" s="2682"/>
      <c r="AX296" s="2682"/>
      <c r="AY296" s="2682"/>
      <c r="AZ296" s="2682"/>
      <c r="BA296" s="2682"/>
      <c r="BB296" s="2682"/>
      <c r="BC296" s="2682"/>
      <c r="BD296" s="2682"/>
      <c r="BE296" s="2682"/>
      <c r="BF296" s="2682"/>
      <c r="BG296" s="2682"/>
      <c r="BH296" s="2682"/>
      <c r="BI296" s="2682"/>
    </row>
    <row r="297" spans="1:61" ht="24" hidden="1">
      <c r="A297" s="711" t="s">
        <v>707</v>
      </c>
      <c r="B297" s="711" t="s">
        <v>2698</v>
      </c>
      <c r="C297" s="717" t="s">
        <v>178</v>
      </c>
      <c r="D297" s="711" t="s">
        <v>3322</v>
      </c>
      <c r="E297" s="711" t="s">
        <v>58</v>
      </c>
      <c r="F297" s="724">
        <v>178</v>
      </c>
      <c r="G297" s="717"/>
      <c r="H297" s="717" t="s">
        <v>197</v>
      </c>
      <c r="I297" s="711">
        <v>120</v>
      </c>
      <c r="J297" s="711" t="s">
        <v>1675</v>
      </c>
      <c r="K297" s="760">
        <v>41840</v>
      </c>
      <c r="L297" s="760"/>
      <c r="M297" s="721">
        <v>41852</v>
      </c>
      <c r="N297" s="723">
        <v>336</v>
      </c>
      <c r="O297" s="2683"/>
      <c r="P297" s="727"/>
      <c r="Q297" s="761">
        <v>2950000000000</v>
      </c>
      <c r="R297" s="725">
        <v>6490000000</v>
      </c>
      <c r="S297" s="728">
        <f t="shared" si="0"/>
        <v>14909090909090.908</v>
      </c>
      <c r="T297" s="2684">
        <v>41963</v>
      </c>
      <c r="U297" s="729"/>
      <c r="V297" s="765">
        <f>20-14</f>
        <v>6</v>
      </c>
      <c r="W297" s="731"/>
      <c r="X297" s="768" t="s">
        <v>4849</v>
      </c>
      <c r="Y297" s="731"/>
      <c r="Z297" s="731"/>
      <c r="AA297" s="731"/>
      <c r="AB297" s="731"/>
      <c r="AC297" s="731"/>
      <c r="AD297" s="731"/>
      <c r="AE297" s="731"/>
      <c r="AF297" s="731"/>
      <c r="AG297" s="731"/>
      <c r="AH297" s="377"/>
      <c r="AI297" s="377"/>
      <c r="AJ297" s="377"/>
      <c r="AK297" s="377"/>
      <c r="AL297" s="377"/>
      <c r="AM297" s="377"/>
      <c r="AN297" s="377"/>
      <c r="AO297" s="377"/>
      <c r="AP297" s="377"/>
      <c r="AQ297" s="377"/>
      <c r="AR297" s="377"/>
      <c r="AS297" s="377"/>
      <c r="AT297" s="377"/>
      <c r="AU297" s="377"/>
      <c r="AV297" s="377"/>
      <c r="AW297" s="377"/>
      <c r="AX297" s="377"/>
      <c r="AY297" s="377"/>
      <c r="AZ297" s="377"/>
      <c r="BA297" s="377"/>
      <c r="BB297" s="377"/>
      <c r="BC297" s="377"/>
      <c r="BD297" s="377"/>
      <c r="BE297" s="377"/>
      <c r="BF297" s="377"/>
      <c r="BG297" s="377"/>
      <c r="BH297" s="377"/>
      <c r="BI297" s="377"/>
    </row>
    <row r="298" spans="1:61" ht="21.75" hidden="1" customHeight="1">
      <c r="A298" s="64" t="s">
        <v>52</v>
      </c>
      <c r="B298" s="64" t="s">
        <v>177</v>
      </c>
      <c r="C298" s="66" t="s">
        <v>1967</v>
      </c>
      <c r="D298" s="64" t="s">
        <v>345</v>
      </c>
      <c r="E298" s="2690" t="str">
        <f>VLOOKUP(F298,plasmids!$A$2:$B$351,2)</f>
        <v>pXR5</v>
      </c>
      <c r="F298" s="67">
        <v>154</v>
      </c>
      <c r="G298" s="2339"/>
      <c r="H298" s="2339" t="str">
        <f>VLOOKUP(I298,plasmids!$A$2:$B$1011,2)</f>
        <v>pscAAV-CAG-mem-Killer Red</v>
      </c>
      <c r="I298" s="64">
        <v>393</v>
      </c>
      <c r="J298" s="64" t="s">
        <v>1012</v>
      </c>
      <c r="K298" s="2638">
        <v>41848</v>
      </c>
      <c r="L298" s="2638"/>
      <c r="M298" s="70">
        <v>41852</v>
      </c>
      <c r="N298" s="1077">
        <v>337</v>
      </c>
      <c r="O298" s="64" t="s">
        <v>345</v>
      </c>
      <c r="P298" s="78"/>
      <c r="Q298" s="2637">
        <v>12200000000000</v>
      </c>
      <c r="R298" s="74">
        <v>6490000000</v>
      </c>
      <c r="S298" s="82">
        <f t="shared" si="0"/>
        <v>61657935285053.93</v>
      </c>
      <c r="T298" s="2638">
        <v>41963</v>
      </c>
      <c r="U298" s="84"/>
      <c r="V298" s="538">
        <f>150-30-14</f>
        <v>106</v>
      </c>
      <c r="W298" s="2691"/>
      <c r="X298" s="2692"/>
      <c r="Y298" s="72"/>
      <c r="Z298" s="78"/>
      <c r="AA298" s="74">
        <v>7610000000000</v>
      </c>
      <c r="AB298" s="74">
        <v>10600000000</v>
      </c>
      <c r="AC298" s="78"/>
      <c r="AD298" s="84"/>
      <c r="AE298" s="67">
        <v>200</v>
      </c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</row>
    <row r="299" spans="1:61" ht="22.5" hidden="1" customHeight="1">
      <c r="A299" s="1785" t="s">
        <v>3891</v>
      </c>
      <c r="B299" s="1786" t="s">
        <v>4841</v>
      </c>
      <c r="C299" s="1787" t="s">
        <v>178</v>
      </c>
      <c r="D299" s="1786" t="s">
        <v>568</v>
      </c>
      <c r="E299" s="1786" t="s">
        <v>58</v>
      </c>
      <c r="F299" s="1786">
        <v>178</v>
      </c>
      <c r="G299" s="1789"/>
      <c r="H299" s="1789" t="str">
        <f>VLOOKUP(I299,plasmids!$A$2:$B$351,2)</f>
        <v>pAAV-CMV-ChR2-D156A-mKate-NpHR</v>
      </c>
      <c r="I299" s="1786">
        <v>284</v>
      </c>
      <c r="J299" s="1790"/>
      <c r="K299" s="2654">
        <v>41848</v>
      </c>
      <c r="L299" s="2654"/>
      <c r="M299" s="2695">
        <v>41852</v>
      </c>
      <c r="N299" s="4">
        <v>338</v>
      </c>
      <c r="O299" s="2632"/>
      <c r="P299" s="1624"/>
      <c r="Q299" s="15">
        <v>16300000000000</v>
      </c>
      <c r="R299" s="1589">
        <v>6490000000</v>
      </c>
      <c r="S299" s="1800">
        <f t="shared" si="0"/>
        <v>82379044684129.422</v>
      </c>
      <c r="T299" s="1802">
        <v>41963</v>
      </c>
      <c r="U299" s="1790"/>
      <c r="V299" s="1786">
        <v>190</v>
      </c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</row>
    <row r="300" spans="1:61" ht="24" hidden="1">
      <c r="A300" s="981" t="s">
        <v>2247</v>
      </c>
      <c r="B300" s="981" t="s">
        <v>2886</v>
      </c>
      <c r="C300" s="983" t="s">
        <v>4303</v>
      </c>
      <c r="D300" s="981" t="s">
        <v>345</v>
      </c>
      <c r="E300" s="981" t="s">
        <v>490</v>
      </c>
      <c r="F300" s="984">
        <v>168</v>
      </c>
      <c r="G300" s="2639"/>
      <c r="H300" s="2639" t="str">
        <f>VLOOKUP(I300,plasmids!$A$2:$B$1011,2)</f>
        <v>pAAVsc-CAG-GFP-2A-hrdcvf-wt</v>
      </c>
      <c r="I300" s="981">
        <v>238</v>
      </c>
      <c r="J300" s="981" t="s">
        <v>1012</v>
      </c>
      <c r="K300" s="986">
        <v>41820</v>
      </c>
      <c r="L300" s="986"/>
      <c r="M300" s="988">
        <v>41852</v>
      </c>
      <c r="N300" s="989">
        <v>339</v>
      </c>
      <c r="O300" s="2699"/>
      <c r="P300" s="992"/>
      <c r="Q300" s="1618">
        <v>141000000000000</v>
      </c>
      <c r="R300" s="990">
        <v>6490000000</v>
      </c>
      <c r="S300" s="994">
        <f t="shared" si="0"/>
        <v>712604006163328.25</v>
      </c>
      <c r="T300" s="2641">
        <v>41963</v>
      </c>
      <c r="U300" s="995"/>
      <c r="V300" s="984">
        <v>240</v>
      </c>
      <c r="W300" s="997" t="s">
        <v>2934</v>
      </c>
      <c r="X300" s="1631" t="s">
        <v>4854</v>
      </c>
      <c r="Y300" s="998"/>
      <c r="Z300" s="998"/>
      <c r="AA300" s="998"/>
      <c r="AB300" s="998"/>
      <c r="AC300" s="998"/>
      <c r="AD300" s="998"/>
      <c r="AE300" s="998"/>
      <c r="AF300" s="234"/>
      <c r="AG300" s="234"/>
      <c r="AH300" s="234"/>
      <c r="AI300" s="234"/>
      <c r="AJ300" s="234"/>
      <c r="AK300" s="234"/>
      <c r="AL300" s="234"/>
      <c r="AM300" s="234"/>
      <c r="AN300" s="234"/>
      <c r="AO300" s="234"/>
      <c r="AP300" s="234"/>
      <c r="AQ300" s="234"/>
      <c r="AR300" s="234"/>
      <c r="AS300" s="234"/>
      <c r="AT300" s="234"/>
      <c r="AU300" s="234"/>
      <c r="AV300" s="234"/>
      <c r="AW300" s="234"/>
      <c r="AX300" s="234"/>
      <c r="AY300" s="234"/>
      <c r="AZ300" s="234"/>
      <c r="BA300" s="234"/>
      <c r="BB300" s="234"/>
      <c r="BC300" s="234"/>
      <c r="BD300" s="234"/>
      <c r="BE300" s="234"/>
      <c r="BF300" s="234"/>
      <c r="BG300" s="234"/>
      <c r="BH300" s="234"/>
      <c r="BI300" s="234"/>
    </row>
    <row r="301" spans="1:61" ht="24" hidden="1">
      <c r="A301" s="470" t="s">
        <v>3776</v>
      </c>
      <c r="B301" s="470" t="s">
        <v>1126</v>
      </c>
      <c r="C301" s="1001" t="s">
        <v>55</v>
      </c>
      <c r="D301" s="470" t="s">
        <v>3782</v>
      </c>
      <c r="E301" s="470" t="s">
        <v>58</v>
      </c>
      <c r="F301" s="1008">
        <v>178</v>
      </c>
      <c r="G301" s="1001"/>
      <c r="H301" s="1001" t="s">
        <v>1124</v>
      </c>
      <c r="I301" s="470">
        <v>298</v>
      </c>
      <c r="J301" s="471"/>
      <c r="K301" s="1003">
        <v>41849</v>
      </c>
      <c r="L301" s="1003"/>
      <c r="M301" s="1005">
        <v>41859</v>
      </c>
      <c r="N301" s="1006">
        <v>340</v>
      </c>
      <c r="O301" s="1659"/>
      <c r="P301" s="2704"/>
      <c r="Q301" s="1604">
        <v>443000000000</v>
      </c>
      <c r="R301" s="462">
        <v>7240000000</v>
      </c>
      <c r="S301" s="468">
        <f t="shared" si="0"/>
        <v>2006961325966.8511</v>
      </c>
      <c r="T301" s="1830">
        <v>41963</v>
      </c>
      <c r="U301" s="471"/>
      <c r="V301" s="1008">
        <v>185</v>
      </c>
      <c r="W301" s="471"/>
      <c r="X301" s="470" t="s">
        <v>4856</v>
      </c>
      <c r="Y301" s="471"/>
      <c r="Z301" s="471"/>
      <c r="AA301" s="471"/>
      <c r="AB301" s="471"/>
      <c r="AC301" s="471"/>
      <c r="AD301" s="471"/>
      <c r="AE301" s="471"/>
      <c r="AF301" s="471"/>
      <c r="AG301" s="471"/>
      <c r="AH301" s="471"/>
      <c r="AI301" s="471"/>
      <c r="AJ301" s="471"/>
      <c r="AK301" s="471"/>
      <c r="AL301" s="471"/>
      <c r="AM301" s="471"/>
      <c r="AN301" s="471"/>
      <c r="AO301" s="471"/>
      <c r="AP301" s="471"/>
      <c r="AQ301" s="471"/>
      <c r="AR301" s="471"/>
      <c r="AS301" s="471"/>
      <c r="AT301" s="471"/>
      <c r="AU301" s="471"/>
      <c r="AV301" s="471"/>
      <c r="AW301" s="471"/>
      <c r="AX301" s="471"/>
      <c r="AY301" s="471"/>
      <c r="AZ301" s="471"/>
      <c r="BA301" s="471"/>
      <c r="BB301" s="471"/>
      <c r="BC301" s="471"/>
      <c r="BD301" s="471"/>
      <c r="BE301" s="471"/>
      <c r="BF301" s="471"/>
      <c r="BG301" s="471"/>
      <c r="BH301" s="471"/>
      <c r="BI301" s="471"/>
    </row>
    <row r="302" spans="1:61" ht="24">
      <c r="A302" s="470" t="s">
        <v>3776</v>
      </c>
      <c r="B302" s="470" t="s">
        <v>1126</v>
      </c>
      <c r="C302" s="1001" t="s">
        <v>1155</v>
      </c>
      <c r="D302" s="470" t="s">
        <v>3782</v>
      </c>
      <c r="E302" s="470" t="s">
        <v>58</v>
      </c>
      <c r="F302" s="1008">
        <v>178</v>
      </c>
      <c r="G302" s="1001"/>
      <c r="H302" s="1001" t="s">
        <v>1128</v>
      </c>
      <c r="I302" s="470">
        <v>299</v>
      </c>
      <c r="J302" s="471"/>
      <c r="K302" s="1003">
        <v>41849</v>
      </c>
      <c r="L302" s="1003"/>
      <c r="M302" s="1005">
        <v>41859</v>
      </c>
      <c r="N302" s="1006">
        <v>341</v>
      </c>
      <c r="O302" s="1659"/>
      <c r="P302" s="466"/>
      <c r="Q302" s="1604">
        <v>1340000000000</v>
      </c>
      <c r="R302" s="462">
        <v>7240000000</v>
      </c>
      <c r="S302" s="468">
        <f t="shared" si="0"/>
        <v>6070718232044.1992</v>
      </c>
      <c r="T302" s="1830">
        <v>41963</v>
      </c>
      <c r="U302" s="471"/>
      <c r="V302" s="1008">
        <v>185</v>
      </c>
      <c r="W302" s="471"/>
      <c r="X302" s="471"/>
      <c r="Y302" s="471"/>
      <c r="Z302" s="471"/>
      <c r="AA302" s="471"/>
      <c r="AB302" s="471"/>
      <c r="AC302" s="471"/>
      <c r="AD302" s="471"/>
      <c r="AE302" s="471"/>
      <c r="AF302" s="471"/>
      <c r="AG302" s="471"/>
      <c r="AH302" s="471"/>
      <c r="AI302" s="471"/>
      <c r="AJ302" s="471"/>
      <c r="AK302" s="471"/>
      <c r="AL302" s="471"/>
      <c r="AM302" s="471"/>
      <c r="AN302" s="471"/>
      <c r="AO302" s="471"/>
      <c r="AP302" s="471"/>
      <c r="AQ302" s="471"/>
      <c r="AR302" s="471"/>
      <c r="AS302" s="471"/>
      <c r="AT302" s="471"/>
      <c r="AU302" s="471"/>
      <c r="AV302" s="471"/>
      <c r="AW302" s="471"/>
      <c r="AX302" s="471"/>
      <c r="AY302" s="471"/>
      <c r="AZ302" s="471"/>
      <c r="BA302" s="471"/>
      <c r="BB302" s="471"/>
      <c r="BC302" s="471"/>
      <c r="BD302" s="471"/>
      <c r="BE302" s="471"/>
      <c r="BF302" s="471"/>
      <c r="BG302" s="471"/>
      <c r="BH302" s="471"/>
      <c r="BI302" s="471"/>
    </row>
    <row r="303" spans="1:61" ht="24">
      <c r="A303" s="470" t="s">
        <v>3776</v>
      </c>
      <c r="B303" s="470" t="s">
        <v>1126</v>
      </c>
      <c r="C303" s="1001" t="s">
        <v>1155</v>
      </c>
      <c r="D303" s="470" t="s">
        <v>3782</v>
      </c>
      <c r="E303" s="470" t="s">
        <v>58</v>
      </c>
      <c r="F303" s="470">
        <v>178</v>
      </c>
      <c r="G303" s="1001"/>
      <c r="H303" s="1001" t="s">
        <v>1129</v>
      </c>
      <c r="I303" s="470">
        <v>300</v>
      </c>
      <c r="J303" s="471"/>
      <c r="K303" s="1003">
        <v>41849</v>
      </c>
      <c r="L303" s="1003"/>
      <c r="M303" s="1005">
        <v>41859</v>
      </c>
      <c r="N303" s="781">
        <v>342</v>
      </c>
      <c r="O303" s="471"/>
      <c r="P303" s="466"/>
      <c r="Q303" s="1604">
        <v>1880000000000</v>
      </c>
      <c r="R303" s="462">
        <v>7240000000</v>
      </c>
      <c r="S303" s="468">
        <f t="shared" si="0"/>
        <v>8517127071823.2051</v>
      </c>
      <c r="T303" s="1830">
        <v>41963</v>
      </c>
      <c r="U303" s="471"/>
      <c r="V303" s="470">
        <v>200</v>
      </c>
      <c r="W303" s="471"/>
      <c r="X303" s="471"/>
      <c r="Y303" s="471"/>
      <c r="Z303" s="471"/>
      <c r="AA303" s="471"/>
      <c r="AB303" s="471"/>
      <c r="AC303" s="471"/>
      <c r="AD303" s="471"/>
      <c r="AE303" s="471"/>
      <c r="AF303" s="471"/>
      <c r="AG303" s="471"/>
      <c r="AH303" s="471"/>
      <c r="AI303" s="471"/>
      <c r="AJ303" s="471"/>
      <c r="AK303" s="471"/>
      <c r="AL303" s="471"/>
      <c r="AM303" s="471"/>
      <c r="AN303" s="471"/>
      <c r="AO303" s="471"/>
      <c r="AP303" s="471"/>
      <c r="AQ303" s="471"/>
      <c r="AR303" s="471"/>
      <c r="AS303" s="471"/>
      <c r="AT303" s="471"/>
      <c r="AU303" s="471"/>
      <c r="AV303" s="471"/>
      <c r="AW303" s="471"/>
      <c r="AX303" s="471"/>
      <c r="AY303" s="471"/>
      <c r="AZ303" s="471"/>
      <c r="BA303" s="471"/>
      <c r="BB303" s="471"/>
      <c r="BC303" s="471"/>
      <c r="BD303" s="471"/>
      <c r="BE303" s="471"/>
      <c r="BF303" s="471"/>
      <c r="BG303" s="471"/>
      <c r="BH303" s="471"/>
      <c r="BI303" s="471"/>
    </row>
    <row r="304" spans="1:61" ht="23.25" customHeight="1">
      <c r="A304" s="1786" t="s">
        <v>1954</v>
      </c>
      <c r="B304" s="1786" t="s">
        <v>4080</v>
      </c>
      <c r="C304" s="1787" t="s">
        <v>178</v>
      </c>
      <c r="D304" s="1786" t="s">
        <v>1088</v>
      </c>
      <c r="E304" s="1788" t="str">
        <f>VLOOKUP(F304,plasmids!$A$2:$B$351,2)</f>
        <v>pXR5</v>
      </c>
      <c r="F304" s="1786">
        <v>154</v>
      </c>
      <c r="G304" s="1789"/>
      <c r="H304" s="1789" t="str">
        <f>VLOOKUP(I304,plasmids!$A$2:$B$351,2)</f>
        <v>pssAAV CMV-hCatCH-GFP</v>
      </c>
      <c r="I304" s="1786">
        <v>257</v>
      </c>
      <c r="J304" s="1790"/>
      <c r="K304" s="1792">
        <v>41849</v>
      </c>
      <c r="L304" s="1792"/>
      <c r="M304" s="1793">
        <v>41859</v>
      </c>
      <c r="N304" s="4">
        <v>343</v>
      </c>
      <c r="O304" s="2632"/>
      <c r="P304" s="1624"/>
      <c r="Q304" s="15">
        <v>218000000000</v>
      </c>
      <c r="R304" s="1589">
        <v>17100000000</v>
      </c>
      <c r="S304" s="1800">
        <f t="shared" si="0"/>
        <v>418152046783.62573</v>
      </c>
      <c r="T304" s="1802">
        <v>41963</v>
      </c>
      <c r="U304" s="1790"/>
      <c r="V304" s="1786">
        <v>185</v>
      </c>
      <c r="W304" s="1790"/>
      <c r="X304" s="1790"/>
      <c r="Y304" s="1790"/>
      <c r="Z304" s="1790"/>
      <c r="AA304" s="1790"/>
      <c r="AB304" s="1790"/>
      <c r="AC304" s="1790"/>
      <c r="AD304" s="1790"/>
      <c r="AE304" s="1790"/>
      <c r="AF304" s="1790"/>
      <c r="AG304" s="1790"/>
      <c r="AH304" s="1790"/>
      <c r="AI304" s="1790"/>
      <c r="AJ304" s="1790"/>
      <c r="AK304" s="1790"/>
      <c r="AL304" s="1790"/>
      <c r="AM304" s="1790"/>
      <c r="AN304" s="1790"/>
      <c r="AO304" s="1790"/>
      <c r="AP304" s="1790"/>
      <c r="AQ304" s="1790"/>
      <c r="AR304" s="1790"/>
      <c r="AS304" s="1790"/>
      <c r="AT304" s="1790"/>
      <c r="AU304" s="1790"/>
      <c r="AV304" s="1790"/>
      <c r="AW304" s="1790"/>
      <c r="AX304" s="1790"/>
      <c r="AY304" s="1790"/>
      <c r="AZ304" s="1790"/>
      <c r="BA304" s="1790"/>
      <c r="BB304" s="1790"/>
      <c r="BC304" s="1790"/>
      <c r="BD304" s="1790"/>
      <c r="BE304" s="1790"/>
      <c r="BF304" s="1790"/>
      <c r="BG304" s="1790"/>
      <c r="BH304" s="1790"/>
      <c r="BI304" s="1790"/>
    </row>
    <row r="305" spans="1:61" ht="24">
      <c r="A305" s="470" t="s">
        <v>3776</v>
      </c>
      <c r="B305" s="470" t="s">
        <v>1126</v>
      </c>
      <c r="C305" s="1001" t="s">
        <v>55</v>
      </c>
      <c r="D305" s="470" t="s">
        <v>3782</v>
      </c>
      <c r="E305" s="470" t="s">
        <v>58</v>
      </c>
      <c r="F305" s="1008">
        <v>178</v>
      </c>
      <c r="G305" s="1001"/>
      <c r="H305" s="1001" t="s">
        <v>1124</v>
      </c>
      <c r="I305" s="470">
        <v>298</v>
      </c>
      <c r="J305" s="471"/>
      <c r="K305" s="1004" t="s">
        <v>4863</v>
      </c>
      <c r="L305" s="1003"/>
      <c r="M305" s="1005">
        <v>41887</v>
      </c>
      <c r="N305" s="1006">
        <v>344</v>
      </c>
      <c r="O305" s="1659"/>
      <c r="P305" s="466"/>
      <c r="Q305" s="1604">
        <v>999000000000</v>
      </c>
      <c r="R305" s="462">
        <v>2460000000</v>
      </c>
      <c r="S305" s="468">
        <f t="shared" si="0"/>
        <v>13320000000000</v>
      </c>
      <c r="T305" s="1830">
        <v>41963</v>
      </c>
      <c r="U305" s="471"/>
      <c r="V305" s="1008">
        <v>135</v>
      </c>
      <c r="W305" s="471"/>
      <c r="X305" s="470" t="s">
        <v>4856</v>
      </c>
      <c r="Y305" s="471"/>
      <c r="Z305" s="471"/>
      <c r="AA305" s="471"/>
      <c r="AB305" s="471"/>
      <c r="AC305" s="471"/>
      <c r="AD305" s="471"/>
      <c r="AE305" s="471"/>
      <c r="AF305" s="471"/>
      <c r="AG305" s="471"/>
      <c r="AH305" s="471"/>
      <c r="AI305" s="471"/>
      <c r="AJ305" s="471"/>
      <c r="AK305" s="471"/>
      <c r="AL305" s="471"/>
      <c r="AM305" s="471"/>
      <c r="AN305" s="471"/>
      <c r="AO305" s="471"/>
      <c r="AP305" s="471"/>
      <c r="AQ305" s="471"/>
      <c r="AR305" s="471"/>
      <c r="AS305" s="471"/>
      <c r="AT305" s="471"/>
      <c r="AU305" s="471"/>
      <c r="AV305" s="471"/>
      <c r="AW305" s="471"/>
      <c r="AX305" s="471"/>
      <c r="AY305" s="471"/>
      <c r="AZ305" s="471"/>
      <c r="BA305" s="471"/>
      <c r="BB305" s="471"/>
      <c r="BC305" s="471"/>
      <c r="BD305" s="471"/>
      <c r="BE305" s="471"/>
      <c r="BF305" s="471"/>
      <c r="BG305" s="471"/>
      <c r="BH305" s="471"/>
      <c r="BI305" s="471"/>
    </row>
    <row r="306" spans="1:61" ht="24">
      <c r="A306" s="470" t="s">
        <v>3776</v>
      </c>
      <c r="B306" s="470" t="s">
        <v>1126</v>
      </c>
      <c r="C306" s="1001" t="s">
        <v>55</v>
      </c>
      <c r="D306" s="470" t="s">
        <v>3782</v>
      </c>
      <c r="E306" s="470" t="s">
        <v>58</v>
      </c>
      <c r="F306" s="1008">
        <v>178</v>
      </c>
      <c r="G306" s="1001"/>
      <c r="H306" s="1001" t="s">
        <v>1124</v>
      </c>
      <c r="I306" s="470">
        <v>298</v>
      </c>
      <c r="J306" s="471"/>
      <c r="K306" s="1004" t="s">
        <v>4864</v>
      </c>
      <c r="L306" s="1003"/>
      <c r="M306" s="1005">
        <v>41887</v>
      </c>
      <c r="N306" s="1006">
        <v>345</v>
      </c>
      <c r="O306" s="1659"/>
      <c r="P306" s="466"/>
      <c r="Q306" s="1604">
        <v>26600000000000</v>
      </c>
      <c r="R306" s="462">
        <v>2460000000</v>
      </c>
      <c r="S306" s="468">
        <f t="shared" si="0"/>
        <v>354666666666666.69</v>
      </c>
      <c r="T306" s="1830">
        <v>41963</v>
      </c>
      <c r="U306" s="1830">
        <v>42002</v>
      </c>
      <c r="V306" s="1008">
        <v>125</v>
      </c>
      <c r="W306" s="471"/>
      <c r="X306" s="470" t="s">
        <v>4856</v>
      </c>
      <c r="Y306" s="471"/>
      <c r="Z306" s="471"/>
      <c r="AA306" s="471"/>
      <c r="AB306" s="471"/>
      <c r="AC306" s="471"/>
      <c r="AD306" s="471"/>
      <c r="AE306" s="471"/>
      <c r="AF306" s="471"/>
      <c r="AG306" s="471"/>
      <c r="AH306" s="471"/>
      <c r="AI306" s="471"/>
      <c r="AJ306" s="471"/>
      <c r="AK306" s="471"/>
      <c r="AL306" s="471"/>
      <c r="AM306" s="471"/>
      <c r="AN306" s="471"/>
      <c r="AO306" s="471"/>
      <c r="AP306" s="471"/>
      <c r="AQ306" s="471"/>
      <c r="AR306" s="471"/>
      <c r="AS306" s="471"/>
      <c r="AT306" s="471"/>
      <c r="AU306" s="471"/>
      <c r="AV306" s="471"/>
      <c r="AW306" s="471"/>
      <c r="AX306" s="471"/>
      <c r="AY306" s="471"/>
      <c r="AZ306" s="471"/>
      <c r="BA306" s="471"/>
      <c r="BB306" s="471"/>
      <c r="BC306" s="471"/>
      <c r="BD306" s="471"/>
      <c r="BE306" s="471"/>
      <c r="BF306" s="471"/>
      <c r="BG306" s="471"/>
      <c r="BH306" s="471"/>
      <c r="BI306" s="471"/>
    </row>
    <row r="307" spans="1:61" ht="24">
      <c r="A307" s="470" t="s">
        <v>3776</v>
      </c>
      <c r="B307" s="470" t="s">
        <v>1126</v>
      </c>
      <c r="C307" s="1001" t="s">
        <v>1155</v>
      </c>
      <c r="D307" s="470" t="s">
        <v>3782</v>
      </c>
      <c r="E307" s="470" t="s">
        <v>58</v>
      </c>
      <c r="F307" s="1008">
        <v>178</v>
      </c>
      <c r="G307" s="1001"/>
      <c r="H307" s="1001" t="s">
        <v>1128</v>
      </c>
      <c r="I307" s="470">
        <v>299</v>
      </c>
      <c r="J307" s="471"/>
      <c r="K307" s="1004" t="s">
        <v>4864</v>
      </c>
      <c r="L307" s="1003"/>
      <c r="M307" s="1005">
        <v>41887</v>
      </c>
      <c r="N307" s="1006">
        <v>346</v>
      </c>
      <c r="O307" s="1659"/>
      <c r="P307" s="466"/>
      <c r="Q307" s="1604">
        <v>49600000000000</v>
      </c>
      <c r="R307" s="462">
        <v>2460000000</v>
      </c>
      <c r="S307" s="468">
        <f t="shared" si="0"/>
        <v>661333333333333.38</v>
      </c>
      <c r="T307" s="1830">
        <v>41963</v>
      </c>
      <c r="U307" s="1830">
        <v>42002</v>
      </c>
      <c r="V307" s="1008">
        <v>115</v>
      </c>
      <c r="W307" s="471"/>
      <c r="X307" s="471"/>
      <c r="Y307" s="471"/>
      <c r="Z307" s="471"/>
      <c r="AA307" s="471"/>
      <c r="AB307" s="471"/>
      <c r="AC307" s="471"/>
      <c r="AD307" s="471"/>
      <c r="AE307" s="471"/>
      <c r="AF307" s="471"/>
      <c r="AG307" s="471"/>
      <c r="AH307" s="471"/>
      <c r="AI307" s="471"/>
      <c r="AJ307" s="471"/>
      <c r="AK307" s="471"/>
      <c r="AL307" s="471"/>
      <c r="AM307" s="471"/>
      <c r="AN307" s="471"/>
      <c r="AO307" s="471"/>
      <c r="AP307" s="471"/>
      <c r="AQ307" s="471"/>
      <c r="AR307" s="471"/>
      <c r="AS307" s="471"/>
      <c r="AT307" s="471"/>
      <c r="AU307" s="471"/>
      <c r="AV307" s="471"/>
      <c r="AW307" s="471"/>
      <c r="AX307" s="471"/>
      <c r="AY307" s="471"/>
      <c r="AZ307" s="471"/>
      <c r="BA307" s="471"/>
      <c r="BB307" s="471"/>
      <c r="BC307" s="471"/>
      <c r="BD307" s="471"/>
      <c r="BE307" s="471"/>
      <c r="BF307" s="471"/>
      <c r="BG307" s="471"/>
      <c r="BH307" s="471"/>
      <c r="BI307" s="471"/>
    </row>
    <row r="308" spans="1:61" ht="24">
      <c r="A308" s="470" t="s">
        <v>3776</v>
      </c>
      <c r="B308" s="470" t="s">
        <v>1126</v>
      </c>
      <c r="C308" s="1001" t="s">
        <v>1155</v>
      </c>
      <c r="D308" s="470" t="s">
        <v>3782</v>
      </c>
      <c r="E308" s="470" t="s">
        <v>58</v>
      </c>
      <c r="F308" s="470">
        <v>178</v>
      </c>
      <c r="G308" s="1001"/>
      <c r="H308" s="1001" t="s">
        <v>1129</v>
      </c>
      <c r="I308" s="470">
        <v>300</v>
      </c>
      <c r="J308" s="471"/>
      <c r="K308" s="1004" t="s">
        <v>4864</v>
      </c>
      <c r="L308" s="1003"/>
      <c r="M308" s="1005">
        <v>41887</v>
      </c>
      <c r="N308" s="781">
        <v>347</v>
      </c>
      <c r="O308" s="471"/>
      <c r="P308" s="466"/>
      <c r="Q308" s="1604">
        <v>16200000000000</v>
      </c>
      <c r="R308" s="462">
        <v>2460000000</v>
      </c>
      <c r="S308" s="468">
        <f t="shared" si="0"/>
        <v>216000000000000</v>
      </c>
      <c r="T308" s="1830">
        <v>41963</v>
      </c>
      <c r="U308" s="1830">
        <v>42002</v>
      </c>
      <c r="V308" s="470">
        <v>130</v>
      </c>
      <c r="W308" s="471"/>
      <c r="X308" s="471"/>
      <c r="Y308" s="471"/>
      <c r="Z308" s="471"/>
      <c r="AA308" s="471"/>
      <c r="AB308" s="471"/>
      <c r="AC308" s="471"/>
      <c r="AD308" s="471"/>
      <c r="AE308" s="471"/>
      <c r="AF308" s="471"/>
      <c r="AG308" s="471"/>
      <c r="AH308" s="471"/>
      <c r="AI308" s="471"/>
      <c r="AJ308" s="471"/>
      <c r="AK308" s="471"/>
      <c r="AL308" s="471"/>
      <c r="AM308" s="471"/>
      <c r="AN308" s="471"/>
      <c r="AO308" s="471"/>
      <c r="AP308" s="471"/>
      <c r="AQ308" s="471"/>
      <c r="AR308" s="471"/>
      <c r="AS308" s="471"/>
      <c r="AT308" s="471"/>
      <c r="AU308" s="471"/>
      <c r="AV308" s="471"/>
      <c r="AW308" s="471"/>
      <c r="AX308" s="471"/>
      <c r="AY308" s="471"/>
      <c r="AZ308" s="471"/>
      <c r="BA308" s="471"/>
      <c r="BB308" s="471"/>
      <c r="BC308" s="471"/>
      <c r="BD308" s="471"/>
      <c r="BE308" s="471"/>
      <c r="BF308" s="471"/>
      <c r="BG308" s="471"/>
      <c r="BH308" s="471"/>
      <c r="BI308" s="471"/>
    </row>
    <row r="309" spans="1:61" ht="28.5" customHeight="1">
      <c r="A309" s="2709" t="s">
        <v>707</v>
      </c>
      <c r="B309" s="2709" t="s">
        <v>3973</v>
      </c>
      <c r="C309" s="2710" t="s">
        <v>567</v>
      </c>
      <c r="D309" s="2709" t="s">
        <v>4867</v>
      </c>
      <c r="E309" s="2718" t="str">
        <f>VLOOKUP(F309,plasmids!$A$2:$B$891,2)</f>
        <v>AAV9 2YF</v>
      </c>
      <c r="F309" s="2720">
        <v>168</v>
      </c>
      <c r="G309" s="2721"/>
      <c r="H309" s="2721" t="str">
        <f>VLOOKUP(I309,plasmids!$A$2:$B$891,2)</f>
        <v xml:space="preserve">pTR-scCAG-RdCVFs </v>
      </c>
      <c r="I309" s="2709">
        <v>187</v>
      </c>
      <c r="J309" s="2709" t="s">
        <v>4944</v>
      </c>
      <c r="K309" s="2723"/>
      <c r="L309" s="2724"/>
      <c r="M309" s="2725">
        <v>41894</v>
      </c>
      <c r="N309" s="2726">
        <v>348</v>
      </c>
      <c r="O309" s="2727"/>
      <c r="P309" s="2728"/>
      <c r="Q309" s="2729">
        <v>254000000000000</v>
      </c>
      <c r="R309" s="2732">
        <v>17100000000</v>
      </c>
      <c r="S309" s="2734">
        <f t="shared" si="0"/>
        <v>487204678362573.06</v>
      </c>
      <c r="T309" s="2735">
        <v>41963</v>
      </c>
      <c r="U309" s="2738"/>
      <c r="V309" s="2720">
        <v>135</v>
      </c>
      <c r="W309" s="2739"/>
      <c r="X309" s="2739"/>
      <c r="Y309" s="2739"/>
      <c r="Z309" s="2739"/>
      <c r="AA309" s="2739"/>
      <c r="AB309" s="2739"/>
      <c r="AC309" s="2739"/>
      <c r="AD309" s="2739"/>
      <c r="AE309" s="2739"/>
      <c r="AF309" s="2739"/>
      <c r="AG309" s="2739"/>
      <c r="AH309" s="2739"/>
      <c r="AI309" s="2739"/>
      <c r="AJ309" s="2739"/>
      <c r="AK309" s="2739"/>
      <c r="AL309" s="2739"/>
      <c r="AM309" s="2739"/>
      <c r="AN309" s="2739"/>
      <c r="AO309" s="2739"/>
      <c r="AP309" s="2739"/>
      <c r="AQ309" s="2739"/>
      <c r="AR309" s="2739"/>
      <c r="AS309" s="2739"/>
      <c r="AT309" s="2739"/>
      <c r="AU309" s="2739"/>
      <c r="AV309" s="2739"/>
      <c r="AW309" s="2739"/>
      <c r="AX309" s="2739"/>
      <c r="AY309" s="2739"/>
      <c r="AZ309" s="2739"/>
      <c r="BA309" s="2739"/>
      <c r="BB309" s="2739"/>
      <c r="BC309" s="2739"/>
      <c r="BD309" s="2739"/>
      <c r="BE309" s="2739"/>
      <c r="BF309" s="2739"/>
      <c r="BG309" s="2739"/>
      <c r="BH309" s="2739"/>
      <c r="BI309" s="2739"/>
    </row>
    <row r="310" spans="1:61" ht="17.25" customHeight="1">
      <c r="A310" s="1640" t="s">
        <v>4154</v>
      </c>
      <c r="B310" s="1641" t="s">
        <v>200</v>
      </c>
      <c r="C310" s="1642" t="s">
        <v>626</v>
      </c>
      <c r="D310" s="1641" t="s">
        <v>1088</v>
      </c>
      <c r="E310" s="1906" t="str">
        <f>VLOOKUP(F310,plasmids!$A$2:$B$351,2)</f>
        <v>AAV2</v>
      </c>
      <c r="F310" s="1641">
        <v>140</v>
      </c>
      <c r="G310" s="1930"/>
      <c r="H310" s="1930" t="str">
        <f>VLOOKUP(I310,plasmids!$A$2:$B$351,2)</f>
        <v>pscAAV-CMV-GCaMP6s-BGHpA</v>
      </c>
      <c r="I310" s="1641">
        <v>293</v>
      </c>
      <c r="J310" s="1650"/>
      <c r="K310" s="1933"/>
      <c r="L310" s="1643"/>
      <c r="M310" s="1644">
        <v>41894</v>
      </c>
      <c r="N310" s="1934">
        <v>349</v>
      </c>
      <c r="O310" s="2742"/>
      <c r="P310" s="1647"/>
      <c r="Q310" s="1648">
        <v>18900000000000</v>
      </c>
      <c r="R310" s="2357">
        <v>17100000000</v>
      </c>
      <c r="S310" s="1649">
        <f t="shared" si="0"/>
        <v>36252631578947.367</v>
      </c>
      <c r="T310" s="2359">
        <v>41963</v>
      </c>
      <c r="U310" s="1650"/>
      <c r="V310" s="1937">
        <f>16</f>
        <v>16</v>
      </c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</row>
    <row r="311" spans="1:61" ht="17.25" customHeight="1">
      <c r="A311" s="1640" t="s">
        <v>4154</v>
      </c>
      <c r="B311" s="1641" t="s">
        <v>200</v>
      </c>
      <c r="C311" s="1642" t="s">
        <v>626</v>
      </c>
      <c r="D311" s="1641" t="s">
        <v>1088</v>
      </c>
      <c r="E311" s="1906" t="str">
        <f>VLOOKUP(F311,plasmids!$A$2:$B$351,2)</f>
        <v>AAV2 3YF</v>
      </c>
      <c r="F311" s="1641">
        <v>142</v>
      </c>
      <c r="G311" s="1930"/>
      <c r="H311" s="1930" t="str">
        <f>VLOOKUP(I311,plasmids!$A$2:$B$351,2)</f>
        <v>pscAAV-CMV-GCaMP6s-BGHpA</v>
      </c>
      <c r="I311" s="1641">
        <v>293</v>
      </c>
      <c r="J311" s="1650"/>
      <c r="K311" s="1933"/>
      <c r="L311" s="1643"/>
      <c r="M311" s="1644">
        <v>41894</v>
      </c>
      <c r="N311" s="1934">
        <v>350</v>
      </c>
      <c r="O311" s="2742"/>
      <c r="P311" s="1647"/>
      <c r="Q311" s="1648">
        <v>59000000000000</v>
      </c>
      <c r="R311" s="2357">
        <v>17100000000</v>
      </c>
      <c r="S311" s="1649">
        <f t="shared" si="0"/>
        <v>113169590643274.84</v>
      </c>
      <c r="T311" s="2359">
        <v>41963</v>
      </c>
      <c r="U311" s="1650"/>
      <c r="V311" s="1935">
        <v>10</v>
      </c>
      <c r="W311" s="377"/>
      <c r="X311" s="377"/>
      <c r="Y311" s="377"/>
      <c r="Z311" s="377"/>
      <c r="AA311" s="377"/>
      <c r="AB311" s="377"/>
      <c r="AC311" s="377"/>
      <c r="AD311" s="377"/>
      <c r="AE311" s="377"/>
      <c r="AF311" s="377"/>
      <c r="AG311" s="377"/>
      <c r="AH311" s="377"/>
      <c r="AI311" s="377"/>
      <c r="AJ311" s="377"/>
      <c r="AK311" s="377"/>
      <c r="AL311" s="377"/>
      <c r="AM311" s="377"/>
      <c r="AN311" s="377"/>
      <c r="AO311" s="377"/>
      <c r="AP311" s="377"/>
      <c r="AQ311" s="377"/>
      <c r="AR311" s="377"/>
      <c r="AS311" s="377"/>
      <c r="AT311" s="377"/>
      <c r="AU311" s="377"/>
      <c r="AV311" s="377"/>
      <c r="AW311" s="377"/>
      <c r="AX311" s="377"/>
      <c r="AY311" s="377"/>
      <c r="AZ311" s="377"/>
      <c r="BA311" s="377"/>
      <c r="BB311" s="377"/>
      <c r="BC311" s="377"/>
      <c r="BD311" s="377"/>
      <c r="BE311" s="377"/>
      <c r="BF311" s="377"/>
      <c r="BG311" s="377"/>
      <c r="BH311" s="377"/>
      <c r="BI311" s="377"/>
    </row>
    <row r="312" spans="1:61" ht="21" customHeight="1">
      <c r="A312" s="1785" t="s">
        <v>3891</v>
      </c>
      <c r="B312" s="1786" t="s">
        <v>508</v>
      </c>
      <c r="C312" s="1787" t="s">
        <v>178</v>
      </c>
      <c r="D312" s="1786" t="s">
        <v>4486</v>
      </c>
      <c r="E312" s="1788" t="str">
        <f>VLOOKUP(F312,plasmids!$A$2:$B$351,2)</f>
        <v>AAV2-7m8</v>
      </c>
      <c r="F312" s="1786">
        <v>178</v>
      </c>
      <c r="G312" s="2596"/>
      <c r="H312" s="2596" t="str">
        <f>VLOOKUP(I312,plasmids!$A$2:$B$911,2)</f>
        <v>psc-AAV-1xGrM6-ReachR-Citrine-BGHpA</v>
      </c>
      <c r="I312" s="1786">
        <v>365</v>
      </c>
      <c r="J312" s="1790"/>
      <c r="K312" s="1791"/>
      <c r="L312" s="1792"/>
      <c r="M312" s="1793">
        <v>41894</v>
      </c>
      <c r="N312" s="2649">
        <v>351</v>
      </c>
      <c r="O312" s="2632"/>
      <c r="P312" s="1624"/>
      <c r="Q312" s="15">
        <v>3870000000000</v>
      </c>
      <c r="R312" s="1589">
        <v>17100000000</v>
      </c>
      <c r="S312" s="1800">
        <f t="shared" si="0"/>
        <v>7423157894736.8418</v>
      </c>
      <c r="T312" s="1802">
        <v>41963</v>
      </c>
      <c r="U312" s="1790"/>
      <c r="V312" s="1786">
        <v>125</v>
      </c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</row>
    <row r="313" spans="1:61" ht="21.75" customHeight="1">
      <c r="A313" s="470" t="s">
        <v>52</v>
      </c>
      <c r="B313" s="470" t="s">
        <v>139</v>
      </c>
      <c r="C313" s="1001" t="s">
        <v>178</v>
      </c>
      <c r="D313" s="470" t="s">
        <v>57</v>
      </c>
      <c r="E313" s="2633" t="str">
        <f>VLOOKUP(F313,plasmids!$A$2:$B$351,2)</f>
        <v>AAV2-7m8</v>
      </c>
      <c r="F313" s="470">
        <v>178</v>
      </c>
      <c r="G313" s="1828"/>
      <c r="H313" s="1828" t="str">
        <f>VLOOKUP(I313,plasmids!$A$2:$B$1191,2)</f>
        <v>pssAAV-mCAR-eNphR-eYFP</v>
      </c>
      <c r="I313" s="470">
        <v>92</v>
      </c>
      <c r="J313" s="471"/>
      <c r="K313" s="1658"/>
      <c r="L313" s="1003"/>
      <c r="M313" s="1005">
        <v>41901</v>
      </c>
      <c r="N313" s="1006">
        <v>352</v>
      </c>
      <c r="O313" s="1659"/>
      <c r="P313" s="466"/>
      <c r="Q313" s="1604">
        <v>17500000000000</v>
      </c>
      <c r="R313" s="462">
        <v>17100000000</v>
      </c>
      <c r="S313" s="468">
        <f t="shared" si="0"/>
        <v>33567251461988.301</v>
      </c>
      <c r="T313" s="1830">
        <v>41963</v>
      </c>
      <c r="U313" s="471"/>
      <c r="V313" s="1612">
        <f>5</f>
        <v>5</v>
      </c>
      <c r="W313" s="1011"/>
      <c r="X313" s="1011"/>
      <c r="Y313" s="1011"/>
      <c r="Z313" s="1011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</row>
    <row r="314" spans="1:61" ht="18.75" customHeight="1">
      <c r="A314" s="470" t="s">
        <v>52</v>
      </c>
      <c r="B314" s="470" t="s">
        <v>139</v>
      </c>
      <c r="C314" s="1001" t="s">
        <v>178</v>
      </c>
      <c r="D314" s="470" t="s">
        <v>57</v>
      </c>
      <c r="E314" s="2633" t="str">
        <f>VLOOKUP(F314,plasmids!$A$2:$B$351,2)</f>
        <v>AAV2-7m8</v>
      </c>
      <c r="F314" s="470">
        <v>178</v>
      </c>
      <c r="G314" s="1828"/>
      <c r="H314" s="1828" t="str">
        <f>VLOOKUP(I314,plasmids!$A$2:$B$891,2)</f>
        <v>pAAV-mCAr-rHKAb-eNpHR-YFP-WPRE</v>
      </c>
      <c r="I314" s="470">
        <v>408</v>
      </c>
      <c r="J314" s="471"/>
      <c r="K314" s="1658"/>
      <c r="L314" s="1003"/>
      <c r="M314" s="1005">
        <v>41901</v>
      </c>
      <c r="N314" s="1006">
        <v>353</v>
      </c>
      <c r="O314" s="1659"/>
      <c r="P314" s="466"/>
      <c r="Q314" s="1604">
        <v>44200000000000</v>
      </c>
      <c r="R314" s="462">
        <v>17100000000</v>
      </c>
      <c r="S314" s="468">
        <f t="shared" si="0"/>
        <v>84781286549707.594</v>
      </c>
      <c r="T314" s="1830">
        <v>41963</v>
      </c>
      <c r="U314" s="471"/>
      <c r="V314" s="470">
        <v>130</v>
      </c>
      <c r="W314" s="1011"/>
      <c r="X314" s="1011"/>
      <c r="Y314" s="1011"/>
      <c r="Z314" s="1011"/>
      <c r="AA314" s="1011"/>
      <c r="AB314" s="1011"/>
      <c r="AC314" s="1011"/>
      <c r="AD314" s="1011"/>
      <c r="AE314" s="1011"/>
      <c r="AF314" s="1011"/>
      <c r="AG314" s="1011"/>
      <c r="AH314" s="1011"/>
      <c r="AI314" s="1011"/>
      <c r="AJ314" s="1011"/>
      <c r="AK314" s="1011"/>
      <c r="AL314" s="1011"/>
      <c r="AM314" s="1011"/>
      <c r="AN314" s="1011"/>
      <c r="AO314" s="1011"/>
      <c r="AP314" s="1011"/>
      <c r="AQ314" s="1011"/>
      <c r="AR314" s="1011"/>
      <c r="AS314" s="1011"/>
      <c r="AT314" s="1011"/>
      <c r="AU314" s="1011"/>
      <c r="AV314" s="1011"/>
      <c r="AW314" s="1011"/>
      <c r="AX314" s="1011"/>
      <c r="AY314" s="1011"/>
      <c r="AZ314" s="1011"/>
      <c r="BA314" s="1011"/>
      <c r="BB314" s="1011"/>
      <c r="BC314" s="1011"/>
      <c r="BD314" s="1011"/>
      <c r="BE314" s="1011"/>
      <c r="BF314" s="1011"/>
      <c r="BG314" s="1011"/>
      <c r="BH314" s="1011"/>
      <c r="BI314" s="1011"/>
    </row>
    <row r="315" spans="1:61" ht="20.25" customHeight="1">
      <c r="A315" s="470" t="s">
        <v>52</v>
      </c>
      <c r="B315" s="470" t="s">
        <v>139</v>
      </c>
      <c r="C315" s="1001" t="s">
        <v>178</v>
      </c>
      <c r="D315" s="470" t="s">
        <v>57</v>
      </c>
      <c r="E315" s="2633" t="str">
        <f>VLOOKUP(F315,plasmids!$A$2:$B$351,2)</f>
        <v>AAV2-7m8</v>
      </c>
      <c r="F315" s="470">
        <v>178</v>
      </c>
      <c r="G315" s="1828"/>
      <c r="H315" s="1828" t="str">
        <f>VLOOKUP(I315,plasmids!$A$2:$B$891,2)</f>
        <v>pAAV-mCAr-hHKAb-eNpHR-YFP-WPRE</v>
      </c>
      <c r="I315" s="470">
        <v>412</v>
      </c>
      <c r="J315" s="471"/>
      <c r="K315" s="1658"/>
      <c r="L315" s="1003"/>
      <c r="M315" s="1005">
        <v>41901</v>
      </c>
      <c r="N315" s="1006">
        <v>354</v>
      </c>
      <c r="O315" s="1659"/>
      <c r="P315" s="466"/>
      <c r="Q315" s="1604">
        <v>56900000000000</v>
      </c>
      <c r="R315" s="462">
        <v>17100000000</v>
      </c>
      <c r="S315" s="468">
        <f t="shared" si="0"/>
        <v>109141520467836.25</v>
      </c>
      <c r="T315" s="1830">
        <v>41963</v>
      </c>
      <c r="U315" s="471"/>
      <c r="V315" s="470">
        <v>135</v>
      </c>
      <c r="W315" s="1011"/>
      <c r="X315" s="1011"/>
      <c r="Y315" s="1011"/>
      <c r="Z315" s="1011"/>
      <c r="AA315" s="1011"/>
      <c r="AB315" s="1011"/>
      <c r="AC315" s="1011"/>
      <c r="AD315" s="1011"/>
      <c r="AE315" s="1011"/>
      <c r="AF315" s="1011"/>
      <c r="AG315" s="1011"/>
      <c r="AH315" s="1011"/>
      <c r="AI315" s="1011"/>
      <c r="AJ315" s="1011"/>
      <c r="AK315" s="1011"/>
      <c r="AL315" s="1011"/>
      <c r="AM315" s="1011"/>
      <c r="AN315" s="1011"/>
      <c r="AO315" s="1011"/>
      <c r="AP315" s="1011"/>
      <c r="AQ315" s="1011"/>
      <c r="AR315" s="1011"/>
      <c r="AS315" s="1011"/>
      <c r="AT315" s="1011"/>
      <c r="AU315" s="1011"/>
      <c r="AV315" s="1011"/>
      <c r="AW315" s="1011"/>
      <c r="AX315" s="1011"/>
      <c r="AY315" s="1011"/>
      <c r="AZ315" s="1011"/>
      <c r="BA315" s="1011"/>
      <c r="BB315" s="1011"/>
      <c r="BC315" s="1011"/>
      <c r="BD315" s="1011"/>
      <c r="BE315" s="1011"/>
      <c r="BF315" s="1011"/>
      <c r="BG315" s="1011"/>
      <c r="BH315" s="1011"/>
      <c r="BI315" s="1011"/>
    </row>
    <row r="316" spans="1:61" ht="21" hidden="1" customHeight="1">
      <c r="A316" s="2709" t="s">
        <v>707</v>
      </c>
      <c r="B316" s="2709" t="s">
        <v>3973</v>
      </c>
      <c r="C316" s="2710" t="s">
        <v>567</v>
      </c>
      <c r="D316" s="2709" t="s">
        <v>4867</v>
      </c>
      <c r="E316" s="2718" t="str">
        <f>VLOOKUP(F316,plasmids!$A$2:$B$351,2)</f>
        <v>AAV9 2YF</v>
      </c>
      <c r="F316" s="2720">
        <v>168</v>
      </c>
      <c r="G316" s="2721"/>
      <c r="H316" s="2721" t="str">
        <f>VLOOKUP(I316,plasmids!$A$2:$B$891,2)</f>
        <v>sc-CAG-GFP</v>
      </c>
      <c r="I316" s="2709">
        <v>120</v>
      </c>
      <c r="J316" s="2738"/>
      <c r="K316" s="2723"/>
      <c r="L316" s="2724"/>
      <c r="M316" s="2725">
        <v>41901</v>
      </c>
      <c r="N316" s="2726">
        <v>355</v>
      </c>
      <c r="O316" s="2727"/>
      <c r="P316" s="2728"/>
      <c r="Q316" s="2729">
        <v>158000000000000</v>
      </c>
      <c r="R316" s="2732">
        <v>17100000000</v>
      </c>
      <c r="S316" s="2734">
        <f t="shared" si="0"/>
        <v>303064327485380.12</v>
      </c>
      <c r="T316" s="2735">
        <v>41963</v>
      </c>
      <c r="U316" s="2738"/>
      <c r="V316" s="2720">
        <v>135</v>
      </c>
      <c r="W316" s="2739"/>
      <c r="X316" s="2739"/>
      <c r="Y316" s="2739"/>
      <c r="Z316" s="2739"/>
      <c r="AA316" s="2739"/>
      <c r="AB316" s="2739"/>
      <c r="AC316" s="2739"/>
      <c r="AD316" s="2739"/>
      <c r="AE316" s="2739"/>
      <c r="AF316" s="2739"/>
      <c r="AG316" s="2739"/>
      <c r="AH316" s="2739"/>
      <c r="AI316" s="2739"/>
      <c r="AJ316" s="2739"/>
      <c r="AK316" s="2739"/>
      <c r="AL316" s="2739"/>
      <c r="AM316" s="2739"/>
      <c r="AN316" s="2739"/>
      <c r="AO316" s="2739"/>
      <c r="AP316" s="2739"/>
      <c r="AQ316" s="2739"/>
      <c r="AR316" s="2739"/>
      <c r="AS316" s="2739"/>
      <c r="AT316" s="2739"/>
      <c r="AU316" s="2739"/>
      <c r="AV316" s="2739"/>
      <c r="AW316" s="2739"/>
      <c r="AX316" s="2739"/>
      <c r="AY316" s="2739"/>
      <c r="AZ316" s="2739"/>
      <c r="BA316" s="2739"/>
      <c r="BB316" s="2739"/>
      <c r="BC316" s="2739"/>
      <c r="BD316" s="2739"/>
      <c r="BE316" s="2739"/>
      <c r="BF316" s="2739"/>
      <c r="BG316" s="2739"/>
      <c r="BH316" s="2739"/>
      <c r="BI316" s="2739"/>
    </row>
    <row r="317" spans="1:61" ht="30.75" customHeight="1">
      <c r="A317" s="1785" t="s">
        <v>1954</v>
      </c>
      <c r="B317" s="1786" t="s">
        <v>4080</v>
      </c>
      <c r="C317" s="1787" t="s">
        <v>178</v>
      </c>
      <c r="D317" s="1786" t="s">
        <v>1088</v>
      </c>
      <c r="E317" s="1788" t="str">
        <f>VLOOKUP(F317,plasmids!$A$2:$B$351,2)</f>
        <v>pXR5</v>
      </c>
      <c r="F317" s="1786">
        <v>154</v>
      </c>
      <c r="G317" s="1787"/>
      <c r="H317" s="1787" t="s">
        <v>1625</v>
      </c>
      <c r="I317" s="1786">
        <v>436</v>
      </c>
      <c r="J317" s="1790"/>
      <c r="K317" s="1791"/>
      <c r="L317" s="1802"/>
      <c r="M317" s="1793">
        <v>41908</v>
      </c>
      <c r="N317" s="4">
        <v>356</v>
      </c>
      <c r="O317" s="2632"/>
      <c r="P317" s="1624"/>
      <c r="Q317" s="15">
        <v>1910000000000</v>
      </c>
      <c r="R317" s="1589">
        <v>42900000000</v>
      </c>
      <c r="S317" s="1800">
        <f t="shared" si="0"/>
        <v>1460326340326.3403</v>
      </c>
      <c r="T317" s="1802">
        <v>41963</v>
      </c>
      <c r="U317" s="1790"/>
      <c r="V317" s="1786">
        <v>145</v>
      </c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</row>
    <row r="318" spans="1:61" ht="30.75" customHeight="1">
      <c r="A318" s="2762" t="s">
        <v>4974</v>
      </c>
      <c r="B318" s="2764" t="s">
        <v>4808</v>
      </c>
      <c r="C318" s="2766" t="s">
        <v>178</v>
      </c>
      <c r="D318" s="2764" t="s">
        <v>4809</v>
      </c>
      <c r="E318" s="2764" t="s">
        <v>490</v>
      </c>
      <c r="F318" s="2764">
        <v>168</v>
      </c>
      <c r="G318" s="2767"/>
      <c r="H318" s="2767" t="str">
        <f>VLOOKUP(I318,plasmids!$A$2:$B$1011,2)</f>
        <v>pAAV-hRho-eNpHR-EYFP</v>
      </c>
      <c r="I318" s="2764">
        <v>392</v>
      </c>
      <c r="J318" s="2768"/>
      <c r="K318" s="2769"/>
      <c r="L318" s="2770"/>
      <c r="M318" s="2771">
        <v>41908</v>
      </c>
      <c r="N318" s="2772">
        <v>357</v>
      </c>
      <c r="O318" s="2773"/>
      <c r="P318" s="2774"/>
      <c r="Q318" s="2775">
        <v>330000000000000</v>
      </c>
      <c r="R318" s="2776">
        <v>42900000000</v>
      </c>
      <c r="S318" s="2777">
        <f t="shared" si="0"/>
        <v>252307692307692.31</v>
      </c>
      <c r="T318" s="2778">
        <v>41963</v>
      </c>
      <c r="U318" s="2768"/>
      <c r="V318" s="2773">
        <f>140-25-20-20-20</f>
        <v>55</v>
      </c>
      <c r="W318" s="2779"/>
      <c r="X318" s="2779"/>
      <c r="Y318" s="2779"/>
      <c r="Z318" s="2779"/>
      <c r="AA318" s="2779"/>
      <c r="AB318" s="2779"/>
      <c r="AC318" s="2779"/>
      <c r="AD318" s="2779"/>
      <c r="AE318" s="2779"/>
      <c r="AF318" s="2779"/>
      <c r="AG318" s="2779"/>
      <c r="AH318" s="2779"/>
      <c r="AI318" s="2779"/>
      <c r="AJ318" s="2779"/>
      <c r="AK318" s="2779"/>
      <c r="AL318" s="2779"/>
      <c r="AM318" s="2779"/>
      <c r="AN318" s="2779"/>
      <c r="AO318" s="2779"/>
      <c r="AP318" s="2779"/>
      <c r="AQ318" s="2779"/>
      <c r="AR318" s="2779"/>
      <c r="AS318" s="2779"/>
      <c r="AT318" s="2779"/>
      <c r="AU318" s="2779"/>
      <c r="AV318" s="2779"/>
      <c r="AW318" s="2779"/>
      <c r="AX318" s="2779"/>
      <c r="AY318" s="2779"/>
      <c r="AZ318" s="2779"/>
      <c r="BA318" s="2779"/>
      <c r="BB318" s="2779"/>
      <c r="BC318" s="2779"/>
      <c r="BD318" s="2779"/>
      <c r="BE318" s="2779"/>
      <c r="BF318" s="2779"/>
      <c r="BG318" s="2779"/>
      <c r="BH318" s="2779"/>
      <c r="BI318" s="2779"/>
    </row>
    <row r="319" spans="1:61" ht="30.75" customHeight="1">
      <c r="A319" s="2667" t="s">
        <v>4846</v>
      </c>
      <c r="B319" s="2667" t="s">
        <v>4847</v>
      </c>
      <c r="C319" s="2669" t="s">
        <v>178</v>
      </c>
      <c r="D319" s="2667" t="s">
        <v>288</v>
      </c>
      <c r="E319" s="2667" t="s">
        <v>58</v>
      </c>
      <c r="F319" s="2671">
        <v>178</v>
      </c>
      <c r="G319" s="2780"/>
      <c r="H319" s="2780" t="str">
        <f>VLOOKUP(I319,plasmids!$A$2:$B$1191,2)</f>
        <v>pAAV-1xGrm6-Grm6-eGFP</v>
      </c>
      <c r="I319" s="2667">
        <v>396</v>
      </c>
      <c r="J319" s="2667" t="s">
        <v>4734</v>
      </c>
      <c r="K319" s="2781"/>
      <c r="L319" s="2673"/>
      <c r="M319" s="2674">
        <v>41908</v>
      </c>
      <c r="N319" s="2675">
        <v>358</v>
      </c>
      <c r="O319" s="2676"/>
      <c r="P319" s="2677"/>
      <c r="Q319" s="2678">
        <v>10700000000000</v>
      </c>
      <c r="R319" s="2679">
        <v>42900000000</v>
      </c>
      <c r="S319" s="2680">
        <f t="shared" si="0"/>
        <v>8180885780885.7803</v>
      </c>
      <c r="T319" s="2681">
        <v>41963</v>
      </c>
      <c r="U319" s="2672"/>
      <c r="V319" s="2671">
        <v>125</v>
      </c>
      <c r="W319" s="2682"/>
      <c r="X319" s="2782" t="s">
        <v>4988</v>
      </c>
      <c r="Y319" s="2682"/>
      <c r="Z319" s="2682"/>
      <c r="AA319" s="2682"/>
      <c r="AB319" s="2682"/>
      <c r="AC319" s="2682"/>
      <c r="AD319" s="2682"/>
      <c r="AE319" s="2682"/>
      <c r="AF319" s="2682"/>
      <c r="AG319" s="2682"/>
      <c r="AH319" s="2682"/>
      <c r="AI319" s="2682"/>
      <c r="AJ319" s="2682"/>
      <c r="AK319" s="2682"/>
      <c r="AL319" s="2682"/>
      <c r="AM319" s="2682"/>
      <c r="AN319" s="2682"/>
      <c r="AO319" s="2682"/>
      <c r="AP319" s="2682"/>
      <c r="AQ319" s="2682"/>
      <c r="AR319" s="2682"/>
      <c r="AS319" s="2682"/>
      <c r="AT319" s="2682"/>
      <c r="AU319" s="2682"/>
      <c r="AV319" s="2682"/>
      <c r="AW319" s="2682"/>
      <c r="AX319" s="2682"/>
      <c r="AY319" s="2682"/>
      <c r="AZ319" s="2682"/>
      <c r="BA319" s="2682"/>
      <c r="BB319" s="2682"/>
      <c r="BC319" s="2682"/>
      <c r="BD319" s="2682"/>
      <c r="BE319" s="2682"/>
      <c r="BF319" s="2682"/>
      <c r="BG319" s="2682"/>
      <c r="BH319" s="2682"/>
      <c r="BI319" s="2682"/>
    </row>
    <row r="320" spans="1:61" ht="30.75" customHeight="1">
      <c r="A320" s="2667" t="s">
        <v>4846</v>
      </c>
      <c r="B320" s="2667" t="s">
        <v>4847</v>
      </c>
      <c r="C320" s="2669" t="s">
        <v>178</v>
      </c>
      <c r="D320" s="2667" t="s">
        <v>288</v>
      </c>
      <c r="E320" s="2667" t="s">
        <v>58</v>
      </c>
      <c r="F320" s="2671">
        <v>178</v>
      </c>
      <c r="G320" s="2780"/>
      <c r="H320" s="2780" t="str">
        <f>VLOOKUP(I320,plasmids!$A$2:$B$1191,2)</f>
        <v>pAAV-1xGrm6-Grm6</v>
      </c>
      <c r="I320" s="2667">
        <v>397</v>
      </c>
      <c r="J320" s="2667" t="s">
        <v>4734</v>
      </c>
      <c r="K320" s="2781"/>
      <c r="L320" s="2673"/>
      <c r="M320" s="2674">
        <v>41908</v>
      </c>
      <c r="N320" s="2675">
        <v>359</v>
      </c>
      <c r="O320" s="2676"/>
      <c r="P320" s="2677"/>
      <c r="Q320" s="2678">
        <v>9540000000000</v>
      </c>
      <c r="R320" s="2679">
        <v>42900000000</v>
      </c>
      <c r="S320" s="2680">
        <f t="shared" si="0"/>
        <v>7293986013986.0137</v>
      </c>
      <c r="T320" s="2681">
        <v>41963</v>
      </c>
      <c r="U320" s="2672"/>
      <c r="V320" s="2676">
        <f>130-10</f>
        <v>120</v>
      </c>
      <c r="W320" s="2682"/>
      <c r="X320" s="2782" t="s">
        <v>4988</v>
      </c>
      <c r="Y320" s="2682"/>
      <c r="Z320" s="2682"/>
      <c r="AA320" s="2682"/>
      <c r="AB320" s="2682"/>
      <c r="AC320" s="2682"/>
      <c r="AD320" s="2682"/>
      <c r="AE320" s="2682"/>
      <c r="AF320" s="2682"/>
      <c r="AG320" s="2682"/>
      <c r="AH320" s="2682"/>
      <c r="AI320" s="2682"/>
      <c r="AJ320" s="2682"/>
      <c r="AK320" s="2682"/>
      <c r="AL320" s="2682"/>
      <c r="AM320" s="2682"/>
      <c r="AN320" s="2682"/>
      <c r="AO320" s="2682"/>
      <c r="AP320" s="2682"/>
      <c r="AQ320" s="2682"/>
      <c r="AR320" s="2682"/>
      <c r="AS320" s="2682"/>
      <c r="AT320" s="2682"/>
      <c r="AU320" s="2682"/>
      <c r="AV320" s="2682"/>
      <c r="AW320" s="2682"/>
      <c r="AX320" s="2682"/>
      <c r="AY320" s="2682"/>
      <c r="AZ320" s="2682"/>
      <c r="BA320" s="2682"/>
      <c r="BB320" s="2682"/>
      <c r="BC320" s="2682"/>
      <c r="BD320" s="2682"/>
      <c r="BE320" s="2682"/>
      <c r="BF320" s="2682"/>
      <c r="BG320" s="2682"/>
      <c r="BH320" s="2682"/>
      <c r="BI320" s="2682"/>
    </row>
    <row r="321" spans="1:61" ht="30.75" customHeight="1">
      <c r="A321" s="1786" t="s">
        <v>4991</v>
      </c>
      <c r="B321" s="2255" t="s">
        <v>4575</v>
      </c>
      <c r="C321" s="1787" t="s">
        <v>567</v>
      </c>
      <c r="D321" s="1786" t="s">
        <v>568</v>
      </c>
      <c r="E321" s="1788" t="str">
        <f>VLOOKUP(F321,plasmids!$A$2:$B$891,2)</f>
        <v>AAV2-7m8</v>
      </c>
      <c r="F321" s="1798">
        <v>178</v>
      </c>
      <c r="G321" s="1789"/>
      <c r="H321" s="1789" t="str">
        <f>VLOOKUP(I321,plasmids!$A$2:$B$891,2)</f>
        <v>pssAAV-mCAr-ReachR-Citrine</v>
      </c>
      <c r="I321" s="1786">
        <v>419</v>
      </c>
      <c r="J321" s="1790"/>
      <c r="K321" s="1792">
        <v>41891</v>
      </c>
      <c r="L321" s="2785"/>
      <c r="M321" s="2695">
        <v>41915</v>
      </c>
      <c r="N321" s="8">
        <v>360</v>
      </c>
      <c r="O321" s="2632"/>
      <c r="P321" s="1624"/>
      <c r="Q321" s="15">
        <v>145000000000000</v>
      </c>
      <c r="R321" s="1589">
        <v>68900000000</v>
      </c>
      <c r="S321" s="1800">
        <f t="shared" si="0"/>
        <v>69027576197387.523</v>
      </c>
      <c r="T321" s="1802">
        <v>41963</v>
      </c>
      <c r="U321" s="1790"/>
      <c r="V321" s="2465">
        <f>145-12-5-30</f>
        <v>98</v>
      </c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</row>
    <row r="322" spans="1:61" ht="30.75" customHeight="1">
      <c r="A322" s="1786" t="s">
        <v>4991</v>
      </c>
      <c r="B322" s="2255" t="s">
        <v>4575</v>
      </c>
      <c r="C322" s="1787" t="s">
        <v>567</v>
      </c>
      <c r="D322" s="1786" t="s">
        <v>568</v>
      </c>
      <c r="E322" s="1788" t="str">
        <f>VLOOKUP(F322,plasmids!$A$2:$B$891,2)</f>
        <v>AAV2-7m8</v>
      </c>
      <c r="F322" s="1798">
        <v>178</v>
      </c>
      <c r="G322" s="1789"/>
      <c r="H322" s="1789" t="str">
        <f>VLOOKUP(I322,plasmids!$A$2:$B$891,2)</f>
        <v>pssAAV-mCar-SwiChR-TS-eYFP</v>
      </c>
      <c r="I322" s="1786">
        <v>403</v>
      </c>
      <c r="J322" s="1790"/>
      <c r="K322" s="1792">
        <v>41891</v>
      </c>
      <c r="L322" s="2785"/>
      <c r="M322" s="2695">
        <v>41915</v>
      </c>
      <c r="N322" s="8">
        <v>361</v>
      </c>
      <c r="O322" s="2632"/>
      <c r="P322" s="1624"/>
      <c r="Q322" s="15">
        <v>127000000000000</v>
      </c>
      <c r="R322" s="1589">
        <v>68900000000</v>
      </c>
      <c r="S322" s="1800">
        <f t="shared" si="0"/>
        <v>60458635703918.727</v>
      </c>
      <c r="T322" s="1802">
        <v>41963</v>
      </c>
      <c r="U322" s="1802">
        <v>42002</v>
      </c>
      <c r="V322" s="2465">
        <f>145-12-10</f>
        <v>123</v>
      </c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</row>
    <row r="323" spans="1:61" ht="22.5" customHeight="1">
      <c r="A323" s="2709" t="s">
        <v>707</v>
      </c>
      <c r="B323" s="2709" t="s">
        <v>3973</v>
      </c>
      <c r="C323" s="2710" t="s">
        <v>1967</v>
      </c>
      <c r="D323" s="2709" t="s">
        <v>4867</v>
      </c>
      <c r="E323" s="2718" t="str">
        <f>VLOOKUP(F323,plasmids!$A$2:$B$351,2)</f>
        <v>AAV9 2YF</v>
      </c>
      <c r="F323" s="2720">
        <v>168</v>
      </c>
      <c r="G323" s="2721"/>
      <c r="H323" s="2721" t="str">
        <f>VLOOKUP(I323,plasmids!$A$2:$B$891,2)</f>
        <v>sc-CAG-GFP</v>
      </c>
      <c r="I323" s="2709">
        <v>120</v>
      </c>
      <c r="J323" s="2738"/>
      <c r="K323" s="2723"/>
      <c r="L323" s="2724"/>
      <c r="M323" s="2725">
        <v>41915</v>
      </c>
      <c r="N323" s="2726">
        <v>362</v>
      </c>
      <c r="O323" s="2727"/>
      <c r="P323" s="2728"/>
      <c r="Q323" s="2729">
        <v>206000000000000</v>
      </c>
      <c r="R323" s="2732">
        <v>68900000000</v>
      </c>
      <c r="S323" s="2734">
        <f t="shared" si="0"/>
        <v>98066763425254</v>
      </c>
      <c r="T323" s="2738"/>
      <c r="U323" s="2738"/>
      <c r="V323" s="2720">
        <v>140</v>
      </c>
      <c r="W323" s="2739"/>
      <c r="X323" s="2739"/>
      <c r="Y323" s="2739"/>
      <c r="Z323" s="2739"/>
      <c r="AA323" s="2739"/>
      <c r="AB323" s="2739"/>
      <c r="AC323" s="2739"/>
      <c r="AD323" s="2739"/>
      <c r="AE323" s="2739"/>
      <c r="AF323" s="2739"/>
      <c r="AG323" s="2739"/>
      <c r="AH323" s="2739"/>
      <c r="AI323" s="2739"/>
      <c r="AJ323" s="2739"/>
      <c r="AK323" s="2739"/>
      <c r="AL323" s="2739"/>
      <c r="AM323" s="2739"/>
      <c r="AN323" s="2739"/>
      <c r="AO323" s="2739"/>
      <c r="AP323" s="2739"/>
      <c r="AQ323" s="2739"/>
      <c r="AR323" s="2739"/>
      <c r="AS323" s="2739"/>
      <c r="AT323" s="2739"/>
      <c r="AU323" s="2739"/>
      <c r="AV323" s="2739"/>
      <c r="AW323" s="2739"/>
      <c r="AX323" s="2739"/>
      <c r="AY323" s="2739"/>
      <c r="AZ323" s="2739"/>
      <c r="BA323" s="2739"/>
      <c r="BB323" s="2739"/>
      <c r="BC323" s="2739"/>
      <c r="BD323" s="2739"/>
      <c r="BE323" s="2739"/>
      <c r="BF323" s="2739"/>
      <c r="BG323" s="2739"/>
      <c r="BH323" s="2739"/>
      <c r="BI323" s="2739"/>
    </row>
    <row r="324" spans="1:61" ht="22.5" customHeight="1">
      <c r="A324" s="2709" t="s">
        <v>707</v>
      </c>
      <c r="B324" s="2709" t="s">
        <v>3973</v>
      </c>
      <c r="C324" s="2710" t="s">
        <v>1967</v>
      </c>
      <c r="D324" s="2709" t="s">
        <v>4867</v>
      </c>
      <c r="E324" s="2718" t="str">
        <f>VLOOKUP(F324,plasmids!$A$2:$B$351,2)</f>
        <v>AAV9 2YF</v>
      </c>
      <c r="F324" s="2720">
        <v>168</v>
      </c>
      <c r="G324" s="2721"/>
      <c r="H324" s="2721" t="str">
        <f>VLOOKUP(I324,plasmids!$A$2:$B$891,2)</f>
        <v>sc-CAG-GFP</v>
      </c>
      <c r="I324" s="2709">
        <v>120</v>
      </c>
      <c r="J324" s="2738"/>
      <c r="K324" s="2723"/>
      <c r="L324" s="2724"/>
      <c r="M324" s="2725">
        <v>41915</v>
      </c>
      <c r="N324" s="2726">
        <v>363</v>
      </c>
      <c r="O324" s="2727"/>
      <c r="P324" s="2728"/>
      <c r="Q324" s="2729">
        <v>241000000000000</v>
      </c>
      <c r="R324" s="2732">
        <v>68900000000</v>
      </c>
      <c r="S324" s="2734">
        <f t="shared" si="0"/>
        <v>114728592162554.44</v>
      </c>
      <c r="T324" s="2735">
        <v>41963</v>
      </c>
      <c r="U324" s="2738"/>
      <c r="V324" s="2720">
        <v>125</v>
      </c>
      <c r="W324" s="2739"/>
      <c r="X324" s="2739"/>
      <c r="Y324" s="2739"/>
      <c r="Z324" s="2739"/>
      <c r="AA324" s="2739"/>
      <c r="AB324" s="2739"/>
      <c r="AC324" s="2739"/>
      <c r="AD324" s="2739"/>
      <c r="AE324" s="2739"/>
      <c r="AF324" s="2739"/>
      <c r="AG324" s="2739"/>
      <c r="AH324" s="2739"/>
      <c r="AI324" s="2739"/>
      <c r="AJ324" s="2739"/>
      <c r="AK324" s="2739"/>
      <c r="AL324" s="2739"/>
      <c r="AM324" s="2739"/>
      <c r="AN324" s="2739"/>
      <c r="AO324" s="2739"/>
      <c r="AP324" s="2739"/>
      <c r="AQ324" s="2739"/>
      <c r="AR324" s="2739"/>
      <c r="AS324" s="2739"/>
      <c r="AT324" s="2739"/>
      <c r="AU324" s="2739"/>
      <c r="AV324" s="2739"/>
      <c r="AW324" s="2739"/>
      <c r="AX324" s="2739"/>
      <c r="AY324" s="2739"/>
      <c r="AZ324" s="2739"/>
      <c r="BA324" s="2739"/>
      <c r="BB324" s="2739"/>
      <c r="BC324" s="2739"/>
      <c r="BD324" s="2739"/>
      <c r="BE324" s="2739"/>
      <c r="BF324" s="2739"/>
      <c r="BG324" s="2739"/>
      <c r="BH324" s="2739"/>
      <c r="BI324" s="2739"/>
    </row>
    <row r="325" spans="1:61" ht="30.75" customHeight="1">
      <c r="A325" s="29" t="s">
        <v>1688</v>
      </c>
      <c r="B325" s="29" t="s">
        <v>5002</v>
      </c>
      <c r="C325" s="31" t="s">
        <v>1967</v>
      </c>
      <c r="D325" s="29" t="s">
        <v>345</v>
      </c>
      <c r="E325" s="2291" t="str">
        <f>VLOOKUP(F325,plasmids!$A$2:$B$1311,2)</f>
        <v>pCap2 Maurocalcine pep1</v>
      </c>
      <c r="F325" s="29">
        <v>404</v>
      </c>
      <c r="G325" s="2292"/>
      <c r="H325" s="2292" t="str">
        <f>VLOOKUP(I325,plasmids!$A$2:$B$1191,2)</f>
        <v>sc-CAG-GFP</v>
      </c>
      <c r="I325" s="29">
        <v>120</v>
      </c>
      <c r="J325" s="57"/>
      <c r="K325" s="1623">
        <v>41848</v>
      </c>
      <c r="L325" s="35"/>
      <c r="M325" s="38">
        <v>41922</v>
      </c>
      <c r="N325" s="2789">
        <v>364</v>
      </c>
      <c r="O325" s="42"/>
      <c r="P325" s="44" t="s">
        <v>5005</v>
      </c>
      <c r="Q325" s="1622">
        <v>521000000000</v>
      </c>
      <c r="R325" s="44">
        <v>41800000000</v>
      </c>
      <c r="S325" s="55">
        <f t="shared" si="0"/>
        <v>408822966507.177</v>
      </c>
      <c r="T325" s="1623">
        <v>41963</v>
      </c>
      <c r="U325" s="57"/>
      <c r="V325" s="33">
        <v>140</v>
      </c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</row>
    <row r="326" spans="1:61" ht="30.75" customHeight="1">
      <c r="A326" s="470" t="s">
        <v>52</v>
      </c>
      <c r="B326" s="470" t="s">
        <v>139</v>
      </c>
      <c r="C326" s="1001" t="s">
        <v>178</v>
      </c>
      <c r="D326" s="470" t="s">
        <v>57</v>
      </c>
      <c r="E326" s="2633" t="str">
        <f>VLOOKUP(F326,plasmids!$A$2:$B$891,2)</f>
        <v>AAV2-7m8</v>
      </c>
      <c r="F326" s="1008">
        <v>178</v>
      </c>
      <c r="G326" s="1828"/>
      <c r="H326" s="1828" t="str">
        <f>VLOOKUP(I326,plasmids!$A$2:$B$891,2)</f>
        <v>pssAAV-mCar-ChrimsonR-WPRE</v>
      </c>
      <c r="I326" s="470">
        <v>439</v>
      </c>
      <c r="J326" s="471"/>
      <c r="K326" s="1011"/>
      <c r="L326" s="1003"/>
      <c r="M326" s="1005">
        <v>41922</v>
      </c>
      <c r="N326" s="781">
        <v>365</v>
      </c>
      <c r="O326" s="1659"/>
      <c r="P326" s="466"/>
      <c r="Q326" s="1604">
        <v>45100000000000</v>
      </c>
      <c r="R326" s="462">
        <v>41800000000</v>
      </c>
      <c r="S326" s="468">
        <f t="shared" si="0"/>
        <v>35389473684210.523</v>
      </c>
      <c r="T326" s="1830">
        <v>41963</v>
      </c>
      <c r="U326" s="471"/>
      <c r="V326" s="1659">
        <f>125-60</f>
        <v>65</v>
      </c>
      <c r="W326" s="1011"/>
      <c r="X326" s="1301" t="s">
        <v>5008</v>
      </c>
      <c r="Y326" s="1011"/>
      <c r="Z326" s="1011"/>
      <c r="AA326" s="1011"/>
      <c r="AB326" s="1011"/>
      <c r="AC326" s="1011"/>
      <c r="AD326" s="1011"/>
      <c r="AE326" s="1011"/>
      <c r="AF326" s="1011"/>
      <c r="AG326" s="1011"/>
      <c r="AH326" s="1011"/>
      <c r="AI326" s="1011"/>
      <c r="AJ326" s="1011"/>
      <c r="AK326" s="1011"/>
      <c r="AL326" s="1011"/>
      <c r="AM326" s="1011"/>
      <c r="AN326" s="1011"/>
      <c r="AO326" s="1011"/>
      <c r="AP326" s="1011"/>
      <c r="AQ326" s="1011"/>
      <c r="AR326" s="1011"/>
      <c r="AS326" s="1011"/>
      <c r="AT326" s="1011"/>
      <c r="AU326" s="1011"/>
      <c r="AV326" s="1011"/>
      <c r="AW326" s="1011"/>
      <c r="AX326" s="1011"/>
      <c r="AY326" s="1011"/>
      <c r="AZ326" s="1011"/>
      <c r="BA326" s="1011"/>
      <c r="BB326" s="1011"/>
      <c r="BC326" s="1011"/>
      <c r="BD326" s="1011"/>
      <c r="BE326" s="1011"/>
      <c r="BF326" s="1011"/>
      <c r="BG326" s="1011"/>
      <c r="BH326" s="1011"/>
      <c r="BI326" s="1011"/>
    </row>
    <row r="327" spans="1:61" ht="30.75" customHeight="1">
      <c r="A327" s="557" t="s">
        <v>52</v>
      </c>
      <c r="B327" s="557" t="s">
        <v>177</v>
      </c>
      <c r="C327" s="558" t="s">
        <v>178</v>
      </c>
      <c r="D327" s="557" t="s">
        <v>187</v>
      </c>
      <c r="E327" s="2791" t="str">
        <f>VLOOKUP(F327,plasmids!$A$2:$B$891,2)</f>
        <v>pXR5</v>
      </c>
      <c r="F327" s="557">
        <v>154</v>
      </c>
      <c r="G327" s="2792"/>
      <c r="H327" s="2792" t="str">
        <f>VLOOKUP(I327,plasmids!$A$2:$B$891,2)</f>
        <v>pAAV-hRho-Killer Red</v>
      </c>
      <c r="I327" s="557">
        <v>434</v>
      </c>
      <c r="J327" s="571"/>
      <c r="K327" s="556"/>
      <c r="L327" s="2793"/>
      <c r="M327" s="564">
        <v>41922</v>
      </c>
      <c r="N327" s="933">
        <v>366</v>
      </c>
      <c r="O327" s="566"/>
      <c r="P327" s="569"/>
      <c r="Q327" s="2794">
        <v>503000000000000</v>
      </c>
      <c r="R327" s="567">
        <v>41800000000</v>
      </c>
      <c r="S327" s="570">
        <f t="shared" si="0"/>
        <v>394698564593301.44</v>
      </c>
      <c r="T327" s="2796">
        <v>41963</v>
      </c>
      <c r="U327" s="571"/>
      <c r="V327" s="566">
        <f>145-14</f>
        <v>131</v>
      </c>
      <c r="W327" s="556"/>
      <c r="X327" s="556"/>
      <c r="Y327" s="556"/>
      <c r="Z327" s="556"/>
      <c r="AA327" s="556"/>
      <c r="AB327" s="556"/>
      <c r="AC327" s="556"/>
      <c r="AD327" s="556"/>
      <c r="AE327" s="556"/>
      <c r="AF327" s="556"/>
      <c r="AG327" s="556"/>
      <c r="AH327" s="556"/>
      <c r="AI327" s="556"/>
      <c r="AJ327" s="556"/>
      <c r="AK327" s="556"/>
      <c r="AL327" s="556"/>
      <c r="AM327" s="556"/>
      <c r="AN327" s="556"/>
      <c r="AO327" s="556"/>
      <c r="AP327" s="556"/>
      <c r="AQ327" s="556"/>
      <c r="AR327" s="556"/>
      <c r="AS327" s="556"/>
      <c r="AT327" s="556"/>
      <c r="AU327" s="556"/>
      <c r="AV327" s="556"/>
      <c r="AW327" s="556"/>
      <c r="AX327" s="556"/>
      <c r="AY327" s="556"/>
      <c r="AZ327" s="556"/>
      <c r="BA327" s="556"/>
      <c r="BB327" s="556"/>
      <c r="BC327" s="556"/>
      <c r="BD327" s="556"/>
      <c r="BE327" s="556"/>
      <c r="BF327" s="556"/>
      <c r="BG327" s="556"/>
      <c r="BH327" s="556"/>
      <c r="BI327" s="556"/>
    </row>
    <row r="328" spans="1:61" ht="30.75" customHeight="1">
      <c r="A328" s="1754" t="s">
        <v>3891</v>
      </c>
      <c r="B328" s="1756" t="s">
        <v>508</v>
      </c>
      <c r="C328" s="1758" t="s">
        <v>178</v>
      </c>
      <c r="D328" s="1756" t="s">
        <v>4486</v>
      </c>
      <c r="E328" s="1761" t="str">
        <f>VLOOKUP(F328,plasmids!$A$2:$B$351,2)</f>
        <v>AAV2-7m8</v>
      </c>
      <c r="F328" s="1756">
        <v>178</v>
      </c>
      <c r="G328" s="1763"/>
      <c r="H328" s="1763" t="str">
        <f>VLOOKUP(I328,plasmids!$A$2:$B$911,2)</f>
        <v>psc-AAV-1xGrM6-ReachR-Citrine-BGHpA</v>
      </c>
      <c r="I328" s="1756">
        <v>365</v>
      </c>
      <c r="J328" s="1766"/>
      <c r="K328" s="1767"/>
      <c r="L328" s="1768"/>
      <c r="M328" s="1770">
        <v>41922</v>
      </c>
      <c r="N328" s="2798">
        <v>367</v>
      </c>
      <c r="O328" s="2799"/>
      <c r="P328" s="1774"/>
      <c r="Q328" s="1775">
        <v>70200000000000</v>
      </c>
      <c r="R328" s="2800">
        <v>41800000000</v>
      </c>
      <c r="S328" s="1779">
        <f t="shared" si="0"/>
        <v>55085167464114.828</v>
      </c>
      <c r="T328" s="2801">
        <v>41963</v>
      </c>
      <c r="U328" s="1766"/>
      <c r="V328" s="2803">
        <f>73-10.4-15</f>
        <v>47.6</v>
      </c>
      <c r="W328" s="234"/>
      <c r="X328" s="234"/>
      <c r="Y328" s="234"/>
      <c r="Z328" s="234"/>
      <c r="AA328" s="234"/>
      <c r="AB328" s="234"/>
      <c r="AC328" s="234"/>
      <c r="AD328" s="234"/>
      <c r="AE328" s="234"/>
      <c r="AF328" s="234"/>
      <c r="AG328" s="234"/>
      <c r="AH328" s="234"/>
      <c r="AI328" s="234"/>
      <c r="AJ328" s="234"/>
      <c r="AK328" s="234"/>
      <c r="AL328" s="234"/>
      <c r="AM328" s="234"/>
      <c r="AN328" s="234"/>
      <c r="AO328" s="234"/>
      <c r="AP328" s="234"/>
      <c r="AQ328" s="234"/>
      <c r="AR328" s="234"/>
      <c r="AS328" s="234"/>
      <c r="AT328" s="234"/>
      <c r="AU328" s="234"/>
      <c r="AV328" s="234"/>
      <c r="AW328" s="234"/>
      <c r="AX328" s="234"/>
      <c r="AY328" s="234"/>
      <c r="AZ328" s="234"/>
      <c r="BA328" s="234"/>
      <c r="BB328" s="234"/>
      <c r="BC328" s="234"/>
      <c r="BD328" s="234"/>
      <c r="BE328" s="234"/>
      <c r="BF328" s="234"/>
      <c r="BG328" s="234"/>
      <c r="BH328" s="234"/>
      <c r="BI328" s="234"/>
    </row>
    <row r="329" spans="1:61" ht="30.75" customHeight="1">
      <c r="A329" s="2804" t="s">
        <v>5016</v>
      </c>
      <c r="B329" s="2804" t="s">
        <v>5017</v>
      </c>
      <c r="C329" s="2805" t="s">
        <v>1967</v>
      </c>
      <c r="D329" s="2804" t="s">
        <v>1247</v>
      </c>
      <c r="E329" s="2807" t="str">
        <f>VLOOKUP(F329,plasmids!$A$2:$B$351,2)</f>
        <v>pXR5</v>
      </c>
      <c r="F329" s="2804">
        <v>154</v>
      </c>
      <c r="G329" s="2808"/>
      <c r="H329" s="2808" t="str">
        <f>VLOOKUP(I329,plasmids!$A$2:$B$891,2)</f>
        <v>pAAV-flox-CAG-hCatCh-YFP</v>
      </c>
      <c r="I329" s="2804">
        <v>443</v>
      </c>
      <c r="J329" s="2804" t="s">
        <v>1996</v>
      </c>
      <c r="K329" s="1393" t="s">
        <v>4428</v>
      </c>
      <c r="L329" s="2809"/>
      <c r="M329" s="2810">
        <v>41929</v>
      </c>
      <c r="N329" s="2811">
        <v>368</v>
      </c>
      <c r="O329" s="2812"/>
      <c r="P329" s="2814"/>
      <c r="Q329" s="2815">
        <v>187000000000000</v>
      </c>
      <c r="R329" s="2816">
        <v>50700000000</v>
      </c>
      <c r="S329" s="2818">
        <f t="shared" si="0"/>
        <v>120978303747534.52</v>
      </c>
      <c r="T329" s="2819">
        <v>41963</v>
      </c>
      <c r="U329" s="2821"/>
      <c r="V329" s="2823">
        <v>25</v>
      </c>
      <c r="W329" s="2825"/>
      <c r="X329" s="2825"/>
      <c r="Y329" s="2825"/>
      <c r="Z329" s="2825"/>
      <c r="AA329" s="2825"/>
      <c r="AB329" s="2825"/>
      <c r="AC329" s="2825"/>
      <c r="AD329" s="2825"/>
      <c r="AE329" s="2825"/>
      <c r="AF329" s="2825"/>
      <c r="AG329" s="2825"/>
      <c r="AH329" s="2825"/>
      <c r="AI329" s="2825"/>
      <c r="AJ329" s="2825"/>
      <c r="AK329" s="2825"/>
      <c r="AL329" s="2825"/>
      <c r="AM329" s="2825"/>
      <c r="AN329" s="2825"/>
      <c r="AO329" s="2825"/>
      <c r="AP329" s="2825"/>
      <c r="AQ329" s="2825"/>
      <c r="AR329" s="2825"/>
      <c r="AS329" s="2825"/>
      <c r="AT329" s="2825"/>
      <c r="AU329" s="2825"/>
      <c r="AV329" s="2825"/>
      <c r="AW329" s="2825"/>
      <c r="AX329" s="2825"/>
      <c r="AY329" s="2825"/>
      <c r="AZ329" s="2825"/>
      <c r="BA329" s="2825"/>
      <c r="BB329" s="2825"/>
      <c r="BC329" s="2825"/>
      <c r="BD329" s="2825"/>
      <c r="BE329" s="2825"/>
      <c r="BF329" s="2825"/>
      <c r="BG329" s="2825"/>
      <c r="BH329" s="2825"/>
      <c r="BI329" s="2825"/>
    </row>
    <row r="330" spans="1:61" ht="30.75" customHeight="1">
      <c r="A330" s="1786" t="s">
        <v>1954</v>
      </c>
      <c r="B330" s="1786" t="s">
        <v>4080</v>
      </c>
      <c r="C330" s="1787" t="s">
        <v>178</v>
      </c>
      <c r="D330" s="1786" t="s">
        <v>1088</v>
      </c>
      <c r="E330" s="1786" t="s">
        <v>180</v>
      </c>
      <c r="F330" s="1786">
        <v>154</v>
      </c>
      <c r="G330" s="1787"/>
      <c r="H330" s="1787" t="s">
        <v>1625</v>
      </c>
      <c r="I330" s="1786">
        <v>436</v>
      </c>
      <c r="J330" s="1790"/>
      <c r="K330" s="1786" t="s">
        <v>4428</v>
      </c>
      <c r="L330" s="1802"/>
      <c r="M330" s="1793">
        <v>41929</v>
      </c>
      <c r="N330" s="4">
        <v>369</v>
      </c>
      <c r="O330" s="2632"/>
      <c r="P330" s="1624"/>
      <c r="Q330" s="15">
        <v>32900000000000</v>
      </c>
      <c r="R330" s="1589">
        <v>50700000000</v>
      </c>
      <c r="S330" s="1800">
        <f t="shared" si="0"/>
        <v>21284418145956.605</v>
      </c>
      <c r="T330" s="1790"/>
      <c r="U330" s="1790"/>
      <c r="V330" s="1798">
        <v>140</v>
      </c>
      <c r="W330" s="27"/>
      <c r="X330" s="1785" t="s">
        <v>5020</v>
      </c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</row>
    <row r="331" spans="1:61" ht="30.75" customHeight="1">
      <c r="A331" s="29" t="s">
        <v>1688</v>
      </c>
      <c r="B331" s="29" t="s">
        <v>5002</v>
      </c>
      <c r="C331" s="31" t="s">
        <v>1967</v>
      </c>
      <c r="D331" s="29" t="s">
        <v>345</v>
      </c>
      <c r="E331" s="2291" t="str">
        <f>VLOOKUP(F331,plasmids!$A$2:$B$1311,2)</f>
        <v>pCap2 Maurocalcine pep3</v>
      </c>
      <c r="F331" s="29">
        <v>406</v>
      </c>
      <c r="G331" s="2292"/>
      <c r="H331" s="2292" t="str">
        <f>VLOOKUP(I331,plasmids!$A$2:$B$1191,2)</f>
        <v>sc-CAG-GFP</v>
      </c>
      <c r="I331" s="29">
        <v>120</v>
      </c>
      <c r="J331" s="57"/>
      <c r="K331" s="29" t="s">
        <v>4428</v>
      </c>
      <c r="L331" s="1623"/>
      <c r="M331" s="38">
        <v>41929</v>
      </c>
      <c r="N331" s="2789">
        <v>370</v>
      </c>
      <c r="O331" s="42"/>
      <c r="P331" s="44" t="s">
        <v>5021</v>
      </c>
      <c r="Q331" s="1622">
        <v>51300000000</v>
      </c>
      <c r="R331" s="44">
        <v>50700000000</v>
      </c>
      <c r="S331" s="55">
        <f t="shared" si="0"/>
        <v>33188165680.47337</v>
      </c>
      <c r="T331" s="1623">
        <v>41963</v>
      </c>
      <c r="U331" s="1623">
        <v>42002</v>
      </c>
      <c r="V331" s="33">
        <v>140</v>
      </c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</row>
    <row r="332" spans="1:61" ht="30.75" customHeight="1">
      <c r="A332" s="188" t="s">
        <v>5022</v>
      </c>
      <c r="B332" s="188" t="s">
        <v>985</v>
      </c>
      <c r="C332" s="189" t="s">
        <v>178</v>
      </c>
      <c r="D332" s="188" t="s">
        <v>987</v>
      </c>
      <c r="E332" s="190" t="s">
        <v>988</v>
      </c>
      <c r="F332" s="191">
        <v>177</v>
      </c>
      <c r="G332" s="189"/>
      <c r="H332" s="189" t="s">
        <v>1844</v>
      </c>
      <c r="I332" s="188" t="s">
        <v>2244</v>
      </c>
      <c r="J332" s="188" t="s">
        <v>1012</v>
      </c>
      <c r="K332" s="194" t="s">
        <v>4734</v>
      </c>
      <c r="L332" s="1484"/>
      <c r="M332" s="196">
        <v>41929</v>
      </c>
      <c r="N332" s="774">
        <v>371</v>
      </c>
      <c r="O332" s="191">
        <v>6</v>
      </c>
      <c r="P332" s="202"/>
      <c r="Q332" s="1749">
        <v>9300000000000</v>
      </c>
      <c r="R332" s="199">
        <v>50700000000</v>
      </c>
      <c r="S332" s="203">
        <f t="shared" si="0"/>
        <v>6016568047337.2783</v>
      </c>
      <c r="T332" s="2197">
        <v>41963</v>
      </c>
      <c r="U332" s="192"/>
      <c r="V332" s="198">
        <f>140-100</f>
        <v>40</v>
      </c>
      <c r="W332" s="205"/>
      <c r="X332" s="627" t="s">
        <v>5023</v>
      </c>
      <c r="Y332" s="205"/>
      <c r="Z332" s="205"/>
      <c r="AA332" s="205"/>
      <c r="AB332" s="205"/>
      <c r="AC332" s="205"/>
      <c r="AD332" s="205"/>
      <c r="AE332" s="205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</row>
    <row r="333" spans="1:61" ht="30.75" customHeight="1">
      <c r="A333" s="29" t="s">
        <v>1688</v>
      </c>
      <c r="B333" s="29" t="s">
        <v>5002</v>
      </c>
      <c r="C333" s="31" t="s">
        <v>1967</v>
      </c>
      <c r="D333" s="29" t="s">
        <v>345</v>
      </c>
      <c r="E333" s="2291" t="str">
        <f>VLOOKUP(F333,plasmids!$A$2:$B$1311,2)</f>
        <v>pCap2 Maurocalcine pep2</v>
      </c>
      <c r="F333" s="29">
        <v>405</v>
      </c>
      <c r="G333" s="2292"/>
      <c r="H333" s="2292" t="str">
        <f>VLOOKUP(I333,plasmids!$A$2:$B$1191,2)</f>
        <v>sc-CAG-GFP</v>
      </c>
      <c r="I333" s="29">
        <v>120</v>
      </c>
      <c r="J333" s="57"/>
      <c r="K333" s="1623">
        <v>41848</v>
      </c>
      <c r="L333" s="1623"/>
      <c r="M333" s="38">
        <v>41943</v>
      </c>
      <c r="N333" s="2789">
        <v>372</v>
      </c>
      <c r="O333" s="42"/>
      <c r="P333" s="44" t="s">
        <v>5025</v>
      </c>
      <c r="Q333" s="1622">
        <v>78200000000</v>
      </c>
      <c r="R333" s="44">
        <v>64800000000</v>
      </c>
      <c r="S333" s="55">
        <f t="shared" si="0"/>
        <v>39582716049.382721</v>
      </c>
      <c r="T333" s="1623">
        <v>41963</v>
      </c>
      <c r="U333" s="57"/>
      <c r="V333" s="33">
        <v>105</v>
      </c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</row>
    <row r="334" spans="1:61" ht="30.75" customHeight="1">
      <c r="A334" s="2833" t="s">
        <v>1643</v>
      </c>
      <c r="B334" s="2833" t="s">
        <v>5026</v>
      </c>
      <c r="C334" s="389" t="s">
        <v>567</v>
      </c>
      <c r="D334" s="383" t="s">
        <v>1088</v>
      </c>
      <c r="E334" s="2835" t="str">
        <f>VLOOKUP(F334,plasmids!$A$2:$B$891,2)</f>
        <v>AAV2</v>
      </c>
      <c r="F334" s="383">
        <v>140</v>
      </c>
      <c r="G334" s="2837"/>
      <c r="H334" s="2837" t="str">
        <f>VLOOKUP(I334,plasmids!$A$2:$B$991,2)</f>
        <v>pAAV-EF1a-mCherry-WGA-Cre</v>
      </c>
      <c r="I334" s="383">
        <v>423</v>
      </c>
      <c r="J334" s="413"/>
      <c r="K334" s="2841">
        <v>41893</v>
      </c>
      <c r="L334" s="2841"/>
      <c r="M334" s="399">
        <v>41943</v>
      </c>
      <c r="N334" s="1039">
        <v>373</v>
      </c>
      <c r="O334" s="403"/>
      <c r="P334" s="409"/>
      <c r="Q334" s="2843">
        <v>121000000000000</v>
      </c>
      <c r="R334" s="405">
        <v>64800000000</v>
      </c>
      <c r="S334" s="411">
        <f t="shared" si="0"/>
        <v>61246913580246.914</v>
      </c>
      <c r="T334" s="2841">
        <v>41963</v>
      </c>
      <c r="U334" s="415"/>
      <c r="V334" s="383">
        <v>70</v>
      </c>
      <c r="W334" s="415"/>
      <c r="X334" s="415"/>
      <c r="Y334" s="415"/>
      <c r="Z334" s="415"/>
      <c r="AA334" s="415"/>
      <c r="AB334" s="415"/>
      <c r="AC334" s="415"/>
      <c r="AD334" s="415"/>
      <c r="AE334" s="415"/>
      <c r="AF334" s="415"/>
      <c r="AG334" s="415"/>
      <c r="AH334" s="415"/>
      <c r="AI334" s="415"/>
      <c r="AJ334" s="415"/>
      <c r="AK334" s="415"/>
      <c r="AL334" s="415"/>
      <c r="AM334" s="415"/>
      <c r="AN334" s="415"/>
      <c r="AO334" s="415"/>
      <c r="AP334" s="415"/>
      <c r="AQ334" s="415"/>
      <c r="AR334" s="415"/>
      <c r="AS334" s="415"/>
      <c r="AT334" s="415"/>
      <c r="AU334" s="415"/>
      <c r="AV334" s="415"/>
      <c r="AW334" s="415"/>
      <c r="AX334" s="415"/>
      <c r="AY334" s="415"/>
      <c r="AZ334" s="415"/>
      <c r="BA334" s="415"/>
      <c r="BB334" s="415"/>
      <c r="BC334" s="415"/>
      <c r="BD334" s="415"/>
      <c r="BE334" s="415"/>
      <c r="BF334" s="415"/>
      <c r="BG334" s="415"/>
      <c r="BH334" s="415"/>
      <c r="BI334" s="415"/>
    </row>
    <row r="335" spans="1:61" ht="21.75" customHeight="1">
      <c r="A335" s="2833" t="s">
        <v>1643</v>
      </c>
      <c r="B335" s="2833" t="s">
        <v>5029</v>
      </c>
      <c r="C335" s="389" t="s">
        <v>567</v>
      </c>
      <c r="D335" s="383" t="s">
        <v>1088</v>
      </c>
      <c r="E335" s="2835" t="str">
        <f>VLOOKUP(F335,plasmids!$A$2:$B$891,2)</f>
        <v>AAV2</v>
      </c>
      <c r="F335" s="383">
        <v>140</v>
      </c>
      <c r="G335" s="2837"/>
      <c r="H335" s="2837" t="str">
        <f>VLOOKUP(I335,plasmids!$A$2:$B$891,2)</f>
        <v>pAAV-1,5kb-1A</v>
      </c>
      <c r="I335" s="383">
        <v>424</v>
      </c>
      <c r="J335" s="413"/>
      <c r="K335" s="2841">
        <v>41893</v>
      </c>
      <c r="L335" s="2841"/>
      <c r="M335" s="399">
        <v>41943</v>
      </c>
      <c r="N335" s="1039">
        <v>374</v>
      </c>
      <c r="O335" s="403"/>
      <c r="P335" s="409"/>
      <c r="Q335" s="2843">
        <v>377000000000000</v>
      </c>
      <c r="R335" s="405">
        <v>64800000000</v>
      </c>
      <c r="S335" s="411">
        <f t="shared" si="0"/>
        <v>190827160493827.16</v>
      </c>
      <c r="T335" s="2841">
        <v>41963</v>
      </c>
      <c r="U335" s="415"/>
      <c r="V335" s="383">
        <v>105</v>
      </c>
      <c r="W335" s="415"/>
      <c r="X335" s="415"/>
      <c r="Y335" s="415"/>
      <c r="Z335" s="415"/>
      <c r="AA335" s="415"/>
      <c r="AB335" s="415"/>
      <c r="AC335" s="415"/>
      <c r="AD335" s="415"/>
      <c r="AE335" s="415"/>
      <c r="AF335" s="415"/>
      <c r="AG335" s="415"/>
      <c r="AH335" s="415"/>
      <c r="AI335" s="415"/>
      <c r="AJ335" s="415"/>
      <c r="AK335" s="415"/>
      <c r="AL335" s="415"/>
      <c r="AM335" s="415"/>
      <c r="AN335" s="415"/>
      <c r="AO335" s="415"/>
      <c r="AP335" s="415"/>
      <c r="AQ335" s="415"/>
      <c r="AR335" s="415"/>
      <c r="AS335" s="415"/>
      <c r="AT335" s="415"/>
      <c r="AU335" s="415"/>
      <c r="AV335" s="415"/>
      <c r="AW335" s="415"/>
      <c r="AX335" s="415"/>
      <c r="AY335" s="415"/>
      <c r="AZ335" s="415"/>
      <c r="BA335" s="415"/>
      <c r="BB335" s="415"/>
      <c r="BC335" s="415"/>
      <c r="BD335" s="415"/>
      <c r="BE335" s="415"/>
      <c r="BF335" s="415"/>
      <c r="BG335" s="415"/>
      <c r="BH335" s="415"/>
      <c r="BI335" s="415"/>
    </row>
    <row r="336" spans="1:61" ht="24.75" customHeight="1">
      <c r="A336" s="2833" t="s">
        <v>1643</v>
      </c>
      <c r="B336" s="2833" t="s">
        <v>5034</v>
      </c>
      <c r="C336" s="389" t="s">
        <v>567</v>
      </c>
      <c r="D336" s="383" t="s">
        <v>1088</v>
      </c>
      <c r="E336" s="2835" t="str">
        <f>VLOOKUP(F336,plasmids!$A$2:$B$891,2)</f>
        <v>AAV2</v>
      </c>
      <c r="F336" s="383">
        <v>140</v>
      </c>
      <c r="G336" s="2837"/>
      <c r="H336" s="2837" t="str">
        <f>VLOOKUP(I336,plasmids!$A$2:$B$891,2)</f>
        <v>pHluorin-1A</v>
      </c>
      <c r="I336" s="383">
        <v>425</v>
      </c>
      <c r="J336" s="413"/>
      <c r="K336" s="2841">
        <v>41893</v>
      </c>
      <c r="L336" s="2841"/>
      <c r="M336" s="399">
        <v>41943</v>
      </c>
      <c r="N336" s="1039">
        <v>375</v>
      </c>
      <c r="O336" s="403"/>
      <c r="P336" s="409"/>
      <c r="Q336" s="2843">
        <v>336000000000000</v>
      </c>
      <c r="R336" s="405">
        <v>64800000000</v>
      </c>
      <c r="S336" s="411">
        <f t="shared" si="0"/>
        <v>170074074074074.09</v>
      </c>
      <c r="T336" s="2841">
        <v>41963</v>
      </c>
      <c r="U336" s="415"/>
      <c r="V336" s="383">
        <v>105</v>
      </c>
      <c r="W336" s="415"/>
      <c r="X336" s="415"/>
      <c r="Y336" s="415"/>
      <c r="Z336" s="415"/>
      <c r="AA336" s="415"/>
      <c r="AB336" s="415"/>
      <c r="AC336" s="415"/>
      <c r="AD336" s="415"/>
      <c r="AE336" s="415"/>
      <c r="AF336" s="415"/>
      <c r="AG336" s="415"/>
      <c r="AH336" s="415"/>
      <c r="AI336" s="415"/>
      <c r="AJ336" s="415"/>
      <c r="AK336" s="415"/>
      <c r="AL336" s="415"/>
      <c r="AM336" s="415"/>
      <c r="AN336" s="415"/>
      <c r="AO336" s="415"/>
      <c r="AP336" s="415"/>
      <c r="AQ336" s="415"/>
      <c r="AR336" s="415"/>
      <c r="AS336" s="415"/>
      <c r="AT336" s="415"/>
      <c r="AU336" s="415"/>
      <c r="AV336" s="415"/>
      <c r="AW336" s="415"/>
      <c r="AX336" s="415"/>
      <c r="AY336" s="415"/>
      <c r="AZ336" s="415"/>
      <c r="BA336" s="415"/>
      <c r="BB336" s="415"/>
      <c r="BC336" s="415"/>
      <c r="BD336" s="415"/>
      <c r="BE336" s="415"/>
      <c r="BF336" s="415"/>
      <c r="BG336" s="415"/>
      <c r="BH336" s="415"/>
      <c r="BI336" s="415"/>
    </row>
    <row r="337" spans="1:61" ht="25.5" customHeight="1">
      <c r="A337" s="2709" t="s">
        <v>707</v>
      </c>
      <c r="B337" s="2709" t="s">
        <v>3973</v>
      </c>
      <c r="C337" s="2710" t="s">
        <v>1967</v>
      </c>
      <c r="D337" s="2709" t="s">
        <v>568</v>
      </c>
      <c r="E337" s="2718" t="str">
        <f>VLOOKUP(F337,plasmids!$A$2:$B$891,2)</f>
        <v>AAV9 2YF</v>
      </c>
      <c r="F337" s="2720">
        <v>168</v>
      </c>
      <c r="G337" s="2721"/>
      <c r="H337" s="2721" t="str">
        <f>VLOOKUP(I337,plasmids!$A$2:$B$891,2)</f>
        <v xml:space="preserve">pTR-scCAG-RdCVFs </v>
      </c>
      <c r="I337" s="2709">
        <v>187</v>
      </c>
      <c r="J337" s="2738"/>
      <c r="K337" s="2724">
        <v>41933</v>
      </c>
      <c r="L337" s="2724"/>
      <c r="M337" s="2725">
        <v>41950</v>
      </c>
      <c r="N337" s="2726">
        <v>376</v>
      </c>
      <c r="O337" s="2727"/>
      <c r="P337" s="2728"/>
      <c r="Q337" s="2729">
        <v>239000000000000</v>
      </c>
      <c r="R337" s="2732">
        <v>24400000000</v>
      </c>
      <c r="S337" s="2734">
        <f t="shared" si="0"/>
        <v>321278688524590.12</v>
      </c>
      <c r="T337" s="2735">
        <v>41963</v>
      </c>
      <c r="U337" s="2735">
        <v>42002</v>
      </c>
      <c r="V337" s="2720">
        <v>155</v>
      </c>
      <c r="W337" s="2739"/>
      <c r="X337" s="2848" t="s">
        <v>5040</v>
      </c>
      <c r="Y337" s="2739"/>
      <c r="Z337" s="2739"/>
      <c r="AA337" s="2739"/>
      <c r="AB337" s="2739"/>
      <c r="AC337" s="2739"/>
      <c r="AD337" s="2739"/>
      <c r="AE337" s="2739"/>
      <c r="AF337" s="2739"/>
      <c r="AG337" s="2739"/>
      <c r="AH337" s="2739"/>
      <c r="AI337" s="2739"/>
      <c r="AJ337" s="2739"/>
      <c r="AK337" s="2739"/>
      <c r="AL337" s="2739"/>
      <c r="AM337" s="2739"/>
      <c r="AN337" s="2739"/>
      <c r="AO337" s="2739"/>
      <c r="AP337" s="2739"/>
      <c r="AQ337" s="2739"/>
      <c r="AR337" s="2739"/>
      <c r="AS337" s="2739"/>
      <c r="AT337" s="2739"/>
      <c r="AU337" s="2739"/>
      <c r="AV337" s="2739"/>
      <c r="AW337" s="2739"/>
      <c r="AX337" s="2739"/>
      <c r="AY337" s="2739"/>
      <c r="AZ337" s="2739"/>
      <c r="BA337" s="2739"/>
      <c r="BB337" s="2739"/>
      <c r="BC337" s="2739"/>
      <c r="BD337" s="2739"/>
      <c r="BE337" s="2739"/>
      <c r="BF337" s="2739"/>
      <c r="BG337" s="2739"/>
      <c r="BH337" s="2739"/>
      <c r="BI337" s="2739"/>
    </row>
    <row r="338" spans="1:61" ht="21" customHeight="1">
      <c r="A338" s="2709" t="s">
        <v>707</v>
      </c>
      <c r="B338" s="2709" t="s">
        <v>3973</v>
      </c>
      <c r="C338" s="2710" t="s">
        <v>1967</v>
      </c>
      <c r="D338" s="2709" t="s">
        <v>568</v>
      </c>
      <c r="E338" s="2718" t="str">
        <f>VLOOKUP(F338,plasmids!$A$2:$B$891,2)</f>
        <v>AAV9 2YF</v>
      </c>
      <c r="F338" s="2720">
        <v>168</v>
      </c>
      <c r="G338" s="2721"/>
      <c r="H338" s="2721" t="str">
        <f>VLOOKUP(I338,plasmids!$A$2:$B$891,2)</f>
        <v xml:space="preserve">pTR-scCAG-RdCVFs </v>
      </c>
      <c r="I338" s="2709">
        <v>187</v>
      </c>
      <c r="J338" s="2738"/>
      <c r="K338" s="2724">
        <v>41933</v>
      </c>
      <c r="L338" s="2724"/>
      <c r="M338" s="2725">
        <v>41950</v>
      </c>
      <c r="N338" s="2726">
        <v>377</v>
      </c>
      <c r="O338" s="2727"/>
      <c r="P338" s="2728"/>
      <c r="Q338" s="2729">
        <v>253000000000000</v>
      </c>
      <c r="R338" s="2732">
        <v>91000000000</v>
      </c>
      <c r="S338" s="2734">
        <f t="shared" si="0"/>
        <v>91191208791208.797</v>
      </c>
      <c r="T338" s="2735">
        <v>41963</v>
      </c>
      <c r="U338" s="2738"/>
      <c r="V338" s="2720">
        <v>160</v>
      </c>
      <c r="W338" s="2739"/>
      <c r="X338" s="2849" t="s">
        <v>5048</v>
      </c>
      <c r="Y338" s="2739"/>
      <c r="Z338" s="2739"/>
      <c r="AA338" s="2739"/>
      <c r="AB338" s="2739"/>
      <c r="AC338" s="2739"/>
      <c r="AD338" s="2739"/>
      <c r="AE338" s="2739"/>
      <c r="AF338" s="2739"/>
      <c r="AG338" s="2739"/>
      <c r="AH338" s="2739"/>
      <c r="AI338" s="2739"/>
      <c r="AJ338" s="2739"/>
      <c r="AK338" s="2739"/>
      <c r="AL338" s="2739"/>
      <c r="AM338" s="2739"/>
      <c r="AN338" s="2739"/>
      <c r="AO338" s="2739"/>
      <c r="AP338" s="2739"/>
      <c r="AQ338" s="2739"/>
      <c r="AR338" s="2739"/>
      <c r="AS338" s="2739"/>
      <c r="AT338" s="2739"/>
      <c r="AU338" s="2739"/>
      <c r="AV338" s="2739"/>
      <c r="AW338" s="2739"/>
      <c r="AX338" s="2739"/>
      <c r="AY338" s="2739"/>
      <c r="AZ338" s="2739"/>
      <c r="BA338" s="2739"/>
      <c r="BB338" s="2739"/>
      <c r="BC338" s="2739"/>
      <c r="BD338" s="2739"/>
      <c r="BE338" s="2739"/>
      <c r="BF338" s="2739"/>
      <c r="BG338" s="2739"/>
      <c r="BH338" s="2739"/>
      <c r="BI338" s="2739"/>
    </row>
    <row r="339" spans="1:61" ht="24">
      <c r="A339" s="2850" t="s">
        <v>3891</v>
      </c>
      <c r="B339" s="2851" t="s">
        <v>4496</v>
      </c>
      <c r="C339" s="2852" t="s">
        <v>4497</v>
      </c>
      <c r="D339" s="2850" t="s">
        <v>70</v>
      </c>
      <c r="E339" s="2854" t="str">
        <f>VLOOKUP(F339,plasmids!$A$2:$B$351,2)</f>
        <v>pXR8 Y447 733F</v>
      </c>
      <c r="F339" s="2850">
        <v>195</v>
      </c>
      <c r="G339" s="1763"/>
      <c r="H339" s="1763" t="str">
        <f>VLOOKUP(I339,plasmids!$A$2:$B$911,2)</f>
        <v>scCAG-ReachR-GFP</v>
      </c>
      <c r="I339" s="2850">
        <v>353</v>
      </c>
      <c r="J339" s="2856"/>
      <c r="K339" s="2857">
        <v>41940</v>
      </c>
      <c r="L339" s="1768"/>
      <c r="M339" s="1770">
        <v>41950</v>
      </c>
      <c r="N339" s="2798">
        <v>378</v>
      </c>
      <c r="O339" s="2858"/>
      <c r="P339" s="2859"/>
      <c r="Q339" s="1775">
        <v>3110000000000</v>
      </c>
      <c r="R339" s="2860">
        <v>91000000000</v>
      </c>
      <c r="S339" s="2861">
        <f t="shared" si="0"/>
        <v>1120967032967.033</v>
      </c>
      <c r="T339" s="2857">
        <v>41963</v>
      </c>
      <c r="U339" s="2856"/>
      <c r="V339" s="2858">
        <f>160-50</f>
        <v>110</v>
      </c>
      <c r="W339" s="2863"/>
      <c r="X339" s="2864" t="s">
        <v>5048</v>
      </c>
      <c r="Y339" s="2863"/>
      <c r="Z339" s="2863"/>
      <c r="AA339" s="2863"/>
      <c r="AB339" s="2863"/>
      <c r="AC339" s="2863"/>
      <c r="AD339" s="2863"/>
      <c r="AE339" s="2863"/>
      <c r="AF339" s="2863"/>
      <c r="AG339" s="2863"/>
      <c r="AH339" s="2863"/>
      <c r="AI339" s="2863"/>
      <c r="AJ339" s="2863"/>
      <c r="AK339" s="2863"/>
      <c r="AL339" s="2863"/>
      <c r="AM339" s="2863"/>
      <c r="AN339" s="2863"/>
      <c r="AO339" s="2863"/>
      <c r="AP339" s="2863"/>
      <c r="AQ339" s="2863"/>
      <c r="AR339" s="2863"/>
      <c r="AS339" s="2863"/>
      <c r="AT339" s="2863"/>
      <c r="AU339" s="2863"/>
      <c r="AV339" s="2863"/>
      <c r="AW339" s="2863"/>
      <c r="AX339" s="2863"/>
      <c r="AY339" s="234"/>
      <c r="AZ339" s="234"/>
      <c r="BA339" s="234"/>
      <c r="BB339" s="234"/>
      <c r="BC339" s="234"/>
      <c r="BD339" s="234"/>
      <c r="BE339" s="234"/>
      <c r="BF339" s="234"/>
      <c r="BG339" s="234"/>
      <c r="BH339" s="234"/>
      <c r="BI339" s="234"/>
    </row>
    <row r="340" spans="1:61" ht="19.5" customHeight="1">
      <c r="A340" s="2709" t="s">
        <v>707</v>
      </c>
      <c r="B340" s="2709" t="s">
        <v>3973</v>
      </c>
      <c r="C340" s="2710" t="s">
        <v>5065</v>
      </c>
      <c r="D340" s="2709" t="s">
        <v>568</v>
      </c>
      <c r="E340" s="2718" t="str">
        <f>VLOOKUP(F340,plasmids!$A$2:$B$891,2)</f>
        <v>pAAV2/8</v>
      </c>
      <c r="F340" s="2720">
        <v>122</v>
      </c>
      <c r="G340" s="2721"/>
      <c r="H340" s="2721" t="str">
        <f>VLOOKUP(I340,plasmids!$A$2:$B$891,2)</f>
        <v>pssAAV-mCAR-Jaws-GFP</v>
      </c>
      <c r="I340" s="2709">
        <v>89</v>
      </c>
      <c r="J340" s="2738"/>
      <c r="K340" s="2724">
        <v>41933</v>
      </c>
      <c r="L340" s="2724"/>
      <c r="M340" s="2725">
        <v>41950</v>
      </c>
      <c r="N340" s="2726">
        <v>379</v>
      </c>
      <c r="O340" s="2727"/>
      <c r="P340" s="2728"/>
      <c r="Q340" s="2729">
        <v>2690000000000000</v>
      </c>
      <c r="R340" s="2732">
        <v>91000000000</v>
      </c>
      <c r="S340" s="2734">
        <f t="shared" si="0"/>
        <v>969582417582417.62</v>
      </c>
      <c r="T340" s="2735">
        <v>41963</v>
      </c>
      <c r="U340" s="2738"/>
      <c r="V340" s="2727">
        <f>100-50-14</f>
        <v>36</v>
      </c>
      <c r="W340" s="2739"/>
      <c r="X340" s="2849" t="s">
        <v>5048</v>
      </c>
      <c r="Y340" s="2739"/>
      <c r="Z340" s="2739"/>
      <c r="AA340" s="2739"/>
      <c r="AB340" s="2739"/>
      <c r="AC340" s="2739"/>
      <c r="AD340" s="2739"/>
      <c r="AE340" s="2739"/>
      <c r="AF340" s="2739"/>
      <c r="AG340" s="2739"/>
      <c r="AH340" s="2739"/>
      <c r="AI340" s="2739"/>
      <c r="AJ340" s="2739"/>
      <c r="AK340" s="2739"/>
      <c r="AL340" s="2739"/>
      <c r="AM340" s="2739"/>
      <c r="AN340" s="2739"/>
      <c r="AO340" s="2739"/>
      <c r="AP340" s="2739"/>
      <c r="AQ340" s="2739"/>
      <c r="AR340" s="2739"/>
      <c r="AS340" s="2739"/>
      <c r="AT340" s="2739"/>
      <c r="AU340" s="2739"/>
      <c r="AV340" s="2739"/>
      <c r="AW340" s="2739"/>
      <c r="AX340" s="2739"/>
      <c r="AY340" s="2739"/>
      <c r="AZ340" s="2739"/>
      <c r="BA340" s="2739"/>
      <c r="BB340" s="2739"/>
      <c r="BC340" s="2739"/>
      <c r="BD340" s="2739"/>
      <c r="BE340" s="2739"/>
      <c r="BF340" s="2739"/>
      <c r="BG340" s="2739"/>
      <c r="BH340" s="2739"/>
      <c r="BI340" s="2739"/>
    </row>
    <row r="341" spans="1:61" ht="24.75" customHeight="1">
      <c r="A341" s="2833" t="s">
        <v>1643</v>
      </c>
      <c r="B341" s="2833" t="s">
        <v>5073</v>
      </c>
      <c r="C341" s="389" t="s">
        <v>567</v>
      </c>
      <c r="D341" s="383" t="s">
        <v>1088</v>
      </c>
      <c r="E341" s="2835" t="str">
        <f>VLOOKUP(F341,plasmids!$A$2:$B$891,2)</f>
        <v>AAV2</v>
      </c>
      <c r="F341" s="383">
        <v>140</v>
      </c>
      <c r="G341" s="2837"/>
      <c r="H341" s="2837" t="str">
        <f>VLOOKUP(I341,plasmids!$A$2:$B$891,2)</f>
        <v>pAAV-DIO-vLWO-1A</v>
      </c>
      <c r="I341" s="383">
        <v>362</v>
      </c>
      <c r="J341" s="413"/>
      <c r="K341" s="2841">
        <v>41893</v>
      </c>
      <c r="L341" s="2841"/>
      <c r="M341" s="399">
        <v>41957</v>
      </c>
      <c r="N341" s="1039">
        <v>380</v>
      </c>
      <c r="O341" s="403"/>
      <c r="P341" s="409"/>
      <c r="Q341" s="2843">
        <v>31000000000000</v>
      </c>
      <c r="R341" s="405">
        <v>91000000000</v>
      </c>
      <c r="S341" s="411">
        <f t="shared" si="0"/>
        <v>11173626373626.373</v>
      </c>
      <c r="T341" s="2841">
        <v>41981</v>
      </c>
      <c r="U341" s="415"/>
      <c r="V341" s="383">
        <v>160</v>
      </c>
      <c r="W341" s="415"/>
      <c r="X341" s="2833" t="s">
        <v>5048</v>
      </c>
      <c r="Y341" s="415"/>
      <c r="Z341" s="415"/>
      <c r="AA341" s="415"/>
      <c r="AB341" s="415"/>
      <c r="AC341" s="415"/>
      <c r="AD341" s="415"/>
      <c r="AE341" s="415"/>
      <c r="AF341" s="415"/>
      <c r="AG341" s="415"/>
      <c r="AH341" s="415"/>
      <c r="AI341" s="415"/>
      <c r="AJ341" s="415"/>
      <c r="AK341" s="415"/>
      <c r="AL341" s="415"/>
      <c r="AM341" s="415"/>
      <c r="AN341" s="415"/>
      <c r="AO341" s="415"/>
      <c r="AP341" s="415"/>
      <c r="AQ341" s="415"/>
      <c r="AR341" s="415"/>
      <c r="AS341" s="415"/>
      <c r="AT341" s="415"/>
      <c r="AU341" s="415"/>
      <c r="AV341" s="415"/>
      <c r="AW341" s="415"/>
      <c r="AX341" s="415"/>
      <c r="AY341" s="415"/>
      <c r="AZ341" s="415"/>
      <c r="BA341" s="415"/>
      <c r="BB341" s="415"/>
      <c r="BC341" s="415"/>
      <c r="BD341" s="415"/>
      <c r="BE341" s="415"/>
      <c r="BF341" s="415"/>
      <c r="BG341" s="415"/>
      <c r="BH341" s="415"/>
      <c r="BI341" s="415"/>
    </row>
    <row r="342" spans="1:61" ht="24.75" customHeight="1">
      <c r="A342" s="2833" t="s">
        <v>1643</v>
      </c>
      <c r="B342" s="2833" t="s">
        <v>5073</v>
      </c>
      <c r="C342" s="389" t="s">
        <v>567</v>
      </c>
      <c r="D342" s="383" t="s">
        <v>1088</v>
      </c>
      <c r="E342" s="2835" t="str">
        <f>VLOOKUP(F342,plasmids!$A$2:$B$891,2)</f>
        <v>AAV2</v>
      </c>
      <c r="F342" s="383">
        <v>140</v>
      </c>
      <c r="G342" s="2837"/>
      <c r="H342" s="2837" t="str">
        <f>VLOOKUP(I342,plasmids!$A$2:$B$891,2)</f>
        <v>pAAV-CMV-YFP-CT27(long)</v>
      </c>
      <c r="I342" s="383">
        <v>442</v>
      </c>
      <c r="J342" s="413"/>
      <c r="K342" s="2841">
        <v>41893</v>
      </c>
      <c r="L342" s="2841"/>
      <c r="M342" s="399">
        <v>41957</v>
      </c>
      <c r="N342" s="1039">
        <v>381</v>
      </c>
      <c r="O342" s="403"/>
      <c r="P342" s="409"/>
      <c r="Q342" s="2843">
        <v>43900000000000</v>
      </c>
      <c r="R342" s="405">
        <v>91000000000</v>
      </c>
      <c r="S342" s="411">
        <f t="shared" si="0"/>
        <v>15823296703296.703</v>
      </c>
      <c r="T342" s="2841">
        <v>41981</v>
      </c>
      <c r="U342" s="415"/>
      <c r="V342" s="383">
        <v>165</v>
      </c>
      <c r="W342" s="415"/>
      <c r="X342" s="2833" t="s">
        <v>5048</v>
      </c>
      <c r="Y342" s="415"/>
      <c r="Z342" s="415"/>
      <c r="AA342" s="415"/>
      <c r="AB342" s="415"/>
      <c r="AC342" s="415"/>
      <c r="AD342" s="415"/>
      <c r="AE342" s="415"/>
      <c r="AF342" s="415"/>
      <c r="AG342" s="415"/>
      <c r="AH342" s="415"/>
      <c r="AI342" s="415"/>
      <c r="AJ342" s="415"/>
      <c r="AK342" s="415"/>
      <c r="AL342" s="415"/>
      <c r="AM342" s="415"/>
      <c r="AN342" s="415"/>
      <c r="AO342" s="415"/>
      <c r="AP342" s="415"/>
      <c r="AQ342" s="415"/>
      <c r="AR342" s="415"/>
      <c r="AS342" s="415"/>
      <c r="AT342" s="415"/>
      <c r="AU342" s="415"/>
      <c r="AV342" s="415"/>
      <c r="AW342" s="415"/>
      <c r="AX342" s="415"/>
      <c r="AY342" s="415"/>
      <c r="AZ342" s="415"/>
      <c r="BA342" s="415"/>
      <c r="BB342" s="415"/>
      <c r="BC342" s="415"/>
      <c r="BD342" s="415"/>
      <c r="BE342" s="415"/>
      <c r="BF342" s="415"/>
      <c r="BG342" s="415"/>
      <c r="BH342" s="415"/>
      <c r="BI342" s="415"/>
    </row>
    <row r="343" spans="1:61" ht="24.75" customHeight="1">
      <c r="A343" s="2833" t="s">
        <v>1643</v>
      </c>
      <c r="B343" s="2833" t="s">
        <v>5073</v>
      </c>
      <c r="C343" s="389" t="s">
        <v>567</v>
      </c>
      <c r="D343" s="383" t="s">
        <v>1088</v>
      </c>
      <c r="E343" s="2835" t="str">
        <f>VLOOKUP(F343,plasmids!$A$2:$B$891,2)</f>
        <v>AAV2</v>
      </c>
      <c r="F343" s="383">
        <v>140</v>
      </c>
      <c r="G343" s="2837"/>
      <c r="H343" s="2837" t="str">
        <f>VLOOKUP(I343,plasmids!$A$2:$B$891,2)</f>
        <v>pAAV-CMV-YFP-CTshort</v>
      </c>
      <c r="I343" s="383">
        <v>440</v>
      </c>
      <c r="J343" s="413"/>
      <c r="K343" s="2841">
        <v>41893</v>
      </c>
      <c r="L343" s="2841"/>
      <c r="M343" s="399">
        <v>41957</v>
      </c>
      <c r="N343" s="1039">
        <v>382</v>
      </c>
      <c r="O343" s="403"/>
      <c r="P343" s="409"/>
      <c r="Q343" s="2843">
        <v>46400000000000</v>
      </c>
      <c r="R343" s="405">
        <v>91000000000</v>
      </c>
      <c r="S343" s="411">
        <f t="shared" si="0"/>
        <v>16724395604395.604</v>
      </c>
      <c r="T343" s="2841">
        <v>41981</v>
      </c>
      <c r="U343" s="415"/>
      <c r="V343" s="383">
        <v>160</v>
      </c>
      <c r="W343" s="415"/>
      <c r="X343" s="2833" t="s">
        <v>5048</v>
      </c>
      <c r="Y343" s="415"/>
      <c r="Z343" s="415"/>
      <c r="AA343" s="415"/>
      <c r="AB343" s="415"/>
      <c r="AC343" s="415"/>
      <c r="AD343" s="415"/>
      <c r="AE343" s="415"/>
      <c r="AF343" s="415"/>
      <c r="AG343" s="415"/>
      <c r="AH343" s="415"/>
      <c r="AI343" s="415"/>
      <c r="AJ343" s="415"/>
      <c r="AK343" s="415"/>
      <c r="AL343" s="415"/>
      <c r="AM343" s="415"/>
      <c r="AN343" s="415"/>
      <c r="AO343" s="415"/>
      <c r="AP343" s="415"/>
      <c r="AQ343" s="415"/>
      <c r="AR343" s="415"/>
      <c r="AS343" s="415"/>
      <c r="AT343" s="415"/>
      <c r="AU343" s="415"/>
      <c r="AV343" s="415"/>
      <c r="AW343" s="415"/>
      <c r="AX343" s="415"/>
      <c r="AY343" s="415"/>
      <c r="AZ343" s="415"/>
      <c r="BA343" s="415"/>
      <c r="BB343" s="415"/>
      <c r="BC343" s="415"/>
      <c r="BD343" s="415"/>
      <c r="BE343" s="415"/>
      <c r="BF343" s="415"/>
      <c r="BG343" s="415"/>
      <c r="BH343" s="415"/>
      <c r="BI343" s="415"/>
    </row>
    <row r="344" spans="1:61" ht="24.75" customHeight="1">
      <c r="A344" s="2833" t="s">
        <v>1643</v>
      </c>
      <c r="B344" s="2833" t="s">
        <v>5073</v>
      </c>
      <c r="C344" s="389" t="s">
        <v>567</v>
      </c>
      <c r="D344" s="383" t="s">
        <v>1088</v>
      </c>
      <c r="E344" s="2835" t="str">
        <f>VLOOKUP(F344,plasmids!$A$2:$B$891,2)</f>
        <v>AAV2</v>
      </c>
      <c r="F344" s="383">
        <v>140</v>
      </c>
      <c r="G344" s="2837"/>
      <c r="H344" s="2837" t="str">
        <f>VLOOKUP(I344,plasmids!$A$2:$B$891,2)</f>
        <v>pAAV-CMV-YFP-CT12</v>
      </c>
      <c r="I344" s="383">
        <v>441</v>
      </c>
      <c r="J344" s="413"/>
      <c r="K344" s="2841">
        <v>41893</v>
      </c>
      <c r="L344" s="2841"/>
      <c r="M344" s="399">
        <v>41957</v>
      </c>
      <c r="N344" s="1039">
        <v>383</v>
      </c>
      <c r="O344" s="403"/>
      <c r="P344" s="409"/>
      <c r="Q344" s="2843">
        <v>26900000000000</v>
      </c>
      <c r="R344" s="405">
        <v>91000000000</v>
      </c>
      <c r="S344" s="411">
        <f t="shared" si="0"/>
        <v>9695824175824.1758</v>
      </c>
      <c r="T344" s="2841">
        <v>41981</v>
      </c>
      <c r="U344" s="415"/>
      <c r="V344" s="383">
        <v>160</v>
      </c>
      <c r="W344" s="415"/>
      <c r="X344" s="2833" t="s">
        <v>5048</v>
      </c>
      <c r="Y344" s="415"/>
      <c r="Z344" s="415"/>
      <c r="AA344" s="415"/>
      <c r="AB344" s="415"/>
      <c r="AC344" s="415"/>
      <c r="AD344" s="415"/>
      <c r="AE344" s="415"/>
      <c r="AF344" s="415"/>
      <c r="AG344" s="415"/>
      <c r="AH344" s="415"/>
      <c r="AI344" s="415"/>
      <c r="AJ344" s="415"/>
      <c r="AK344" s="415"/>
      <c r="AL344" s="415"/>
      <c r="AM344" s="415"/>
      <c r="AN344" s="415"/>
      <c r="AO344" s="415"/>
      <c r="AP344" s="415"/>
      <c r="AQ344" s="415"/>
      <c r="AR344" s="415"/>
      <c r="AS344" s="415"/>
      <c r="AT344" s="415"/>
      <c r="AU344" s="415"/>
      <c r="AV344" s="415"/>
      <c r="AW344" s="415"/>
      <c r="AX344" s="415"/>
      <c r="AY344" s="415"/>
      <c r="AZ344" s="415"/>
      <c r="BA344" s="415"/>
      <c r="BB344" s="415"/>
      <c r="BC344" s="415"/>
      <c r="BD344" s="415"/>
      <c r="BE344" s="415"/>
      <c r="BF344" s="415"/>
      <c r="BG344" s="415"/>
      <c r="BH344" s="415"/>
      <c r="BI344" s="415"/>
    </row>
    <row r="345" spans="1:61" ht="19.5" customHeight="1">
      <c r="A345" s="2709" t="s">
        <v>707</v>
      </c>
      <c r="B345" s="2709" t="s">
        <v>3973</v>
      </c>
      <c r="C345" s="2710" t="s">
        <v>1967</v>
      </c>
      <c r="D345" s="2709" t="s">
        <v>4867</v>
      </c>
      <c r="E345" s="2718" t="str">
        <f>VLOOKUP(F345,plasmids!$A$2:$B$891,2)</f>
        <v>AAV9 2YF</v>
      </c>
      <c r="F345" s="2720">
        <v>168</v>
      </c>
      <c r="G345" s="2721"/>
      <c r="H345" s="2721" t="str">
        <f>VLOOKUP(I345,plasmids!$A$2:$B$891,2)</f>
        <v>pscAAV-CAG-tdTomato-bghPA</v>
      </c>
      <c r="I345" s="2709">
        <v>454</v>
      </c>
      <c r="J345" s="2738"/>
      <c r="K345" s="2724">
        <v>41933</v>
      </c>
      <c r="L345" s="2724"/>
      <c r="M345" s="2725">
        <v>41964</v>
      </c>
      <c r="N345" s="2726">
        <v>384</v>
      </c>
      <c r="O345" s="2727"/>
      <c r="P345" s="2728"/>
      <c r="Q345" s="2729">
        <v>30000000000000</v>
      </c>
      <c r="R345" s="2732">
        <v>16800000000</v>
      </c>
      <c r="S345" s="2734">
        <f t="shared" si="0"/>
        <v>58571428571428.57</v>
      </c>
      <c r="T345" s="2735">
        <v>41981</v>
      </c>
      <c r="U345" s="2738"/>
      <c r="V345" s="2869">
        <v>5</v>
      </c>
      <c r="W345" s="2739"/>
      <c r="X345" s="2739"/>
      <c r="Y345" s="2739"/>
      <c r="Z345" s="2739"/>
      <c r="AA345" s="2739"/>
      <c r="AB345" s="2739"/>
      <c r="AC345" s="2739"/>
      <c r="AD345" s="2739"/>
      <c r="AE345" s="2739"/>
      <c r="AF345" s="2739"/>
      <c r="AG345" s="2739"/>
      <c r="AH345" s="2739"/>
      <c r="AI345" s="2739"/>
      <c r="AJ345" s="2739"/>
      <c r="AK345" s="2739"/>
      <c r="AL345" s="2739"/>
      <c r="AM345" s="2739"/>
      <c r="AN345" s="2739"/>
      <c r="AO345" s="2739"/>
      <c r="AP345" s="2739"/>
      <c r="AQ345" s="2739"/>
      <c r="AR345" s="2739"/>
      <c r="AS345" s="2739"/>
      <c r="AT345" s="2739"/>
      <c r="AU345" s="2739"/>
      <c r="AV345" s="2739"/>
      <c r="AW345" s="2739"/>
      <c r="AX345" s="2739"/>
      <c r="AY345" s="2739"/>
      <c r="AZ345" s="2739"/>
      <c r="BA345" s="2739"/>
      <c r="BB345" s="2739"/>
      <c r="BC345" s="2739"/>
      <c r="BD345" s="2739"/>
      <c r="BE345" s="2739"/>
      <c r="BF345" s="2739"/>
      <c r="BG345" s="2739"/>
      <c r="BH345" s="2739"/>
      <c r="BI345" s="2739"/>
    </row>
    <row r="346" spans="1:61" ht="24.75" customHeight="1">
      <c r="A346" s="2709" t="s">
        <v>707</v>
      </c>
      <c r="B346" s="2709" t="s">
        <v>3973</v>
      </c>
      <c r="C346" s="2710" t="s">
        <v>1967</v>
      </c>
      <c r="D346" s="2709" t="s">
        <v>568</v>
      </c>
      <c r="E346" s="2718" t="str">
        <f>VLOOKUP(F346,plasmids!$A$2:$B$351,2)</f>
        <v>AAV9 2YF</v>
      </c>
      <c r="F346" s="2720">
        <v>168</v>
      </c>
      <c r="G346" s="2721"/>
      <c r="H346" s="2721" t="str">
        <f>VLOOKUP(I346,plasmids!$A$2:$B$1191,2)</f>
        <v>sc-CAG-GFP</v>
      </c>
      <c r="I346" s="2709">
        <v>120</v>
      </c>
      <c r="J346" s="2738"/>
      <c r="K346" s="2724">
        <v>41933</v>
      </c>
      <c r="L346" s="2724"/>
      <c r="M346" s="2725">
        <v>41964</v>
      </c>
      <c r="N346" s="2726">
        <v>385</v>
      </c>
      <c r="O346" s="2727"/>
      <c r="P346" s="2728"/>
      <c r="Q346" s="2729">
        <v>63700000000000</v>
      </c>
      <c r="R346" s="2732">
        <v>16800000000</v>
      </c>
      <c r="S346" s="2734">
        <f t="shared" si="0"/>
        <v>124366666666666.66</v>
      </c>
      <c r="T346" s="2735">
        <v>41981</v>
      </c>
      <c r="U346" s="2738"/>
      <c r="V346" s="2720">
        <v>165</v>
      </c>
      <c r="W346" s="2739"/>
      <c r="X346" s="2739"/>
      <c r="Y346" s="2739"/>
      <c r="Z346" s="2739"/>
      <c r="AA346" s="2739"/>
      <c r="AB346" s="2739"/>
      <c r="AC346" s="2739"/>
      <c r="AD346" s="2739"/>
      <c r="AE346" s="2739"/>
      <c r="AF346" s="2739"/>
      <c r="AG346" s="2739"/>
      <c r="AH346" s="2739"/>
      <c r="AI346" s="2739"/>
      <c r="AJ346" s="2739"/>
      <c r="AK346" s="2739"/>
      <c r="AL346" s="2739"/>
      <c r="AM346" s="2739"/>
      <c r="AN346" s="2739"/>
      <c r="AO346" s="2739"/>
      <c r="AP346" s="2739"/>
      <c r="AQ346" s="2739"/>
      <c r="AR346" s="2739"/>
      <c r="AS346" s="2739"/>
      <c r="AT346" s="2739"/>
      <c r="AU346" s="2739"/>
      <c r="AV346" s="2739"/>
      <c r="AW346" s="2739"/>
      <c r="AX346" s="2739"/>
      <c r="AY346" s="2739"/>
      <c r="AZ346" s="2739"/>
      <c r="BA346" s="2739"/>
      <c r="BB346" s="2739"/>
      <c r="BC346" s="2739"/>
      <c r="BD346" s="2739"/>
      <c r="BE346" s="2739"/>
      <c r="BF346" s="2739"/>
      <c r="BG346" s="2739"/>
      <c r="BH346" s="2739"/>
      <c r="BI346" s="2739"/>
    </row>
    <row r="347" spans="1:61" ht="20.25" customHeight="1">
      <c r="A347" s="2872" t="s">
        <v>707</v>
      </c>
      <c r="B347" s="2872" t="s">
        <v>3973</v>
      </c>
      <c r="C347" s="2873" t="s">
        <v>1967</v>
      </c>
      <c r="D347" s="2872" t="s">
        <v>568</v>
      </c>
      <c r="E347" s="2874" t="str">
        <f>VLOOKUP(F347,plasmids!$A$2:$B$351,2)</f>
        <v>pAAV2/8</v>
      </c>
      <c r="F347" s="2875">
        <v>122</v>
      </c>
      <c r="G347" s="2876"/>
      <c r="H347" s="2876" t="str">
        <f>VLOOKUP(I347,plasmids!$A$2:$B$891,2)</f>
        <v>pssAAV-mCAR-GFP</v>
      </c>
      <c r="I347" s="2872">
        <v>93</v>
      </c>
      <c r="J347" s="2877"/>
      <c r="K347" s="2878">
        <v>41933</v>
      </c>
      <c r="L347" s="2878"/>
      <c r="M347" s="2879">
        <v>41964</v>
      </c>
      <c r="N347" s="2880">
        <v>386</v>
      </c>
      <c r="O347" s="2881"/>
      <c r="P347" s="2883"/>
      <c r="Q347" s="2885">
        <v>637000000000000</v>
      </c>
      <c r="R347" s="2887">
        <v>16800000000</v>
      </c>
      <c r="S347" s="2889">
        <f t="shared" si="0"/>
        <v>1243666666666666.8</v>
      </c>
      <c r="T347" s="2891">
        <v>41981</v>
      </c>
      <c r="U347" s="2877"/>
      <c r="V347" s="2881">
        <f>117-50-14-45</f>
        <v>8</v>
      </c>
      <c r="W347" s="2894"/>
      <c r="X347" s="2894"/>
      <c r="Y347" s="2894"/>
      <c r="Z347" s="2894"/>
      <c r="AA347" s="2894"/>
      <c r="AB347" s="2894"/>
      <c r="AC347" s="2894"/>
      <c r="AD347" s="2894"/>
      <c r="AE347" s="2894"/>
      <c r="AF347" s="2894"/>
      <c r="AG347" s="2894"/>
      <c r="AH347" s="2894"/>
      <c r="AI347" s="2894"/>
      <c r="AJ347" s="2894"/>
      <c r="AK347" s="2894"/>
      <c r="AL347" s="2894"/>
      <c r="AM347" s="2894"/>
      <c r="AN347" s="2894"/>
      <c r="AO347" s="2894"/>
      <c r="AP347" s="2894"/>
      <c r="AQ347" s="2894"/>
      <c r="AR347" s="2894"/>
      <c r="AS347" s="2894"/>
      <c r="AT347" s="2894"/>
      <c r="AU347" s="2894"/>
      <c r="AV347" s="2894"/>
      <c r="AW347" s="2894"/>
      <c r="AX347" s="2894"/>
      <c r="AY347" s="2894"/>
      <c r="AZ347" s="2894"/>
      <c r="BA347" s="2894"/>
      <c r="BB347" s="2894"/>
      <c r="BC347" s="2894"/>
      <c r="BD347" s="2894"/>
      <c r="BE347" s="2894"/>
      <c r="BF347" s="2894"/>
      <c r="BG347" s="2894"/>
      <c r="BH347" s="2894"/>
      <c r="BI347" s="2894"/>
    </row>
    <row r="348" spans="1:61" ht="24.75" customHeight="1">
      <c r="A348" s="2709" t="s">
        <v>707</v>
      </c>
      <c r="B348" s="2709" t="s">
        <v>3973</v>
      </c>
      <c r="C348" s="2710" t="s">
        <v>1967</v>
      </c>
      <c r="D348" s="2709" t="s">
        <v>4867</v>
      </c>
      <c r="E348" s="2718" t="str">
        <f>VLOOKUP(F348,plasmids!$A$2:$B$891,2)</f>
        <v>AAV9 2YF</v>
      </c>
      <c r="F348" s="2720">
        <v>168</v>
      </c>
      <c r="G348" s="2721"/>
      <c r="H348" s="2721" t="str">
        <f>VLOOKUP(I348,plasmids!$A$2:$B$891,2)</f>
        <v xml:space="preserve">pTR-scCAG-RdCVFs </v>
      </c>
      <c r="I348" s="2709">
        <v>187</v>
      </c>
      <c r="J348" s="2738"/>
      <c r="K348" s="2724">
        <v>41933</v>
      </c>
      <c r="L348" s="2724"/>
      <c r="M348" s="2725">
        <v>41964</v>
      </c>
      <c r="N348" s="2726">
        <v>387</v>
      </c>
      <c r="O348" s="2727"/>
      <c r="P348" s="2728"/>
      <c r="Q348" s="2729">
        <v>136000000000000</v>
      </c>
      <c r="R348" s="2732">
        <v>16800000000</v>
      </c>
      <c r="S348" s="2734">
        <f t="shared" si="0"/>
        <v>265523809523809.53</v>
      </c>
      <c r="T348" s="2735">
        <v>41981</v>
      </c>
      <c r="U348" s="2738"/>
      <c r="V348" s="2869">
        <v>226</v>
      </c>
      <c r="W348" s="2739"/>
      <c r="X348" s="2739"/>
      <c r="Y348" s="2739"/>
      <c r="Z348" s="2739"/>
      <c r="AA348" s="2739"/>
      <c r="AB348" s="2739"/>
      <c r="AC348" s="2739"/>
      <c r="AD348" s="2739"/>
      <c r="AE348" s="2739"/>
      <c r="AF348" s="2739"/>
      <c r="AG348" s="2739"/>
      <c r="AH348" s="2739"/>
      <c r="AI348" s="2739"/>
      <c r="AJ348" s="2739"/>
      <c r="AK348" s="2739"/>
      <c r="AL348" s="2739"/>
      <c r="AM348" s="2739"/>
      <c r="AN348" s="2739"/>
      <c r="AO348" s="2739"/>
      <c r="AP348" s="2739"/>
      <c r="AQ348" s="2739"/>
      <c r="AR348" s="2739"/>
      <c r="AS348" s="2739"/>
      <c r="AT348" s="2739"/>
      <c r="AU348" s="2739"/>
      <c r="AV348" s="2739"/>
      <c r="AW348" s="2739"/>
      <c r="AX348" s="2739"/>
      <c r="AY348" s="2739"/>
      <c r="AZ348" s="2739"/>
      <c r="BA348" s="2739"/>
      <c r="BB348" s="2739"/>
      <c r="BC348" s="2739"/>
      <c r="BD348" s="2739"/>
      <c r="BE348" s="2739"/>
      <c r="BF348" s="2739"/>
      <c r="BG348" s="2739"/>
      <c r="BH348" s="2739"/>
      <c r="BI348" s="2739"/>
    </row>
    <row r="349" spans="1:61" ht="36">
      <c r="A349" s="135" t="s">
        <v>4383</v>
      </c>
      <c r="B349" s="135" t="s">
        <v>625</v>
      </c>
      <c r="C349" s="137" t="s">
        <v>626</v>
      </c>
      <c r="D349" s="135" t="s">
        <v>655</v>
      </c>
      <c r="E349" s="2657" t="str">
        <f>VLOOKUP(F349,plasmids!$A$2:$B$351,2)</f>
        <v>AAV2</v>
      </c>
      <c r="F349" s="139">
        <v>140</v>
      </c>
      <c r="G349" s="2334"/>
      <c r="H349" s="2334" t="str">
        <f>VLOOKUP(I349,plasmids!$A$2:$B$391,2)</f>
        <v>pAAV-CMV-TGFbeta-muté</v>
      </c>
      <c r="I349" s="135">
        <v>219</v>
      </c>
      <c r="J349" s="135" t="s">
        <v>60</v>
      </c>
      <c r="K349" s="1086">
        <v>41943</v>
      </c>
      <c r="L349" s="1086"/>
      <c r="M349" s="1087">
        <v>41971</v>
      </c>
      <c r="N349" s="145">
        <v>388</v>
      </c>
      <c r="O349" s="147"/>
      <c r="P349" s="1090"/>
      <c r="Q349" s="150">
        <v>55100000000000</v>
      </c>
      <c r="R349" s="149">
        <v>6990000000</v>
      </c>
      <c r="S349" s="153">
        <f t="shared" si="0"/>
        <v>258552217453505.03</v>
      </c>
      <c r="T349" s="2337">
        <v>41981</v>
      </c>
      <c r="U349" s="156"/>
      <c r="V349" s="139">
        <v>160</v>
      </c>
      <c r="W349" s="162" t="s">
        <v>5123</v>
      </c>
      <c r="X349" s="158"/>
      <c r="Y349" s="158"/>
      <c r="Z349" s="158"/>
      <c r="AA349" s="158"/>
      <c r="AB349" s="158"/>
      <c r="AC349" s="158"/>
      <c r="AD349" s="158"/>
      <c r="AE349" s="158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</row>
    <row r="350" spans="1:61" ht="36">
      <c r="A350" s="135" t="s">
        <v>4383</v>
      </c>
      <c r="B350" s="135" t="s">
        <v>625</v>
      </c>
      <c r="C350" s="137" t="s">
        <v>626</v>
      </c>
      <c r="D350" s="135" t="s">
        <v>655</v>
      </c>
      <c r="E350" s="164" t="s">
        <v>882</v>
      </c>
      <c r="F350" s="139">
        <v>142</v>
      </c>
      <c r="G350" s="2334"/>
      <c r="H350" s="2334" t="str">
        <f>VLOOKUP(I350,plasmids!$A$2:$B$393,2)</f>
        <v>pAAV-CMV-TGFbeta-muté</v>
      </c>
      <c r="I350" s="135">
        <v>219</v>
      </c>
      <c r="J350" s="135" t="s">
        <v>60</v>
      </c>
      <c r="K350" s="1086">
        <v>41943</v>
      </c>
      <c r="L350" s="1086"/>
      <c r="M350" s="1087">
        <v>41971</v>
      </c>
      <c r="N350" s="145">
        <v>389</v>
      </c>
      <c r="O350" s="139">
        <v>6</v>
      </c>
      <c r="P350" s="1090"/>
      <c r="Q350" s="150">
        <v>181000000000000</v>
      </c>
      <c r="R350" s="149">
        <v>6990000000</v>
      </c>
      <c r="S350" s="153">
        <f t="shared" si="0"/>
        <v>849327610872675.38</v>
      </c>
      <c r="T350" s="2337">
        <v>41981</v>
      </c>
      <c r="U350" s="156"/>
      <c r="V350" s="139">
        <v>160</v>
      </c>
      <c r="W350" s="162" t="s">
        <v>5123</v>
      </c>
      <c r="X350" s="158"/>
      <c r="Y350" s="158"/>
      <c r="Z350" s="158"/>
      <c r="AA350" s="158"/>
      <c r="AB350" s="158"/>
      <c r="AC350" s="158"/>
      <c r="AD350" s="158"/>
      <c r="AE350" s="158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</row>
    <row r="351" spans="1:61" ht="36">
      <c r="A351" s="301" t="s">
        <v>4383</v>
      </c>
      <c r="B351" s="301" t="s">
        <v>625</v>
      </c>
      <c r="C351" s="302" t="s">
        <v>626</v>
      </c>
      <c r="D351" s="301" t="s">
        <v>655</v>
      </c>
      <c r="E351" s="2903" t="str">
        <f>VLOOKUP(F351,plasmids!$A$2:$B$351,2)</f>
        <v>AAV2</v>
      </c>
      <c r="F351" s="305">
        <v>140</v>
      </c>
      <c r="G351" s="2904"/>
      <c r="H351" s="2904" t="str">
        <f>VLOOKUP(I351,plasmids!$A$2:$B$391,2)</f>
        <v>pTR-ssCMV-GFP-WPRE-bghpA</v>
      </c>
      <c r="I351" s="301">
        <v>192</v>
      </c>
      <c r="J351" s="301" t="s">
        <v>60</v>
      </c>
      <c r="K351" s="379">
        <v>41943</v>
      </c>
      <c r="L351" s="379"/>
      <c r="M351" s="308">
        <v>41971</v>
      </c>
      <c r="N351" s="309">
        <v>390</v>
      </c>
      <c r="O351" s="311"/>
      <c r="P351" s="315"/>
      <c r="Q351" s="2240">
        <v>6180000000000</v>
      </c>
      <c r="R351" s="312">
        <v>6990000000</v>
      </c>
      <c r="S351" s="317">
        <f t="shared" si="0"/>
        <v>28999141630901.289</v>
      </c>
      <c r="T351" s="2905">
        <v>41981</v>
      </c>
      <c r="U351" s="318"/>
      <c r="V351" s="305">
        <v>155</v>
      </c>
      <c r="W351" s="320" t="s">
        <v>5123</v>
      </c>
      <c r="X351" s="319"/>
      <c r="Y351" s="319"/>
      <c r="Z351" s="319"/>
      <c r="AA351" s="319"/>
      <c r="AB351" s="319"/>
      <c r="AC351" s="319"/>
      <c r="AD351" s="319"/>
      <c r="AE351" s="319"/>
      <c r="AF351" s="234"/>
      <c r="AG351" s="234"/>
      <c r="AH351" s="234"/>
      <c r="AI351" s="234"/>
      <c r="AJ351" s="234"/>
      <c r="AK351" s="234"/>
      <c r="AL351" s="234"/>
      <c r="AM351" s="234"/>
      <c r="AN351" s="234"/>
      <c r="AO351" s="234"/>
      <c r="AP351" s="234"/>
      <c r="AQ351" s="234"/>
      <c r="AR351" s="234"/>
      <c r="AS351" s="234"/>
      <c r="AT351" s="234"/>
      <c r="AU351" s="234"/>
      <c r="AV351" s="234"/>
      <c r="AW351" s="234"/>
      <c r="AX351" s="234"/>
      <c r="AY351" s="234"/>
      <c r="AZ351" s="234"/>
      <c r="BA351" s="234"/>
      <c r="BB351" s="234"/>
      <c r="BC351" s="234"/>
      <c r="BD351" s="234"/>
      <c r="BE351" s="234"/>
      <c r="BF351" s="234"/>
      <c r="BG351" s="234"/>
      <c r="BH351" s="234"/>
      <c r="BI351" s="234"/>
    </row>
    <row r="352" spans="1:61" ht="23.25" customHeight="1">
      <c r="A352" s="2906" t="s">
        <v>2852</v>
      </c>
      <c r="B352" s="778" t="s">
        <v>5139</v>
      </c>
      <c r="C352" s="782" t="s">
        <v>5141</v>
      </c>
      <c r="D352" s="778" t="s">
        <v>3032</v>
      </c>
      <c r="E352" s="2584" t="str">
        <f>VLOOKUP(F352,plasmids!$A$2:$B$351,2)</f>
        <v>AAV2-7m8</v>
      </c>
      <c r="F352" s="790">
        <v>178</v>
      </c>
      <c r="G352" s="2585"/>
      <c r="H352" s="2585" t="str">
        <f>VLOOKUP(I352,plasmids!$A$2:$B$891,2)</f>
        <v>sc-CAG-GFP</v>
      </c>
      <c r="I352" s="778">
        <v>120</v>
      </c>
      <c r="J352" s="799"/>
      <c r="K352" s="784">
        <v>41932</v>
      </c>
      <c r="L352" s="784"/>
      <c r="M352" s="786">
        <v>41971</v>
      </c>
      <c r="N352" s="788">
        <v>391</v>
      </c>
      <c r="O352" s="2589"/>
      <c r="P352" s="1466"/>
      <c r="Q352" s="2586">
        <v>68000000000000</v>
      </c>
      <c r="R352" s="792">
        <v>6990000000</v>
      </c>
      <c r="S352" s="797">
        <f t="shared" si="0"/>
        <v>319084406294706.75</v>
      </c>
      <c r="T352" s="2587">
        <v>41981</v>
      </c>
      <c r="U352" s="799"/>
      <c r="V352" s="2589">
        <f>135-14-12</f>
        <v>109</v>
      </c>
      <c r="W352" s="809"/>
      <c r="X352" s="809"/>
      <c r="Y352" s="809"/>
      <c r="Z352" s="809"/>
      <c r="AA352" s="809"/>
      <c r="AB352" s="809"/>
      <c r="AC352" s="809"/>
      <c r="AD352" s="809"/>
      <c r="AE352" s="809"/>
      <c r="AF352" s="809"/>
      <c r="AG352" s="809"/>
      <c r="AH352" s="809"/>
      <c r="AI352" s="809"/>
      <c r="AJ352" s="809"/>
      <c r="AK352" s="809"/>
      <c r="AL352" s="809"/>
      <c r="AM352" s="809"/>
      <c r="AN352" s="809"/>
      <c r="AO352" s="809"/>
      <c r="AP352" s="809"/>
      <c r="AQ352" s="809"/>
      <c r="AR352" s="809"/>
      <c r="AS352" s="809"/>
      <c r="AT352" s="809"/>
      <c r="AU352" s="809"/>
      <c r="AV352" s="809"/>
      <c r="AW352" s="809"/>
      <c r="AX352" s="809"/>
      <c r="AY352" s="809"/>
      <c r="AZ352" s="809"/>
      <c r="BA352" s="809"/>
      <c r="BB352" s="809"/>
      <c r="BC352" s="809"/>
      <c r="BD352" s="809"/>
      <c r="BE352" s="809"/>
      <c r="BF352" s="809"/>
      <c r="BG352" s="809"/>
      <c r="BH352" s="809"/>
      <c r="BI352" s="809"/>
    </row>
    <row r="353" spans="1:61" ht="23.25" customHeight="1">
      <c r="A353" s="470" t="s">
        <v>52</v>
      </c>
      <c r="B353" s="470" t="s">
        <v>139</v>
      </c>
      <c r="C353" s="1001" t="s">
        <v>55</v>
      </c>
      <c r="D353" s="470" t="s">
        <v>568</v>
      </c>
      <c r="E353" s="2633" t="str">
        <f>VLOOKUP(F353,plasmids!$A$2:$B$351,2)</f>
        <v>AAV2-7m8</v>
      </c>
      <c r="F353" s="1008">
        <v>178</v>
      </c>
      <c r="G353" s="1001"/>
      <c r="H353" s="1001" t="s">
        <v>1570</v>
      </c>
      <c r="I353" s="470">
        <v>456</v>
      </c>
      <c r="J353" s="1011"/>
      <c r="K353" s="1011"/>
      <c r="L353" s="1830"/>
      <c r="M353" s="1005">
        <v>41978</v>
      </c>
      <c r="N353" s="1006">
        <v>392</v>
      </c>
      <c r="O353" s="1659"/>
      <c r="P353" s="466"/>
      <c r="Q353" s="1604">
        <v>102000000000000</v>
      </c>
      <c r="R353" s="462">
        <v>83700000000</v>
      </c>
      <c r="S353" s="468">
        <f t="shared" si="0"/>
        <v>39971326164874.555</v>
      </c>
      <c r="T353" s="1830">
        <v>41995</v>
      </c>
      <c r="U353" s="2910" t="s">
        <v>5150</v>
      </c>
      <c r="V353" s="1304">
        <f>165-5</f>
        <v>160</v>
      </c>
      <c r="W353" s="1011"/>
      <c r="X353" s="1011"/>
      <c r="Y353" s="1011"/>
      <c r="Z353" s="1011"/>
      <c r="AA353" s="1011"/>
      <c r="AB353" s="1011"/>
      <c r="AC353" s="1011"/>
      <c r="AD353" s="1011"/>
      <c r="AE353" s="1011"/>
      <c r="AF353" s="1011"/>
      <c r="AG353" s="1011"/>
      <c r="AH353" s="1011"/>
      <c r="AI353" s="1011"/>
      <c r="AJ353" s="1011"/>
      <c r="AK353" s="1011"/>
      <c r="AL353" s="1011"/>
      <c r="AM353" s="1011"/>
      <c r="AN353" s="1011"/>
      <c r="AO353" s="1011"/>
      <c r="AP353" s="1011"/>
      <c r="AQ353" s="1011"/>
      <c r="AR353" s="1011"/>
      <c r="AS353" s="1011"/>
      <c r="AT353" s="1011"/>
      <c r="AU353" s="1011"/>
      <c r="AV353" s="1011"/>
      <c r="AW353" s="1011"/>
      <c r="AX353" s="1011"/>
      <c r="AY353" s="1011"/>
      <c r="AZ353" s="1011"/>
      <c r="BA353" s="1011"/>
      <c r="BB353" s="1011"/>
      <c r="BC353" s="1011"/>
      <c r="BD353" s="1011"/>
      <c r="BE353" s="1011"/>
      <c r="BF353" s="1011"/>
      <c r="BG353" s="1011"/>
      <c r="BH353" s="1011"/>
      <c r="BI353" s="1011"/>
    </row>
    <row r="354" spans="1:61" ht="26.25" customHeight="1">
      <c r="A354" s="1301" t="s">
        <v>52</v>
      </c>
      <c r="B354" s="470" t="s">
        <v>139</v>
      </c>
      <c r="C354" s="1001" t="s">
        <v>55</v>
      </c>
      <c r="D354" s="470" t="s">
        <v>568</v>
      </c>
      <c r="E354" s="2633" t="str">
        <f>VLOOKUP(F354,plasmids!$A$2:$B$351,2)</f>
        <v>AAV2-7m8</v>
      </c>
      <c r="F354" s="470">
        <v>178</v>
      </c>
      <c r="G354" s="2912"/>
      <c r="H354" s="2912" t="s">
        <v>869</v>
      </c>
      <c r="I354" s="470">
        <v>458</v>
      </c>
      <c r="J354" s="471"/>
      <c r="K354" s="1830">
        <v>41903</v>
      </c>
      <c r="L354" s="1830"/>
      <c r="M354" s="1005">
        <v>41978</v>
      </c>
      <c r="N354" s="781">
        <v>393</v>
      </c>
      <c r="O354" s="1659"/>
      <c r="P354" s="466"/>
      <c r="Q354" s="1604">
        <v>74500000000000</v>
      </c>
      <c r="R354" s="462">
        <v>83700000000</v>
      </c>
      <c r="S354" s="468">
        <f t="shared" si="0"/>
        <v>29194743130227.004</v>
      </c>
      <c r="T354" s="1830">
        <v>41995</v>
      </c>
      <c r="U354" s="2914">
        <v>42002</v>
      </c>
      <c r="V354" s="2351">
        <v>150</v>
      </c>
      <c r="W354" s="1011"/>
      <c r="X354" s="1011"/>
      <c r="Y354" s="1011"/>
      <c r="Z354" s="1011"/>
      <c r="AA354" s="1011"/>
      <c r="AB354" s="1011"/>
      <c r="AC354" s="1011"/>
      <c r="AD354" s="1011"/>
      <c r="AE354" s="1011"/>
      <c r="AF354" s="1011"/>
      <c r="AG354" s="1011"/>
      <c r="AH354" s="1011"/>
      <c r="AI354" s="1011"/>
      <c r="AJ354" s="1011"/>
      <c r="AK354" s="1011"/>
      <c r="AL354" s="1011"/>
      <c r="AM354" s="1011"/>
      <c r="AN354" s="1011"/>
      <c r="AO354" s="1011"/>
      <c r="AP354" s="1011"/>
      <c r="AQ354" s="1011"/>
      <c r="AR354" s="1011"/>
      <c r="AS354" s="1011"/>
      <c r="AT354" s="1011"/>
      <c r="AU354" s="1011"/>
      <c r="AV354" s="1011"/>
      <c r="AW354" s="1011"/>
      <c r="AX354" s="1011"/>
      <c r="AY354" s="1011"/>
      <c r="AZ354" s="1011"/>
      <c r="BA354" s="1011"/>
      <c r="BB354" s="1011"/>
      <c r="BC354" s="1011"/>
      <c r="BD354" s="1011"/>
      <c r="BE354" s="1011"/>
      <c r="BF354" s="1011"/>
      <c r="BG354" s="1011"/>
      <c r="BH354" s="1011"/>
      <c r="BI354" s="1011"/>
    </row>
    <row r="355" spans="1:61" ht="23.25" customHeight="1">
      <c r="A355" s="2915" t="s">
        <v>52</v>
      </c>
      <c r="B355" s="1832" t="s">
        <v>139</v>
      </c>
      <c r="C355" s="1833" t="s">
        <v>55</v>
      </c>
      <c r="D355" s="1832" t="s">
        <v>568</v>
      </c>
      <c r="E355" s="2634" t="str">
        <f>VLOOKUP(F355,plasmids!$A$2:$B$351,2)</f>
        <v>AAV2-7m8</v>
      </c>
      <c r="F355" s="1832">
        <v>178</v>
      </c>
      <c r="G355" s="1834"/>
      <c r="H355" s="1834" t="str">
        <f>VLOOKUP(I355,plasmids!$A$2:$B$1191,2)</f>
        <v>pssAAV-mCAR-Jaws-GFP</v>
      </c>
      <c r="I355" s="1832">
        <v>89</v>
      </c>
      <c r="J355" s="1832" t="s">
        <v>3726</v>
      </c>
      <c r="K355" s="1856">
        <v>41932</v>
      </c>
      <c r="L355" s="1856"/>
      <c r="M355" s="1857">
        <v>41978</v>
      </c>
      <c r="N355" s="1897">
        <v>394</v>
      </c>
      <c r="O355" s="2635"/>
      <c r="P355" s="1899"/>
      <c r="Q355" s="1900">
        <v>83100000000000</v>
      </c>
      <c r="R355" s="2450">
        <v>83700000000</v>
      </c>
      <c r="S355" s="1902">
        <f t="shared" si="0"/>
        <v>32564874551971.328</v>
      </c>
      <c r="T355" s="2452">
        <v>41995</v>
      </c>
      <c r="U355" s="2452">
        <v>42002</v>
      </c>
      <c r="V355" s="2918" t="s">
        <v>5155</v>
      </c>
      <c r="W355" s="1905"/>
      <c r="X355" s="1905"/>
      <c r="Y355" s="1905"/>
      <c r="Z355" s="1905"/>
      <c r="AA355" s="1905"/>
      <c r="AB355" s="1905"/>
      <c r="AC355" s="1905"/>
      <c r="AD355" s="1905"/>
      <c r="AE355" s="1905"/>
      <c r="AF355" s="1905"/>
      <c r="AG355" s="1905"/>
      <c r="AH355" s="1905"/>
      <c r="AI355" s="1905"/>
      <c r="AJ355" s="1905"/>
      <c r="AK355" s="1905"/>
      <c r="AL355" s="1905"/>
      <c r="AM355" s="1905"/>
      <c r="AN355" s="1905"/>
      <c r="AO355" s="1905"/>
      <c r="AP355" s="1905"/>
      <c r="AQ355" s="1905"/>
      <c r="AR355" s="1905"/>
      <c r="AS355" s="1905"/>
      <c r="AT355" s="1905"/>
      <c r="AU355" s="1905"/>
      <c r="AV355" s="1905"/>
      <c r="AW355" s="1905"/>
      <c r="AX355" s="1905"/>
      <c r="AY355" s="1905"/>
      <c r="AZ355" s="1905"/>
      <c r="BA355" s="1905"/>
      <c r="BB355" s="1905"/>
      <c r="BC355" s="1905"/>
      <c r="BD355" s="1905"/>
      <c r="BE355" s="1905"/>
      <c r="BF355" s="1905"/>
      <c r="BG355" s="1905"/>
      <c r="BH355" s="1905"/>
      <c r="BI355" s="1905"/>
    </row>
    <row r="356" spans="1:61" ht="21" customHeight="1">
      <c r="A356" s="2919" t="s">
        <v>707</v>
      </c>
      <c r="B356" s="2919" t="s">
        <v>5157</v>
      </c>
      <c r="C356" s="2921" t="s">
        <v>1967</v>
      </c>
      <c r="D356" s="2919" t="s">
        <v>4867</v>
      </c>
      <c r="E356" s="2922" t="str">
        <f>VLOOKUP(F356,plasmids!$A$2:$B$351,2)</f>
        <v>AAV2-7m8</v>
      </c>
      <c r="F356" s="2923">
        <v>178</v>
      </c>
      <c r="G356" s="2924"/>
      <c r="H356" s="2924" t="str">
        <f>VLOOKUP(I356,plasmids!$A$2:$B$1191,2)</f>
        <v>pscAAV-CAG-tdTomato-bghPA</v>
      </c>
      <c r="I356" s="2919">
        <v>454</v>
      </c>
      <c r="J356" s="2925"/>
      <c r="K356" s="2927">
        <v>41919</v>
      </c>
      <c r="L356" s="2927"/>
      <c r="M356" s="2928">
        <v>41978</v>
      </c>
      <c r="N356" s="2929">
        <v>395</v>
      </c>
      <c r="O356" s="2930"/>
      <c r="P356" s="2931"/>
      <c r="Q356" s="2933">
        <v>91800000000000</v>
      </c>
      <c r="R356" s="2934">
        <v>83700000000</v>
      </c>
      <c r="S356" s="2936">
        <f t="shared" si="0"/>
        <v>35974193548387.102</v>
      </c>
      <c r="T356" s="2937">
        <v>41995</v>
      </c>
      <c r="U356" s="2925"/>
      <c r="V356" s="2938">
        <v>5</v>
      </c>
      <c r="W356" s="2939"/>
      <c r="X356" s="2939"/>
      <c r="Y356" s="2939"/>
      <c r="Z356" s="2939"/>
      <c r="AA356" s="2939"/>
      <c r="AB356" s="2939"/>
      <c r="AC356" s="2939"/>
      <c r="AD356" s="2939"/>
      <c r="AE356" s="2939"/>
      <c r="AF356" s="2939"/>
      <c r="AG356" s="2939"/>
      <c r="AH356" s="2939"/>
      <c r="AI356" s="2939"/>
      <c r="AJ356" s="2939"/>
      <c r="AK356" s="2939"/>
      <c r="AL356" s="2939"/>
      <c r="AM356" s="2939"/>
      <c r="AN356" s="2939"/>
      <c r="AO356" s="2939"/>
      <c r="AP356" s="2939"/>
      <c r="AQ356" s="2939"/>
      <c r="AR356" s="2939"/>
      <c r="AS356" s="2939"/>
      <c r="AT356" s="2939"/>
      <c r="AU356" s="2939"/>
      <c r="AV356" s="2939"/>
      <c r="AW356" s="2939"/>
      <c r="AX356" s="2939"/>
      <c r="AY356" s="2939"/>
      <c r="AZ356" s="2939"/>
      <c r="BA356" s="2939"/>
      <c r="BB356" s="2939"/>
      <c r="BC356" s="2939"/>
      <c r="BD356" s="2939"/>
      <c r="BE356" s="2939"/>
      <c r="BF356" s="2939"/>
      <c r="BG356" s="2939"/>
      <c r="BH356" s="2939"/>
      <c r="BI356" s="2939"/>
    </row>
    <row r="357" spans="1:61" ht="22.5" customHeight="1">
      <c r="A357" s="2709" t="s">
        <v>707</v>
      </c>
      <c r="B357" s="2709" t="s">
        <v>3973</v>
      </c>
      <c r="C357" s="2710" t="s">
        <v>1967</v>
      </c>
      <c r="D357" s="2709" t="s">
        <v>568</v>
      </c>
      <c r="E357" s="2718" t="str">
        <f>VLOOKUP(F357,plasmids!$A$2:$B$891,2)</f>
        <v>AAV9 2YF</v>
      </c>
      <c r="F357" s="2720">
        <v>168</v>
      </c>
      <c r="G357" s="2721"/>
      <c r="H357" s="2721" t="str">
        <f>VLOOKUP(I357,plasmids!$A$2:$B$891,2)</f>
        <v xml:space="preserve">pTR-scCAG-RdCVFs </v>
      </c>
      <c r="I357" s="2709">
        <v>187</v>
      </c>
      <c r="J357" s="2738"/>
      <c r="K357" s="2723"/>
      <c r="L357" s="2724"/>
      <c r="M357" s="2725">
        <v>41985</v>
      </c>
      <c r="N357" s="2726">
        <v>396</v>
      </c>
      <c r="O357" s="2727"/>
      <c r="P357" s="2728"/>
      <c r="Q357" s="2729">
        <v>96400000000000</v>
      </c>
      <c r="R357" s="2732">
        <v>17200000000</v>
      </c>
      <c r="S357" s="2734">
        <f t="shared" si="0"/>
        <v>183832558139534.88</v>
      </c>
      <c r="T357" s="2735">
        <v>41995</v>
      </c>
      <c r="U357" s="2738"/>
      <c r="V357" s="2869" t="s">
        <v>5175</v>
      </c>
      <c r="W357" s="2739"/>
      <c r="X357" s="2739"/>
      <c r="Y357" s="2739"/>
      <c r="Z357" s="2739"/>
      <c r="AA357" s="2739"/>
      <c r="AB357" s="2739"/>
      <c r="AC357" s="2739"/>
      <c r="AD357" s="2739"/>
      <c r="AE357" s="2739"/>
      <c r="AF357" s="2739"/>
      <c r="AG357" s="2739"/>
      <c r="AH357" s="2739"/>
      <c r="AI357" s="2739"/>
      <c r="AJ357" s="2739"/>
      <c r="AK357" s="2739"/>
      <c r="AL357" s="2739"/>
      <c r="AM357" s="2739"/>
      <c r="AN357" s="2739"/>
      <c r="AO357" s="2739"/>
      <c r="AP357" s="2739"/>
      <c r="AQ357" s="2739"/>
      <c r="AR357" s="2739"/>
      <c r="AS357" s="2739"/>
      <c r="AT357" s="2739"/>
      <c r="AU357" s="2739"/>
      <c r="AV357" s="2739"/>
      <c r="AW357" s="2739"/>
      <c r="AX357" s="2739"/>
      <c r="AY357" s="2739"/>
      <c r="AZ357" s="2739"/>
      <c r="BA357" s="2739"/>
      <c r="BB357" s="2739"/>
      <c r="BC357" s="2739"/>
      <c r="BD357" s="2739"/>
      <c r="BE357" s="2739"/>
      <c r="BF357" s="2739"/>
      <c r="BG357" s="2739"/>
      <c r="BH357" s="2739"/>
      <c r="BI357" s="2739"/>
    </row>
    <row r="358" spans="1:61" ht="21" customHeight="1">
      <c r="A358" s="470" t="s">
        <v>52</v>
      </c>
      <c r="B358" s="470" t="s">
        <v>139</v>
      </c>
      <c r="C358" s="1001" t="s">
        <v>55</v>
      </c>
      <c r="D358" s="470" t="s">
        <v>568</v>
      </c>
      <c r="E358" s="2633" t="str">
        <f>VLOOKUP(F358,plasmids!$A$2:$B$351,2)</f>
        <v>pXR8 Y447 733F</v>
      </c>
      <c r="F358" s="470">
        <v>195</v>
      </c>
      <c r="G358" s="1828"/>
      <c r="H358" s="1828" t="str">
        <f>VLOOKUP(I358,plasmids!$A$2:$B$1191,2)</f>
        <v>pAAV-CAG-hHKAb-NpHR-YFP</v>
      </c>
      <c r="I358" s="470">
        <v>451</v>
      </c>
      <c r="J358" s="471"/>
      <c r="K358" s="1003">
        <v>41953</v>
      </c>
      <c r="L358" s="1003"/>
      <c r="M358" s="1005">
        <v>41985</v>
      </c>
      <c r="N358" s="781">
        <v>397</v>
      </c>
      <c r="O358" s="1659"/>
      <c r="P358" s="466"/>
      <c r="Q358" s="1604">
        <v>2810000000000</v>
      </c>
      <c r="R358" s="462">
        <v>17200000000</v>
      </c>
      <c r="S358" s="468">
        <f t="shared" si="0"/>
        <v>5358604651162.791</v>
      </c>
      <c r="T358" s="1830">
        <v>41995</v>
      </c>
      <c r="U358" s="471"/>
      <c r="V358" s="2351">
        <v>155</v>
      </c>
      <c r="W358" s="1011"/>
      <c r="X358" s="1011"/>
      <c r="Y358" s="1011"/>
      <c r="Z358" s="1011"/>
      <c r="AA358" s="1011"/>
      <c r="AB358" s="1011"/>
      <c r="AC358" s="1011"/>
      <c r="AD358" s="1011"/>
      <c r="AE358" s="1011"/>
      <c r="AF358" s="1011"/>
      <c r="AG358" s="1011"/>
      <c r="AH358" s="1011"/>
      <c r="AI358" s="1011"/>
      <c r="AJ358" s="1011"/>
      <c r="AK358" s="1011"/>
      <c r="AL358" s="1011"/>
      <c r="AM358" s="1011"/>
      <c r="AN358" s="1011"/>
      <c r="AO358" s="1011"/>
      <c r="AP358" s="1011"/>
      <c r="AQ358" s="1011"/>
      <c r="AR358" s="1011"/>
      <c r="AS358" s="1011"/>
      <c r="AT358" s="1011"/>
      <c r="AU358" s="1011"/>
      <c r="AV358" s="1011"/>
      <c r="AW358" s="1011"/>
      <c r="AX358" s="1011"/>
      <c r="AY358" s="1011"/>
      <c r="AZ358" s="1011"/>
      <c r="BA358" s="1011"/>
      <c r="BB358" s="1011"/>
      <c r="BC358" s="1011"/>
      <c r="BD358" s="1011"/>
      <c r="BE358" s="1011"/>
      <c r="BF358" s="1011"/>
      <c r="BG358" s="1011"/>
      <c r="BH358" s="1011"/>
      <c r="BI358" s="1011"/>
    </row>
    <row r="359" spans="1:61" ht="23.25" customHeight="1">
      <c r="A359" s="1301" t="s">
        <v>52</v>
      </c>
      <c r="B359" s="470" t="s">
        <v>139</v>
      </c>
      <c r="C359" s="1001" t="s">
        <v>55</v>
      </c>
      <c r="D359" s="470" t="s">
        <v>568</v>
      </c>
      <c r="E359" s="2633" t="str">
        <f>VLOOKUP(F359,plasmids!$A$2:$B$351,2)</f>
        <v>pXR8 Y447 733F</v>
      </c>
      <c r="F359" s="470">
        <v>195</v>
      </c>
      <c r="G359" s="1828"/>
      <c r="H359" s="1828" t="str">
        <f>VLOOKUP(I359,plasmids!$A$2:$B$1191,2)</f>
        <v>pAAV-CAG-rHKAb-eNpHR-YFP</v>
      </c>
      <c r="I359" s="470">
        <v>437</v>
      </c>
      <c r="J359" s="470" t="s">
        <v>3726</v>
      </c>
      <c r="K359" s="1003">
        <v>41932</v>
      </c>
      <c r="L359" s="1003"/>
      <c r="M359" s="1005">
        <v>41985</v>
      </c>
      <c r="N359" s="1006">
        <v>398</v>
      </c>
      <c r="O359" s="1659"/>
      <c r="P359" s="466"/>
      <c r="Q359" s="1604">
        <v>3800000000000</v>
      </c>
      <c r="R359" s="462">
        <v>17200000000</v>
      </c>
      <c r="S359" s="468">
        <f t="shared" si="0"/>
        <v>7246511627906.9766</v>
      </c>
      <c r="T359" s="1830">
        <v>41995</v>
      </c>
      <c r="U359" s="471"/>
      <c r="V359" s="1304">
        <v>165</v>
      </c>
      <c r="W359" s="1011"/>
      <c r="X359" s="1011"/>
      <c r="Y359" s="1011"/>
      <c r="Z359" s="1011"/>
      <c r="AA359" s="1011"/>
      <c r="AB359" s="1011"/>
      <c r="AC359" s="1011"/>
      <c r="AD359" s="1011"/>
      <c r="AE359" s="1011"/>
      <c r="AF359" s="1011"/>
      <c r="AG359" s="1011"/>
      <c r="AH359" s="1011"/>
      <c r="AI359" s="1011"/>
      <c r="AJ359" s="1011"/>
      <c r="AK359" s="1011"/>
      <c r="AL359" s="1011"/>
      <c r="AM359" s="1011"/>
      <c r="AN359" s="1011"/>
      <c r="AO359" s="1011"/>
      <c r="AP359" s="1011"/>
      <c r="AQ359" s="1011"/>
      <c r="AR359" s="1011"/>
      <c r="AS359" s="1011"/>
      <c r="AT359" s="1011"/>
      <c r="AU359" s="1011"/>
      <c r="AV359" s="1011"/>
      <c r="AW359" s="1011"/>
      <c r="AX359" s="1011"/>
      <c r="AY359" s="1011"/>
      <c r="AZ359" s="1011"/>
      <c r="BA359" s="1011"/>
      <c r="BB359" s="1011"/>
      <c r="BC359" s="1011"/>
      <c r="BD359" s="1011"/>
      <c r="BE359" s="1011"/>
      <c r="BF359" s="1011"/>
      <c r="BG359" s="1011"/>
      <c r="BH359" s="1011"/>
      <c r="BI359" s="1011"/>
    </row>
    <row r="360" spans="1:61" ht="21" customHeight="1">
      <c r="A360" s="734" t="s">
        <v>707</v>
      </c>
      <c r="B360" s="734" t="s">
        <v>2698</v>
      </c>
      <c r="C360" s="735" t="s">
        <v>1967</v>
      </c>
      <c r="D360" s="734" t="s">
        <v>4460</v>
      </c>
      <c r="E360" s="1666" t="str">
        <f>VLOOKUP(F360,plasmids!$A$2:$B$351,2)</f>
        <v>AAV2</v>
      </c>
      <c r="F360" s="739">
        <v>140</v>
      </c>
      <c r="G360" s="1667"/>
      <c r="H360" s="1667" t="str">
        <f>VLOOKUP(I360,plasmids!$A$2:$B$1191,2)</f>
        <v>pscAAV-1xGrM6-GFP</v>
      </c>
      <c r="I360" s="734">
        <v>338</v>
      </c>
      <c r="J360" s="744"/>
      <c r="K360" s="811">
        <v>41949</v>
      </c>
      <c r="L360" s="811"/>
      <c r="M360" s="737">
        <v>41985</v>
      </c>
      <c r="N360" s="738">
        <v>399</v>
      </c>
      <c r="O360" s="2602"/>
      <c r="P360" s="742"/>
      <c r="Q360" s="1613">
        <v>69600000000</v>
      </c>
      <c r="R360" s="740">
        <v>17200000000</v>
      </c>
      <c r="S360" s="743">
        <f t="shared" si="0"/>
        <v>132725581395.34885</v>
      </c>
      <c r="T360" s="2222">
        <v>41995</v>
      </c>
      <c r="U360" s="744"/>
      <c r="V360" s="746">
        <f>152-10</f>
        <v>142</v>
      </c>
      <c r="W360" s="733"/>
      <c r="X360" s="733"/>
      <c r="Y360" s="733"/>
      <c r="Z360" s="733"/>
      <c r="AA360" s="733"/>
      <c r="AB360" s="733"/>
      <c r="AC360" s="733"/>
      <c r="AD360" s="733"/>
      <c r="AE360" s="733"/>
      <c r="AF360" s="733"/>
      <c r="AG360" s="733"/>
      <c r="AH360" s="733"/>
      <c r="AI360" s="733"/>
      <c r="AJ360" s="733"/>
      <c r="AK360" s="733"/>
      <c r="AL360" s="733"/>
      <c r="AM360" s="733"/>
      <c r="AN360" s="733"/>
      <c r="AO360" s="733"/>
      <c r="AP360" s="733"/>
      <c r="AQ360" s="733"/>
      <c r="AR360" s="733"/>
      <c r="AS360" s="733"/>
      <c r="AT360" s="733"/>
      <c r="AU360" s="733"/>
      <c r="AV360" s="733"/>
      <c r="AW360" s="733"/>
      <c r="AX360" s="733"/>
      <c r="AY360" s="733"/>
      <c r="AZ360" s="733"/>
      <c r="BA360" s="733"/>
      <c r="BB360" s="733"/>
      <c r="BC360" s="733"/>
      <c r="BD360" s="733"/>
      <c r="BE360" s="733"/>
      <c r="BF360" s="733"/>
      <c r="BG360" s="733"/>
      <c r="BH360" s="733"/>
      <c r="BI360" s="733"/>
    </row>
    <row r="361" spans="1:61" ht="21" customHeight="1">
      <c r="A361" s="470" t="s">
        <v>52</v>
      </c>
      <c r="B361" s="470" t="s">
        <v>139</v>
      </c>
      <c r="C361" s="1001" t="s">
        <v>55</v>
      </c>
      <c r="D361" s="470" t="s">
        <v>568</v>
      </c>
      <c r="E361" s="2633" t="str">
        <f>VLOOKUP(F361,plasmids!$A$2:$B$351,2)</f>
        <v>AAV2-7m8</v>
      </c>
      <c r="F361" s="470">
        <v>178</v>
      </c>
      <c r="G361" s="1001"/>
      <c r="H361" s="1001" t="s">
        <v>5184</v>
      </c>
      <c r="I361" s="470">
        <v>470</v>
      </c>
      <c r="J361" s="471"/>
      <c r="K361" s="1003">
        <v>41953</v>
      </c>
      <c r="L361" s="1003"/>
      <c r="M361" s="1005">
        <v>41992</v>
      </c>
      <c r="N361" s="781">
        <v>400</v>
      </c>
      <c r="O361" s="1659"/>
      <c r="P361" s="466"/>
      <c r="Q361" s="1604">
        <v>74900000000000</v>
      </c>
      <c r="R361" s="462">
        <v>43100000000</v>
      </c>
      <c r="S361" s="468">
        <f t="shared" si="0"/>
        <v>57000464037122.969</v>
      </c>
      <c r="T361" s="1830">
        <v>42003</v>
      </c>
      <c r="U361" s="2910" t="s">
        <v>5185</v>
      </c>
      <c r="V361" s="2351">
        <f>160-4</f>
        <v>156</v>
      </c>
      <c r="W361" s="1011"/>
      <c r="X361" s="1011"/>
      <c r="Y361" s="1011"/>
      <c r="Z361" s="1011"/>
      <c r="AA361" s="1011"/>
      <c r="AB361" s="1011"/>
      <c r="AC361" s="1011"/>
      <c r="AD361" s="1011"/>
      <c r="AE361" s="1011"/>
      <c r="AF361" s="1011"/>
      <c r="AG361" s="1011"/>
      <c r="AH361" s="1011"/>
      <c r="AI361" s="1011"/>
      <c r="AJ361" s="1011"/>
      <c r="AK361" s="1011"/>
      <c r="AL361" s="1011"/>
      <c r="AM361" s="1011"/>
      <c r="AN361" s="1011"/>
      <c r="AO361" s="1011"/>
      <c r="AP361" s="1011"/>
      <c r="AQ361" s="1011"/>
      <c r="AR361" s="1011"/>
      <c r="AS361" s="1011"/>
      <c r="AT361" s="1011"/>
      <c r="AU361" s="1011"/>
      <c r="AV361" s="1011"/>
      <c r="AW361" s="1011"/>
      <c r="AX361" s="1011"/>
      <c r="AY361" s="1011"/>
      <c r="AZ361" s="1011"/>
      <c r="BA361" s="1011"/>
      <c r="BB361" s="1011"/>
      <c r="BC361" s="1011"/>
      <c r="BD361" s="1011"/>
      <c r="BE361" s="1011"/>
      <c r="BF361" s="1011"/>
      <c r="BG361" s="1011"/>
      <c r="BH361" s="1011"/>
      <c r="BI361" s="1011"/>
    </row>
    <row r="362" spans="1:61" ht="21" customHeight="1">
      <c r="A362" s="1301" t="s">
        <v>52</v>
      </c>
      <c r="B362" s="470" t="s">
        <v>139</v>
      </c>
      <c r="C362" s="1001" t="s">
        <v>55</v>
      </c>
      <c r="D362" s="470" t="s">
        <v>568</v>
      </c>
      <c r="E362" s="2633" t="str">
        <f>VLOOKUP(F362,plasmids!$A$2:$B$351,2)</f>
        <v>AAV2-7m8</v>
      </c>
      <c r="F362" s="470">
        <v>178</v>
      </c>
      <c r="G362" s="1001"/>
      <c r="H362" s="1001" t="s">
        <v>5190</v>
      </c>
      <c r="I362" s="470">
        <v>467</v>
      </c>
      <c r="J362" s="470" t="s">
        <v>3726</v>
      </c>
      <c r="K362" s="1003">
        <v>41932</v>
      </c>
      <c r="L362" s="1003"/>
      <c r="M362" s="1005">
        <v>41992</v>
      </c>
      <c r="N362" s="1006">
        <v>401</v>
      </c>
      <c r="O362" s="1659"/>
      <c r="P362" s="466"/>
      <c r="Q362" s="1604">
        <v>2270000000000</v>
      </c>
      <c r="R362" s="462">
        <v>43100000000</v>
      </c>
      <c r="S362" s="468">
        <f t="shared" si="0"/>
        <v>1727517401392.1113</v>
      </c>
      <c r="T362" s="1830">
        <v>42003</v>
      </c>
      <c r="U362" s="471"/>
      <c r="V362" s="1304">
        <v>120</v>
      </c>
      <c r="W362" s="1011"/>
      <c r="X362" s="1011"/>
      <c r="Y362" s="1011"/>
      <c r="Z362" s="1011"/>
      <c r="AA362" s="1011"/>
      <c r="AB362" s="1011"/>
      <c r="AC362" s="1011"/>
      <c r="AD362" s="1011"/>
      <c r="AE362" s="1011"/>
      <c r="AF362" s="1011"/>
      <c r="AG362" s="1011"/>
      <c r="AH362" s="1011"/>
      <c r="AI362" s="1011"/>
      <c r="AJ362" s="1011"/>
      <c r="AK362" s="1011"/>
      <c r="AL362" s="1011"/>
      <c r="AM362" s="1011"/>
      <c r="AN362" s="1011"/>
      <c r="AO362" s="1011"/>
      <c r="AP362" s="1011"/>
      <c r="AQ362" s="1011"/>
      <c r="AR362" s="1011"/>
      <c r="AS362" s="1011"/>
      <c r="AT362" s="1011"/>
      <c r="AU362" s="1011"/>
      <c r="AV362" s="1011"/>
      <c r="AW362" s="1011"/>
      <c r="AX362" s="1011"/>
      <c r="AY362" s="1011"/>
      <c r="AZ362" s="1011"/>
      <c r="BA362" s="1011"/>
      <c r="BB362" s="1011"/>
      <c r="BC362" s="1011"/>
      <c r="BD362" s="1011"/>
      <c r="BE362" s="1011"/>
      <c r="BF362" s="1011"/>
      <c r="BG362" s="1011"/>
      <c r="BH362" s="1011"/>
      <c r="BI362" s="1011"/>
    </row>
    <row r="363" spans="1:61" ht="20.25" customHeight="1">
      <c r="A363" s="734" t="s">
        <v>707</v>
      </c>
      <c r="B363" s="734" t="s">
        <v>2698</v>
      </c>
      <c r="C363" s="735" t="s">
        <v>1967</v>
      </c>
      <c r="D363" s="734" t="s">
        <v>4460</v>
      </c>
      <c r="E363" s="1666" t="str">
        <f>VLOOKUP(F363,plasmids!$A$2:$B$351,2)</f>
        <v>AAV2-7m8</v>
      </c>
      <c r="F363" s="739">
        <v>178</v>
      </c>
      <c r="G363" s="1667"/>
      <c r="H363" s="1667" t="str">
        <f>VLOOKUP(I363,plasmids!$A$2:$B$1191,2)</f>
        <v>pscAAV-1xGrM6-GFP</v>
      </c>
      <c r="I363" s="734">
        <v>338</v>
      </c>
      <c r="J363" s="744"/>
      <c r="K363" s="811">
        <v>41949</v>
      </c>
      <c r="L363" s="811"/>
      <c r="M363" s="737">
        <v>41992</v>
      </c>
      <c r="N363" s="738">
        <v>402</v>
      </c>
      <c r="O363" s="2602"/>
      <c r="P363" s="742"/>
      <c r="Q363" s="1613">
        <v>35200000000000</v>
      </c>
      <c r="R363" s="740">
        <v>43100000000</v>
      </c>
      <c r="S363" s="743">
        <f t="shared" si="0"/>
        <v>26787935034802.781</v>
      </c>
      <c r="T363" s="2222">
        <v>42003</v>
      </c>
      <c r="U363" s="744"/>
      <c r="V363" s="815" t="s">
        <v>5200</v>
      </c>
      <c r="W363" s="733"/>
      <c r="X363" s="733"/>
      <c r="Y363" s="733"/>
      <c r="Z363" s="733"/>
      <c r="AA363" s="733"/>
      <c r="AB363" s="733"/>
      <c r="AC363" s="733"/>
      <c r="AD363" s="733"/>
      <c r="AE363" s="733"/>
      <c r="AF363" s="733"/>
      <c r="AG363" s="733"/>
      <c r="AH363" s="733"/>
      <c r="AI363" s="733"/>
      <c r="AJ363" s="733"/>
      <c r="AK363" s="733"/>
      <c r="AL363" s="733"/>
      <c r="AM363" s="733"/>
      <c r="AN363" s="733"/>
      <c r="AO363" s="733"/>
      <c r="AP363" s="733"/>
      <c r="AQ363" s="733"/>
      <c r="AR363" s="733"/>
      <c r="AS363" s="733"/>
      <c r="AT363" s="733"/>
      <c r="AU363" s="733"/>
      <c r="AV363" s="733"/>
      <c r="AW363" s="733"/>
      <c r="AX363" s="733"/>
      <c r="AY363" s="733"/>
      <c r="AZ363" s="733"/>
      <c r="BA363" s="733"/>
      <c r="BB363" s="733"/>
      <c r="BC363" s="733"/>
      <c r="BD363" s="733"/>
      <c r="BE363" s="733"/>
      <c r="BF363" s="733"/>
      <c r="BG363" s="733"/>
      <c r="BH363" s="733"/>
      <c r="BI363" s="733"/>
    </row>
    <row r="364" spans="1:61" ht="23.25" customHeight="1">
      <c r="A364" s="734" t="s">
        <v>707</v>
      </c>
      <c r="B364" s="734" t="s">
        <v>2698</v>
      </c>
      <c r="C364" s="735" t="s">
        <v>1967</v>
      </c>
      <c r="D364" s="734" t="s">
        <v>4460</v>
      </c>
      <c r="E364" s="1666" t="str">
        <f>VLOOKUP(F364,plasmids!$A$2:$B$351,2)</f>
        <v>AAV9</v>
      </c>
      <c r="F364" s="739">
        <v>166</v>
      </c>
      <c r="G364" s="1667"/>
      <c r="H364" s="1667" t="str">
        <f>VLOOKUP(I364,plasmids!$A$2:$B$1191,2)</f>
        <v>pscAAV-1xGrM6-GFP</v>
      </c>
      <c r="I364" s="734">
        <v>338</v>
      </c>
      <c r="J364" s="744"/>
      <c r="K364" s="811">
        <v>41949</v>
      </c>
      <c r="L364" s="811"/>
      <c r="M364" s="737">
        <v>41992</v>
      </c>
      <c r="N364" s="738">
        <v>403</v>
      </c>
      <c r="O364" s="2602"/>
      <c r="P364" s="742"/>
      <c r="Q364" s="1613">
        <v>773000000000000</v>
      </c>
      <c r="R364" s="740">
        <v>43100000000</v>
      </c>
      <c r="S364" s="743">
        <f t="shared" si="0"/>
        <v>588269141531322.5</v>
      </c>
      <c r="T364" s="2222">
        <v>42003</v>
      </c>
      <c r="U364" s="744"/>
      <c r="V364" s="815">
        <v>165</v>
      </c>
      <c r="W364" s="733"/>
      <c r="X364" s="733"/>
      <c r="Y364" s="733"/>
      <c r="Z364" s="733"/>
      <c r="AA364" s="733"/>
      <c r="AB364" s="733"/>
      <c r="AC364" s="733"/>
      <c r="AD364" s="733"/>
      <c r="AE364" s="733"/>
      <c r="AF364" s="733"/>
      <c r="AG364" s="733"/>
      <c r="AH364" s="733"/>
      <c r="AI364" s="733"/>
      <c r="AJ364" s="733"/>
      <c r="AK364" s="733"/>
      <c r="AL364" s="733"/>
      <c r="AM364" s="733"/>
      <c r="AN364" s="733"/>
      <c r="AO364" s="733"/>
      <c r="AP364" s="733"/>
      <c r="AQ364" s="733"/>
      <c r="AR364" s="733"/>
      <c r="AS364" s="733"/>
      <c r="AT364" s="733"/>
      <c r="AU364" s="733"/>
      <c r="AV364" s="733"/>
      <c r="AW364" s="733"/>
      <c r="AX364" s="733"/>
      <c r="AY364" s="733"/>
      <c r="AZ364" s="733"/>
      <c r="BA364" s="733"/>
      <c r="BB364" s="733"/>
      <c r="BC364" s="733"/>
      <c r="BD364" s="733"/>
      <c r="BE364" s="733"/>
      <c r="BF364" s="733"/>
      <c r="BG364" s="733"/>
      <c r="BH364" s="733"/>
      <c r="BI364" s="733"/>
    </row>
    <row r="365" spans="1:61" ht="21" customHeight="1">
      <c r="A365" s="2957" t="s">
        <v>5209</v>
      </c>
      <c r="B365" s="2959" t="s">
        <v>1025</v>
      </c>
      <c r="C365" s="2961" t="s">
        <v>178</v>
      </c>
      <c r="D365" s="2959" t="s">
        <v>1088</v>
      </c>
      <c r="E365" s="2965" t="str">
        <f>VLOOKUP(F365,plasmids!$A$2:$B$351,2)</f>
        <v>AAV2-7m8</v>
      </c>
      <c r="F365" s="2959">
        <v>178</v>
      </c>
      <c r="G365" s="2966"/>
      <c r="H365" s="2966" t="str">
        <f>VLOOKUP(I365,plasmids!$A$2:$B$1191,2)</f>
        <v>pssAAV-CMV-hCatch-WPRE</v>
      </c>
      <c r="I365" s="2959">
        <v>350</v>
      </c>
      <c r="J365" s="2968"/>
      <c r="K365" s="2969"/>
      <c r="L365" s="2971"/>
      <c r="M365" s="2973">
        <v>41999</v>
      </c>
      <c r="N365" s="2974">
        <v>404</v>
      </c>
      <c r="O365" s="2975"/>
      <c r="P365" s="2976"/>
      <c r="Q365" s="2977">
        <v>2850000000000</v>
      </c>
      <c r="R365" s="2978">
        <v>23100000000</v>
      </c>
      <c r="S365" s="2979">
        <f t="shared" si="0"/>
        <v>4046753246753.2471</v>
      </c>
      <c r="T365" s="2980">
        <v>42037</v>
      </c>
      <c r="U365" s="2968"/>
      <c r="V365" s="2981">
        <v>30</v>
      </c>
      <c r="W365" s="2983"/>
      <c r="X365" s="2957" t="s">
        <v>5229</v>
      </c>
      <c r="Y365" s="2983"/>
      <c r="Z365" s="2983"/>
      <c r="AA365" s="2983"/>
      <c r="AB365" s="2983"/>
      <c r="AC365" s="2983"/>
      <c r="AD365" s="2983"/>
      <c r="AE365" s="2983"/>
      <c r="AF365" s="2983"/>
      <c r="AG365" s="2983"/>
      <c r="AH365" s="2983"/>
      <c r="AI365" s="2983"/>
      <c r="AJ365" s="2983"/>
      <c r="AK365" s="2983"/>
      <c r="AL365" s="2983"/>
      <c r="AM365" s="2983"/>
      <c r="AN365" s="2983"/>
      <c r="AO365" s="2983"/>
      <c r="AP365" s="2983"/>
      <c r="AQ365" s="2983"/>
      <c r="AR365" s="2983"/>
      <c r="AS365" s="2983"/>
      <c r="AT365" s="2983"/>
      <c r="AU365" s="2983"/>
      <c r="AV365" s="2983"/>
      <c r="AW365" s="2983"/>
      <c r="AX365" s="2983"/>
      <c r="AY365" s="2983"/>
      <c r="AZ365" s="2983"/>
      <c r="BA365" s="2983"/>
      <c r="BB365" s="2983"/>
      <c r="BC365" s="2983"/>
      <c r="BD365" s="2983"/>
      <c r="BE365" s="2983"/>
      <c r="BF365" s="2983"/>
      <c r="BG365" s="2983"/>
      <c r="BH365" s="2983"/>
      <c r="BI365" s="2983"/>
    </row>
    <row r="366" spans="1:61" ht="21" customHeight="1">
      <c r="A366" s="557" t="s">
        <v>691</v>
      </c>
      <c r="B366" s="557" t="s">
        <v>4325</v>
      </c>
      <c r="C366" s="558" t="s">
        <v>178</v>
      </c>
      <c r="D366" s="557" t="s">
        <v>4748</v>
      </c>
      <c r="E366" s="2791" t="str">
        <f>VLOOKUP(F366,plasmids!$A$2:$B$351,2)</f>
        <v>ShH10,1 Y444F</v>
      </c>
      <c r="F366" s="557">
        <v>177</v>
      </c>
      <c r="G366" s="2792"/>
      <c r="H366" s="2792" t="str">
        <f>VLOOKUP(I366,plasmids!$A$2:$B$1191,2)</f>
        <v xml:space="preserve">pAAV-CMV-NogoA </v>
      </c>
      <c r="I366" s="557">
        <v>453</v>
      </c>
      <c r="J366" s="557" t="s">
        <v>60</v>
      </c>
      <c r="K366" s="2793">
        <v>41949</v>
      </c>
      <c r="L366" s="2793"/>
      <c r="M366" s="564">
        <v>41999</v>
      </c>
      <c r="N366" s="565">
        <v>405</v>
      </c>
      <c r="O366" s="566"/>
      <c r="P366" s="569"/>
      <c r="Q366" s="2794">
        <v>44900000000000</v>
      </c>
      <c r="R366" s="567">
        <v>23100000000</v>
      </c>
      <c r="S366" s="570">
        <f t="shared" si="0"/>
        <v>63754112554112.562</v>
      </c>
      <c r="T366" s="2796">
        <v>42037</v>
      </c>
      <c r="U366" s="571"/>
      <c r="V366" s="2984">
        <v>70</v>
      </c>
      <c r="W366" s="556"/>
      <c r="X366" s="556"/>
      <c r="Y366" s="556"/>
      <c r="Z366" s="556"/>
      <c r="AA366" s="556"/>
      <c r="AB366" s="556"/>
      <c r="AC366" s="556"/>
      <c r="AD366" s="556"/>
      <c r="AE366" s="556"/>
      <c r="AF366" s="556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</row>
    <row r="367" spans="1:61" ht="22.5" customHeight="1">
      <c r="A367" s="470" t="s">
        <v>52</v>
      </c>
      <c r="B367" s="470" t="s">
        <v>139</v>
      </c>
      <c r="C367" s="1001" t="s">
        <v>55</v>
      </c>
      <c r="D367" s="470" t="s">
        <v>1029</v>
      </c>
      <c r="E367" s="2633" t="str">
        <f>VLOOKUP(F367,plasmids!$A$2:$B$351,2)</f>
        <v>AAV2-7m8</v>
      </c>
      <c r="F367" s="470">
        <v>178</v>
      </c>
      <c r="G367" s="1001"/>
      <c r="H367" s="1001" t="s">
        <v>981</v>
      </c>
      <c r="I367" s="470">
        <v>472</v>
      </c>
      <c r="J367" s="471"/>
      <c r="K367" s="1003">
        <v>41953</v>
      </c>
      <c r="L367" s="1003"/>
      <c r="M367" s="1005">
        <v>41634</v>
      </c>
      <c r="N367" s="781">
        <v>406</v>
      </c>
      <c r="O367" s="1659"/>
      <c r="P367" s="466"/>
      <c r="Q367" s="1604">
        <v>117000000000000</v>
      </c>
      <c r="R367" s="462">
        <v>23100000000</v>
      </c>
      <c r="S367" s="468">
        <f t="shared" si="0"/>
        <v>166129870129870.16</v>
      </c>
      <c r="T367" s="1830">
        <v>42037</v>
      </c>
      <c r="U367" s="471"/>
      <c r="V367" s="1612">
        <f>130-2</f>
        <v>128</v>
      </c>
      <c r="W367" s="1011"/>
      <c r="X367" s="1011"/>
      <c r="Y367" s="1011"/>
      <c r="Z367" s="1011"/>
      <c r="AA367" s="1011"/>
      <c r="AB367" s="1011"/>
      <c r="AC367" s="1011"/>
      <c r="AD367" s="1011"/>
      <c r="AE367" s="1011"/>
      <c r="AF367" s="1011"/>
      <c r="AG367" s="1011"/>
      <c r="AH367" s="1011"/>
      <c r="AI367" s="1011"/>
      <c r="AJ367" s="1011"/>
      <c r="AK367" s="1011"/>
      <c r="AL367" s="1011"/>
      <c r="AM367" s="1011"/>
      <c r="AN367" s="1011"/>
      <c r="AO367" s="1011"/>
      <c r="AP367" s="1011"/>
      <c r="AQ367" s="1011"/>
      <c r="AR367" s="1011"/>
      <c r="AS367" s="1011"/>
      <c r="AT367" s="1011"/>
      <c r="AU367" s="1011"/>
      <c r="AV367" s="1011"/>
      <c r="AW367" s="1011"/>
      <c r="AX367" s="1011"/>
      <c r="AY367" s="1011"/>
      <c r="AZ367" s="1011"/>
      <c r="BA367" s="1011"/>
      <c r="BB367" s="1011"/>
      <c r="BC367" s="1011"/>
      <c r="BD367" s="1011"/>
      <c r="BE367" s="1011"/>
      <c r="BF367" s="1011"/>
      <c r="BG367" s="1011"/>
      <c r="BH367" s="1011"/>
      <c r="BI367" s="1011"/>
    </row>
    <row r="368" spans="1:61" ht="22.5" customHeight="1">
      <c r="A368" s="470" t="s">
        <v>52</v>
      </c>
      <c r="B368" s="470" t="s">
        <v>139</v>
      </c>
      <c r="C368" s="1001" t="s">
        <v>55</v>
      </c>
      <c r="D368" s="470" t="s">
        <v>1029</v>
      </c>
      <c r="E368" s="2633" t="str">
        <f>VLOOKUP(F368,plasmids!$A$2:$B$351,2)</f>
        <v>AAV2</v>
      </c>
      <c r="F368" s="470">
        <v>140</v>
      </c>
      <c r="G368" s="1001"/>
      <c r="H368" s="1001" t="s">
        <v>981</v>
      </c>
      <c r="I368" s="470">
        <v>472</v>
      </c>
      <c r="J368" s="471"/>
      <c r="K368" s="1003">
        <v>41953</v>
      </c>
      <c r="L368" s="1003"/>
      <c r="M368" s="1005">
        <v>41634</v>
      </c>
      <c r="N368" s="781">
        <v>407</v>
      </c>
      <c r="O368" s="1659"/>
      <c r="P368" s="466"/>
      <c r="Q368" s="1604">
        <v>62200000000000</v>
      </c>
      <c r="R368" s="462">
        <v>23100000000</v>
      </c>
      <c r="S368" s="468">
        <f t="shared" si="0"/>
        <v>88318614718614.719</v>
      </c>
      <c r="T368" s="1830">
        <v>42037</v>
      </c>
      <c r="U368" s="471"/>
      <c r="V368" s="1612">
        <f>160-2-30</f>
        <v>128</v>
      </c>
      <c r="W368" s="1011"/>
      <c r="X368" s="1011"/>
      <c r="Y368" s="1011"/>
      <c r="Z368" s="1011"/>
      <c r="AA368" s="1011"/>
      <c r="AB368" s="1011"/>
      <c r="AC368" s="1011"/>
      <c r="AD368" s="1011"/>
      <c r="AE368" s="1011"/>
      <c r="AF368" s="1011"/>
      <c r="AG368" s="1011"/>
      <c r="AH368" s="1011"/>
      <c r="AI368" s="1011"/>
      <c r="AJ368" s="1011"/>
      <c r="AK368" s="1011"/>
      <c r="AL368" s="1011"/>
      <c r="AM368" s="1011"/>
      <c r="AN368" s="1011"/>
      <c r="AO368" s="1011"/>
      <c r="AP368" s="1011"/>
      <c r="AQ368" s="1011"/>
      <c r="AR368" s="1011"/>
      <c r="AS368" s="1011"/>
      <c r="AT368" s="1011"/>
      <c r="AU368" s="1011"/>
      <c r="AV368" s="1011"/>
      <c r="AW368" s="1011"/>
      <c r="AX368" s="1011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</row>
    <row r="369" spans="1:61" ht="22.5" customHeight="1">
      <c r="A369" s="1832" t="s">
        <v>52</v>
      </c>
      <c r="B369" s="1832" t="s">
        <v>139</v>
      </c>
      <c r="C369" s="1833" t="s">
        <v>55</v>
      </c>
      <c r="D369" s="1832" t="s">
        <v>1029</v>
      </c>
      <c r="E369" s="2634" t="str">
        <f>VLOOKUP(F369,plasmids!$A$2:$B$351,2)</f>
        <v>AAV2-7m8</v>
      </c>
      <c r="F369" s="1832">
        <v>178</v>
      </c>
      <c r="G369" s="1834"/>
      <c r="H369" s="1834" t="str">
        <f>VLOOKUP(I369,plasmids!$A$2:$B$891,2)</f>
        <v>pssAAV-CAG-ChrimsonR</v>
      </c>
      <c r="I369" s="1832">
        <v>480</v>
      </c>
      <c r="J369" s="1854"/>
      <c r="K369" s="1856">
        <v>41953</v>
      </c>
      <c r="L369" s="1856"/>
      <c r="M369" s="1857">
        <v>41648</v>
      </c>
      <c r="N369" s="814">
        <v>408</v>
      </c>
      <c r="O369" s="2635"/>
      <c r="P369" s="1899"/>
      <c r="Q369" s="1900">
        <v>22500000000000</v>
      </c>
      <c r="R369" s="2450">
        <v>27400000000</v>
      </c>
      <c r="S369" s="1902">
        <f t="shared" si="0"/>
        <v>26934306569343.066</v>
      </c>
      <c r="T369" s="2452">
        <v>42037</v>
      </c>
      <c r="U369" s="1854"/>
      <c r="V369" s="2634">
        <f>125-18</f>
        <v>107</v>
      </c>
      <c r="W369" s="1905"/>
      <c r="X369" s="1905"/>
      <c r="Y369" s="1905"/>
      <c r="Z369" s="1905"/>
      <c r="AA369" s="1905"/>
      <c r="AB369" s="1905"/>
      <c r="AC369" s="1905"/>
      <c r="AD369" s="1905"/>
      <c r="AE369" s="1905"/>
      <c r="AF369" s="1905"/>
      <c r="AG369" s="1905"/>
      <c r="AH369" s="1905"/>
      <c r="AI369" s="1905"/>
      <c r="AJ369" s="1905"/>
      <c r="AK369" s="1905"/>
      <c r="AL369" s="1905"/>
      <c r="AM369" s="1905"/>
      <c r="AN369" s="1905"/>
      <c r="AO369" s="1905"/>
      <c r="AP369" s="1905"/>
      <c r="AQ369" s="1905"/>
      <c r="AR369" s="1905"/>
      <c r="AS369" s="1905"/>
      <c r="AT369" s="1905"/>
      <c r="AU369" s="1905"/>
      <c r="AV369" s="1905"/>
      <c r="AW369" s="1905"/>
      <c r="AX369" s="1905"/>
      <c r="AY369" s="1905"/>
      <c r="AZ369" s="1905"/>
      <c r="BA369" s="1905"/>
      <c r="BB369" s="1905"/>
      <c r="BC369" s="1905"/>
      <c r="BD369" s="1905"/>
      <c r="BE369" s="1905"/>
      <c r="BF369" s="1905"/>
      <c r="BG369" s="1905"/>
      <c r="BH369" s="1905"/>
      <c r="BI369" s="1905"/>
    </row>
    <row r="370" spans="1:61" ht="22.5" customHeight="1">
      <c r="A370" s="1832" t="s">
        <v>52</v>
      </c>
      <c r="B370" s="1832" t="s">
        <v>139</v>
      </c>
      <c r="C370" s="1833" t="s">
        <v>55</v>
      </c>
      <c r="D370" s="1832" t="s">
        <v>1029</v>
      </c>
      <c r="E370" s="2634" t="str">
        <f>VLOOKUP(F370,plasmids!$A$2:$B$351,2)</f>
        <v>AAV2-7m8</v>
      </c>
      <c r="F370" s="1832">
        <v>178</v>
      </c>
      <c r="G370" s="1834"/>
      <c r="H370" s="1834" t="str">
        <f>VLOOKUP(I370,plasmids!$A$2:$B$891,2)</f>
        <v>pssAAV-CAG-ChrimsonR-tdTomato</v>
      </c>
      <c r="I370" s="1832">
        <v>479</v>
      </c>
      <c r="J370" s="1854"/>
      <c r="K370" s="1856">
        <v>41953</v>
      </c>
      <c r="L370" s="1856"/>
      <c r="M370" s="1857">
        <v>41648</v>
      </c>
      <c r="N370" s="814">
        <v>409</v>
      </c>
      <c r="O370" s="2635"/>
      <c r="P370" s="1899"/>
      <c r="Q370" s="1900">
        <v>15400000000000</v>
      </c>
      <c r="R370" s="2450">
        <v>27400000000</v>
      </c>
      <c r="S370" s="1902">
        <f t="shared" si="0"/>
        <v>18435036496350.367</v>
      </c>
      <c r="T370" s="2452">
        <v>42037</v>
      </c>
      <c r="U370" s="1854"/>
      <c r="V370" s="2634">
        <f>125-19</f>
        <v>106</v>
      </c>
      <c r="W370" s="1905"/>
      <c r="X370" s="1905"/>
      <c r="Y370" s="1905"/>
      <c r="Z370" s="1905"/>
      <c r="AA370" s="1905"/>
      <c r="AB370" s="1905"/>
      <c r="AC370" s="1905"/>
      <c r="AD370" s="1905"/>
      <c r="AE370" s="1905"/>
      <c r="AF370" s="1905"/>
      <c r="AG370" s="1905"/>
      <c r="AH370" s="1905"/>
      <c r="AI370" s="1905"/>
      <c r="AJ370" s="1905"/>
      <c r="AK370" s="1905"/>
      <c r="AL370" s="1905"/>
      <c r="AM370" s="1905"/>
      <c r="AN370" s="1905"/>
      <c r="AO370" s="1905"/>
      <c r="AP370" s="1905"/>
      <c r="AQ370" s="1905"/>
      <c r="AR370" s="1905"/>
      <c r="AS370" s="1905"/>
      <c r="AT370" s="1905"/>
      <c r="AU370" s="1905"/>
      <c r="AV370" s="1905"/>
      <c r="AW370" s="1905"/>
      <c r="AX370" s="1905"/>
      <c r="AY370" s="1905"/>
      <c r="AZ370" s="1905"/>
      <c r="BA370" s="1905"/>
      <c r="BB370" s="1905"/>
      <c r="BC370" s="1905"/>
      <c r="BD370" s="1905"/>
      <c r="BE370" s="1905"/>
      <c r="BF370" s="1905"/>
      <c r="BG370" s="1905"/>
      <c r="BH370" s="1905"/>
      <c r="BI370" s="1905"/>
    </row>
    <row r="371" spans="1:61" ht="22.5" customHeight="1">
      <c r="A371" s="1832" t="s">
        <v>52</v>
      </c>
      <c r="B371" s="1832" t="s">
        <v>139</v>
      </c>
      <c r="C371" s="1833" t="s">
        <v>55</v>
      </c>
      <c r="D371" s="1832" t="s">
        <v>1029</v>
      </c>
      <c r="E371" s="2634" t="str">
        <f>VLOOKUP(F371,plasmids!$A$2:$B$351,2)</f>
        <v>AAV2</v>
      </c>
      <c r="F371" s="1898">
        <v>140</v>
      </c>
      <c r="G371" s="1834"/>
      <c r="H371" s="1834" t="str">
        <f>VLOOKUP(I371,plasmids!$A$2:$B$891,2)</f>
        <v>pssAAV-CAG-ChrimsonR</v>
      </c>
      <c r="I371" s="1832">
        <v>480</v>
      </c>
      <c r="J371" s="1854"/>
      <c r="K371" s="1832" t="s">
        <v>4428</v>
      </c>
      <c r="L371" s="1856"/>
      <c r="M371" s="1857">
        <v>42013</v>
      </c>
      <c r="N371" s="1897">
        <v>410</v>
      </c>
      <c r="O371" s="2635"/>
      <c r="P371" s="1899"/>
      <c r="Q371" s="1900">
        <v>6370000000000</v>
      </c>
      <c r="R371" s="2450">
        <v>27400000000</v>
      </c>
      <c r="S371" s="1902">
        <f t="shared" si="0"/>
        <v>7625401459854.0156</v>
      </c>
      <c r="T371" s="2452">
        <v>42037</v>
      </c>
      <c r="U371" s="1854"/>
      <c r="V371" s="2634">
        <f>170-12.6-12-30</f>
        <v>115.4</v>
      </c>
      <c r="W371" s="2635"/>
      <c r="X371" s="1905"/>
      <c r="Y371" s="1905"/>
      <c r="Z371" s="1905"/>
      <c r="AA371" s="1905"/>
      <c r="AB371" s="1905"/>
      <c r="AC371" s="1905"/>
      <c r="AD371" s="1905"/>
      <c r="AE371" s="1905"/>
      <c r="AF371" s="1905"/>
      <c r="AG371" s="1905"/>
      <c r="AH371" s="1905"/>
      <c r="AI371" s="1905"/>
      <c r="AJ371" s="1905"/>
      <c r="AK371" s="1905"/>
      <c r="AL371" s="1905"/>
      <c r="AM371" s="1905"/>
      <c r="AN371" s="1905"/>
      <c r="AO371" s="1905"/>
      <c r="AP371" s="1905"/>
      <c r="AQ371" s="1905"/>
      <c r="AR371" s="1905"/>
      <c r="AS371" s="1905"/>
      <c r="AT371" s="1905"/>
      <c r="AU371" s="1905"/>
      <c r="AV371" s="1905"/>
      <c r="AW371" s="1905"/>
      <c r="AX371" s="1905"/>
      <c r="AY371" s="234"/>
      <c r="AZ371" s="234"/>
      <c r="BA371" s="234"/>
      <c r="BB371" s="234"/>
      <c r="BC371" s="234"/>
      <c r="BD371" s="234"/>
      <c r="BE371" s="234"/>
      <c r="BF371" s="234"/>
      <c r="BG371" s="234"/>
      <c r="BH371" s="234"/>
      <c r="BI371" s="234"/>
    </row>
    <row r="372" spans="1:61" ht="22.5" customHeight="1">
      <c r="A372" s="1832" t="s">
        <v>52</v>
      </c>
      <c r="B372" s="1832" t="s">
        <v>139</v>
      </c>
      <c r="C372" s="1833" t="s">
        <v>55</v>
      </c>
      <c r="D372" s="1832" t="s">
        <v>1029</v>
      </c>
      <c r="E372" s="2634" t="str">
        <f>VLOOKUP(F372,plasmids!$A$2:$B$351,2)</f>
        <v>AAV2</v>
      </c>
      <c r="F372" s="1832">
        <v>140</v>
      </c>
      <c r="G372" s="1834"/>
      <c r="H372" s="1834" t="str">
        <f>VLOOKUP(I372,plasmids!$A$2:$B$891,2)</f>
        <v>pssAAV-CAG-ChrimsonR-tdTomato</v>
      </c>
      <c r="I372" s="1832">
        <v>479</v>
      </c>
      <c r="J372" s="1854"/>
      <c r="K372" s="1856">
        <v>41953</v>
      </c>
      <c r="L372" s="1856"/>
      <c r="M372" s="1857">
        <v>41648</v>
      </c>
      <c r="N372" s="814">
        <v>411</v>
      </c>
      <c r="O372" s="2635"/>
      <c r="P372" s="2450" t="s">
        <v>5281</v>
      </c>
      <c r="Q372" s="1900">
        <v>8840000000000</v>
      </c>
      <c r="R372" s="2450">
        <v>27400000000</v>
      </c>
      <c r="S372" s="1902">
        <f t="shared" si="0"/>
        <v>10582189781021.898</v>
      </c>
      <c r="T372" s="2452">
        <v>42037</v>
      </c>
      <c r="U372" s="1854"/>
      <c r="V372" s="2634">
        <f>155-10-30</f>
        <v>115</v>
      </c>
      <c r="W372" s="1905"/>
      <c r="X372" s="1905"/>
      <c r="Y372" s="1905"/>
      <c r="Z372" s="1905"/>
      <c r="AA372" s="1905"/>
      <c r="AB372" s="1905"/>
      <c r="AC372" s="1905"/>
      <c r="AD372" s="1905"/>
      <c r="AE372" s="1905"/>
      <c r="AF372" s="1905"/>
      <c r="AG372" s="1905"/>
      <c r="AH372" s="1905"/>
      <c r="AI372" s="1905"/>
      <c r="AJ372" s="1905"/>
      <c r="AK372" s="1905"/>
      <c r="AL372" s="1905"/>
      <c r="AM372" s="1905"/>
      <c r="AN372" s="1905"/>
      <c r="AO372" s="1905"/>
      <c r="AP372" s="1905"/>
      <c r="AQ372" s="1905"/>
      <c r="AR372" s="1905"/>
      <c r="AS372" s="1905"/>
      <c r="AT372" s="1905"/>
      <c r="AU372" s="1905"/>
      <c r="AV372" s="1905"/>
      <c r="AW372" s="1905"/>
      <c r="AX372" s="1905"/>
      <c r="AY372" s="1905"/>
      <c r="AZ372" s="1905"/>
      <c r="BA372" s="1905"/>
      <c r="BB372" s="1905"/>
      <c r="BC372" s="1905"/>
      <c r="BD372" s="1905"/>
      <c r="BE372" s="1905"/>
      <c r="BF372" s="1905"/>
      <c r="BG372" s="1905"/>
      <c r="BH372" s="1905"/>
      <c r="BI372" s="1905"/>
    </row>
    <row r="373" spans="1:61" ht="22.5" customHeight="1">
      <c r="A373" s="1832" t="s">
        <v>52</v>
      </c>
      <c r="B373" s="1832" t="s">
        <v>139</v>
      </c>
      <c r="C373" s="1833" t="s">
        <v>55</v>
      </c>
      <c r="D373" s="1832" t="s">
        <v>1029</v>
      </c>
      <c r="E373" s="2634" t="str">
        <f>VLOOKUP(F373,plasmids!$A$2:$B$351,2)</f>
        <v>AAV2-7m8</v>
      </c>
      <c r="F373" s="1832">
        <v>178</v>
      </c>
      <c r="G373" s="1834"/>
      <c r="H373" s="1834" t="str">
        <f>VLOOKUP(I373,plasmids!$A$2:$B$891,2)</f>
        <v>pssAAV-CAG-ChrimsonR</v>
      </c>
      <c r="I373" s="1832">
        <v>480</v>
      </c>
      <c r="J373" s="1854"/>
      <c r="K373" s="1856">
        <v>41953</v>
      </c>
      <c r="L373" s="1856"/>
      <c r="M373" s="1857">
        <v>41655</v>
      </c>
      <c r="N373" s="814">
        <v>412</v>
      </c>
      <c r="O373" s="2635"/>
      <c r="P373" s="2450">
        <v>42500000000000</v>
      </c>
      <c r="Q373" s="1900">
        <v>22300000000000</v>
      </c>
      <c r="R373" s="2450">
        <v>191000000000</v>
      </c>
      <c r="S373" s="1902">
        <f t="shared" si="0"/>
        <v>3829528795811.5181</v>
      </c>
      <c r="T373" s="2452">
        <v>42037</v>
      </c>
      <c r="U373" s="1854"/>
      <c r="V373" s="1832" t="s">
        <v>5283</v>
      </c>
      <c r="W373" s="1905"/>
      <c r="X373" s="1905"/>
      <c r="Y373" s="1905"/>
      <c r="Z373" s="1905"/>
      <c r="AA373" s="1905"/>
      <c r="AB373" s="1905"/>
      <c r="AC373" s="1905"/>
      <c r="AD373" s="1905"/>
      <c r="AE373" s="1905"/>
      <c r="AF373" s="1905"/>
      <c r="AG373" s="1905"/>
      <c r="AH373" s="1905"/>
      <c r="AI373" s="1905"/>
      <c r="AJ373" s="1905"/>
      <c r="AK373" s="1905"/>
      <c r="AL373" s="1905"/>
      <c r="AM373" s="1905"/>
      <c r="AN373" s="1905"/>
      <c r="AO373" s="1905"/>
      <c r="AP373" s="1905"/>
      <c r="AQ373" s="1905"/>
      <c r="AR373" s="1905"/>
      <c r="AS373" s="1905"/>
      <c r="AT373" s="1905"/>
      <c r="AU373" s="1905"/>
      <c r="AV373" s="1905"/>
      <c r="AW373" s="1905"/>
      <c r="AX373" s="1905"/>
      <c r="AY373" s="1905"/>
      <c r="AZ373" s="1905"/>
      <c r="BA373" s="1905"/>
      <c r="BB373" s="1905"/>
      <c r="BC373" s="1905"/>
      <c r="BD373" s="1905"/>
      <c r="BE373" s="1905"/>
      <c r="BF373" s="1905"/>
      <c r="BG373" s="1905"/>
      <c r="BH373" s="1905"/>
      <c r="BI373" s="1905"/>
    </row>
    <row r="374" spans="1:61" ht="22.5" customHeight="1">
      <c r="A374" s="1832" t="s">
        <v>52</v>
      </c>
      <c r="B374" s="1832" t="s">
        <v>139</v>
      </c>
      <c r="C374" s="1833" t="s">
        <v>55</v>
      </c>
      <c r="D374" s="1832" t="s">
        <v>1029</v>
      </c>
      <c r="E374" s="2634" t="str">
        <f>VLOOKUP(F374,plasmids!$A$2:$B$351,2)</f>
        <v>AAV2-7m8</v>
      </c>
      <c r="F374" s="1832">
        <v>178</v>
      </c>
      <c r="G374" s="1834"/>
      <c r="H374" s="1834" t="str">
        <f>VLOOKUP(I374,plasmids!$A$2:$B$891,2)</f>
        <v>pssAAV-CAG-ChrimsonR-tdTomato</v>
      </c>
      <c r="I374" s="1832">
        <v>479</v>
      </c>
      <c r="J374" s="1854"/>
      <c r="K374" s="1856">
        <v>41953</v>
      </c>
      <c r="L374" s="1856"/>
      <c r="M374" s="1857">
        <v>41655</v>
      </c>
      <c r="N374" s="814">
        <v>413</v>
      </c>
      <c r="O374" s="2635"/>
      <c r="P374" s="2450">
        <v>59900000000000</v>
      </c>
      <c r="Q374" s="1900">
        <v>56600000000000</v>
      </c>
      <c r="R374" s="2450">
        <v>191000000000</v>
      </c>
      <c r="S374" s="1902">
        <f t="shared" si="0"/>
        <v>9719790575916.2305</v>
      </c>
      <c r="T374" s="2452">
        <v>42037</v>
      </c>
      <c r="U374" s="1854"/>
      <c r="V374" s="1832" t="s">
        <v>5284</v>
      </c>
      <c r="W374" s="1905"/>
      <c r="X374" s="1905"/>
      <c r="Y374" s="1905"/>
      <c r="Z374" s="1905"/>
      <c r="AA374" s="1905"/>
      <c r="AB374" s="1905"/>
      <c r="AC374" s="1905"/>
      <c r="AD374" s="1905"/>
      <c r="AE374" s="1905"/>
      <c r="AF374" s="1905"/>
      <c r="AG374" s="1905"/>
      <c r="AH374" s="1905"/>
      <c r="AI374" s="1905"/>
      <c r="AJ374" s="1905"/>
      <c r="AK374" s="1905"/>
      <c r="AL374" s="1905"/>
      <c r="AM374" s="1905"/>
      <c r="AN374" s="1905"/>
      <c r="AO374" s="1905"/>
      <c r="AP374" s="1905"/>
      <c r="AQ374" s="1905"/>
      <c r="AR374" s="1905"/>
      <c r="AS374" s="1905"/>
      <c r="AT374" s="1905"/>
      <c r="AU374" s="1905"/>
      <c r="AV374" s="1905"/>
      <c r="AW374" s="1905"/>
      <c r="AX374" s="1905"/>
      <c r="AY374" s="1905"/>
      <c r="AZ374" s="1905"/>
      <c r="BA374" s="1905"/>
      <c r="BB374" s="1905"/>
      <c r="BC374" s="1905"/>
      <c r="BD374" s="1905"/>
      <c r="BE374" s="1905"/>
      <c r="BF374" s="1905"/>
      <c r="BG374" s="1905"/>
      <c r="BH374" s="1905"/>
      <c r="BI374" s="1905"/>
    </row>
    <row r="375" spans="1:61" ht="19.5" customHeight="1">
      <c r="A375" s="734" t="s">
        <v>707</v>
      </c>
      <c r="B375" s="734" t="s">
        <v>2698</v>
      </c>
      <c r="C375" s="735" t="s">
        <v>1967</v>
      </c>
      <c r="D375" s="734" t="s">
        <v>4460</v>
      </c>
      <c r="E375" s="1666" t="str">
        <f>VLOOKUP(F375,plasmids!$A$2:$B$351,2)</f>
        <v>AAV9 7M8 (AA------)</v>
      </c>
      <c r="F375" s="739">
        <v>170</v>
      </c>
      <c r="G375" s="1667"/>
      <c r="H375" s="1667" t="str">
        <f>VLOOKUP(I375,plasmids!$A$2:$B$891,2)</f>
        <v>pscAAV-1xGrM6-GFP</v>
      </c>
      <c r="I375" s="734">
        <v>338</v>
      </c>
      <c r="J375" s="744"/>
      <c r="K375" s="811">
        <v>41949</v>
      </c>
      <c r="L375" s="811"/>
      <c r="M375" s="737">
        <v>42020</v>
      </c>
      <c r="N375" s="738">
        <v>414</v>
      </c>
      <c r="O375" s="2602"/>
      <c r="P375" s="742"/>
      <c r="Q375" s="1613">
        <v>10600000000000</v>
      </c>
      <c r="R375" s="740">
        <v>191000000000</v>
      </c>
      <c r="S375" s="743">
        <f t="shared" si="0"/>
        <v>1820314136125.6543</v>
      </c>
      <c r="T375" s="2222">
        <v>42037</v>
      </c>
      <c r="U375" s="744"/>
      <c r="V375" s="2602">
        <f>160</f>
        <v>160</v>
      </c>
      <c r="W375" s="733"/>
      <c r="X375" s="733"/>
      <c r="Y375" s="733"/>
      <c r="Z375" s="733"/>
      <c r="AA375" s="733"/>
      <c r="AB375" s="733"/>
      <c r="AC375" s="733"/>
      <c r="AD375" s="733"/>
      <c r="AE375" s="733"/>
      <c r="AF375" s="733"/>
      <c r="AG375" s="733"/>
      <c r="AH375" s="733"/>
      <c r="AI375" s="733"/>
      <c r="AJ375" s="733"/>
      <c r="AK375" s="733"/>
      <c r="AL375" s="733"/>
      <c r="AM375" s="733"/>
      <c r="AN375" s="733"/>
      <c r="AO375" s="733"/>
      <c r="AP375" s="733"/>
      <c r="AQ375" s="733"/>
      <c r="AR375" s="733"/>
      <c r="AS375" s="733"/>
      <c r="AT375" s="733"/>
      <c r="AU375" s="733"/>
      <c r="AV375" s="733"/>
      <c r="AW375" s="733"/>
      <c r="AX375" s="733"/>
      <c r="AY375" s="733"/>
      <c r="AZ375" s="733"/>
      <c r="BA375" s="733"/>
      <c r="BB375" s="733"/>
      <c r="BC375" s="733"/>
      <c r="BD375" s="733"/>
      <c r="BE375" s="733"/>
      <c r="BF375" s="733"/>
      <c r="BG375" s="733"/>
      <c r="BH375" s="733"/>
      <c r="BI375" s="733"/>
    </row>
    <row r="376" spans="1:61" ht="21" customHeight="1">
      <c r="A376" s="2646" t="s">
        <v>52</v>
      </c>
      <c r="B376" s="2646" t="s">
        <v>601</v>
      </c>
      <c r="C376" s="2647" t="s">
        <v>1967</v>
      </c>
      <c r="D376" s="2646" t="s">
        <v>568</v>
      </c>
      <c r="E376" s="2646" t="str">
        <f>VLOOKUP(F376,plasmids!$A$2:$B$351,2)</f>
        <v>pAAV2/8</v>
      </c>
      <c r="F376" s="2646">
        <v>122</v>
      </c>
      <c r="G376" s="1789"/>
      <c r="H376" s="1789" t="str">
        <f>VLOOKUP(I376,plasmids!$A$2:$B$891,2)</f>
        <v>pAAV-CMV-vSWO-mCherry</v>
      </c>
      <c r="I376" s="2646">
        <v>452</v>
      </c>
      <c r="J376" s="2648"/>
      <c r="K376" s="2785">
        <v>41953</v>
      </c>
      <c r="L376" s="2785"/>
      <c r="M376" s="2695">
        <v>42020</v>
      </c>
      <c r="N376" s="3010">
        <v>415</v>
      </c>
      <c r="O376" s="2650"/>
      <c r="P376" s="2651"/>
      <c r="Q376" s="2652">
        <v>208000000000000</v>
      </c>
      <c r="R376" s="3011">
        <v>191000000000</v>
      </c>
      <c r="S376" s="2653">
        <f t="shared" si="0"/>
        <v>35719371727748.688</v>
      </c>
      <c r="T376" s="2654">
        <v>42037</v>
      </c>
      <c r="U376" s="2648"/>
      <c r="V376" s="3013">
        <f>90-5-5-15</f>
        <v>65</v>
      </c>
      <c r="W376" s="2656"/>
      <c r="X376" s="2656"/>
      <c r="Y376" s="2656"/>
      <c r="Z376" s="2656"/>
      <c r="AA376" s="2656"/>
      <c r="AB376" s="2656"/>
      <c r="AC376" s="2656"/>
      <c r="AD376" s="2656"/>
      <c r="AE376" s="2656"/>
      <c r="AF376" s="2656"/>
      <c r="AG376" s="2656"/>
      <c r="AH376" s="2656"/>
      <c r="AI376" s="2656"/>
      <c r="AJ376" s="2656"/>
      <c r="AK376" s="2656"/>
      <c r="AL376" s="2656"/>
      <c r="AM376" s="2656"/>
      <c r="AN376" s="2656"/>
      <c r="AO376" s="2656"/>
      <c r="AP376" s="2656"/>
      <c r="AQ376" s="2656"/>
      <c r="AR376" s="2656"/>
      <c r="AS376" s="2656"/>
      <c r="AT376" s="2656"/>
      <c r="AU376" s="2656"/>
      <c r="AV376" s="2656"/>
      <c r="AW376" s="2656"/>
      <c r="AX376" s="2656"/>
      <c r="AY376" s="2656"/>
      <c r="AZ376" s="2656"/>
      <c r="BA376" s="2656"/>
      <c r="BB376" s="2656"/>
      <c r="BC376" s="2656"/>
      <c r="BD376" s="2656"/>
      <c r="BE376" s="2656"/>
      <c r="BF376" s="2656"/>
      <c r="BG376" s="2656"/>
      <c r="BH376" s="2656"/>
      <c r="BI376" s="2656"/>
    </row>
    <row r="377" spans="1:61" ht="21.75" customHeight="1">
      <c r="A377" s="1754" t="s">
        <v>4154</v>
      </c>
      <c r="B377" s="1756" t="s">
        <v>200</v>
      </c>
      <c r="C377" s="1758" t="s">
        <v>626</v>
      </c>
      <c r="D377" s="1756" t="s">
        <v>1088</v>
      </c>
      <c r="E377" s="1761" t="str">
        <f>VLOOKUP(F377,plasmids!$A$2:$B$351,2)</f>
        <v>AAV2</v>
      </c>
      <c r="F377" s="1756">
        <v>140</v>
      </c>
      <c r="G377" s="3017"/>
      <c r="H377" s="3017" t="str">
        <f>VLOOKUP(I377,plasmids!$A$2:$B$891,2)</f>
        <v>pscAAV-CMV-GCaMP6s-BGHpA</v>
      </c>
      <c r="I377" s="1756">
        <v>293</v>
      </c>
      <c r="J377" s="1766"/>
      <c r="K377" s="1767"/>
      <c r="L377" s="2857"/>
      <c r="M377" s="3022">
        <v>42027</v>
      </c>
      <c r="N377" s="1771">
        <v>416</v>
      </c>
      <c r="O377" s="2799"/>
      <c r="P377" s="1774"/>
      <c r="Q377" s="1775">
        <v>35400000000000</v>
      </c>
      <c r="R377" s="2800">
        <v>47600000000</v>
      </c>
      <c r="S377" s="1779">
        <f t="shared" si="0"/>
        <v>24393277310924.371</v>
      </c>
      <c r="T377" s="2801">
        <v>42037</v>
      </c>
      <c r="U377" s="2801">
        <v>42153</v>
      </c>
      <c r="V377" s="2803">
        <v>78</v>
      </c>
      <c r="W377" s="234"/>
      <c r="X377" s="234"/>
      <c r="Y377" s="234"/>
      <c r="Z377" s="234"/>
      <c r="AA377" s="234"/>
      <c r="AB377" s="234"/>
      <c r="AC377" s="234"/>
      <c r="AD377" s="234"/>
      <c r="AE377" s="234"/>
      <c r="AF377" s="234"/>
      <c r="AG377" s="234"/>
      <c r="AH377" s="234"/>
      <c r="AI377" s="234"/>
      <c r="AJ377" s="234"/>
      <c r="AK377" s="234"/>
      <c r="AL377" s="234"/>
      <c r="AM377" s="234"/>
      <c r="AN377" s="234"/>
      <c r="AO377" s="234"/>
      <c r="AP377" s="234"/>
      <c r="AQ377" s="234"/>
      <c r="AR377" s="234"/>
      <c r="AS377" s="234"/>
      <c r="AT377" s="234"/>
      <c r="AU377" s="234"/>
      <c r="AV377" s="234"/>
      <c r="AW377" s="234"/>
      <c r="AX377" s="234"/>
      <c r="AY377" s="234"/>
      <c r="AZ377" s="234"/>
      <c r="BA377" s="234"/>
      <c r="BB377" s="234"/>
      <c r="BC377" s="234"/>
      <c r="BD377" s="234"/>
      <c r="BE377" s="234"/>
      <c r="BF377" s="234"/>
      <c r="BG377" s="234"/>
      <c r="BH377" s="234"/>
      <c r="BI377" s="234"/>
    </row>
    <row r="378" spans="1:61" ht="22.5" customHeight="1">
      <c r="A378" s="3024" t="s">
        <v>707</v>
      </c>
      <c r="B378" s="3024" t="s">
        <v>3973</v>
      </c>
      <c r="C378" s="3026" t="s">
        <v>1967</v>
      </c>
      <c r="D378" s="3024" t="s">
        <v>4867</v>
      </c>
      <c r="E378" s="3028" t="str">
        <f>VLOOKUP(F378,plasmids!$A$2:$B$891,2)</f>
        <v>AAV9 2YF</v>
      </c>
      <c r="F378" s="3029">
        <v>168</v>
      </c>
      <c r="G378" s="3031"/>
      <c r="H378" s="3031" t="str">
        <f>VLOOKUP(I378,plasmids!$A$2:$B$891,2)</f>
        <v>pscAAV-CAG-tdTomato-bghPA</v>
      </c>
      <c r="I378" s="3024">
        <v>454</v>
      </c>
      <c r="J378" s="3034"/>
      <c r="K378" s="3036">
        <v>41933</v>
      </c>
      <c r="L378" s="3036"/>
      <c r="M378" s="3038">
        <v>42027</v>
      </c>
      <c r="N378" s="3040">
        <v>417</v>
      </c>
      <c r="O378" s="3042"/>
      <c r="P378" s="3044"/>
      <c r="Q378" s="3046">
        <v>33600000000000</v>
      </c>
      <c r="R378" s="3047">
        <v>47600000000</v>
      </c>
      <c r="S378" s="3050">
        <f t="shared" si="0"/>
        <v>23152941176470.59</v>
      </c>
      <c r="T378" s="3052">
        <v>42037</v>
      </c>
      <c r="U378" s="3034"/>
      <c r="V378" s="3055">
        <f>100</f>
        <v>100</v>
      </c>
      <c r="W378" s="3056" t="s">
        <v>5319</v>
      </c>
      <c r="X378" s="3058"/>
      <c r="Y378" s="3058"/>
      <c r="Z378" s="3058"/>
      <c r="AA378" s="3058"/>
      <c r="AB378" s="3058"/>
      <c r="AC378" s="3058"/>
      <c r="AD378" s="3058"/>
      <c r="AE378" s="3058"/>
      <c r="AF378" s="3058"/>
      <c r="AG378" s="3058"/>
      <c r="AH378" s="3058"/>
      <c r="AI378" s="3058"/>
      <c r="AJ378" s="3058"/>
      <c r="AK378" s="3058"/>
      <c r="AL378" s="3058"/>
      <c r="AM378" s="3058"/>
      <c r="AN378" s="3058"/>
      <c r="AO378" s="3058"/>
      <c r="AP378" s="3058"/>
      <c r="AQ378" s="3058"/>
      <c r="AR378" s="3058"/>
      <c r="AS378" s="3058"/>
      <c r="AT378" s="3058"/>
      <c r="AU378" s="3058"/>
      <c r="AV378" s="3058"/>
      <c r="AW378" s="3058"/>
      <c r="AX378" s="3058"/>
      <c r="AY378" s="3058"/>
      <c r="AZ378" s="3058"/>
      <c r="BA378" s="3058"/>
      <c r="BB378" s="3058"/>
      <c r="BC378" s="3058"/>
      <c r="BD378" s="3058"/>
      <c r="BE378" s="3058"/>
      <c r="BF378" s="3058"/>
      <c r="BG378" s="3058"/>
      <c r="BH378" s="3058"/>
      <c r="BI378" s="3058"/>
    </row>
    <row r="379" spans="1:61" ht="22.5" customHeight="1">
      <c r="A379" s="1832" t="s">
        <v>52</v>
      </c>
      <c r="B379" s="1832" t="s">
        <v>139</v>
      </c>
      <c r="C379" s="1833" t="s">
        <v>55</v>
      </c>
      <c r="D379" s="1832" t="s">
        <v>1029</v>
      </c>
      <c r="E379" s="2634" t="str">
        <f>VLOOKUP(F379,plasmids!$A$2:$B$351,2)</f>
        <v>AAV2</v>
      </c>
      <c r="F379" s="1898">
        <v>140</v>
      </c>
      <c r="G379" s="1834"/>
      <c r="H379" s="1834" t="str">
        <f>VLOOKUP(I379,plasmids!$A$2:$B$891,2)</f>
        <v>pssAAV-CAG-ChrimsonR</v>
      </c>
      <c r="I379" s="1832">
        <v>480</v>
      </c>
      <c r="J379" s="1854"/>
      <c r="K379" s="1832" t="s">
        <v>4428</v>
      </c>
      <c r="L379" s="1856"/>
      <c r="M379" s="1857">
        <v>42027</v>
      </c>
      <c r="N379" s="1897">
        <v>418</v>
      </c>
      <c r="O379" s="2635"/>
      <c r="P379" s="2450">
        <v>12300000000000</v>
      </c>
      <c r="Q379" s="1900">
        <v>10600000000000</v>
      </c>
      <c r="R379" s="2450">
        <v>47600000000</v>
      </c>
      <c r="S379" s="1902">
        <f t="shared" si="0"/>
        <v>7304201680672.2686</v>
      </c>
      <c r="T379" s="2452">
        <v>42037</v>
      </c>
      <c r="U379" s="1854"/>
      <c r="V379" s="3060" t="s">
        <v>5329</v>
      </c>
      <c r="W379" s="2635"/>
      <c r="X379" s="1905"/>
      <c r="Y379" s="1905"/>
      <c r="Z379" s="1905"/>
      <c r="AA379" s="1905"/>
      <c r="AB379" s="1905"/>
      <c r="AC379" s="1905"/>
      <c r="AD379" s="1905"/>
      <c r="AE379" s="1905"/>
      <c r="AF379" s="1905"/>
      <c r="AG379" s="1905"/>
      <c r="AH379" s="1905"/>
      <c r="AI379" s="1905"/>
      <c r="AJ379" s="1905"/>
      <c r="AK379" s="1905"/>
      <c r="AL379" s="1905"/>
      <c r="AM379" s="1905"/>
      <c r="AN379" s="1905"/>
      <c r="AO379" s="1905"/>
      <c r="AP379" s="1905"/>
      <c r="AQ379" s="1905"/>
      <c r="AR379" s="1905"/>
      <c r="AS379" s="1905"/>
      <c r="AT379" s="1905"/>
      <c r="AU379" s="1905"/>
      <c r="AV379" s="1905"/>
      <c r="AW379" s="1905"/>
      <c r="AX379" s="1905"/>
      <c r="AY379" s="234"/>
      <c r="AZ379" s="234"/>
      <c r="BA379" s="234"/>
      <c r="BB379" s="234"/>
      <c r="BC379" s="234"/>
      <c r="BD379" s="234"/>
      <c r="BE379" s="234"/>
      <c r="BF379" s="234"/>
      <c r="BG379" s="234"/>
      <c r="BH379" s="234"/>
      <c r="BI379" s="234"/>
    </row>
    <row r="380" spans="1:61" ht="22.5" customHeight="1">
      <c r="A380" s="1832" t="s">
        <v>52</v>
      </c>
      <c r="B380" s="1832" t="s">
        <v>139</v>
      </c>
      <c r="C380" s="1833" t="s">
        <v>55</v>
      </c>
      <c r="D380" s="1832" t="s">
        <v>1029</v>
      </c>
      <c r="E380" s="2634" t="str">
        <f>VLOOKUP(F380,plasmids!$A$2:$B$351,2)</f>
        <v>AAV2</v>
      </c>
      <c r="F380" s="1832">
        <v>140</v>
      </c>
      <c r="G380" s="1834"/>
      <c r="H380" s="1834" t="str">
        <f>VLOOKUP(I380,plasmids!$A$2:$B$891,2)</f>
        <v>pssAAV-CAG-ChrimsonR-tdTomato</v>
      </c>
      <c r="I380" s="1832">
        <v>479</v>
      </c>
      <c r="J380" s="1854"/>
      <c r="K380" s="1856">
        <v>41953</v>
      </c>
      <c r="L380" s="1856"/>
      <c r="M380" s="1857">
        <v>42027</v>
      </c>
      <c r="N380" s="814">
        <v>419</v>
      </c>
      <c r="O380" s="2635"/>
      <c r="P380" s="2450">
        <v>28200000000000</v>
      </c>
      <c r="Q380" s="1900">
        <v>34900000000000</v>
      </c>
      <c r="R380" s="2450">
        <v>47600000000</v>
      </c>
      <c r="S380" s="1902">
        <f t="shared" si="0"/>
        <v>24048739495798.32</v>
      </c>
      <c r="T380" s="2452">
        <v>42037</v>
      </c>
      <c r="U380" s="1854"/>
      <c r="V380" s="1832" t="s">
        <v>5333</v>
      </c>
      <c r="W380" s="1905"/>
      <c r="X380" s="1905"/>
      <c r="Y380" s="1905"/>
      <c r="Z380" s="1905"/>
      <c r="AA380" s="1905"/>
      <c r="AB380" s="1905"/>
      <c r="AC380" s="1905"/>
      <c r="AD380" s="1905"/>
      <c r="AE380" s="1905"/>
      <c r="AF380" s="1905"/>
      <c r="AG380" s="1905"/>
      <c r="AH380" s="1905"/>
      <c r="AI380" s="1905"/>
      <c r="AJ380" s="1905"/>
      <c r="AK380" s="1905"/>
      <c r="AL380" s="1905"/>
      <c r="AM380" s="1905"/>
      <c r="AN380" s="1905"/>
      <c r="AO380" s="1905"/>
      <c r="AP380" s="1905"/>
      <c r="AQ380" s="1905"/>
      <c r="AR380" s="1905"/>
      <c r="AS380" s="1905"/>
      <c r="AT380" s="1905"/>
      <c r="AU380" s="1905"/>
      <c r="AV380" s="1905"/>
      <c r="AW380" s="1905"/>
      <c r="AX380" s="1905"/>
      <c r="AY380" s="1905"/>
      <c r="AZ380" s="1905"/>
      <c r="BA380" s="1905"/>
      <c r="BB380" s="1905"/>
      <c r="BC380" s="1905"/>
      <c r="BD380" s="1905"/>
      <c r="BE380" s="1905"/>
      <c r="BF380" s="1905"/>
      <c r="BG380" s="1905"/>
      <c r="BH380" s="1905"/>
      <c r="BI380" s="1905"/>
    </row>
    <row r="381" spans="1:61" ht="22.5" customHeight="1">
      <c r="A381" s="1832" t="s">
        <v>52</v>
      </c>
      <c r="B381" s="1832" t="s">
        <v>139</v>
      </c>
      <c r="C381" s="1833" t="s">
        <v>55</v>
      </c>
      <c r="D381" s="1832" t="s">
        <v>1029</v>
      </c>
      <c r="E381" s="2634" t="str">
        <f>VLOOKUP(F381,plasmids!$A$2:$B$351,2)</f>
        <v>AAV2</v>
      </c>
      <c r="F381" s="1898">
        <v>140</v>
      </c>
      <c r="G381" s="1834"/>
      <c r="H381" s="1834" t="str">
        <f>VLOOKUP(I381,plasmids!$A$2:$B$891,2)</f>
        <v>pssAAV-CAG-ChrimsonR</v>
      </c>
      <c r="I381" s="1832">
        <v>480</v>
      </c>
      <c r="J381" s="1854"/>
      <c r="K381" s="1832" t="s">
        <v>4428</v>
      </c>
      <c r="L381" s="1856"/>
      <c r="M381" s="1857">
        <v>42034</v>
      </c>
      <c r="N381" s="1897">
        <v>420</v>
      </c>
      <c r="O381" s="2635"/>
      <c r="P381" s="2450" t="s">
        <v>5339</v>
      </c>
      <c r="Q381" s="1900">
        <v>6620000000000</v>
      </c>
      <c r="R381" s="2450">
        <v>176000000000</v>
      </c>
      <c r="S381" s="1902">
        <f t="shared" si="0"/>
        <v>1233727272727.2727</v>
      </c>
      <c r="T381" s="1899"/>
      <c r="U381" s="1854"/>
      <c r="V381" s="1832" t="s">
        <v>5340</v>
      </c>
      <c r="W381" s="2635"/>
      <c r="X381" s="1905"/>
      <c r="Y381" s="1905"/>
      <c r="Z381" s="1905"/>
      <c r="AA381" s="1905"/>
      <c r="AB381" s="1905"/>
      <c r="AC381" s="1905"/>
      <c r="AD381" s="1905"/>
      <c r="AE381" s="1905"/>
      <c r="AF381" s="1905"/>
      <c r="AG381" s="1905"/>
      <c r="AH381" s="1905"/>
      <c r="AI381" s="1905"/>
      <c r="AJ381" s="1905"/>
      <c r="AK381" s="1905"/>
      <c r="AL381" s="1905"/>
      <c r="AM381" s="1905"/>
      <c r="AN381" s="1905"/>
      <c r="AO381" s="1905"/>
      <c r="AP381" s="1905"/>
      <c r="AQ381" s="1905"/>
      <c r="AR381" s="1905"/>
      <c r="AS381" s="1905"/>
      <c r="AT381" s="1905"/>
      <c r="AU381" s="1905"/>
      <c r="AV381" s="1905"/>
      <c r="AW381" s="1905"/>
      <c r="AX381" s="1905"/>
      <c r="AY381" s="234"/>
      <c r="AZ381" s="234"/>
      <c r="BA381" s="234"/>
      <c r="BB381" s="234"/>
      <c r="BC381" s="234"/>
      <c r="BD381" s="234"/>
      <c r="BE381" s="234"/>
      <c r="BF381" s="234"/>
      <c r="BG381" s="234"/>
      <c r="BH381" s="234"/>
      <c r="BI381" s="234"/>
    </row>
    <row r="382" spans="1:61" ht="22.5" customHeight="1">
      <c r="A382" s="1832" t="s">
        <v>52</v>
      </c>
      <c r="B382" s="1832" t="s">
        <v>139</v>
      </c>
      <c r="C382" s="1833" t="s">
        <v>55</v>
      </c>
      <c r="D382" s="1832" t="s">
        <v>1029</v>
      </c>
      <c r="E382" s="2634" t="str">
        <f>VLOOKUP(F382,plasmids!$A$2:$B$351,2)</f>
        <v>AAV2</v>
      </c>
      <c r="F382" s="1832">
        <v>140</v>
      </c>
      <c r="G382" s="1834"/>
      <c r="H382" s="1834" t="str">
        <f>VLOOKUP(I382,plasmids!$A$2:$B$891,2)</f>
        <v>pssAAV-CAG-ChrimsonR-tdTomato</v>
      </c>
      <c r="I382" s="1832">
        <v>479</v>
      </c>
      <c r="J382" s="1854"/>
      <c r="K382" s="1856">
        <v>41953</v>
      </c>
      <c r="L382" s="1856"/>
      <c r="M382" s="1857">
        <v>42034</v>
      </c>
      <c r="N382" s="814">
        <v>421</v>
      </c>
      <c r="O382" s="2635"/>
      <c r="P382" s="2450">
        <v>42200000000000</v>
      </c>
      <c r="Q382" s="1900">
        <v>37600000000000</v>
      </c>
      <c r="R382" s="2450">
        <v>176000000000</v>
      </c>
      <c r="S382" s="1902">
        <f t="shared" si="0"/>
        <v>7007272727272.7275</v>
      </c>
      <c r="T382" s="1854"/>
      <c r="U382" s="1854"/>
      <c r="V382" s="1832" t="s">
        <v>5345</v>
      </c>
      <c r="W382" s="1905"/>
      <c r="X382" s="1905"/>
      <c r="Y382" s="1905"/>
      <c r="Z382" s="1905"/>
      <c r="AA382" s="1905"/>
      <c r="AB382" s="1905"/>
      <c r="AC382" s="1905"/>
      <c r="AD382" s="1905"/>
      <c r="AE382" s="1905"/>
      <c r="AF382" s="1905"/>
      <c r="AG382" s="1905"/>
      <c r="AH382" s="1905"/>
      <c r="AI382" s="1905"/>
      <c r="AJ382" s="1905"/>
      <c r="AK382" s="1905"/>
      <c r="AL382" s="1905"/>
      <c r="AM382" s="1905"/>
      <c r="AN382" s="1905"/>
      <c r="AO382" s="1905"/>
      <c r="AP382" s="1905"/>
      <c r="AQ382" s="1905"/>
      <c r="AR382" s="1905"/>
      <c r="AS382" s="1905"/>
      <c r="AT382" s="1905"/>
      <c r="AU382" s="1905"/>
      <c r="AV382" s="1905"/>
      <c r="AW382" s="1905"/>
      <c r="AX382" s="1905"/>
      <c r="AY382" s="1905"/>
      <c r="AZ382" s="1905"/>
      <c r="BA382" s="1905"/>
      <c r="BB382" s="1905"/>
      <c r="BC382" s="1905"/>
      <c r="BD382" s="1905"/>
      <c r="BE382" s="1905"/>
      <c r="BF382" s="1905"/>
      <c r="BG382" s="1905"/>
      <c r="BH382" s="1905"/>
      <c r="BI382" s="1905"/>
    </row>
    <row r="383" spans="1:61" ht="22.5" customHeight="1">
      <c r="A383" s="470" t="s">
        <v>52</v>
      </c>
      <c r="B383" s="470" t="s">
        <v>139</v>
      </c>
      <c r="C383" s="1001" t="s">
        <v>178</v>
      </c>
      <c r="D383" s="470" t="s">
        <v>1029</v>
      </c>
      <c r="E383" s="2633" t="str">
        <f>VLOOKUP(F383,plasmids!$A$2:$B$351,2)</f>
        <v>AAV2-7m8</v>
      </c>
      <c r="F383" s="470">
        <v>178</v>
      </c>
      <c r="G383" s="1828"/>
      <c r="H383" s="1828" t="str">
        <f>VLOOKUP(I383,plasmids!$A$2:$B$891,2)</f>
        <v>pssAAV-CAG-GFP</v>
      </c>
      <c r="I383" s="470">
        <v>487</v>
      </c>
      <c r="J383" s="471"/>
      <c r="K383" s="1003">
        <v>41953</v>
      </c>
      <c r="L383" s="1003"/>
      <c r="M383" s="1005">
        <v>41669</v>
      </c>
      <c r="N383" s="781">
        <v>422</v>
      </c>
      <c r="O383" s="1659"/>
      <c r="P383" s="466"/>
      <c r="Q383" s="1604">
        <v>7080000000000</v>
      </c>
      <c r="R383" s="462">
        <v>42300000000</v>
      </c>
      <c r="S383" s="468">
        <f t="shared" si="0"/>
        <v>5489929078014.1846</v>
      </c>
      <c r="T383" s="471"/>
      <c r="U383" s="471"/>
      <c r="V383" s="470">
        <f>180-10</f>
        <v>170</v>
      </c>
      <c r="W383" s="1011"/>
      <c r="X383" s="1011"/>
      <c r="Y383" s="1011"/>
      <c r="Z383" s="1011"/>
      <c r="AA383" s="1011"/>
      <c r="AB383" s="1011"/>
      <c r="AC383" s="1011"/>
      <c r="AD383" s="1011"/>
      <c r="AE383" s="1011"/>
      <c r="AF383" s="1011"/>
      <c r="AG383" s="1011"/>
      <c r="AH383" s="1011"/>
      <c r="AI383" s="1011"/>
      <c r="AJ383" s="1011"/>
      <c r="AK383" s="1011"/>
      <c r="AL383" s="1011"/>
      <c r="AM383" s="1011"/>
      <c r="AN383" s="1011"/>
      <c r="AO383" s="1011"/>
      <c r="AP383" s="1011"/>
      <c r="AQ383" s="1011"/>
      <c r="AR383" s="1011"/>
      <c r="AS383" s="1011"/>
      <c r="AT383" s="1011"/>
      <c r="AU383" s="1011"/>
      <c r="AV383" s="1011"/>
      <c r="AW383" s="1011"/>
      <c r="AX383" s="1011"/>
      <c r="AY383" s="1011"/>
      <c r="AZ383" s="1011"/>
      <c r="BA383" s="1011"/>
      <c r="BB383" s="1011"/>
      <c r="BC383" s="1011"/>
      <c r="BD383" s="1011"/>
      <c r="BE383" s="1011"/>
      <c r="BF383" s="1011"/>
      <c r="BG383" s="1011"/>
      <c r="BH383" s="1011"/>
      <c r="BI383" s="1011"/>
    </row>
    <row r="384" spans="1:61" ht="22.5" customHeight="1">
      <c r="A384" s="470" t="s">
        <v>52</v>
      </c>
      <c r="B384" s="470" t="s">
        <v>139</v>
      </c>
      <c r="C384" s="1001" t="s">
        <v>178</v>
      </c>
      <c r="D384" s="470" t="s">
        <v>1029</v>
      </c>
      <c r="E384" s="2633" t="str">
        <f>VLOOKUP(F384,plasmids!$A$2:$B$351,2)</f>
        <v>AAV2</v>
      </c>
      <c r="F384" s="1008">
        <v>140</v>
      </c>
      <c r="G384" s="1828"/>
      <c r="H384" s="1828" t="str">
        <f>VLOOKUP(I384,plasmids!$A$2:$B$891,2)</f>
        <v>pTR-scCMV-luciférase</v>
      </c>
      <c r="I384" s="470">
        <v>131</v>
      </c>
      <c r="J384" s="471"/>
      <c r="K384" s="470" t="s">
        <v>4428</v>
      </c>
      <c r="L384" s="1003"/>
      <c r="M384" s="1005">
        <v>42034</v>
      </c>
      <c r="N384" s="1006">
        <v>423</v>
      </c>
      <c r="O384" s="1659"/>
      <c r="P384" s="462">
        <v>3</v>
      </c>
      <c r="Q384" s="1604">
        <v>37000000000000</v>
      </c>
      <c r="R384" s="462">
        <v>176000000000</v>
      </c>
      <c r="S384" s="468">
        <f t="shared" si="0"/>
        <v>6895454545454.5459</v>
      </c>
      <c r="T384" s="466"/>
      <c r="U384" s="471"/>
      <c r="V384" s="1612">
        <f>250-12</f>
        <v>238</v>
      </c>
      <c r="W384" s="1008" t="s">
        <v>5357</v>
      </c>
      <c r="X384" s="1011"/>
      <c r="Y384" s="1011"/>
      <c r="Z384" s="1011"/>
      <c r="AA384" s="1011"/>
      <c r="AB384" s="1011"/>
      <c r="AC384" s="1011"/>
      <c r="AD384" s="1011"/>
      <c r="AE384" s="1011"/>
      <c r="AF384" s="1011"/>
      <c r="AG384" s="1011"/>
      <c r="AH384" s="1011"/>
      <c r="AI384" s="1011"/>
      <c r="AJ384" s="1011"/>
      <c r="AK384" s="1011"/>
      <c r="AL384" s="1011"/>
      <c r="AM384" s="1011"/>
      <c r="AN384" s="1011"/>
      <c r="AO384" s="1011"/>
      <c r="AP384" s="1011"/>
      <c r="AQ384" s="1011"/>
      <c r="AR384" s="1011"/>
      <c r="AS384" s="1011"/>
      <c r="AT384" s="1011"/>
      <c r="AU384" s="1011"/>
      <c r="AV384" s="1011"/>
      <c r="AW384" s="1011"/>
      <c r="AX384" s="1011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</row>
    <row r="385" spans="1:61" ht="22.5" customHeight="1">
      <c r="A385" s="1832" t="s">
        <v>52</v>
      </c>
      <c r="B385" s="1832" t="s">
        <v>139</v>
      </c>
      <c r="C385" s="1833" t="s">
        <v>55</v>
      </c>
      <c r="D385" s="1832" t="s">
        <v>1029</v>
      </c>
      <c r="E385" s="2634" t="str">
        <f>VLOOKUP(F385,plasmids!$A$2:$B$351,2)</f>
        <v>AAV2-7m8</v>
      </c>
      <c r="F385" s="1832">
        <v>178</v>
      </c>
      <c r="G385" s="1834"/>
      <c r="H385" s="1834" t="str">
        <f>VLOOKUP(I385,plasmids!$A$2:$B$891,2)</f>
        <v>pssAAV-CAG-ChrimsonR</v>
      </c>
      <c r="I385" s="1832">
        <v>480</v>
      </c>
      <c r="J385" s="1854"/>
      <c r="K385" s="1856">
        <v>41953</v>
      </c>
      <c r="L385" s="1856"/>
      <c r="M385" s="1857">
        <v>42041</v>
      </c>
      <c r="N385" s="814">
        <v>424</v>
      </c>
      <c r="O385" s="2635"/>
      <c r="P385" s="1899"/>
      <c r="Q385" s="1900">
        <v>4900000000000</v>
      </c>
      <c r="R385" s="2450">
        <v>60800000000</v>
      </c>
      <c r="S385" s="1902">
        <f t="shared" si="0"/>
        <v>2643421052631.5791</v>
      </c>
      <c r="T385" s="1854"/>
      <c r="U385" s="1854"/>
      <c r="V385" s="2453">
        <f>260</f>
        <v>260</v>
      </c>
      <c r="W385" s="1905"/>
      <c r="X385" s="1905"/>
      <c r="Y385" s="1905"/>
      <c r="Z385" s="1905"/>
      <c r="AA385" s="1905"/>
      <c r="AB385" s="1905"/>
      <c r="AC385" s="1905"/>
      <c r="AD385" s="1905"/>
      <c r="AE385" s="1905"/>
      <c r="AF385" s="1905"/>
      <c r="AG385" s="1905"/>
      <c r="AH385" s="1905"/>
      <c r="AI385" s="1905"/>
      <c r="AJ385" s="1905"/>
      <c r="AK385" s="1905"/>
      <c r="AL385" s="1905"/>
      <c r="AM385" s="1905"/>
      <c r="AN385" s="1905"/>
      <c r="AO385" s="1905"/>
      <c r="AP385" s="1905"/>
      <c r="AQ385" s="1905"/>
      <c r="AR385" s="1905"/>
      <c r="AS385" s="1905"/>
      <c r="AT385" s="1905"/>
      <c r="AU385" s="1905"/>
      <c r="AV385" s="1905"/>
      <c r="AW385" s="1905"/>
      <c r="AX385" s="1905"/>
      <c r="AY385" s="1905"/>
      <c r="AZ385" s="1905"/>
      <c r="BA385" s="1905"/>
      <c r="BB385" s="1905"/>
      <c r="BC385" s="1905"/>
      <c r="BD385" s="1905"/>
      <c r="BE385" s="1905"/>
      <c r="BF385" s="1905"/>
      <c r="BG385" s="1905"/>
      <c r="BH385" s="1905"/>
      <c r="BI385" s="1905"/>
    </row>
    <row r="386" spans="1:61" ht="21.75" customHeight="1">
      <c r="A386" s="734" t="s">
        <v>707</v>
      </c>
      <c r="B386" s="734" t="s">
        <v>2698</v>
      </c>
      <c r="C386" s="735" t="s">
        <v>178</v>
      </c>
      <c r="D386" s="734" t="s">
        <v>345</v>
      </c>
      <c r="E386" s="1666" t="str">
        <f>VLOOKUP(F386,plasmids!$A$2:$B$351,2)</f>
        <v>AAV 10-7m8</v>
      </c>
      <c r="F386" s="734">
        <v>208</v>
      </c>
      <c r="G386" s="1667"/>
      <c r="H386" s="1667" t="str">
        <f>VLOOKUP(I386,plasmids!$A$2:$B$351,2)</f>
        <v>sc-CAG-GFP</v>
      </c>
      <c r="I386" s="734">
        <v>120</v>
      </c>
      <c r="J386" s="744"/>
      <c r="K386" s="1668"/>
      <c r="L386" s="811"/>
      <c r="M386" s="737">
        <v>42041</v>
      </c>
      <c r="N386" s="738">
        <v>425</v>
      </c>
      <c r="O386" s="739">
        <v>12</v>
      </c>
      <c r="P386" s="742"/>
      <c r="Q386" s="741"/>
      <c r="R386" s="742"/>
      <c r="S386" s="743" t="e">
        <f t="shared" si="0"/>
        <v>#DIV/0!</v>
      </c>
      <c r="T386" s="2222">
        <v>42066</v>
      </c>
      <c r="U386" s="744"/>
      <c r="V386" s="746">
        <f>140-10</f>
        <v>130</v>
      </c>
      <c r="W386" s="733"/>
      <c r="X386" s="732"/>
      <c r="Y386" s="733"/>
      <c r="Z386" s="733"/>
      <c r="AA386" s="733"/>
      <c r="AB386" s="733"/>
      <c r="AC386" s="733"/>
      <c r="AD386" s="733"/>
      <c r="AE386" s="733"/>
      <c r="AF386" s="733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</row>
    <row r="387" spans="1:61" ht="22.5" customHeight="1">
      <c r="A387" s="778" t="s">
        <v>707</v>
      </c>
      <c r="B387" s="778" t="s">
        <v>5370</v>
      </c>
      <c r="C387" s="782" t="s">
        <v>1967</v>
      </c>
      <c r="D387" s="778" t="s">
        <v>4867</v>
      </c>
      <c r="E387" s="2584" t="str">
        <f>VLOOKUP(F387,plasmids!$A$2:$B$891,2)</f>
        <v>AAV2</v>
      </c>
      <c r="F387" s="790">
        <v>140</v>
      </c>
      <c r="G387" s="2585"/>
      <c r="H387" s="2585" t="str">
        <f>VLOOKUP(I387,plasmids!$A$2:$B$891,2)</f>
        <v>sc-CAG-GFP</v>
      </c>
      <c r="I387" s="778">
        <v>120</v>
      </c>
      <c r="J387" s="799"/>
      <c r="K387" s="3065"/>
      <c r="L387" s="784"/>
      <c r="M387" s="786">
        <v>42041</v>
      </c>
      <c r="N387" s="788">
        <v>426</v>
      </c>
      <c r="O387" s="2589"/>
      <c r="P387" s="1466"/>
      <c r="Q387" s="2586">
        <v>57700000000000</v>
      </c>
      <c r="R387" s="792">
        <v>60800000000</v>
      </c>
      <c r="S387" s="797">
        <f t="shared" si="0"/>
        <v>31127631578947.367</v>
      </c>
      <c r="T387" s="2587">
        <v>42066</v>
      </c>
      <c r="U387" s="799"/>
      <c r="V387" s="3067" t="s">
        <v>5375</v>
      </c>
      <c r="W387" s="3068">
        <v>42618</v>
      </c>
      <c r="X387" s="809"/>
      <c r="Y387" s="809"/>
      <c r="Z387" s="809"/>
      <c r="AA387" s="809"/>
      <c r="AB387" s="809"/>
      <c r="AC387" s="809"/>
      <c r="AD387" s="809"/>
      <c r="AE387" s="809"/>
      <c r="AF387" s="809"/>
      <c r="AG387" s="809"/>
      <c r="AH387" s="809"/>
      <c r="AI387" s="809"/>
      <c r="AJ387" s="809"/>
      <c r="AK387" s="809"/>
      <c r="AL387" s="809"/>
      <c r="AM387" s="809"/>
      <c r="AN387" s="809"/>
      <c r="AO387" s="809"/>
      <c r="AP387" s="809"/>
      <c r="AQ387" s="809"/>
      <c r="AR387" s="809"/>
      <c r="AS387" s="809"/>
      <c r="AT387" s="809"/>
      <c r="AU387" s="809"/>
      <c r="AV387" s="809"/>
      <c r="AW387" s="809"/>
      <c r="AX387" s="809"/>
      <c r="AY387" s="809"/>
      <c r="AZ387" s="809"/>
      <c r="BA387" s="809"/>
      <c r="BB387" s="809"/>
      <c r="BC387" s="809"/>
      <c r="BD387" s="809"/>
      <c r="BE387" s="809"/>
      <c r="BF387" s="809"/>
      <c r="BG387" s="809"/>
      <c r="BH387" s="809"/>
      <c r="BI387" s="809"/>
    </row>
    <row r="388" spans="1:61" ht="23.25" customHeight="1">
      <c r="A388" s="3070" t="s">
        <v>707</v>
      </c>
      <c r="B388" s="3070" t="s">
        <v>3973</v>
      </c>
      <c r="C388" s="3071" t="s">
        <v>1967</v>
      </c>
      <c r="D388" s="3070" t="s">
        <v>4867</v>
      </c>
      <c r="E388" s="3073" t="e">
        <f>VLOOKUP(F388,plasmids!$A$2:$B$891,2)</f>
        <v>#N/A</v>
      </c>
      <c r="F388" s="3074" t="s">
        <v>3782</v>
      </c>
      <c r="G388" s="3076"/>
      <c r="H388" s="3076" t="str">
        <f>VLOOKUP(I388,plasmids!$A$2:$B$891,2)</f>
        <v xml:space="preserve">pTR-scCAG-RdCVFs </v>
      </c>
      <c r="I388" s="3070">
        <v>187</v>
      </c>
      <c r="J388" s="3078"/>
      <c r="K388" s="3080"/>
      <c r="L388" s="3082"/>
      <c r="M388" s="3083">
        <v>42041</v>
      </c>
      <c r="N388" s="3084">
        <v>427</v>
      </c>
      <c r="O388" s="3085"/>
      <c r="P388" s="3087"/>
      <c r="Q388" s="3089">
        <v>76500000000000</v>
      </c>
      <c r="R388" s="3090">
        <v>60800000000</v>
      </c>
      <c r="S388" s="3091">
        <f t="shared" si="0"/>
        <v>41269736842105.266</v>
      </c>
      <c r="T388" s="3078"/>
      <c r="U388" s="3078"/>
      <c r="V388" s="3092">
        <f>155-150</f>
        <v>5</v>
      </c>
      <c r="W388" s="3094"/>
      <c r="X388" s="3094"/>
      <c r="Y388" s="3094"/>
      <c r="Z388" s="3094"/>
      <c r="AA388" s="3094"/>
      <c r="AB388" s="3094"/>
      <c r="AC388" s="3094"/>
      <c r="AD388" s="3094"/>
      <c r="AE388" s="3094"/>
      <c r="AF388" s="3094"/>
      <c r="AG388" s="3094"/>
      <c r="AH388" s="3094"/>
      <c r="AI388" s="3094"/>
      <c r="AJ388" s="3094"/>
      <c r="AK388" s="3094"/>
      <c r="AL388" s="3094"/>
      <c r="AM388" s="3094"/>
      <c r="AN388" s="3094"/>
      <c r="AO388" s="3094"/>
      <c r="AP388" s="3094"/>
      <c r="AQ388" s="3094"/>
      <c r="AR388" s="3094"/>
      <c r="AS388" s="3094"/>
      <c r="AT388" s="3094"/>
      <c r="AU388" s="3094"/>
      <c r="AV388" s="3094"/>
      <c r="AW388" s="3094"/>
      <c r="AX388" s="3094"/>
      <c r="AY388" s="3094"/>
      <c r="AZ388" s="3094"/>
      <c r="BA388" s="3094"/>
      <c r="BB388" s="3094"/>
      <c r="BC388" s="3094"/>
      <c r="BD388" s="3094"/>
      <c r="BE388" s="3094"/>
      <c r="BF388" s="3094"/>
      <c r="BG388" s="3094"/>
      <c r="BH388" s="2739"/>
      <c r="BI388" s="2739"/>
    </row>
    <row r="389" spans="1:61" ht="21.75" customHeight="1">
      <c r="A389" s="3096" t="s">
        <v>707</v>
      </c>
      <c r="B389" s="3096" t="s">
        <v>5157</v>
      </c>
      <c r="C389" s="3097" t="s">
        <v>1967</v>
      </c>
      <c r="D389" s="3096" t="s">
        <v>4867</v>
      </c>
      <c r="E389" s="3099" t="str">
        <f>VLOOKUP(F389,plasmids!$A$2:$B$891,2)</f>
        <v>AAV2-7m8</v>
      </c>
      <c r="F389" s="3100">
        <v>178</v>
      </c>
      <c r="G389" s="3101"/>
      <c r="H389" s="3101" t="str">
        <f>VLOOKUP(I389,plasmids!$A$2:$B$891,2)</f>
        <v>pscAAV-CAG-RPE65</v>
      </c>
      <c r="I389" s="3096">
        <v>482</v>
      </c>
      <c r="J389" s="3103"/>
      <c r="K389" s="3104">
        <v>41919</v>
      </c>
      <c r="L389" s="3104"/>
      <c r="M389" s="3106">
        <v>42048</v>
      </c>
      <c r="N389" s="3108">
        <v>428</v>
      </c>
      <c r="O389" s="3110"/>
      <c r="P389" s="3111"/>
      <c r="Q389" s="3113">
        <v>53000000000000</v>
      </c>
      <c r="R389" s="3114">
        <v>16800000000</v>
      </c>
      <c r="S389" s="3115">
        <f t="shared" si="0"/>
        <v>103476190476190.47</v>
      </c>
      <c r="T389" s="3116">
        <v>42066</v>
      </c>
      <c r="U389" s="3103"/>
      <c r="V389" s="3118">
        <v>5</v>
      </c>
      <c r="W389" s="3119"/>
      <c r="X389" s="3119"/>
      <c r="Y389" s="3119"/>
      <c r="Z389" s="3119"/>
      <c r="AA389" s="3119"/>
      <c r="AB389" s="3119"/>
      <c r="AC389" s="3119"/>
      <c r="AD389" s="3119"/>
      <c r="AE389" s="3119"/>
      <c r="AF389" s="3119"/>
      <c r="AG389" s="3119"/>
      <c r="AH389" s="3119"/>
      <c r="AI389" s="3119"/>
      <c r="AJ389" s="3119"/>
      <c r="AK389" s="3119"/>
      <c r="AL389" s="3119"/>
      <c r="AM389" s="3119"/>
      <c r="AN389" s="3119"/>
      <c r="AO389" s="3119"/>
      <c r="AP389" s="3119"/>
      <c r="AQ389" s="3119"/>
      <c r="AR389" s="3119"/>
      <c r="AS389" s="3119"/>
      <c r="AT389" s="3119"/>
      <c r="AU389" s="3119"/>
      <c r="AV389" s="3119"/>
      <c r="AW389" s="3119"/>
      <c r="AX389" s="3119"/>
      <c r="AY389" s="3119"/>
      <c r="AZ389" s="3119"/>
      <c r="BA389" s="3119"/>
      <c r="BB389" s="3119"/>
      <c r="BC389" s="3119"/>
      <c r="BD389" s="3119"/>
      <c r="BE389" s="3119"/>
      <c r="BF389" s="3119"/>
      <c r="BG389" s="3119"/>
      <c r="BH389" s="1826"/>
      <c r="BI389" s="1826"/>
    </row>
    <row r="390" spans="1:61" ht="22.5" customHeight="1">
      <c r="A390" s="2709" t="s">
        <v>707</v>
      </c>
      <c r="B390" s="2709" t="s">
        <v>3973</v>
      </c>
      <c r="C390" s="2710" t="s">
        <v>1967</v>
      </c>
      <c r="D390" s="2709" t="s">
        <v>4867</v>
      </c>
      <c r="E390" s="2718" t="str">
        <f>VLOOKUP(F390,plasmids!$A$2:$B$891,2)</f>
        <v>AAV9 2YF</v>
      </c>
      <c r="F390" s="2720">
        <v>168</v>
      </c>
      <c r="G390" s="2721"/>
      <c r="H390" s="2721" t="str">
        <f>VLOOKUP(I390,plasmids!$A$2:$B$891,2)</f>
        <v xml:space="preserve">pTR-scCAG-RdCVFs </v>
      </c>
      <c r="I390" s="2709">
        <v>187</v>
      </c>
      <c r="J390" s="2738"/>
      <c r="K390" s="2723"/>
      <c r="L390" s="2724"/>
      <c r="M390" s="2725">
        <v>42048</v>
      </c>
      <c r="N390" s="2726">
        <v>429</v>
      </c>
      <c r="O390" s="2727"/>
      <c r="P390" s="2728"/>
      <c r="Q390" s="2729">
        <v>254000000000000</v>
      </c>
      <c r="R390" s="2732">
        <v>16800000000</v>
      </c>
      <c r="S390" s="2734">
        <f t="shared" si="0"/>
        <v>495904761904761.88</v>
      </c>
      <c r="T390" s="2738"/>
      <c r="U390" s="2738"/>
      <c r="V390" s="3124">
        <f>170</f>
        <v>170</v>
      </c>
      <c r="W390" s="2739"/>
      <c r="X390" s="2739"/>
      <c r="Y390" s="2739"/>
      <c r="Z390" s="2739"/>
      <c r="AA390" s="2739"/>
      <c r="AB390" s="2739"/>
      <c r="AC390" s="2739"/>
      <c r="AD390" s="2739"/>
      <c r="AE390" s="2739"/>
      <c r="AF390" s="2739"/>
      <c r="AG390" s="2739"/>
      <c r="AH390" s="2739"/>
      <c r="AI390" s="2739"/>
      <c r="AJ390" s="2739"/>
      <c r="AK390" s="2739"/>
      <c r="AL390" s="2739"/>
      <c r="AM390" s="2739"/>
      <c r="AN390" s="2739"/>
      <c r="AO390" s="2739"/>
      <c r="AP390" s="2739"/>
      <c r="AQ390" s="2739"/>
      <c r="AR390" s="2739"/>
      <c r="AS390" s="2739"/>
      <c r="AT390" s="2739"/>
      <c r="AU390" s="2739"/>
      <c r="AV390" s="2739"/>
      <c r="AW390" s="2739"/>
      <c r="AX390" s="2739"/>
      <c r="AY390" s="2739"/>
      <c r="AZ390" s="2739"/>
      <c r="BA390" s="2739"/>
      <c r="BB390" s="2739"/>
      <c r="BC390" s="2739"/>
      <c r="BD390" s="2739"/>
      <c r="BE390" s="2739"/>
      <c r="BF390" s="2739"/>
      <c r="BG390" s="2739"/>
      <c r="BH390" s="2739"/>
      <c r="BI390" s="2739"/>
    </row>
    <row r="391" spans="1:61" ht="24.75" customHeight="1">
      <c r="A391" s="1786" t="s">
        <v>1701</v>
      </c>
      <c r="B391" s="1786" t="s">
        <v>5423</v>
      </c>
      <c r="C391" s="1787" t="s">
        <v>1967</v>
      </c>
      <c r="D391" s="1786" t="s">
        <v>5424</v>
      </c>
      <c r="E391" s="1788" t="str">
        <f>VLOOKUP(F391,plasmids!$A$2:$B$891,2)</f>
        <v>ShH10,1 Y444F</v>
      </c>
      <c r="F391" s="1798">
        <v>177</v>
      </c>
      <c r="G391" s="1789"/>
      <c r="H391" s="1789" t="str">
        <f>VLOOKUP(I391,plasmids!$A$2:$B$891,2)</f>
        <v>pssAAV-Norrin-GFP</v>
      </c>
      <c r="I391" s="1786">
        <v>465</v>
      </c>
      <c r="J391" s="1790"/>
      <c r="K391" s="1791"/>
      <c r="L391" s="1792"/>
      <c r="M391" s="1793">
        <v>42048</v>
      </c>
      <c r="N391" s="4">
        <v>430</v>
      </c>
      <c r="O391" s="2632"/>
      <c r="P391" s="1624"/>
      <c r="Q391" s="15">
        <v>133000000000000</v>
      </c>
      <c r="R391" s="1589">
        <v>16800000000</v>
      </c>
      <c r="S391" s="1800">
        <f t="shared" si="0"/>
        <v>259666666666666.66</v>
      </c>
      <c r="T391" s="1802">
        <v>42066</v>
      </c>
      <c r="U391" s="1790"/>
      <c r="V391" s="1784">
        <f>140</f>
        <v>140</v>
      </c>
      <c r="W391" s="1927" t="s">
        <v>5425</v>
      </c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</row>
    <row r="392" spans="1:61" ht="21" customHeight="1">
      <c r="A392" s="112" t="s">
        <v>52</v>
      </c>
      <c r="B392" s="112" t="s">
        <v>3348</v>
      </c>
      <c r="C392" s="89" t="s">
        <v>178</v>
      </c>
      <c r="D392" s="88" t="s">
        <v>1045</v>
      </c>
      <c r="E392" s="88" t="s">
        <v>58</v>
      </c>
      <c r="F392" s="88">
        <v>178</v>
      </c>
      <c r="G392" s="3126"/>
      <c r="H392" s="3126" t="str">
        <f>VLOOKUP(I392,plasmids!$A$2:$B$891,2)</f>
        <v>pAAV2,1,MG6,hChR2(H134R)-GFP</v>
      </c>
      <c r="I392" s="88">
        <v>190</v>
      </c>
      <c r="J392" s="88" t="s">
        <v>1012</v>
      </c>
      <c r="K392" s="110"/>
      <c r="L392" s="1656"/>
      <c r="M392" s="96">
        <v>42048</v>
      </c>
      <c r="N392" s="1295">
        <v>431</v>
      </c>
      <c r="O392" s="100"/>
      <c r="P392" s="105"/>
      <c r="Q392" s="1655">
        <v>42800000000000</v>
      </c>
      <c r="R392" s="102">
        <v>16800000000</v>
      </c>
      <c r="S392" s="107">
        <f t="shared" si="0"/>
        <v>83561904761904.766</v>
      </c>
      <c r="T392" s="1656">
        <v>42066</v>
      </c>
      <c r="U392" s="113"/>
      <c r="V392" s="3128">
        <f>50-30</f>
        <v>20</v>
      </c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</row>
    <row r="393" spans="1:61" ht="21.75" customHeight="1">
      <c r="A393" s="470" t="s">
        <v>52</v>
      </c>
      <c r="B393" s="470" t="s">
        <v>139</v>
      </c>
      <c r="C393" s="1001" t="s">
        <v>55</v>
      </c>
      <c r="D393" s="470" t="s">
        <v>1029</v>
      </c>
      <c r="E393" s="2633" t="str">
        <f>VLOOKUP(F393,plasmids!$A$2:$B$351,2)</f>
        <v>AAV2-7m8</v>
      </c>
      <c r="F393" s="470">
        <v>178</v>
      </c>
      <c r="G393" s="1828"/>
      <c r="H393" s="1828" t="str">
        <f>VLOOKUP(I393,plasmids!$A$2:$B$891,2)</f>
        <v>pssAAV-CAG-ChrimsonR-tdTomato</v>
      </c>
      <c r="I393" s="470">
        <v>479</v>
      </c>
      <c r="J393" s="471"/>
      <c r="K393" s="470" t="s">
        <v>5440</v>
      </c>
      <c r="L393" s="470"/>
      <c r="M393" s="1005" t="s">
        <v>5441</v>
      </c>
      <c r="N393" s="781">
        <v>432</v>
      </c>
      <c r="O393" s="1659"/>
      <c r="P393" s="466"/>
      <c r="Q393" s="3131" t="s">
        <v>5442</v>
      </c>
      <c r="R393" s="3132" t="s">
        <v>5446</v>
      </c>
      <c r="S393" s="468">
        <f t="shared" si="0"/>
        <v>31656836461126.008</v>
      </c>
      <c r="T393" s="1830">
        <v>42066</v>
      </c>
      <c r="U393" s="1011"/>
      <c r="V393" s="1832">
        <f>80-25</f>
        <v>55</v>
      </c>
      <c r="W393" s="5319" t="s">
        <v>5447</v>
      </c>
      <c r="X393" s="1011"/>
      <c r="Y393" s="1011"/>
      <c r="Z393" s="1011"/>
      <c r="AA393" s="1011"/>
      <c r="AB393" s="1011"/>
      <c r="AC393" s="1011"/>
      <c r="AD393" s="1011"/>
      <c r="AE393" s="1011"/>
      <c r="AF393" s="1011"/>
      <c r="AG393" s="1011"/>
      <c r="AH393" s="1011"/>
      <c r="AI393" s="1011"/>
      <c r="AJ393" s="1011"/>
      <c r="AK393" s="1011"/>
      <c r="AL393" s="1011"/>
      <c r="AM393" s="1011"/>
      <c r="AN393" s="1011"/>
      <c r="AO393" s="1011"/>
      <c r="AP393" s="1011"/>
      <c r="AQ393" s="1011"/>
      <c r="AR393" s="1011"/>
      <c r="AS393" s="1011"/>
      <c r="AT393" s="1011"/>
      <c r="AU393" s="1011"/>
      <c r="AV393" s="1011"/>
      <c r="AW393" s="1011"/>
      <c r="AX393" s="1011"/>
      <c r="AY393" s="1011"/>
      <c r="AZ393" s="1011"/>
      <c r="BA393" s="1011"/>
      <c r="BB393" s="1011"/>
      <c r="BC393" s="1011"/>
      <c r="BD393" s="1011"/>
      <c r="BE393" s="1011"/>
      <c r="BF393" s="1011"/>
      <c r="BG393" s="1011"/>
      <c r="BH393" s="1011"/>
      <c r="BI393" s="1011"/>
    </row>
    <row r="394" spans="1:61" ht="21.75" customHeight="1">
      <c r="A394" s="470" t="s">
        <v>52</v>
      </c>
      <c r="B394" s="470" t="s">
        <v>139</v>
      </c>
      <c r="C394" s="1001" t="s">
        <v>55</v>
      </c>
      <c r="D394" s="470" t="s">
        <v>1029</v>
      </c>
      <c r="E394" s="2633" t="str">
        <f>VLOOKUP(F394,plasmids!$A$2:$B$351,2)</f>
        <v>AAV2-7m8</v>
      </c>
      <c r="F394" s="470">
        <v>178</v>
      </c>
      <c r="G394" s="1828"/>
      <c r="H394" s="1828" t="str">
        <f>VLOOKUP(I394,plasmids!$A$2:$B$891,2)</f>
        <v>pssAAV-CAG-ChrimsonR</v>
      </c>
      <c r="I394" s="470">
        <v>480</v>
      </c>
      <c r="J394" s="471"/>
      <c r="K394" s="470" t="s">
        <v>5440</v>
      </c>
      <c r="L394" s="470"/>
      <c r="M394" s="1005" t="s">
        <v>5450</v>
      </c>
      <c r="N394" s="781">
        <v>433</v>
      </c>
      <c r="O394" s="1659"/>
      <c r="P394" s="466"/>
      <c r="Q394" s="3131" t="s">
        <v>5451</v>
      </c>
      <c r="R394" s="3132" t="s">
        <v>5446</v>
      </c>
      <c r="S394" s="468">
        <f t="shared" si="0"/>
        <v>12310991957104.559</v>
      </c>
      <c r="T394" s="1830">
        <v>42066</v>
      </c>
      <c r="U394" s="1011"/>
      <c r="V394" s="470">
        <v>16</v>
      </c>
      <c r="W394" s="5320"/>
      <c r="X394" s="1011"/>
      <c r="Y394" s="1011"/>
      <c r="Z394" s="1011"/>
      <c r="AA394" s="1011"/>
      <c r="AB394" s="1011"/>
      <c r="AC394" s="1011"/>
      <c r="AD394" s="1011"/>
      <c r="AE394" s="1011"/>
      <c r="AF394" s="1011"/>
      <c r="AG394" s="1011"/>
      <c r="AH394" s="1011"/>
      <c r="AI394" s="1011"/>
      <c r="AJ394" s="1011"/>
      <c r="AK394" s="1011"/>
      <c r="AL394" s="1011"/>
      <c r="AM394" s="1011"/>
      <c r="AN394" s="1011"/>
      <c r="AO394" s="1011"/>
      <c r="AP394" s="1011"/>
      <c r="AQ394" s="1011"/>
      <c r="AR394" s="1011"/>
      <c r="AS394" s="1011"/>
      <c r="AT394" s="1011"/>
      <c r="AU394" s="1011"/>
      <c r="AV394" s="1011"/>
      <c r="AW394" s="1011"/>
      <c r="AX394" s="1011"/>
      <c r="AY394" s="1011"/>
      <c r="AZ394" s="1011"/>
      <c r="BA394" s="1011"/>
      <c r="BB394" s="1011"/>
      <c r="BC394" s="1011"/>
      <c r="BD394" s="1011"/>
      <c r="BE394" s="1011"/>
      <c r="BF394" s="1011"/>
      <c r="BG394" s="1011"/>
      <c r="BH394" s="1011"/>
      <c r="BI394" s="1011"/>
    </row>
    <row r="395" spans="1:61" ht="21.75" customHeight="1">
      <c r="A395" s="470" t="s">
        <v>52</v>
      </c>
      <c r="B395" s="470" t="s">
        <v>139</v>
      </c>
      <c r="C395" s="1001" t="s">
        <v>55</v>
      </c>
      <c r="D395" s="470" t="s">
        <v>1029</v>
      </c>
      <c r="E395" s="2633" t="str">
        <f>VLOOKUP(F395,plasmids!$A$2:$B$351,2)</f>
        <v>AAV2</v>
      </c>
      <c r="F395" s="470">
        <v>140</v>
      </c>
      <c r="G395" s="1828"/>
      <c r="H395" s="1828" t="str">
        <f>VLOOKUP(I395,plasmids!$A$2:$B$891,2)</f>
        <v>pssAAV-CAG-ChrimsonR-tdTomato</v>
      </c>
      <c r="I395" s="470">
        <v>479</v>
      </c>
      <c r="J395" s="471"/>
      <c r="K395" s="470" t="s">
        <v>5440</v>
      </c>
      <c r="L395" s="470"/>
      <c r="M395" s="1005" t="s">
        <v>5456</v>
      </c>
      <c r="N395" s="781">
        <v>434</v>
      </c>
      <c r="O395" s="1659"/>
      <c r="P395" s="466"/>
      <c r="Q395" s="3131" t="s">
        <v>5457</v>
      </c>
      <c r="R395" s="3132" t="s">
        <v>5446</v>
      </c>
      <c r="S395" s="468">
        <f t="shared" si="0"/>
        <v>34910455764075.066</v>
      </c>
      <c r="T395" s="1830">
        <v>42066</v>
      </c>
      <c r="U395" s="1011"/>
      <c r="V395" s="1832">
        <v>200</v>
      </c>
      <c r="W395" s="5320"/>
      <c r="X395" s="1011"/>
      <c r="Y395" s="1011"/>
      <c r="Z395" s="1011"/>
      <c r="AA395" s="1011"/>
      <c r="AB395" s="1011"/>
      <c r="AC395" s="1011"/>
      <c r="AD395" s="1011"/>
      <c r="AE395" s="1011"/>
      <c r="AF395" s="1011"/>
      <c r="AG395" s="1011"/>
      <c r="AH395" s="1011"/>
      <c r="AI395" s="1011"/>
      <c r="AJ395" s="1011"/>
      <c r="AK395" s="1011"/>
      <c r="AL395" s="1011"/>
      <c r="AM395" s="1011"/>
      <c r="AN395" s="1011"/>
      <c r="AO395" s="1011"/>
      <c r="AP395" s="1011"/>
      <c r="AQ395" s="1011"/>
      <c r="AR395" s="1011"/>
      <c r="AS395" s="1011"/>
      <c r="AT395" s="1011"/>
      <c r="AU395" s="1011"/>
      <c r="AV395" s="1011"/>
      <c r="AW395" s="1011"/>
      <c r="AX395" s="1011"/>
      <c r="AY395" s="1011"/>
      <c r="AZ395" s="1011"/>
      <c r="BA395" s="1011"/>
      <c r="BB395" s="1011"/>
      <c r="BC395" s="1011"/>
      <c r="BD395" s="1011"/>
      <c r="BE395" s="1011"/>
      <c r="BF395" s="1011"/>
      <c r="BG395" s="1011"/>
      <c r="BH395" s="1011"/>
      <c r="BI395" s="1011"/>
    </row>
    <row r="396" spans="1:61" ht="21.75" customHeight="1">
      <c r="A396" s="470" t="s">
        <v>52</v>
      </c>
      <c r="B396" s="470" t="s">
        <v>139</v>
      </c>
      <c r="C396" s="1001" t="s">
        <v>55</v>
      </c>
      <c r="D396" s="470" t="s">
        <v>1029</v>
      </c>
      <c r="E396" s="2633" t="str">
        <f>VLOOKUP(F396,plasmids!$A$2:$B$351,2)</f>
        <v>AAV2</v>
      </c>
      <c r="F396" s="1008">
        <v>140</v>
      </c>
      <c r="G396" s="1828"/>
      <c r="H396" s="1828" t="str">
        <f>VLOOKUP(I396,plasmids!$A$2:$B$891,2)</f>
        <v>pssAAV-CAG-ChrimsonR</v>
      </c>
      <c r="I396" s="470">
        <v>480</v>
      </c>
      <c r="J396" s="471"/>
      <c r="K396" s="470" t="s">
        <v>5440</v>
      </c>
      <c r="L396" s="2910"/>
      <c r="M396" s="1005" t="s">
        <v>5463</v>
      </c>
      <c r="N396" s="781">
        <v>435</v>
      </c>
      <c r="O396" s="1659"/>
      <c r="P396" s="466"/>
      <c r="Q396" s="3131" t="s">
        <v>5464</v>
      </c>
      <c r="R396" s="3132" t="s">
        <v>5446</v>
      </c>
      <c r="S396" s="468">
        <f t="shared" si="0"/>
        <v>12926541554959.785</v>
      </c>
      <c r="T396" s="1830">
        <v>42066</v>
      </c>
      <c r="U396" s="1011"/>
      <c r="V396" s="470">
        <v>120</v>
      </c>
      <c r="W396" s="5320"/>
      <c r="X396" s="1011"/>
      <c r="Y396" s="1011"/>
      <c r="Z396" s="1011"/>
      <c r="AA396" s="1011"/>
      <c r="AB396" s="1011"/>
      <c r="AC396" s="1011"/>
      <c r="AD396" s="1011"/>
      <c r="AE396" s="1011"/>
      <c r="AF396" s="1011"/>
      <c r="AG396" s="1011"/>
      <c r="AH396" s="1011"/>
      <c r="AI396" s="1011"/>
      <c r="AJ396" s="1011"/>
      <c r="AK396" s="1011"/>
      <c r="AL396" s="1011"/>
      <c r="AM396" s="1011"/>
      <c r="AN396" s="1011"/>
      <c r="AO396" s="1011"/>
      <c r="AP396" s="1011"/>
      <c r="AQ396" s="1011"/>
      <c r="AR396" s="1011"/>
      <c r="AS396" s="1011"/>
      <c r="AT396" s="1011"/>
      <c r="AU396" s="1011"/>
      <c r="AV396" s="1011"/>
      <c r="AW396" s="1011"/>
      <c r="AX396" s="1011"/>
      <c r="AY396" s="1011"/>
      <c r="AZ396" s="1011"/>
      <c r="BA396" s="1011"/>
      <c r="BB396" s="1011"/>
      <c r="BC396" s="1011"/>
      <c r="BD396" s="1011"/>
      <c r="BE396" s="1011"/>
      <c r="BF396" s="1011"/>
      <c r="BG396" s="1011"/>
      <c r="BH396" s="1011"/>
      <c r="BI396" s="1011"/>
    </row>
    <row r="397" spans="1:61" ht="21.75" customHeight="1">
      <c r="A397" s="1832" t="s">
        <v>52</v>
      </c>
      <c r="B397" s="1832" t="s">
        <v>139</v>
      </c>
      <c r="C397" s="1833" t="s">
        <v>178</v>
      </c>
      <c r="D397" s="1832" t="s">
        <v>1029</v>
      </c>
      <c r="E397" s="2634" t="str">
        <f>VLOOKUP(F397,plasmids!$A$2:$B$351,2)</f>
        <v>AAV2</v>
      </c>
      <c r="F397" s="1898">
        <v>140</v>
      </c>
      <c r="G397" s="1834"/>
      <c r="H397" s="1834" t="str">
        <f>VLOOKUP(I397,plasmids!$A$2:$B$891,2)</f>
        <v>pssAAV-CAG-ChrimsonR</v>
      </c>
      <c r="I397" s="1832">
        <v>480</v>
      </c>
      <c r="J397" s="1854"/>
      <c r="K397" s="1832" t="s">
        <v>4428</v>
      </c>
      <c r="L397" s="1856"/>
      <c r="M397" s="1857">
        <v>42055</v>
      </c>
      <c r="N397" s="1897">
        <v>436</v>
      </c>
      <c r="O397" s="2635"/>
      <c r="P397" s="2450" t="s">
        <v>5467</v>
      </c>
      <c r="Q397" s="1900">
        <v>9790000000000</v>
      </c>
      <c r="R397" s="2450">
        <v>42300000000</v>
      </c>
      <c r="S397" s="1902">
        <f t="shared" si="0"/>
        <v>7591300236406.6191</v>
      </c>
      <c r="T397" s="2452">
        <v>42066</v>
      </c>
      <c r="U397" s="2452">
        <v>42153</v>
      </c>
      <c r="V397" s="2634">
        <f>260-2</f>
        <v>258</v>
      </c>
      <c r="W397" s="2635"/>
      <c r="X397" s="1905"/>
      <c r="Y397" s="1905"/>
      <c r="Z397" s="1905"/>
      <c r="AA397" s="1905"/>
      <c r="AB397" s="1905"/>
      <c r="AC397" s="1905"/>
      <c r="AD397" s="1905"/>
      <c r="AE397" s="1905"/>
      <c r="AF397" s="1905"/>
      <c r="AG397" s="1905"/>
      <c r="AH397" s="1905"/>
      <c r="AI397" s="1905"/>
      <c r="AJ397" s="1905"/>
      <c r="AK397" s="1905"/>
      <c r="AL397" s="1905"/>
      <c r="AM397" s="1905"/>
      <c r="AN397" s="1905"/>
      <c r="AO397" s="1905"/>
      <c r="AP397" s="1905"/>
      <c r="AQ397" s="1905"/>
      <c r="AR397" s="1905"/>
      <c r="AS397" s="1905"/>
      <c r="AT397" s="1905"/>
      <c r="AU397" s="1905"/>
      <c r="AV397" s="1905"/>
      <c r="AW397" s="1905"/>
      <c r="AX397" s="1905"/>
      <c r="AY397" s="234"/>
      <c r="AZ397" s="234"/>
      <c r="BA397" s="234"/>
      <c r="BB397" s="234"/>
      <c r="BC397" s="234"/>
      <c r="BD397" s="234"/>
      <c r="BE397" s="234"/>
      <c r="BF397" s="234"/>
      <c r="BG397" s="234"/>
      <c r="BH397" s="234"/>
      <c r="BI397" s="234"/>
    </row>
    <row r="398" spans="1:61" ht="24">
      <c r="A398" s="1641" t="s">
        <v>5469</v>
      </c>
      <c r="B398" s="1641" t="s">
        <v>5471</v>
      </c>
      <c r="C398" s="1642" t="s">
        <v>1967</v>
      </c>
      <c r="D398" s="1641" t="s">
        <v>5472</v>
      </c>
      <c r="E398" s="1906" t="str">
        <f>VLOOKUP(F398,plasmids!$A$2:$B$891,2)</f>
        <v>pXR1</v>
      </c>
      <c r="F398" s="1646">
        <v>110</v>
      </c>
      <c r="G398" s="1642"/>
      <c r="H398" s="1642" t="s">
        <v>5476</v>
      </c>
      <c r="I398" s="1641">
        <v>511</v>
      </c>
      <c r="J398" s="1650"/>
      <c r="K398" s="1933"/>
      <c r="L398" s="1643"/>
      <c r="M398" s="1644">
        <v>42055</v>
      </c>
      <c r="N398" s="1645">
        <v>437</v>
      </c>
      <c r="O398" s="2742"/>
      <c r="P398" s="1647"/>
      <c r="Q398" s="1648">
        <v>20600000000</v>
      </c>
      <c r="R398" s="3143">
        <v>42300000000</v>
      </c>
      <c r="S398" s="1649">
        <f t="shared" si="0"/>
        <v>15973522458.628841</v>
      </c>
      <c r="T398" s="2359">
        <v>42066</v>
      </c>
      <c r="U398" s="1650"/>
      <c r="V398" s="2742">
        <f>150</f>
        <v>150</v>
      </c>
      <c r="W398" s="1640" t="s">
        <v>5478</v>
      </c>
      <c r="X398" s="377"/>
      <c r="Y398" s="377"/>
      <c r="Z398" s="377"/>
      <c r="AA398" s="377"/>
      <c r="AB398" s="377"/>
      <c r="AC398" s="377"/>
      <c r="AD398" s="377"/>
      <c r="AE398" s="377"/>
      <c r="AF398" s="377"/>
      <c r="AG398" s="377"/>
      <c r="AH398" s="377"/>
      <c r="AI398" s="377"/>
      <c r="AJ398" s="377"/>
      <c r="AK398" s="377"/>
      <c r="AL398" s="377"/>
      <c r="AM398" s="377"/>
      <c r="AN398" s="377"/>
      <c r="AO398" s="377"/>
      <c r="AP398" s="377"/>
      <c r="AQ398" s="377"/>
      <c r="AR398" s="377"/>
      <c r="AS398" s="377"/>
      <c r="AT398" s="377"/>
      <c r="AU398" s="377"/>
      <c r="AV398" s="377"/>
      <c r="AW398" s="377"/>
      <c r="AX398" s="377"/>
      <c r="AY398" s="377"/>
      <c r="AZ398" s="377"/>
      <c r="BA398" s="377"/>
      <c r="BB398" s="377"/>
      <c r="BC398" s="377"/>
      <c r="BD398" s="377"/>
      <c r="BE398" s="377"/>
      <c r="BF398" s="377"/>
      <c r="BG398" s="377"/>
      <c r="BH398" s="377"/>
      <c r="BI398" s="377"/>
    </row>
    <row r="399" spans="1:61" ht="24">
      <c r="A399" s="1641" t="s">
        <v>5469</v>
      </c>
      <c r="B399" s="1641" t="s">
        <v>5471</v>
      </c>
      <c r="C399" s="1642" t="s">
        <v>1967</v>
      </c>
      <c r="D399" s="1641" t="s">
        <v>5472</v>
      </c>
      <c r="E399" s="1906" t="str">
        <f>VLOOKUP(F399,plasmids!$A$2:$B$891,2)</f>
        <v>pXR1</v>
      </c>
      <c r="F399" s="1646">
        <v>110</v>
      </c>
      <c r="G399" s="1642"/>
      <c r="H399" s="1642" t="s">
        <v>5482</v>
      </c>
      <c r="I399" s="1641">
        <v>512</v>
      </c>
      <c r="J399" s="1650"/>
      <c r="K399" s="1933"/>
      <c r="L399" s="1643"/>
      <c r="M399" s="1644">
        <v>42055</v>
      </c>
      <c r="N399" s="1645">
        <v>438</v>
      </c>
      <c r="O399" s="2742"/>
      <c r="P399" s="1647"/>
      <c r="Q399" s="1648">
        <v>26800000000</v>
      </c>
      <c r="R399" s="3143">
        <v>42300000000</v>
      </c>
      <c r="S399" s="1649">
        <f t="shared" si="0"/>
        <v>20781087470.449173</v>
      </c>
      <c r="T399" s="2359">
        <v>42066</v>
      </c>
      <c r="U399" s="1650"/>
      <c r="V399" s="2742">
        <f t="shared" ref="V399:V400" si="3">170</f>
        <v>170</v>
      </c>
      <c r="W399" s="1640" t="s">
        <v>5478</v>
      </c>
      <c r="X399" s="377"/>
      <c r="Y399" s="377"/>
      <c r="Z399" s="377"/>
      <c r="AA399" s="377"/>
      <c r="AB399" s="377"/>
      <c r="AC399" s="377"/>
      <c r="AD399" s="377"/>
      <c r="AE399" s="377"/>
      <c r="AF399" s="377"/>
      <c r="AG399" s="377"/>
      <c r="AH399" s="377"/>
      <c r="AI399" s="377"/>
      <c r="AJ399" s="377"/>
      <c r="AK399" s="377"/>
      <c r="AL399" s="377"/>
      <c r="AM399" s="377"/>
      <c r="AN399" s="377"/>
      <c r="AO399" s="377"/>
      <c r="AP399" s="377"/>
      <c r="AQ399" s="377"/>
      <c r="AR399" s="377"/>
      <c r="AS399" s="377"/>
      <c r="AT399" s="377"/>
      <c r="AU399" s="377"/>
      <c r="AV399" s="377"/>
      <c r="AW399" s="377"/>
      <c r="AX399" s="377"/>
      <c r="AY399" s="377"/>
      <c r="AZ399" s="377"/>
      <c r="BA399" s="377"/>
      <c r="BB399" s="377"/>
      <c r="BC399" s="377"/>
      <c r="BD399" s="377"/>
      <c r="BE399" s="377"/>
      <c r="BF399" s="377"/>
      <c r="BG399" s="377"/>
      <c r="BH399" s="377"/>
      <c r="BI399" s="377"/>
    </row>
    <row r="400" spans="1:61" ht="23.25" customHeight="1">
      <c r="A400" s="3145" t="s">
        <v>506</v>
      </c>
      <c r="B400" s="2646" t="s">
        <v>860</v>
      </c>
      <c r="C400" s="2647" t="s">
        <v>567</v>
      </c>
      <c r="D400" s="2646" t="s">
        <v>568</v>
      </c>
      <c r="E400" s="3013" t="str">
        <f>VLOOKUP(F400,plasmids!$A$2:$B$351,2)</f>
        <v>pXR8 Y447 733F</v>
      </c>
      <c r="F400" s="2646">
        <v>195</v>
      </c>
      <c r="G400" s="1789"/>
      <c r="H400" s="1789" t="str">
        <f>VLOOKUP(I400,plasmids!$A$2:$B$891,2)</f>
        <v>pssAAV- mCAR-Clm</v>
      </c>
      <c r="I400" s="1786">
        <v>457</v>
      </c>
      <c r="J400" s="2646" t="s">
        <v>4734</v>
      </c>
      <c r="K400" s="3147"/>
      <c r="L400" s="2654"/>
      <c r="M400" s="2695">
        <v>42055</v>
      </c>
      <c r="N400" s="3010">
        <v>439</v>
      </c>
      <c r="O400" s="2650"/>
      <c r="P400" s="2651"/>
      <c r="Q400" s="2652">
        <v>863000000000000</v>
      </c>
      <c r="R400" s="3148">
        <v>42300000000</v>
      </c>
      <c r="S400" s="2653">
        <f t="shared" si="0"/>
        <v>669182033096926.75</v>
      </c>
      <c r="T400" s="2654">
        <v>42066</v>
      </c>
      <c r="U400" s="2648"/>
      <c r="V400" s="3013">
        <f t="shared" si="3"/>
        <v>170</v>
      </c>
      <c r="W400" s="3150" t="s">
        <v>2812</v>
      </c>
      <c r="X400" s="2656"/>
      <c r="Y400" s="2656"/>
      <c r="Z400" s="2656"/>
      <c r="AA400" s="2656"/>
      <c r="AB400" s="2656"/>
      <c r="AC400" s="2656"/>
      <c r="AD400" s="2656"/>
      <c r="AE400" s="2656"/>
      <c r="AF400" s="2656"/>
      <c r="AG400" s="2656"/>
      <c r="AH400" s="2656"/>
      <c r="AI400" s="2656"/>
      <c r="AJ400" s="2656"/>
      <c r="AK400" s="2656"/>
      <c r="AL400" s="2656"/>
      <c r="AM400" s="2656"/>
      <c r="AN400" s="2656"/>
      <c r="AO400" s="2656"/>
      <c r="AP400" s="2656"/>
      <c r="AQ400" s="2656"/>
      <c r="AR400" s="2656"/>
      <c r="AS400" s="2656"/>
      <c r="AT400" s="2656"/>
      <c r="AU400" s="2656"/>
      <c r="AV400" s="2656"/>
      <c r="AW400" s="2656"/>
      <c r="AX400" s="2656"/>
      <c r="AY400" s="2656"/>
      <c r="AZ400" s="2656"/>
      <c r="BA400" s="2656"/>
      <c r="BB400" s="2656"/>
      <c r="BC400" s="2656"/>
      <c r="BD400" s="2656"/>
      <c r="BE400" s="2656"/>
      <c r="BF400" s="2656"/>
      <c r="BG400" s="2656"/>
      <c r="BH400" s="2656"/>
      <c r="BI400" s="2656"/>
    </row>
    <row r="401" spans="1:61" ht="21.75" customHeight="1">
      <c r="A401" s="1807" t="s">
        <v>707</v>
      </c>
      <c r="B401" s="1807" t="s">
        <v>5157</v>
      </c>
      <c r="C401" s="1808" t="s">
        <v>1967</v>
      </c>
      <c r="D401" s="1807" t="s">
        <v>4867</v>
      </c>
      <c r="E401" s="1810" t="str">
        <f>VLOOKUP(F401,plasmids!$A$2:$B$891,2)</f>
        <v>AAV2-7m8</v>
      </c>
      <c r="F401" s="1812">
        <v>178</v>
      </c>
      <c r="G401" s="1814"/>
      <c r="H401" s="1814" t="str">
        <f>VLOOKUP(I401,plasmids!$A$2:$B$891,2)</f>
        <v>pTR-scCAG-RdCVFL</v>
      </c>
      <c r="I401" s="1807">
        <v>186</v>
      </c>
      <c r="J401" s="1815"/>
      <c r="K401" s="1818">
        <v>41919</v>
      </c>
      <c r="L401" s="1818"/>
      <c r="M401" s="1820">
        <v>42062</v>
      </c>
      <c r="N401" s="1821">
        <v>440</v>
      </c>
      <c r="O401" s="3153"/>
      <c r="P401" s="1823"/>
      <c r="Q401" s="1824">
        <v>83800000000000</v>
      </c>
      <c r="R401" s="3154">
        <v>49100000000</v>
      </c>
      <c r="S401" s="1825">
        <f t="shared" si="0"/>
        <v>55980448065173.109</v>
      </c>
      <c r="T401" s="3155">
        <v>42170</v>
      </c>
      <c r="U401" s="1815"/>
      <c r="V401" s="1810">
        <f>155-14-2</f>
        <v>139</v>
      </c>
      <c r="W401" s="1826"/>
      <c r="X401" s="1826"/>
      <c r="Y401" s="1826"/>
      <c r="Z401" s="1826"/>
      <c r="AA401" s="1826"/>
      <c r="AB401" s="1826"/>
      <c r="AC401" s="1826"/>
      <c r="AD401" s="1826"/>
      <c r="AE401" s="1826"/>
      <c r="AF401" s="1826"/>
      <c r="AG401" s="1826"/>
      <c r="AH401" s="1826"/>
      <c r="AI401" s="1826"/>
      <c r="AJ401" s="1826"/>
      <c r="AK401" s="1826"/>
      <c r="AL401" s="1826"/>
      <c r="AM401" s="1826"/>
      <c r="AN401" s="1826"/>
      <c r="AO401" s="1826"/>
      <c r="AP401" s="1826"/>
      <c r="AQ401" s="1826"/>
      <c r="AR401" s="1826"/>
      <c r="AS401" s="1826"/>
      <c r="AT401" s="1826"/>
      <c r="AU401" s="1826"/>
      <c r="AV401" s="1826"/>
      <c r="AW401" s="1826"/>
      <c r="AX401" s="1826"/>
      <c r="AY401" s="1826"/>
      <c r="AZ401" s="1826"/>
      <c r="BA401" s="1826"/>
      <c r="BB401" s="1826"/>
      <c r="BC401" s="1826"/>
      <c r="BD401" s="1826"/>
      <c r="BE401" s="1826"/>
      <c r="BF401" s="1826"/>
      <c r="BG401" s="1826"/>
      <c r="BH401" s="1826"/>
      <c r="BI401" s="1826"/>
    </row>
    <row r="402" spans="1:61" ht="19.5" customHeight="1">
      <c r="A402" s="3156" t="s">
        <v>161</v>
      </c>
      <c r="B402" s="3156" t="s">
        <v>601</v>
      </c>
      <c r="C402" s="3157" t="s">
        <v>1967</v>
      </c>
      <c r="D402" s="3156" t="s">
        <v>568</v>
      </c>
      <c r="E402" s="3159" t="str">
        <f>VLOOKUP(F402,plasmids!$A$2:$B$891,2)</f>
        <v>pAAV2/8</v>
      </c>
      <c r="F402" s="3160">
        <v>122</v>
      </c>
      <c r="G402" s="3161"/>
      <c r="H402" s="3161" t="str">
        <f>VLOOKUP(I402,plasmids!$A$2:$B$911,2)</f>
        <v>pssAAV-mCAR-GIRK1-GFP</v>
      </c>
      <c r="I402" s="3156">
        <v>500</v>
      </c>
      <c r="J402" s="3163"/>
      <c r="K402" s="3164"/>
      <c r="L402" s="3166"/>
      <c r="M402" s="3168">
        <v>42062</v>
      </c>
      <c r="N402" s="3169">
        <v>441</v>
      </c>
      <c r="O402" s="3171"/>
      <c r="P402" s="3172"/>
      <c r="Q402" s="3174">
        <v>3240000000000000</v>
      </c>
      <c r="R402" s="3176">
        <v>49100000000</v>
      </c>
      <c r="S402" s="3178">
        <f t="shared" si="0"/>
        <v>2164399185336048.8</v>
      </c>
      <c r="T402" s="3180">
        <v>42163</v>
      </c>
      <c r="U402" s="3163"/>
      <c r="V402" s="3171">
        <f>175-2-4</f>
        <v>169</v>
      </c>
      <c r="W402" s="3182"/>
      <c r="X402" s="3182"/>
      <c r="Y402" s="3182"/>
      <c r="Z402" s="3182"/>
      <c r="AA402" s="3182"/>
      <c r="AB402" s="3182"/>
      <c r="AC402" s="3182"/>
      <c r="AD402" s="3182"/>
      <c r="AE402" s="3182"/>
      <c r="AF402" s="3182"/>
      <c r="AG402" s="3182"/>
      <c r="AH402" s="3182"/>
      <c r="AI402" s="3182"/>
      <c r="AJ402" s="3182"/>
      <c r="AK402" s="3182"/>
      <c r="AL402" s="3182"/>
      <c r="AM402" s="3182"/>
      <c r="AN402" s="3182"/>
      <c r="AO402" s="3182"/>
      <c r="AP402" s="3182"/>
      <c r="AQ402" s="3182"/>
      <c r="AR402" s="3182"/>
      <c r="AS402" s="3182"/>
      <c r="AT402" s="3182"/>
      <c r="AU402" s="3182"/>
      <c r="AV402" s="3182"/>
      <c r="AW402" s="3182"/>
      <c r="AX402" s="3182"/>
      <c r="AY402" s="3182"/>
      <c r="AZ402" s="3182"/>
      <c r="BA402" s="3182"/>
      <c r="BB402" s="3182"/>
      <c r="BC402" s="3182"/>
      <c r="BD402" s="3182"/>
      <c r="BE402" s="3182"/>
      <c r="BF402" s="3182"/>
      <c r="BG402" s="3182"/>
      <c r="BH402" s="3182"/>
      <c r="BI402" s="3182"/>
    </row>
    <row r="403" spans="1:61" ht="20.25" customHeight="1">
      <c r="A403" s="3183" t="s">
        <v>161</v>
      </c>
      <c r="B403" s="3183" t="s">
        <v>601</v>
      </c>
      <c r="C403" s="3184" t="s">
        <v>1967</v>
      </c>
      <c r="D403" s="3183" t="s">
        <v>568</v>
      </c>
      <c r="E403" s="3185" t="str">
        <f>VLOOKUP(F403,plasmids!$A$2:$B$891,2)</f>
        <v>pAAV2/8</v>
      </c>
      <c r="F403" s="3186">
        <v>122</v>
      </c>
      <c r="G403" s="3187"/>
      <c r="H403" s="3187" t="str">
        <f>VLOOKUP(I403,plasmids!$A$2:$B$911,2)</f>
        <v>pssAAV-mCAR-GIRK2-GFP</v>
      </c>
      <c r="I403" s="3183">
        <v>501</v>
      </c>
      <c r="J403" s="3189"/>
      <c r="K403" s="3190"/>
      <c r="L403" s="3191"/>
      <c r="M403" s="3192">
        <v>42062</v>
      </c>
      <c r="N403" s="3194">
        <v>442</v>
      </c>
      <c r="O403" s="3196"/>
      <c r="P403" s="3197"/>
      <c r="Q403" s="3198">
        <v>5530000000000000</v>
      </c>
      <c r="R403" s="3199">
        <v>49100000000</v>
      </c>
      <c r="S403" s="3200">
        <f t="shared" si="0"/>
        <v>3694175152749490.5</v>
      </c>
      <c r="T403" s="3201">
        <v>42163</v>
      </c>
      <c r="U403" s="3189"/>
      <c r="V403" s="3196">
        <f>40-2-1-2.14-1.4-1-1-1</f>
        <v>30.46</v>
      </c>
      <c r="W403" s="3202"/>
      <c r="X403" s="3202"/>
      <c r="Y403" s="3202"/>
      <c r="Z403" s="3202"/>
      <c r="AA403" s="3202"/>
      <c r="AB403" s="3202"/>
      <c r="AC403" s="3202"/>
      <c r="AD403" s="3202"/>
      <c r="AE403" s="3202"/>
      <c r="AF403" s="3202"/>
      <c r="AG403" s="3202"/>
      <c r="AH403" s="3202"/>
      <c r="AI403" s="3202"/>
      <c r="AJ403" s="3202"/>
      <c r="AK403" s="3202"/>
      <c r="AL403" s="3202"/>
      <c r="AM403" s="3202"/>
      <c r="AN403" s="3202"/>
      <c r="AO403" s="3202"/>
      <c r="AP403" s="3202"/>
      <c r="AQ403" s="3202"/>
      <c r="AR403" s="3202"/>
      <c r="AS403" s="3202"/>
      <c r="AT403" s="3202"/>
      <c r="AU403" s="3202"/>
      <c r="AV403" s="3202"/>
      <c r="AW403" s="3202"/>
      <c r="AX403" s="3202"/>
      <c r="AY403" s="3202"/>
      <c r="AZ403" s="3202"/>
      <c r="BA403" s="3202"/>
      <c r="BB403" s="3202"/>
      <c r="BC403" s="3202"/>
      <c r="BD403" s="3202"/>
      <c r="BE403" s="3202"/>
      <c r="BF403" s="3202"/>
      <c r="BG403" s="3202"/>
      <c r="BH403" s="3202"/>
      <c r="BI403" s="3202"/>
    </row>
    <row r="404" spans="1:61" ht="21.75" customHeight="1">
      <c r="A404" s="470" t="s">
        <v>52</v>
      </c>
      <c r="B404" s="470" t="s">
        <v>139</v>
      </c>
      <c r="C404" s="1001" t="s">
        <v>178</v>
      </c>
      <c r="D404" s="470" t="s">
        <v>1029</v>
      </c>
      <c r="E404" s="2633" t="str">
        <f>VLOOKUP(F404,plasmids!$A$2:$B$351,2)</f>
        <v>AAV2</v>
      </c>
      <c r="F404" s="470">
        <v>140</v>
      </c>
      <c r="G404" s="1828"/>
      <c r="H404" s="1828" t="str">
        <f>VLOOKUP(I404,plasmids!$A$2:$B$891,2)</f>
        <v>pssAAV-CAG-GFP</v>
      </c>
      <c r="I404" s="470">
        <v>487</v>
      </c>
      <c r="J404" s="471"/>
      <c r="K404" s="471"/>
      <c r="L404" s="1830"/>
      <c r="M404" s="1005">
        <v>42062</v>
      </c>
      <c r="N404" s="781">
        <v>443</v>
      </c>
      <c r="O404" s="471"/>
      <c r="P404" s="466"/>
      <c r="Q404" s="1604">
        <v>6700000000000000</v>
      </c>
      <c r="R404" s="462">
        <v>49100000000</v>
      </c>
      <c r="S404" s="468">
        <f t="shared" si="0"/>
        <v>4475763747454175</v>
      </c>
      <c r="T404" s="1830">
        <v>42163</v>
      </c>
      <c r="U404" s="471"/>
      <c r="V404" s="1659">
        <f>140</f>
        <v>140</v>
      </c>
      <c r="W404" s="1011"/>
      <c r="X404" s="1011"/>
      <c r="Y404" s="1011"/>
      <c r="Z404" s="1011"/>
      <c r="AA404" s="1011"/>
      <c r="AB404" s="1011"/>
      <c r="AC404" s="1011"/>
      <c r="AD404" s="1011"/>
      <c r="AE404" s="1011"/>
      <c r="AF404" s="1011"/>
      <c r="AG404" s="1011"/>
      <c r="AH404" s="1011"/>
      <c r="AI404" s="1011"/>
      <c r="AJ404" s="1011"/>
      <c r="AK404" s="1011"/>
      <c r="AL404" s="1011"/>
      <c r="AM404" s="1011"/>
      <c r="AN404" s="1011"/>
      <c r="AO404" s="1011"/>
      <c r="AP404" s="1011"/>
      <c r="AQ404" s="1011"/>
      <c r="AR404" s="1011"/>
      <c r="AS404" s="1011"/>
      <c r="AT404" s="1011"/>
      <c r="AU404" s="1011"/>
      <c r="AV404" s="1011"/>
      <c r="AW404" s="1011"/>
      <c r="AX404" s="1011"/>
      <c r="AY404" s="1011"/>
      <c r="AZ404" s="1011"/>
      <c r="BA404" s="1011"/>
      <c r="BB404" s="1011"/>
      <c r="BC404" s="1011"/>
      <c r="BD404" s="1011"/>
      <c r="BE404" s="1011"/>
      <c r="BF404" s="1011"/>
      <c r="BG404" s="1011"/>
      <c r="BH404" s="1011"/>
      <c r="BI404" s="1011"/>
    </row>
    <row r="405" spans="1:61" ht="21.75" customHeight="1">
      <c r="A405" s="64" t="s">
        <v>52</v>
      </c>
      <c r="B405" s="64" t="s">
        <v>177</v>
      </c>
      <c r="C405" s="66" t="s">
        <v>1967</v>
      </c>
      <c r="D405" s="64" t="s">
        <v>5547</v>
      </c>
      <c r="E405" s="2690" t="str">
        <f>VLOOKUP(F405,plasmids!$A$2:$B$351,2)</f>
        <v>pXR5</v>
      </c>
      <c r="F405" s="67">
        <v>154</v>
      </c>
      <c r="G405" s="2339"/>
      <c r="H405" s="2339" t="str">
        <f>VLOOKUP(I405,plasmids!$A$2:$B$1011,2)</f>
        <v>pAAV-hRho-Killer Red</v>
      </c>
      <c r="I405" s="64">
        <v>434</v>
      </c>
      <c r="J405" s="64" t="s">
        <v>1012</v>
      </c>
      <c r="K405" s="84"/>
      <c r="L405" s="2638"/>
      <c r="M405" s="70">
        <v>42069</v>
      </c>
      <c r="N405" s="1077">
        <v>444</v>
      </c>
      <c r="O405" s="84"/>
      <c r="P405" s="78"/>
      <c r="Q405" s="2637">
        <v>104000000000000</v>
      </c>
      <c r="R405" s="74">
        <v>38300000000</v>
      </c>
      <c r="S405" s="82">
        <f t="shared" si="0"/>
        <v>89065274151436.031</v>
      </c>
      <c r="T405" s="2638">
        <v>42170</v>
      </c>
      <c r="U405" s="2638">
        <v>42153</v>
      </c>
      <c r="V405" s="72">
        <f>170-10-32-2</f>
        <v>126</v>
      </c>
      <c r="W405" s="2691"/>
      <c r="X405" s="2692"/>
      <c r="Y405" s="72"/>
      <c r="Z405" s="78"/>
      <c r="AA405" s="78"/>
      <c r="AB405" s="78"/>
      <c r="AC405" s="78"/>
      <c r="AD405" s="84"/>
      <c r="AE405" s="67">
        <v>200</v>
      </c>
      <c r="AF405" s="86"/>
      <c r="AG405" s="86"/>
      <c r="AH405" s="86"/>
      <c r="AI405" s="86"/>
      <c r="AJ405" s="86"/>
      <c r="AK405" s="86"/>
      <c r="AL405" s="86"/>
      <c r="AM405" s="86"/>
      <c r="AN405" s="86"/>
      <c r="AO405" s="86"/>
      <c r="AP405" s="86"/>
      <c r="AQ405" s="86"/>
      <c r="AR405" s="86"/>
      <c r="AS405" s="86"/>
      <c r="AT405" s="86"/>
      <c r="AU405" s="86"/>
      <c r="AV405" s="86"/>
      <c r="AW405" s="86"/>
      <c r="AX405" s="86"/>
      <c r="AY405" s="86"/>
      <c r="AZ405" s="86"/>
      <c r="BA405" s="86"/>
      <c r="BB405" s="86"/>
      <c r="BC405" s="86"/>
      <c r="BD405" s="86"/>
      <c r="BE405" s="86"/>
      <c r="BF405" s="86"/>
      <c r="BG405" s="86"/>
      <c r="BH405" s="86"/>
      <c r="BI405" s="86"/>
    </row>
    <row r="406" spans="1:61" ht="21.75" customHeight="1">
      <c r="A406" s="470" t="s">
        <v>52</v>
      </c>
      <c r="B406" s="470" t="s">
        <v>139</v>
      </c>
      <c r="C406" s="1001" t="s">
        <v>178</v>
      </c>
      <c r="D406" s="470" t="s">
        <v>1029</v>
      </c>
      <c r="E406" s="470" t="s">
        <v>516</v>
      </c>
      <c r="F406" s="470">
        <v>140</v>
      </c>
      <c r="G406" s="1828"/>
      <c r="H406" s="1828" t="str">
        <f>VLOOKUP(I406,plasmids!$A$2:$B$891,2)</f>
        <v>pssAAV-CAG-ChrimsonR-tdTomato</v>
      </c>
      <c r="I406" s="470">
        <v>479</v>
      </c>
      <c r="J406" s="471"/>
      <c r="K406" s="471"/>
      <c r="L406" s="1830"/>
      <c r="M406" s="1005">
        <v>42069</v>
      </c>
      <c r="N406" s="781">
        <v>445</v>
      </c>
      <c r="O406" s="471"/>
      <c r="P406" s="466"/>
      <c r="Q406" s="1604">
        <v>39900000000000</v>
      </c>
      <c r="R406" s="462">
        <v>38300000000</v>
      </c>
      <c r="S406" s="468">
        <f t="shared" si="0"/>
        <v>34170234986945.168</v>
      </c>
      <c r="T406" s="1830">
        <v>42163</v>
      </c>
      <c r="U406" s="471"/>
      <c r="V406" s="2633">
        <f>170-32-38-30</f>
        <v>70</v>
      </c>
      <c r="W406" s="471"/>
      <c r="X406" s="1011"/>
      <c r="Y406" s="1011"/>
      <c r="Z406" s="1011"/>
      <c r="AA406" s="1011"/>
      <c r="AB406" s="1011"/>
      <c r="AC406" s="1011"/>
      <c r="AD406" s="1011"/>
      <c r="AE406" s="1011"/>
      <c r="AF406" s="1011"/>
      <c r="AG406" s="1011"/>
      <c r="AH406" s="1011"/>
      <c r="AI406" s="1011"/>
      <c r="AJ406" s="1011"/>
      <c r="AK406" s="1011"/>
      <c r="AL406" s="1011"/>
      <c r="AM406" s="1011"/>
      <c r="AN406" s="1011"/>
      <c r="AO406" s="1011"/>
      <c r="AP406" s="1011"/>
      <c r="AQ406" s="1011"/>
      <c r="AR406" s="1011"/>
      <c r="AS406" s="1011"/>
      <c r="AT406" s="1011"/>
      <c r="AU406" s="1011"/>
      <c r="AV406" s="1011"/>
      <c r="AW406" s="1011"/>
      <c r="AX406" s="1011"/>
      <c r="AY406" s="1011"/>
      <c r="AZ406" s="1011"/>
      <c r="BA406" s="1011"/>
      <c r="BB406" s="1011"/>
      <c r="BC406" s="1011"/>
      <c r="BD406" s="1011"/>
      <c r="BE406" s="1011"/>
      <c r="BF406" s="1011"/>
      <c r="BG406" s="1011"/>
      <c r="BH406" s="1011"/>
      <c r="BI406" s="1011"/>
    </row>
    <row r="407" spans="1:61" ht="20.25" customHeight="1">
      <c r="A407" s="778" t="s">
        <v>707</v>
      </c>
      <c r="B407" s="778" t="s">
        <v>5558</v>
      </c>
      <c r="C407" s="782" t="s">
        <v>1967</v>
      </c>
      <c r="D407" s="778" t="s">
        <v>4867</v>
      </c>
      <c r="E407" s="2584" t="str">
        <f>VLOOKUP(F407,plasmids!$A$2:$B$891,2)</f>
        <v>pAAV2/8</v>
      </c>
      <c r="F407" s="790">
        <v>122</v>
      </c>
      <c r="G407" s="2585"/>
      <c r="H407" s="2585" t="str">
        <f>VLOOKUP(I407,plasmids!$A$2:$B$1191,2)</f>
        <v>sc-CAG-GFP</v>
      </c>
      <c r="I407" s="778">
        <v>120</v>
      </c>
      <c r="J407" s="799"/>
      <c r="K407" s="3065"/>
      <c r="L407" s="784"/>
      <c r="M407" s="786">
        <v>42069</v>
      </c>
      <c r="N407" s="788">
        <v>446</v>
      </c>
      <c r="O407" s="2589"/>
      <c r="P407" s="1466"/>
      <c r="Q407" s="2586">
        <v>534000000000000</v>
      </c>
      <c r="R407" s="792">
        <v>38300000000</v>
      </c>
      <c r="S407" s="797">
        <f t="shared" si="0"/>
        <v>457315926892950.38</v>
      </c>
      <c r="T407" s="2587">
        <v>42163</v>
      </c>
      <c r="U407" s="799"/>
      <c r="V407" s="2589">
        <f>150-5-5-22-10-20-15</f>
        <v>73</v>
      </c>
      <c r="W407" s="809"/>
      <c r="X407" s="809"/>
      <c r="Y407" s="809"/>
      <c r="Z407" s="809"/>
      <c r="AA407" s="809"/>
      <c r="AB407" s="809"/>
      <c r="AC407" s="809"/>
      <c r="AD407" s="809"/>
      <c r="AE407" s="809"/>
      <c r="AF407" s="809"/>
      <c r="AG407" s="809"/>
      <c r="AH407" s="809"/>
      <c r="AI407" s="809"/>
      <c r="AJ407" s="809"/>
      <c r="AK407" s="809"/>
      <c r="AL407" s="809"/>
      <c r="AM407" s="809"/>
      <c r="AN407" s="809"/>
      <c r="AO407" s="809"/>
      <c r="AP407" s="809"/>
      <c r="AQ407" s="809"/>
      <c r="AR407" s="809"/>
      <c r="AS407" s="809"/>
      <c r="AT407" s="809"/>
      <c r="AU407" s="809"/>
      <c r="AV407" s="809"/>
      <c r="AW407" s="809"/>
      <c r="AX407" s="809"/>
      <c r="AY407" s="809"/>
      <c r="AZ407" s="809"/>
      <c r="BA407" s="809"/>
      <c r="BB407" s="809"/>
      <c r="BC407" s="809"/>
      <c r="BD407" s="809"/>
      <c r="BE407" s="809"/>
      <c r="BF407" s="809"/>
      <c r="BG407" s="809"/>
      <c r="BH407" s="809"/>
      <c r="BI407" s="809"/>
    </row>
    <row r="408" spans="1:61" ht="18" customHeight="1">
      <c r="A408" s="2709" t="s">
        <v>707</v>
      </c>
      <c r="B408" s="2709" t="s">
        <v>3973</v>
      </c>
      <c r="C408" s="2710" t="s">
        <v>1967</v>
      </c>
      <c r="D408" s="2709" t="s">
        <v>4867</v>
      </c>
      <c r="E408" s="2718" t="str">
        <f>VLOOKUP(F408,plasmids!$A$2:$B$891,2)</f>
        <v>AAV9 2YF</v>
      </c>
      <c r="F408" s="2720">
        <v>168</v>
      </c>
      <c r="G408" s="2721"/>
      <c r="H408" s="2721" t="str">
        <f>VLOOKUP(I408,plasmids!$A$2:$B$891,2)</f>
        <v xml:space="preserve">pTR-scCAG-RdCVFs </v>
      </c>
      <c r="I408" s="2709">
        <v>187</v>
      </c>
      <c r="J408" s="2738"/>
      <c r="K408" s="2723"/>
      <c r="L408" s="2724"/>
      <c r="M408" s="2725">
        <v>42069</v>
      </c>
      <c r="N408" s="2726">
        <v>447</v>
      </c>
      <c r="O408" s="2727"/>
      <c r="P408" s="2728"/>
      <c r="Q408" s="2729">
        <v>254000000000000</v>
      </c>
      <c r="R408" s="2732">
        <v>38300000000</v>
      </c>
      <c r="S408" s="2734">
        <f t="shared" si="0"/>
        <v>217524804177545.69</v>
      </c>
      <c r="T408" s="2738"/>
      <c r="U408" s="2738"/>
      <c r="V408" s="2718">
        <f>168</f>
        <v>168</v>
      </c>
      <c r="W408" s="2739"/>
      <c r="X408" s="2739"/>
      <c r="Y408" s="2739"/>
      <c r="Z408" s="2739"/>
      <c r="AA408" s="2739"/>
      <c r="AB408" s="2739"/>
      <c r="AC408" s="2739"/>
      <c r="AD408" s="2739"/>
      <c r="AE408" s="2739"/>
      <c r="AF408" s="2739"/>
      <c r="AG408" s="2739"/>
      <c r="AH408" s="2739"/>
      <c r="AI408" s="2739"/>
      <c r="AJ408" s="2739"/>
      <c r="AK408" s="2739"/>
      <c r="AL408" s="2739"/>
      <c r="AM408" s="2739"/>
      <c r="AN408" s="2739"/>
      <c r="AO408" s="2739"/>
      <c r="AP408" s="2739"/>
      <c r="AQ408" s="2739"/>
      <c r="AR408" s="2739"/>
      <c r="AS408" s="2739"/>
      <c r="AT408" s="2739"/>
      <c r="AU408" s="2739"/>
      <c r="AV408" s="2739"/>
      <c r="AW408" s="2739"/>
      <c r="AX408" s="2739"/>
      <c r="AY408" s="2739"/>
      <c r="AZ408" s="2739"/>
      <c r="BA408" s="2739"/>
      <c r="BB408" s="2739"/>
      <c r="BC408" s="2739"/>
      <c r="BD408" s="2739"/>
      <c r="BE408" s="2739"/>
      <c r="BF408" s="2739"/>
      <c r="BG408" s="2739"/>
      <c r="BH408" s="2739"/>
      <c r="BI408" s="2739"/>
    </row>
    <row r="409" spans="1:61" ht="24">
      <c r="A409" s="1641" t="s">
        <v>5469</v>
      </c>
      <c r="B409" s="1641" t="s">
        <v>5471</v>
      </c>
      <c r="C409" s="1642" t="s">
        <v>1967</v>
      </c>
      <c r="D409" s="1641" t="s">
        <v>5472</v>
      </c>
      <c r="E409" s="1906" t="str">
        <f>VLOOKUP(F409,plasmids!$A$2:$B$891,2)</f>
        <v>pAAV2/8</v>
      </c>
      <c r="F409" s="1646">
        <v>122</v>
      </c>
      <c r="G409" s="3204"/>
      <c r="H409" s="3204" t="str">
        <f>VLOOKUP(I409,plasmids!$A$2:$B$1191,2)</f>
        <v>sc-CAG-GFP</v>
      </c>
      <c r="I409" s="1641">
        <v>120</v>
      </c>
      <c r="J409" s="1650"/>
      <c r="K409" s="1933"/>
      <c r="L409" s="1643"/>
      <c r="M409" s="1644">
        <v>42076</v>
      </c>
      <c r="N409" s="1645">
        <v>448</v>
      </c>
      <c r="O409" s="2742"/>
      <c r="P409" s="2357">
        <v>3</v>
      </c>
      <c r="Q409" s="1648">
        <v>379000000000000</v>
      </c>
      <c r="R409" s="2357">
        <v>41100000000</v>
      </c>
      <c r="S409" s="1649">
        <f t="shared" si="0"/>
        <v>302462287104622.88</v>
      </c>
      <c r="T409" s="1650"/>
      <c r="U409" s="1650"/>
      <c r="V409" s="2742">
        <f>160</f>
        <v>160</v>
      </c>
      <c r="W409" s="1640" t="s">
        <v>5478</v>
      </c>
      <c r="X409" s="377"/>
      <c r="Y409" s="377"/>
      <c r="Z409" s="377"/>
      <c r="AA409" s="377"/>
      <c r="AB409" s="377"/>
      <c r="AC409" s="377"/>
      <c r="AD409" s="377"/>
      <c r="AE409" s="377"/>
      <c r="AF409" s="377"/>
      <c r="AG409" s="377"/>
      <c r="AH409" s="377"/>
      <c r="AI409" s="377"/>
      <c r="AJ409" s="377"/>
      <c r="AK409" s="377"/>
      <c r="AL409" s="377"/>
      <c r="AM409" s="377"/>
      <c r="AN409" s="377"/>
      <c r="AO409" s="377"/>
      <c r="AP409" s="377"/>
      <c r="AQ409" s="377"/>
      <c r="AR409" s="377"/>
      <c r="AS409" s="377"/>
      <c r="AT409" s="377"/>
      <c r="AU409" s="377"/>
      <c r="AV409" s="377"/>
      <c r="AW409" s="377"/>
      <c r="AX409" s="377"/>
      <c r="AY409" s="377"/>
      <c r="AZ409" s="377"/>
      <c r="BA409" s="377"/>
      <c r="BB409" s="377"/>
      <c r="BC409" s="377"/>
      <c r="BD409" s="377"/>
      <c r="BE409" s="377"/>
      <c r="BF409" s="377"/>
      <c r="BG409" s="377"/>
      <c r="BH409" s="377"/>
      <c r="BI409" s="377"/>
    </row>
    <row r="410" spans="1:61" ht="24">
      <c r="A410" s="1641" t="s">
        <v>5469</v>
      </c>
      <c r="B410" s="1641" t="s">
        <v>5471</v>
      </c>
      <c r="C410" s="1642" t="s">
        <v>1967</v>
      </c>
      <c r="D410" s="1641" t="s">
        <v>5472</v>
      </c>
      <c r="E410" s="1906" t="str">
        <f>VLOOKUP(F410,plasmids!$A$2:$B$891,2)</f>
        <v>pAAV2/8</v>
      </c>
      <c r="F410" s="1646">
        <v>122</v>
      </c>
      <c r="G410" s="3204"/>
      <c r="H410" s="3204" t="str">
        <f>VLOOKUP(I410,plasmids!$A$2:$B$1191,2)</f>
        <v>pAAV-CMV,CBA,synITR,short-hRdCVF1-exon-1-ORF</v>
      </c>
      <c r="I410" s="1641">
        <v>511</v>
      </c>
      <c r="J410" s="1650"/>
      <c r="K410" s="1933"/>
      <c r="L410" s="1643"/>
      <c r="M410" s="1644">
        <v>42076</v>
      </c>
      <c r="N410" s="1645">
        <v>449</v>
      </c>
      <c r="O410" s="2742"/>
      <c r="P410" s="2357">
        <v>3</v>
      </c>
      <c r="Q410" s="1648">
        <v>4710000000000</v>
      </c>
      <c r="R410" s="2357">
        <v>41100000000</v>
      </c>
      <c r="S410" s="1649">
        <f t="shared" si="0"/>
        <v>3758832116788.3213</v>
      </c>
      <c r="T410" s="1650"/>
      <c r="U410" s="1650"/>
      <c r="V410" s="2742">
        <f>140</f>
        <v>140</v>
      </c>
      <c r="W410" s="1640" t="s">
        <v>5478</v>
      </c>
      <c r="X410" s="377"/>
      <c r="Y410" s="377"/>
      <c r="Z410" s="377"/>
      <c r="AA410" s="377"/>
      <c r="AB410" s="377"/>
      <c r="AC410" s="377"/>
      <c r="AD410" s="377"/>
      <c r="AE410" s="377"/>
      <c r="AF410" s="377"/>
      <c r="AG410" s="377"/>
      <c r="AH410" s="377"/>
      <c r="AI410" s="377"/>
      <c r="AJ410" s="377"/>
      <c r="AK410" s="377"/>
      <c r="AL410" s="377"/>
      <c r="AM410" s="377"/>
      <c r="AN410" s="377"/>
      <c r="AO410" s="377"/>
      <c r="AP410" s="377"/>
      <c r="AQ410" s="377"/>
      <c r="AR410" s="377"/>
      <c r="AS410" s="377"/>
      <c r="AT410" s="377"/>
      <c r="AU410" s="377"/>
      <c r="AV410" s="377"/>
      <c r="AW410" s="377"/>
      <c r="AX410" s="377"/>
      <c r="AY410" s="377"/>
      <c r="AZ410" s="377"/>
      <c r="BA410" s="377"/>
      <c r="BB410" s="377"/>
      <c r="BC410" s="377"/>
      <c r="BD410" s="377"/>
      <c r="BE410" s="377"/>
      <c r="BF410" s="377"/>
      <c r="BG410" s="377"/>
      <c r="BH410" s="377"/>
      <c r="BI410" s="377"/>
    </row>
    <row r="411" spans="1:61" ht="24">
      <c r="A411" s="1641" t="s">
        <v>5469</v>
      </c>
      <c r="B411" s="1641" t="s">
        <v>5471</v>
      </c>
      <c r="C411" s="1642" t="s">
        <v>1967</v>
      </c>
      <c r="D411" s="1641" t="s">
        <v>5472</v>
      </c>
      <c r="E411" s="1906" t="str">
        <f>VLOOKUP(F411,plasmids!$A$2:$B$891,2)</f>
        <v>pAAV2/8</v>
      </c>
      <c r="F411" s="1646">
        <v>122</v>
      </c>
      <c r="G411" s="3204"/>
      <c r="H411" s="3204" t="str">
        <f>VLOOKUP(I411,plasmids!$A$2:$B$1191,2)</f>
        <v>pAAV-CMV,CBA,synITR,short-hRdCVF1-exon-1-region</v>
      </c>
      <c r="I411" s="1641">
        <v>512</v>
      </c>
      <c r="J411" s="1650"/>
      <c r="K411" s="1933"/>
      <c r="L411" s="1643"/>
      <c r="M411" s="1644">
        <v>42076</v>
      </c>
      <c r="N411" s="1645">
        <v>450</v>
      </c>
      <c r="O411" s="2742"/>
      <c r="P411" s="2357">
        <v>3</v>
      </c>
      <c r="Q411" s="1648">
        <v>2960000000000</v>
      </c>
      <c r="R411" s="2357">
        <v>41100000000</v>
      </c>
      <c r="S411" s="1649">
        <f t="shared" si="0"/>
        <v>2362238442822.3843</v>
      </c>
      <c r="T411" s="1650"/>
      <c r="U411" s="1650"/>
      <c r="V411" s="2742">
        <f>160</f>
        <v>160</v>
      </c>
      <c r="W411" s="1640" t="s">
        <v>5478</v>
      </c>
      <c r="X411" s="377"/>
      <c r="Y411" s="377"/>
      <c r="Z411" s="377"/>
      <c r="AA411" s="377"/>
      <c r="AB411" s="377"/>
      <c r="AC411" s="377"/>
      <c r="AD411" s="377"/>
      <c r="AE411" s="377"/>
      <c r="AF411" s="377"/>
      <c r="AG411" s="377"/>
      <c r="AH411" s="377"/>
      <c r="AI411" s="377"/>
      <c r="AJ411" s="377"/>
      <c r="AK411" s="377"/>
      <c r="AL411" s="377"/>
      <c r="AM411" s="377"/>
      <c r="AN411" s="377"/>
      <c r="AO411" s="377"/>
      <c r="AP411" s="377"/>
      <c r="AQ411" s="377"/>
      <c r="AR411" s="377"/>
      <c r="AS411" s="377"/>
      <c r="AT411" s="377"/>
      <c r="AU411" s="377"/>
      <c r="AV411" s="377"/>
      <c r="AW411" s="377"/>
      <c r="AX411" s="377"/>
      <c r="AY411" s="377"/>
      <c r="AZ411" s="377"/>
      <c r="BA411" s="377"/>
      <c r="BB411" s="377"/>
      <c r="BC411" s="377"/>
      <c r="BD411" s="377"/>
      <c r="BE411" s="377"/>
      <c r="BF411" s="377"/>
      <c r="BG411" s="377"/>
      <c r="BH411" s="377"/>
      <c r="BI411" s="377"/>
    </row>
    <row r="412" spans="1:61" ht="19.5" customHeight="1">
      <c r="A412" s="2151" t="s">
        <v>707</v>
      </c>
      <c r="B412" s="2151" t="s">
        <v>5593</v>
      </c>
      <c r="C412" s="2152" t="s">
        <v>1967</v>
      </c>
      <c r="D412" s="2151" t="s">
        <v>5594</v>
      </c>
      <c r="E412" s="2154" t="str">
        <f>VLOOKUP(F412,plasmids!$A$2:$B$891,2)</f>
        <v>pAAV2/8</v>
      </c>
      <c r="F412" s="1336">
        <v>122</v>
      </c>
      <c r="G412" s="2156"/>
      <c r="H412" s="2156" t="str">
        <f>VLOOKUP(I412,plasmids!$A$2:$B$891,2)</f>
        <v>Rho-eGFP</v>
      </c>
      <c r="I412" s="2151">
        <v>121</v>
      </c>
      <c r="J412" s="2159"/>
      <c r="K412" s="2161"/>
      <c r="L412" s="2162"/>
      <c r="M412" s="2163">
        <v>42076</v>
      </c>
      <c r="N412" s="3211">
        <v>451</v>
      </c>
      <c r="O412" s="3212"/>
      <c r="P412" s="1600">
        <v>3</v>
      </c>
      <c r="Q412" s="1601">
        <v>1200000000000000</v>
      </c>
      <c r="R412" s="1600">
        <v>41100000000</v>
      </c>
      <c r="S412" s="2166">
        <f t="shared" si="0"/>
        <v>957664233576642.38</v>
      </c>
      <c r="T412" s="3214">
        <v>42163</v>
      </c>
      <c r="U412" s="2159"/>
      <c r="V412" s="3212">
        <f>170</f>
        <v>170</v>
      </c>
      <c r="W412" s="2167"/>
      <c r="X412" s="2167"/>
      <c r="Y412" s="2167"/>
      <c r="Z412" s="2167"/>
      <c r="AA412" s="2167"/>
      <c r="AB412" s="2167"/>
      <c r="AC412" s="2167"/>
      <c r="AD412" s="2167"/>
      <c r="AE412" s="2167"/>
      <c r="AF412" s="2167"/>
      <c r="AG412" s="2167"/>
      <c r="AH412" s="2167"/>
      <c r="AI412" s="2167"/>
      <c r="AJ412" s="2167"/>
      <c r="AK412" s="2167"/>
      <c r="AL412" s="2167"/>
      <c r="AM412" s="2167"/>
      <c r="AN412" s="2167"/>
      <c r="AO412" s="2167"/>
      <c r="AP412" s="2167"/>
      <c r="AQ412" s="2167"/>
      <c r="AR412" s="2167"/>
      <c r="AS412" s="2167"/>
      <c r="AT412" s="2167"/>
      <c r="AU412" s="2167"/>
      <c r="AV412" s="2167"/>
      <c r="AW412" s="2167"/>
      <c r="AX412" s="2167"/>
      <c r="AY412" s="2167"/>
      <c r="AZ412" s="2167"/>
      <c r="BA412" s="2167"/>
      <c r="BB412" s="2167"/>
      <c r="BC412" s="2167"/>
      <c r="BD412" s="2167"/>
      <c r="BE412" s="2167"/>
      <c r="BF412" s="2167"/>
      <c r="BG412" s="2167"/>
      <c r="BH412" s="2167"/>
      <c r="BI412" s="2167"/>
    </row>
    <row r="413" spans="1:61" ht="18.75" customHeight="1">
      <c r="A413" s="2151" t="s">
        <v>707</v>
      </c>
      <c r="B413" s="2151" t="s">
        <v>5593</v>
      </c>
      <c r="C413" s="2152" t="s">
        <v>1967</v>
      </c>
      <c r="D413" s="2151" t="s">
        <v>5594</v>
      </c>
      <c r="E413" s="2154" t="str">
        <f>VLOOKUP(F413,plasmids!$A$2:$B$891,2)</f>
        <v>AAV9 2YF</v>
      </c>
      <c r="F413" s="1336">
        <v>168</v>
      </c>
      <c r="G413" s="2156"/>
      <c r="H413" s="2156" t="str">
        <f>VLOOKUP(I413,plasmids!$A$2:$B$891,2)</f>
        <v>Rho-eGFP</v>
      </c>
      <c r="I413" s="2151">
        <v>121</v>
      </c>
      <c r="J413" s="2159"/>
      <c r="K413" s="2161"/>
      <c r="L413" s="2162"/>
      <c r="M413" s="2163">
        <v>42083</v>
      </c>
      <c r="N413" s="3211">
        <v>452</v>
      </c>
      <c r="O413" s="3212"/>
      <c r="P413" s="1600">
        <v>6</v>
      </c>
      <c r="Q413" s="1601">
        <v>569000000000000</v>
      </c>
      <c r="R413" s="1600">
        <v>37400000000</v>
      </c>
      <c r="S413" s="2166">
        <f t="shared" si="0"/>
        <v>499016042780748.62</v>
      </c>
      <c r="T413" s="3214">
        <v>42163</v>
      </c>
      <c r="U413" s="2159"/>
      <c r="V413" s="3212">
        <f>200-110</f>
        <v>90</v>
      </c>
      <c r="W413" s="2167"/>
      <c r="X413" s="2167"/>
      <c r="Y413" s="2167"/>
      <c r="Z413" s="2167"/>
      <c r="AA413" s="2167"/>
      <c r="AB413" s="2167"/>
      <c r="AC413" s="2167"/>
      <c r="AD413" s="2167"/>
      <c r="AE413" s="2167"/>
      <c r="AF413" s="2167"/>
      <c r="AG413" s="2167"/>
      <c r="AH413" s="2167"/>
      <c r="AI413" s="2167"/>
      <c r="AJ413" s="2167"/>
      <c r="AK413" s="2167"/>
      <c r="AL413" s="2167"/>
      <c r="AM413" s="2167"/>
      <c r="AN413" s="2167"/>
      <c r="AO413" s="2167"/>
      <c r="AP413" s="2167"/>
      <c r="AQ413" s="2167"/>
      <c r="AR413" s="2167"/>
      <c r="AS413" s="2167"/>
      <c r="AT413" s="2167"/>
      <c r="AU413" s="2167"/>
      <c r="AV413" s="2167"/>
      <c r="AW413" s="2167"/>
      <c r="AX413" s="2167"/>
      <c r="AY413" s="2167"/>
      <c r="AZ413" s="2167"/>
      <c r="BA413" s="2167"/>
      <c r="BB413" s="2167"/>
      <c r="BC413" s="2167"/>
      <c r="BD413" s="2167"/>
      <c r="BE413" s="2167"/>
      <c r="BF413" s="2167"/>
      <c r="BG413" s="2167"/>
      <c r="BH413" s="2167"/>
      <c r="BI413" s="2167"/>
    </row>
    <row r="414" spans="1:61" ht="18.75" customHeight="1">
      <c r="A414" s="3218" t="s">
        <v>707</v>
      </c>
      <c r="B414" s="3218" t="s">
        <v>5593</v>
      </c>
      <c r="C414" s="3220" t="s">
        <v>1967</v>
      </c>
      <c r="D414" s="3218" t="s">
        <v>4867</v>
      </c>
      <c r="E414" s="3224" t="str">
        <f>VLOOKUP(F414,plasmids!$A$2:$B$891,2)</f>
        <v>AAV9 2YF</v>
      </c>
      <c r="F414" s="3225">
        <v>168</v>
      </c>
      <c r="G414" s="3227"/>
      <c r="H414" s="3227" t="str">
        <f>VLOOKUP(I414,plasmids!$A$2:$B$891,2)</f>
        <v>sc-CAG-GFP</v>
      </c>
      <c r="I414" s="3218">
        <v>120</v>
      </c>
      <c r="J414" s="3230"/>
      <c r="K414" s="3232"/>
      <c r="L414" s="3233"/>
      <c r="M414" s="3234">
        <v>42083</v>
      </c>
      <c r="N414" s="3235">
        <v>453</v>
      </c>
      <c r="O414" s="3236"/>
      <c r="P414" s="3237">
        <v>6</v>
      </c>
      <c r="Q414" s="3238">
        <v>74900000000000</v>
      </c>
      <c r="R414" s="3237">
        <v>37400000000</v>
      </c>
      <c r="S414" s="3239">
        <f t="shared" si="0"/>
        <v>65687700534759.352</v>
      </c>
      <c r="T414" s="3230"/>
      <c r="U414" s="3230"/>
      <c r="V414" s="3225">
        <v>185</v>
      </c>
      <c r="W414" s="3240"/>
      <c r="X414" s="3240"/>
      <c r="Y414" s="3240"/>
      <c r="Z414" s="3240"/>
      <c r="AA414" s="3240"/>
      <c r="AB414" s="3240"/>
      <c r="AC414" s="3240"/>
      <c r="AD414" s="3240"/>
      <c r="AE414" s="3240"/>
      <c r="AF414" s="3240"/>
      <c r="AG414" s="3240"/>
      <c r="AH414" s="3240"/>
      <c r="AI414" s="3240"/>
      <c r="AJ414" s="3240"/>
      <c r="AK414" s="3240"/>
      <c r="AL414" s="3240"/>
      <c r="AM414" s="3240"/>
      <c r="AN414" s="3240"/>
      <c r="AO414" s="3240"/>
      <c r="AP414" s="3240"/>
      <c r="AQ414" s="3240"/>
      <c r="AR414" s="3240"/>
      <c r="AS414" s="3240"/>
      <c r="AT414" s="3240"/>
      <c r="AU414" s="3240"/>
      <c r="AV414" s="3240"/>
      <c r="AW414" s="3240"/>
      <c r="AX414" s="3240"/>
      <c r="AY414" s="3240"/>
      <c r="AZ414" s="3240"/>
      <c r="BA414" s="3240"/>
      <c r="BB414" s="3240"/>
      <c r="BC414" s="3240"/>
      <c r="BD414" s="3240"/>
      <c r="BE414" s="3240"/>
      <c r="BF414" s="3240"/>
      <c r="BG414" s="3240"/>
      <c r="BH414" s="3240"/>
      <c r="BI414" s="3240"/>
    </row>
    <row r="415" spans="1:61" ht="24">
      <c r="A415" s="648" t="s">
        <v>52</v>
      </c>
      <c r="B415" s="628" t="s">
        <v>2508</v>
      </c>
      <c r="C415" s="629" t="s">
        <v>3233</v>
      </c>
      <c r="D415" s="628" t="s">
        <v>70</v>
      </c>
      <c r="E415" s="628" t="s">
        <v>516</v>
      </c>
      <c r="F415" s="628">
        <v>140</v>
      </c>
      <c r="G415" s="2258"/>
      <c r="H415" s="2258" t="str">
        <f>VLOOKUP(I415,plasmids!$A$2:$B$911,2)</f>
        <v>pssAAV-CMV-hCatCH-GFP</v>
      </c>
      <c r="I415" s="628">
        <v>436</v>
      </c>
      <c r="J415" s="642"/>
      <c r="K415" s="2263"/>
      <c r="L415" s="1345"/>
      <c r="M415" s="631">
        <v>42083</v>
      </c>
      <c r="N415" s="866">
        <v>454</v>
      </c>
      <c r="O415" s="2471"/>
      <c r="P415" s="638"/>
      <c r="Q415" s="660">
        <v>4940000000000</v>
      </c>
      <c r="R415" s="635">
        <v>37400000000</v>
      </c>
      <c r="S415" s="640">
        <f t="shared" si="0"/>
        <v>4332406417112.2993</v>
      </c>
      <c r="T415" s="1605">
        <v>42163</v>
      </c>
      <c r="U415" s="642"/>
      <c r="V415" s="3243">
        <f>140-16</f>
        <v>124</v>
      </c>
      <c r="W415" s="645"/>
      <c r="X415" s="645"/>
      <c r="Y415" s="645"/>
      <c r="Z415" s="648">
        <v>175</v>
      </c>
      <c r="AA415" s="645"/>
      <c r="AB415" s="645"/>
      <c r="AC415" s="645"/>
      <c r="AD415" s="645"/>
      <c r="AE415" s="645"/>
      <c r="AF415" s="645"/>
      <c r="AG415" s="645"/>
      <c r="AH415" s="645"/>
      <c r="AI415" s="645"/>
      <c r="AJ415" s="645"/>
      <c r="AK415" s="645"/>
      <c r="AL415" s="645"/>
      <c r="AM415" s="645"/>
      <c r="AN415" s="645"/>
      <c r="AO415" s="645"/>
      <c r="AP415" s="645"/>
      <c r="AQ415" s="645"/>
      <c r="AR415" s="645"/>
      <c r="AS415" s="645"/>
      <c r="AT415" s="645"/>
      <c r="AU415" s="645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</row>
    <row r="416" spans="1:61" ht="20.25" customHeight="1">
      <c r="A416" s="520" t="s">
        <v>52</v>
      </c>
      <c r="B416" s="520" t="s">
        <v>177</v>
      </c>
      <c r="C416" s="521" t="s">
        <v>1967</v>
      </c>
      <c r="D416" s="520" t="s">
        <v>5547</v>
      </c>
      <c r="E416" s="3245" t="str">
        <f>VLOOKUP(F416,plasmids!$A$2:$B$351,2)</f>
        <v>AAV2-7m8</v>
      </c>
      <c r="F416" s="522">
        <v>178</v>
      </c>
      <c r="G416" s="3246"/>
      <c r="H416" s="3246" t="str">
        <f>VLOOKUP(I416,plasmids!$A$2:$B$1011,2)</f>
        <v>pAAV-hRho-Killer Red</v>
      </c>
      <c r="I416" s="520">
        <v>434</v>
      </c>
      <c r="J416" s="520" t="s">
        <v>1012</v>
      </c>
      <c r="K416" s="532"/>
      <c r="L416" s="3247"/>
      <c r="M416" s="524">
        <v>42083</v>
      </c>
      <c r="N416" s="1354">
        <v>455</v>
      </c>
      <c r="O416" s="532"/>
      <c r="P416" s="530"/>
      <c r="Q416" s="3248">
        <v>2890000000000</v>
      </c>
      <c r="R416" s="527">
        <v>37400000000</v>
      </c>
      <c r="S416" s="531">
        <f t="shared" si="0"/>
        <v>2534545454545.4546</v>
      </c>
      <c r="T416" s="532"/>
      <c r="U416" s="532"/>
      <c r="V416" s="522">
        <v>160</v>
      </c>
      <c r="W416" s="523" t="s">
        <v>5632</v>
      </c>
      <c r="X416" s="1152" t="s">
        <v>5633</v>
      </c>
      <c r="Y416" s="526"/>
      <c r="Z416" s="530"/>
      <c r="AA416" s="530"/>
      <c r="AB416" s="530"/>
      <c r="AC416" s="530"/>
      <c r="AD416" s="532"/>
      <c r="AE416" s="522">
        <v>200</v>
      </c>
      <c r="AF416" s="534"/>
      <c r="AG416" s="534"/>
      <c r="AH416" s="534"/>
      <c r="AI416" s="534"/>
      <c r="AJ416" s="534"/>
      <c r="AK416" s="534"/>
      <c r="AL416" s="534"/>
      <c r="AM416" s="534"/>
      <c r="AN416" s="534"/>
      <c r="AO416" s="534"/>
      <c r="AP416" s="534"/>
      <c r="AQ416" s="534"/>
      <c r="AR416" s="534"/>
      <c r="AS416" s="534"/>
      <c r="AT416" s="534"/>
      <c r="AU416" s="534"/>
      <c r="AV416" s="534"/>
      <c r="AW416" s="534"/>
      <c r="AX416" s="534"/>
      <c r="AY416" s="534"/>
      <c r="AZ416" s="534"/>
      <c r="BA416" s="534"/>
      <c r="BB416" s="534"/>
      <c r="BC416" s="534"/>
      <c r="BD416" s="534"/>
      <c r="BE416" s="534"/>
      <c r="BF416" s="534"/>
      <c r="BG416" s="534"/>
      <c r="BH416" s="534"/>
      <c r="BI416" s="534"/>
    </row>
    <row r="417" spans="1:61" ht="21" customHeight="1">
      <c r="A417" s="2872" t="s">
        <v>707</v>
      </c>
      <c r="B417" s="2872" t="s">
        <v>3973</v>
      </c>
      <c r="C417" s="2873" t="s">
        <v>1967</v>
      </c>
      <c r="D417" s="2872" t="s">
        <v>4867</v>
      </c>
      <c r="E417" s="2874" t="str">
        <f>VLOOKUP(F417,plasmids!$A$2:$B$891,2)</f>
        <v>pXR8 (Y447F Y733F T494V)</v>
      </c>
      <c r="F417" s="2875">
        <v>516</v>
      </c>
      <c r="G417" s="2876"/>
      <c r="H417" s="2876" t="str">
        <f>VLOOKUP(I417,plasmids!$A$2:$B$891,2)</f>
        <v>pscAAV-CAG-JAWS-KGC-GFP-ER2</v>
      </c>
      <c r="I417" s="2872">
        <v>510</v>
      </c>
      <c r="J417" s="2877"/>
      <c r="K417" s="2878">
        <v>41933</v>
      </c>
      <c r="L417" s="2878"/>
      <c r="M417" s="2879">
        <v>42083</v>
      </c>
      <c r="N417" s="2880">
        <v>456</v>
      </c>
      <c r="O417" s="2881"/>
      <c r="P417" s="2883"/>
      <c r="Q417" s="2885">
        <v>3990000000000</v>
      </c>
      <c r="R417" s="2887">
        <v>37400000000</v>
      </c>
      <c r="S417" s="2889">
        <f t="shared" si="0"/>
        <v>3499251336898.3955</v>
      </c>
      <c r="T417" s="2891">
        <v>42156</v>
      </c>
      <c r="U417" s="2877"/>
      <c r="V417" s="2875">
        <v>150</v>
      </c>
      <c r="W417" s="3250" t="s">
        <v>5638</v>
      </c>
      <c r="X417" s="2894"/>
      <c r="Y417" s="2894"/>
      <c r="Z417" s="2894"/>
      <c r="AA417" s="2894"/>
      <c r="AB417" s="2894"/>
      <c r="AC417" s="2894"/>
      <c r="AD417" s="2894"/>
      <c r="AE417" s="2894"/>
      <c r="AF417" s="2894"/>
      <c r="AG417" s="2894"/>
      <c r="AH417" s="2894"/>
      <c r="AI417" s="2894"/>
      <c r="AJ417" s="2894"/>
      <c r="AK417" s="2894"/>
      <c r="AL417" s="2894"/>
      <c r="AM417" s="2894"/>
      <c r="AN417" s="2894"/>
      <c r="AO417" s="2894"/>
      <c r="AP417" s="2894"/>
      <c r="AQ417" s="2894"/>
      <c r="AR417" s="2894"/>
      <c r="AS417" s="2894"/>
      <c r="AT417" s="2894"/>
      <c r="AU417" s="2894"/>
      <c r="AV417" s="2894"/>
      <c r="AW417" s="2894"/>
      <c r="AX417" s="2894"/>
      <c r="AY417" s="2894"/>
      <c r="AZ417" s="2894"/>
      <c r="BA417" s="2894"/>
      <c r="BB417" s="2894"/>
      <c r="BC417" s="2894"/>
      <c r="BD417" s="2894"/>
      <c r="BE417" s="2894"/>
      <c r="BF417" s="2894"/>
      <c r="BG417" s="2894"/>
      <c r="BH417" s="2894"/>
      <c r="BI417" s="2894"/>
    </row>
    <row r="418" spans="1:61" ht="21.75" customHeight="1">
      <c r="A418" s="470" t="s">
        <v>52</v>
      </c>
      <c r="B418" s="470" t="s">
        <v>139</v>
      </c>
      <c r="C418" s="1001" t="s">
        <v>55</v>
      </c>
      <c r="D418" s="470" t="s">
        <v>568</v>
      </c>
      <c r="E418" s="2633" t="str">
        <f>VLOOKUP(F418,plasmids!$A$2:$B$351,2)</f>
        <v>pAAV2/8</v>
      </c>
      <c r="F418" s="1008">
        <v>122</v>
      </c>
      <c r="G418" s="1828"/>
      <c r="H418" s="1828" t="str">
        <f>VLOOKUP(I418,plasmids!$A$2:$B$911,2)</f>
        <v>pssAAV-mCar-ChrimsonR-tdTomato</v>
      </c>
      <c r="I418" s="470">
        <v>364</v>
      </c>
      <c r="J418" s="471"/>
      <c r="K418" s="1658"/>
      <c r="L418" s="1003"/>
      <c r="M418" s="1005">
        <v>42083</v>
      </c>
      <c r="N418" s="1006">
        <v>457</v>
      </c>
      <c r="O418" s="1659"/>
      <c r="P418" s="466"/>
      <c r="Q418" s="1604">
        <v>1130000000000000</v>
      </c>
      <c r="R418" s="462">
        <v>37400000000</v>
      </c>
      <c r="S418" s="468">
        <f t="shared" si="0"/>
        <v>991016042780748.62</v>
      </c>
      <c r="T418" s="1830">
        <v>42156</v>
      </c>
      <c r="U418" s="471"/>
      <c r="V418" s="470">
        <v>170</v>
      </c>
      <c r="W418" s="1659"/>
      <c r="X418" s="1011"/>
      <c r="Y418" s="1011"/>
      <c r="Z418" s="1011"/>
      <c r="AA418" s="1011"/>
      <c r="AB418" s="1011"/>
      <c r="AC418" s="27"/>
      <c r="AD418" s="1011"/>
      <c r="AE418" s="1011"/>
      <c r="AF418" s="1011"/>
      <c r="AG418" s="1011"/>
      <c r="AH418" s="1011"/>
      <c r="AI418" s="1011"/>
      <c r="AJ418" s="1011"/>
      <c r="AK418" s="1011"/>
      <c r="AL418" s="1011"/>
      <c r="AM418" s="1011"/>
      <c r="AN418" s="1011"/>
      <c r="AO418" s="1011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</row>
    <row r="419" spans="1:61" ht="24" customHeight="1">
      <c r="A419" s="470" t="s">
        <v>52</v>
      </c>
      <c r="B419" s="470" t="s">
        <v>139</v>
      </c>
      <c r="C419" s="1001" t="s">
        <v>178</v>
      </c>
      <c r="D419" s="470" t="s">
        <v>57</v>
      </c>
      <c r="E419" s="2633" t="str">
        <f>VLOOKUP(F419,plasmids!$A$2:$B$351,2)</f>
        <v>AAV2-7m8</v>
      </c>
      <c r="F419" s="470">
        <v>178</v>
      </c>
      <c r="G419" s="1828"/>
      <c r="H419" s="1828" t="str">
        <f>VLOOKUP(I419,plasmids!$A$2:$B$1191,2)</f>
        <v>pssAAV-mCAR-eNphR-eYFP</v>
      </c>
      <c r="I419" s="470">
        <v>92</v>
      </c>
      <c r="J419" s="471"/>
      <c r="K419" s="1658"/>
      <c r="L419" s="1003"/>
      <c r="M419" s="1005">
        <v>42083</v>
      </c>
      <c r="N419" s="1006">
        <v>458</v>
      </c>
      <c r="O419" s="1659"/>
      <c r="P419" s="466"/>
      <c r="Q419" s="1604">
        <v>11000000000000</v>
      </c>
      <c r="R419" s="462">
        <v>37400000000</v>
      </c>
      <c r="S419" s="468">
        <f t="shared" si="0"/>
        <v>9647058823529.4121</v>
      </c>
      <c r="T419" s="1830">
        <v>42156</v>
      </c>
      <c r="U419" s="1830">
        <v>42153</v>
      </c>
      <c r="V419" s="2633">
        <f>150-2</f>
        <v>148</v>
      </c>
      <c r="W419" s="1011"/>
      <c r="X419" s="1011"/>
      <c r="Y419" s="1011"/>
      <c r="Z419" s="1011"/>
      <c r="AA419" s="1011"/>
      <c r="AB419" s="1011"/>
      <c r="AC419" s="1011"/>
      <c r="AD419" s="1011"/>
      <c r="AE419" s="1011"/>
      <c r="AF419" s="1011"/>
      <c r="AG419" s="1011"/>
      <c r="AH419" s="1011"/>
      <c r="AI419" s="1011"/>
      <c r="AJ419" s="1011"/>
      <c r="AK419" s="1011"/>
      <c r="AL419" s="1011"/>
      <c r="AM419" s="1011"/>
      <c r="AN419" s="1011"/>
      <c r="AO419" s="1011"/>
      <c r="AP419" s="1011"/>
      <c r="AQ419" s="1011"/>
      <c r="AR419" s="1011"/>
      <c r="AS419" s="1011"/>
      <c r="AT419" s="1011"/>
      <c r="AU419" s="1011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</row>
    <row r="420" spans="1:61" ht="22.5" customHeight="1">
      <c r="A420" s="1786" t="s">
        <v>978</v>
      </c>
      <c r="B420" s="1786" t="s">
        <v>985</v>
      </c>
      <c r="C420" s="1787" t="s">
        <v>1967</v>
      </c>
      <c r="D420" s="1786" t="s">
        <v>4748</v>
      </c>
      <c r="E420" s="1788" t="str">
        <f>VLOOKUP(F420,plasmids!$A$2:$B$891,2)</f>
        <v>ShH10,1 Y444F</v>
      </c>
      <c r="F420" s="1798">
        <v>177</v>
      </c>
      <c r="G420" s="3254"/>
      <c r="H420" s="3254" t="str">
        <f>VLOOKUP(I420,plasmids!$A$2:$B$1191,2)</f>
        <v>CAG-Dp71b</v>
      </c>
      <c r="I420" s="1786">
        <v>520</v>
      </c>
      <c r="J420" s="1790"/>
      <c r="K420" s="1792">
        <v>42045</v>
      </c>
      <c r="L420" s="1792"/>
      <c r="M420" s="1793">
        <v>42097</v>
      </c>
      <c r="N420" s="8">
        <v>459</v>
      </c>
      <c r="O420" s="2632"/>
      <c r="P420" s="1624"/>
      <c r="Q420" s="15">
        <v>2870000000000</v>
      </c>
      <c r="R420" s="1589">
        <v>51000000000</v>
      </c>
      <c r="S420" s="1800">
        <f t="shared" si="0"/>
        <v>1845803921568.6277</v>
      </c>
      <c r="T420" s="1802">
        <v>42156</v>
      </c>
      <c r="U420" s="1790"/>
      <c r="V420" s="1798">
        <v>165</v>
      </c>
      <c r="W420" s="27"/>
      <c r="X420" s="1785" t="s">
        <v>5651</v>
      </c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</row>
    <row r="421" spans="1:61" ht="23.25" customHeight="1">
      <c r="A421" s="1786" t="s">
        <v>978</v>
      </c>
      <c r="B421" s="1786" t="s">
        <v>985</v>
      </c>
      <c r="C421" s="1787" t="s">
        <v>1967</v>
      </c>
      <c r="D421" s="1786" t="s">
        <v>4748</v>
      </c>
      <c r="E421" s="1788" t="str">
        <f>VLOOKUP(F421,plasmids!$A$2:$B$891,2)</f>
        <v>ShH10,1 Y444F</v>
      </c>
      <c r="F421" s="1798">
        <v>177</v>
      </c>
      <c r="G421" s="3254"/>
      <c r="H421" s="3254" t="str">
        <f>VLOOKUP(I421,plasmids!$A$2:$B$1191,2)</f>
        <v>CAG-DP71a</v>
      </c>
      <c r="I421" s="1786">
        <v>519</v>
      </c>
      <c r="J421" s="1790"/>
      <c r="K421" s="1792">
        <v>42045</v>
      </c>
      <c r="L421" s="1792"/>
      <c r="M421" s="1793">
        <v>42097</v>
      </c>
      <c r="N421" s="8">
        <v>460</v>
      </c>
      <c r="O421" s="2632"/>
      <c r="P421" s="1624"/>
      <c r="Q421" s="15">
        <v>2190000000000</v>
      </c>
      <c r="R421" s="1589">
        <v>51000000000</v>
      </c>
      <c r="S421" s="1800">
        <f t="shared" si="0"/>
        <v>1408470588235.2942</v>
      </c>
      <c r="T421" s="1802">
        <v>42156</v>
      </c>
      <c r="U421" s="1790"/>
      <c r="V421" s="1798">
        <v>140</v>
      </c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</row>
    <row r="422" spans="1:61" ht="21" customHeight="1">
      <c r="A422" s="1786" t="s">
        <v>978</v>
      </c>
      <c r="B422" s="1786" t="s">
        <v>985</v>
      </c>
      <c r="C422" s="1787" t="s">
        <v>1967</v>
      </c>
      <c r="D422" s="1786" t="s">
        <v>4748</v>
      </c>
      <c r="E422" s="1788" t="str">
        <f>VLOOKUP(F422,plasmids!$A$2:$B$891,2)</f>
        <v>ShH10,1 Y444F</v>
      </c>
      <c r="F422" s="1798">
        <v>177</v>
      </c>
      <c r="G422" s="3254"/>
      <c r="H422" s="3254" t="str">
        <f>VLOOKUP(I422,plasmids!$A$2:$B$1191,2)</f>
        <v>CAG-Dp71ab</v>
      </c>
      <c r="I422" s="1786">
        <v>521</v>
      </c>
      <c r="J422" s="1790"/>
      <c r="K422" s="1792">
        <v>42045</v>
      </c>
      <c r="L422" s="1792"/>
      <c r="M422" s="1793">
        <v>42097</v>
      </c>
      <c r="N422" s="8">
        <v>461</v>
      </c>
      <c r="O422" s="2632"/>
      <c r="P422" s="1624"/>
      <c r="Q422" s="15">
        <v>4150000000000</v>
      </c>
      <c r="R422" s="1589">
        <v>51000000000</v>
      </c>
      <c r="S422" s="1800">
        <f t="shared" si="0"/>
        <v>2669019607843.1372</v>
      </c>
      <c r="T422" s="1802">
        <v>42156</v>
      </c>
      <c r="U422" s="1790"/>
      <c r="V422" s="1798">
        <v>150</v>
      </c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</row>
    <row r="423" spans="1:61" ht="21" customHeight="1">
      <c r="A423" s="1786" t="s">
        <v>978</v>
      </c>
      <c r="B423" s="1786" t="s">
        <v>985</v>
      </c>
      <c r="C423" s="1787" t="s">
        <v>1967</v>
      </c>
      <c r="D423" s="1786" t="s">
        <v>4748</v>
      </c>
      <c r="E423" s="1788" t="str">
        <f>VLOOKUP(F423,plasmids!$A$2:$B$891,2)</f>
        <v>ShH10,1 Y444F</v>
      </c>
      <c r="F423" s="1798">
        <v>177</v>
      </c>
      <c r="G423" s="3254"/>
      <c r="H423" s="3254" t="str">
        <f>VLOOKUP(I423,plasmids!$A$2:$B$1191,2)</f>
        <v>CAG-Dp71</v>
      </c>
      <c r="I423" s="1786">
        <v>522</v>
      </c>
      <c r="J423" s="1790"/>
      <c r="K423" s="1792">
        <v>42045</v>
      </c>
      <c r="L423" s="1792"/>
      <c r="M423" s="1793">
        <v>42097</v>
      </c>
      <c r="N423" s="8">
        <v>462</v>
      </c>
      <c r="O423" s="2632"/>
      <c r="P423" s="1624"/>
      <c r="Q423" s="15">
        <v>81200000000000</v>
      </c>
      <c r="R423" s="1589">
        <v>51000000000</v>
      </c>
      <c r="S423" s="1800">
        <f t="shared" si="0"/>
        <v>52222745098039.219</v>
      </c>
      <c r="T423" s="1802">
        <v>42156</v>
      </c>
      <c r="U423" s="1790"/>
      <c r="V423" s="1798">
        <v>150</v>
      </c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</row>
    <row r="424" spans="1:61" ht="24.75" customHeight="1">
      <c r="A424" s="1786" t="s">
        <v>978</v>
      </c>
      <c r="B424" s="1786" t="s">
        <v>985</v>
      </c>
      <c r="C424" s="1787" t="s">
        <v>1967</v>
      </c>
      <c r="D424" s="1786" t="s">
        <v>4748</v>
      </c>
      <c r="E424" s="1788" t="str">
        <f>VLOOKUP(F424,plasmids!$A$2:$B$891,2)</f>
        <v>ShH10,1 Y444F</v>
      </c>
      <c r="F424" s="1798">
        <v>177</v>
      </c>
      <c r="G424" s="3254"/>
      <c r="H424" s="3254" t="str">
        <f>VLOOKUP(I424,plasmids!$A$2:$B$1191,2)</f>
        <v>CAG-Dp40</v>
      </c>
      <c r="I424" s="1786">
        <v>523</v>
      </c>
      <c r="J424" s="1790"/>
      <c r="K424" s="1792">
        <v>42045</v>
      </c>
      <c r="L424" s="1792"/>
      <c r="M424" s="1793">
        <v>42104</v>
      </c>
      <c r="N424" s="8">
        <v>463</v>
      </c>
      <c r="O424" s="2632"/>
      <c r="P424" s="1589" t="s">
        <v>5653</v>
      </c>
      <c r="Q424" s="15">
        <v>28800000000</v>
      </c>
      <c r="R424" s="1435">
        <v>25900000000</v>
      </c>
      <c r="S424" s="1800">
        <f t="shared" si="0"/>
        <v>36472586872.586868</v>
      </c>
      <c r="T424" s="1802">
        <v>42156</v>
      </c>
      <c r="U424" s="1790"/>
      <c r="V424" s="1798">
        <v>165</v>
      </c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</row>
    <row r="425" spans="1:61" ht="25.5" customHeight="1">
      <c r="A425" s="1786" t="s">
        <v>3891</v>
      </c>
      <c r="B425" s="1786" t="s">
        <v>5654</v>
      </c>
      <c r="C425" s="1787" t="s">
        <v>1967</v>
      </c>
      <c r="D425" s="1786" t="s">
        <v>4867</v>
      </c>
      <c r="E425" s="1788" t="str">
        <f>VLOOKUP(F425,plasmids!$A$2:$B$891,2)</f>
        <v>pXR8 Y447 733F</v>
      </c>
      <c r="F425" s="1786">
        <v>195</v>
      </c>
      <c r="G425" s="3264"/>
      <c r="H425" s="3264" t="str">
        <f>VLOOKUP(I425,plasmids!$A$2:$B$891,2)</f>
        <v>scCAG-ReachR-GFP</v>
      </c>
      <c r="I425" s="1786">
        <v>353</v>
      </c>
      <c r="J425" s="1790"/>
      <c r="K425" s="1790"/>
      <c r="L425" s="1792"/>
      <c r="M425" s="1793">
        <v>42104</v>
      </c>
      <c r="N425" s="8">
        <v>464</v>
      </c>
      <c r="O425" s="2632"/>
      <c r="P425" s="1624"/>
      <c r="Q425" s="15">
        <v>804000000000</v>
      </c>
      <c r="R425" s="1435">
        <v>25900000000</v>
      </c>
      <c r="S425" s="1800">
        <f t="shared" si="0"/>
        <v>1018193050193.0502</v>
      </c>
      <c r="T425" s="1802">
        <v>42156</v>
      </c>
      <c r="U425" s="1790"/>
      <c r="V425" s="1798">
        <f>150-60-60</f>
        <v>30</v>
      </c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</row>
    <row r="426" spans="1:61" ht="26">
      <c r="A426" s="2872" t="s">
        <v>707</v>
      </c>
      <c r="B426" s="2872" t="s">
        <v>3973</v>
      </c>
      <c r="C426" s="2873" t="s">
        <v>1967</v>
      </c>
      <c r="D426" s="2872" t="s">
        <v>5655</v>
      </c>
      <c r="E426" s="2874" t="str">
        <f>VLOOKUP(F426,plasmids!$A$2:$B$891,2)</f>
        <v>pXR8 (Y447F Y733F T494V)</v>
      </c>
      <c r="F426" s="2875">
        <v>516</v>
      </c>
      <c r="G426" s="2876"/>
      <c r="H426" s="2876" t="str">
        <f>VLOOKUP(I426,plasmids!$A$2:$B$891,2)</f>
        <v>pssAAV-mCAR-GFP</v>
      </c>
      <c r="I426" s="2872">
        <v>93</v>
      </c>
      <c r="J426" s="2877"/>
      <c r="K426" s="3265"/>
      <c r="L426" s="2878"/>
      <c r="M426" s="2879">
        <v>42090</v>
      </c>
      <c r="N426" s="2880">
        <v>465</v>
      </c>
      <c r="O426" s="2881"/>
      <c r="P426" s="2883"/>
      <c r="Q426" s="2885">
        <v>771000000000000</v>
      </c>
      <c r="R426" s="2887">
        <v>11200000000</v>
      </c>
      <c r="S426" s="2889">
        <f t="shared" si="0"/>
        <v>2257928571428571.5</v>
      </c>
      <c r="T426" s="2891">
        <v>42156</v>
      </c>
      <c r="U426" s="2877"/>
      <c r="V426" s="2874">
        <f>240-50-10-25-15</f>
        <v>140</v>
      </c>
      <c r="W426" s="3250" t="s">
        <v>5638</v>
      </c>
      <c r="X426" s="3266" t="s">
        <v>5656</v>
      </c>
      <c r="Y426" s="2894"/>
      <c r="Z426" s="2894"/>
      <c r="AA426" s="2894"/>
      <c r="AB426" s="2894"/>
      <c r="AC426" s="2894"/>
      <c r="AD426" s="2894"/>
      <c r="AE426" s="2894"/>
      <c r="AF426" s="2894"/>
      <c r="AG426" s="2894"/>
      <c r="AH426" s="2894"/>
      <c r="AI426" s="2894"/>
      <c r="AJ426" s="2894"/>
      <c r="AK426" s="2894"/>
      <c r="AL426" s="2894"/>
      <c r="AM426" s="2894"/>
      <c r="AN426" s="2894"/>
      <c r="AO426" s="2894"/>
      <c r="AP426" s="2894"/>
      <c r="AQ426" s="2894"/>
      <c r="AR426" s="2894"/>
      <c r="AS426" s="2894"/>
      <c r="AT426" s="2894"/>
      <c r="AU426" s="2894"/>
      <c r="AV426" s="2894"/>
      <c r="AW426" s="2894"/>
      <c r="AX426" s="2894"/>
      <c r="AY426" s="2894"/>
      <c r="AZ426" s="2894"/>
      <c r="BA426" s="2894"/>
      <c r="BB426" s="2894"/>
      <c r="BC426" s="2894"/>
      <c r="BD426" s="2894"/>
      <c r="BE426" s="2894"/>
      <c r="BF426" s="2894"/>
      <c r="BG426" s="2894"/>
      <c r="BH426" s="2894"/>
      <c r="BI426" s="2894"/>
    </row>
    <row r="427" spans="1:61" ht="33.75" customHeight="1">
      <c r="A427" s="2872" t="s">
        <v>707</v>
      </c>
      <c r="B427" s="2872" t="s">
        <v>3973</v>
      </c>
      <c r="C427" s="2873" t="s">
        <v>1967</v>
      </c>
      <c r="D427" s="2872" t="s">
        <v>4867</v>
      </c>
      <c r="E427" s="2874" t="str">
        <f>VLOOKUP(F427,plasmids!$A$2:$B$891,2)</f>
        <v>pXR8 (Y447F Y733F T494V)</v>
      </c>
      <c r="F427" s="2875">
        <v>516</v>
      </c>
      <c r="G427" s="2876"/>
      <c r="H427" s="2876" t="str">
        <f>VLOOKUP(I427,plasmids!$A$2:$B$891,2)</f>
        <v>pssAAV-mCAR-Jaws-GFP</v>
      </c>
      <c r="I427" s="2872">
        <v>89</v>
      </c>
      <c r="J427" s="2877"/>
      <c r="K427" s="3265"/>
      <c r="L427" s="2878"/>
      <c r="M427" s="2879">
        <v>42104</v>
      </c>
      <c r="N427" s="2880">
        <v>466</v>
      </c>
      <c r="O427" s="2881"/>
      <c r="P427" s="2883"/>
      <c r="Q427" s="2885">
        <v>35600000000000</v>
      </c>
      <c r="R427" s="3267">
        <v>25900000000</v>
      </c>
      <c r="S427" s="2889">
        <f t="shared" si="0"/>
        <v>45084169884169.883</v>
      </c>
      <c r="T427" s="2891">
        <v>42156</v>
      </c>
      <c r="U427" s="2877"/>
      <c r="V427" s="2872">
        <v>145</v>
      </c>
      <c r="W427" s="3250" t="s">
        <v>5638</v>
      </c>
      <c r="X427" s="2894"/>
      <c r="Y427" s="2894"/>
      <c r="Z427" s="2894"/>
      <c r="AA427" s="2894"/>
      <c r="AB427" s="2894"/>
      <c r="AC427" s="2894"/>
      <c r="AD427" s="2894"/>
      <c r="AE427" s="2894"/>
      <c r="AF427" s="2894"/>
      <c r="AG427" s="2894"/>
      <c r="AH427" s="2894"/>
      <c r="AI427" s="2894"/>
      <c r="AJ427" s="2894"/>
      <c r="AK427" s="2894"/>
      <c r="AL427" s="2894"/>
      <c r="AM427" s="2894"/>
      <c r="AN427" s="2894"/>
      <c r="AO427" s="2894"/>
      <c r="AP427" s="2894"/>
      <c r="AQ427" s="2894"/>
      <c r="AR427" s="2894"/>
      <c r="AS427" s="2894"/>
      <c r="AT427" s="2894"/>
      <c r="AU427" s="2894"/>
      <c r="AV427" s="2894"/>
      <c r="AW427" s="2894"/>
      <c r="AX427" s="2894"/>
      <c r="AY427" s="2894"/>
      <c r="AZ427" s="2894"/>
      <c r="BA427" s="2894"/>
      <c r="BB427" s="2894"/>
      <c r="BC427" s="2894"/>
      <c r="BD427" s="2894"/>
      <c r="BE427" s="2894"/>
      <c r="BF427" s="2894"/>
      <c r="BG427" s="2894"/>
      <c r="BH427" s="2894"/>
      <c r="BI427" s="2894"/>
    </row>
    <row r="428" spans="1:61" ht="26.25" customHeight="1">
      <c r="A428" s="64" t="s">
        <v>52</v>
      </c>
      <c r="B428" s="64" t="s">
        <v>177</v>
      </c>
      <c r="C428" s="66" t="s">
        <v>1967</v>
      </c>
      <c r="D428" s="64" t="s">
        <v>5547</v>
      </c>
      <c r="E428" s="2690" t="str">
        <f>VLOOKUP(F428,plasmids!$A$2:$B$351,2)</f>
        <v>AAV2-7m8</v>
      </c>
      <c r="F428" s="67">
        <v>178</v>
      </c>
      <c r="G428" s="2339"/>
      <c r="H428" s="2339" t="str">
        <f>VLOOKUP(I428,plasmids!$A$2:$B$1011,2)</f>
        <v>pAAV-hRho-Killer Red</v>
      </c>
      <c r="I428" s="64">
        <v>434</v>
      </c>
      <c r="J428" s="64" t="s">
        <v>1012</v>
      </c>
      <c r="K428" s="84"/>
      <c r="L428" s="2638"/>
      <c r="M428" s="70">
        <v>42104</v>
      </c>
      <c r="N428" s="1077" t="s">
        <v>3758</v>
      </c>
      <c r="O428" s="84"/>
      <c r="P428" s="74" t="s">
        <v>5653</v>
      </c>
      <c r="Q428" s="2637">
        <v>8850000000000</v>
      </c>
      <c r="R428" s="3268">
        <v>25900000000</v>
      </c>
      <c r="S428" s="82">
        <f t="shared" si="0"/>
        <v>11207722007722.008</v>
      </c>
      <c r="T428" s="2638">
        <v>42156</v>
      </c>
      <c r="U428" s="84"/>
      <c r="V428" s="72">
        <f>160-80-28</f>
        <v>52</v>
      </c>
      <c r="W428" s="2691"/>
      <c r="X428" s="2692"/>
      <c r="Y428" s="72"/>
      <c r="Z428" s="78"/>
      <c r="AA428" s="78"/>
      <c r="AB428" s="78"/>
      <c r="AC428" s="78"/>
      <c r="AD428" s="84"/>
      <c r="AE428" s="67">
        <v>200</v>
      </c>
      <c r="AF428" s="86"/>
      <c r="AG428" s="86"/>
      <c r="AH428" s="86"/>
      <c r="AI428" s="86"/>
      <c r="AJ428" s="86"/>
      <c r="AK428" s="86"/>
      <c r="AL428" s="86"/>
      <c r="AM428" s="86"/>
      <c r="AN428" s="86"/>
      <c r="AO428" s="86"/>
      <c r="AP428" s="86"/>
      <c r="AQ428" s="86"/>
      <c r="AR428" s="86"/>
      <c r="AS428" s="86"/>
      <c r="AT428" s="86"/>
      <c r="AU428" s="86"/>
      <c r="AV428" s="86"/>
      <c r="AW428" s="86"/>
      <c r="AX428" s="86"/>
      <c r="AY428" s="86"/>
      <c r="AZ428" s="86"/>
      <c r="BA428" s="86"/>
      <c r="BB428" s="86"/>
      <c r="BC428" s="86"/>
      <c r="BD428" s="86"/>
      <c r="BE428" s="86"/>
      <c r="BF428" s="86"/>
      <c r="BG428" s="86"/>
      <c r="BH428" s="86"/>
      <c r="BI428" s="86"/>
    </row>
    <row r="429" spans="1:61" ht="24">
      <c r="A429" s="2850" t="s">
        <v>2247</v>
      </c>
      <c r="B429" s="2850" t="s">
        <v>2919</v>
      </c>
      <c r="C429" s="2852" t="s">
        <v>2920</v>
      </c>
      <c r="D429" s="2850" t="s">
        <v>345</v>
      </c>
      <c r="E429" s="1761" t="str">
        <f>VLOOKUP(F429,plasmids!$A$2:$B$891,2)</f>
        <v>AAV9 2YF</v>
      </c>
      <c r="F429" s="3269">
        <v>168</v>
      </c>
      <c r="G429" s="2852"/>
      <c r="H429" s="2852" t="s">
        <v>2925</v>
      </c>
      <c r="I429" s="2850">
        <v>217</v>
      </c>
      <c r="J429" s="2850" t="s">
        <v>2902</v>
      </c>
      <c r="K429" s="3270"/>
      <c r="L429" s="1768"/>
      <c r="M429" s="1770">
        <v>42104</v>
      </c>
      <c r="N429" s="1771">
        <v>467</v>
      </c>
      <c r="O429" s="2799"/>
      <c r="P429" s="1774"/>
      <c r="Q429" s="1775">
        <v>866000000000</v>
      </c>
      <c r="R429" s="3271">
        <v>25900000000</v>
      </c>
      <c r="S429" s="1779">
        <f t="shared" si="0"/>
        <v>1096710424710.4247</v>
      </c>
      <c r="T429" s="2801">
        <v>42156</v>
      </c>
      <c r="U429" s="1766"/>
      <c r="V429" s="1756">
        <v>135</v>
      </c>
      <c r="W429" s="997" t="s">
        <v>2934</v>
      </c>
      <c r="X429" s="234"/>
      <c r="Y429" s="234"/>
      <c r="Z429" s="234"/>
      <c r="AA429" s="234"/>
      <c r="AB429" s="234"/>
      <c r="AC429" s="234"/>
      <c r="AD429" s="234"/>
      <c r="AE429" s="234"/>
      <c r="AF429" s="234"/>
      <c r="AG429" s="234"/>
      <c r="AH429" s="234"/>
      <c r="AI429" s="234"/>
      <c r="AJ429" s="234"/>
      <c r="AK429" s="234"/>
      <c r="AL429" s="234"/>
      <c r="AM429" s="234"/>
      <c r="AN429" s="234"/>
      <c r="AO429" s="234"/>
      <c r="AP429" s="234"/>
      <c r="AQ429" s="234"/>
      <c r="AR429" s="234"/>
      <c r="AS429" s="234"/>
      <c r="AT429" s="234"/>
      <c r="AU429" s="234"/>
      <c r="AV429" s="234"/>
      <c r="AW429" s="234"/>
      <c r="AX429" s="234"/>
      <c r="AY429" s="234"/>
      <c r="AZ429" s="234"/>
      <c r="BA429" s="234"/>
      <c r="BB429" s="234"/>
      <c r="BC429" s="234"/>
      <c r="BD429" s="234"/>
      <c r="BE429" s="234"/>
      <c r="BF429" s="234"/>
      <c r="BG429" s="234"/>
      <c r="BH429" s="234"/>
      <c r="BI429" s="234"/>
    </row>
    <row r="430" spans="1:61" ht="24">
      <c r="A430" s="2850" t="s">
        <v>2247</v>
      </c>
      <c r="B430" s="2850" t="s">
        <v>2919</v>
      </c>
      <c r="C430" s="2852" t="s">
        <v>2920</v>
      </c>
      <c r="D430" s="2850" t="s">
        <v>345</v>
      </c>
      <c r="E430" s="1761" t="str">
        <f>VLOOKUP(F430,plasmids!$A$2:$B$891,2)</f>
        <v>AAV9 2YF</v>
      </c>
      <c r="F430" s="3269">
        <v>168</v>
      </c>
      <c r="G430" s="1763"/>
      <c r="H430" s="1763" t="str">
        <f>VLOOKUP(I430,plasmids!$A$2:$B$1191,2)</f>
        <v>sc-CAG-GFP</v>
      </c>
      <c r="I430" s="2850">
        <v>120</v>
      </c>
      <c r="J430" s="2850" t="s">
        <v>2902</v>
      </c>
      <c r="K430" s="3270"/>
      <c r="L430" s="1768"/>
      <c r="M430" s="1770">
        <v>42104</v>
      </c>
      <c r="N430" s="1771">
        <v>468</v>
      </c>
      <c r="O430" s="2799"/>
      <c r="P430" s="1774"/>
      <c r="Q430" s="1775">
        <v>10500000000000</v>
      </c>
      <c r="R430" s="3271">
        <v>25900000000</v>
      </c>
      <c r="S430" s="1779">
        <f t="shared" si="0"/>
        <v>13297297297297.297</v>
      </c>
      <c r="T430" s="2801">
        <v>42156</v>
      </c>
      <c r="U430" s="1766"/>
      <c r="V430" s="1756">
        <v>145</v>
      </c>
      <c r="W430" s="997" t="s">
        <v>2934</v>
      </c>
      <c r="X430" s="234"/>
      <c r="Y430" s="234"/>
      <c r="Z430" s="234"/>
      <c r="AA430" s="234"/>
      <c r="AB430" s="234"/>
      <c r="AC430" s="234"/>
      <c r="AD430" s="234"/>
      <c r="AE430" s="234"/>
      <c r="AF430" s="234"/>
      <c r="AG430" s="234"/>
      <c r="AH430" s="234"/>
      <c r="AI430" s="234"/>
      <c r="AJ430" s="234"/>
      <c r="AK430" s="234"/>
      <c r="AL430" s="234"/>
      <c r="AM430" s="234"/>
      <c r="AN430" s="234"/>
      <c r="AO430" s="234"/>
      <c r="AP430" s="234"/>
      <c r="AQ430" s="234"/>
      <c r="AR430" s="234"/>
      <c r="AS430" s="234"/>
      <c r="AT430" s="234"/>
      <c r="AU430" s="234"/>
      <c r="AV430" s="234"/>
      <c r="AW430" s="234"/>
      <c r="AX430" s="234"/>
      <c r="AY430" s="234"/>
      <c r="AZ430" s="234"/>
      <c r="BA430" s="234"/>
      <c r="BB430" s="234"/>
      <c r="BC430" s="234"/>
      <c r="BD430" s="234"/>
      <c r="BE430" s="234"/>
      <c r="BF430" s="234"/>
      <c r="BG430" s="234"/>
      <c r="BH430" s="234"/>
      <c r="BI430" s="234"/>
    </row>
    <row r="431" spans="1:61" ht="22.5" customHeight="1">
      <c r="A431" s="2919" t="s">
        <v>707</v>
      </c>
      <c r="B431" s="2919" t="s">
        <v>5157</v>
      </c>
      <c r="C431" s="2921" t="s">
        <v>1967</v>
      </c>
      <c r="D431" s="2919" t="s">
        <v>4867</v>
      </c>
      <c r="E431" s="2922" t="str">
        <f>VLOOKUP(F431,plasmids!$A$2:$B$891,2)</f>
        <v>AAV2-7m8</v>
      </c>
      <c r="F431" s="2923">
        <v>178</v>
      </c>
      <c r="G431" s="2924"/>
      <c r="H431" s="2924" t="str">
        <f>VLOOKUP(I431,plasmids!$A$2:$B$891,2)</f>
        <v xml:space="preserve">pTR-scCAG-RdCVFs </v>
      </c>
      <c r="I431" s="2919">
        <v>187</v>
      </c>
      <c r="J431" s="2925"/>
      <c r="K431" s="2927">
        <v>41919</v>
      </c>
      <c r="L431" s="2927"/>
      <c r="M431" s="2928">
        <v>42104</v>
      </c>
      <c r="N431" s="2929">
        <v>469</v>
      </c>
      <c r="O431" s="2930"/>
      <c r="P431" s="2934" t="s">
        <v>5653</v>
      </c>
      <c r="Q431" s="2933">
        <v>596000000000</v>
      </c>
      <c r="R431" s="3272">
        <v>25900000000</v>
      </c>
      <c r="S431" s="2936">
        <f t="shared" si="0"/>
        <v>754779922779.92273</v>
      </c>
      <c r="T431" s="2937">
        <v>42156</v>
      </c>
      <c r="U431" s="2925"/>
      <c r="V431" s="2919">
        <v>160</v>
      </c>
      <c r="W431" s="3273" t="s">
        <v>2812</v>
      </c>
      <c r="X431" s="2939"/>
      <c r="Y431" s="2939"/>
      <c r="Z431" s="2939"/>
      <c r="AA431" s="2939"/>
      <c r="AB431" s="2939"/>
      <c r="AC431" s="2939"/>
      <c r="AD431" s="2939"/>
      <c r="AE431" s="2939"/>
      <c r="AF431" s="2939"/>
      <c r="AG431" s="2939"/>
      <c r="AH431" s="2939"/>
      <c r="AI431" s="2939"/>
      <c r="AJ431" s="2939"/>
      <c r="AK431" s="2939"/>
      <c r="AL431" s="2939"/>
      <c r="AM431" s="2939"/>
      <c r="AN431" s="2939"/>
      <c r="AO431" s="2939"/>
      <c r="AP431" s="2939"/>
      <c r="AQ431" s="2939"/>
      <c r="AR431" s="2939"/>
      <c r="AS431" s="2939"/>
      <c r="AT431" s="2939"/>
      <c r="AU431" s="2939"/>
      <c r="AV431" s="2939"/>
      <c r="AW431" s="2939"/>
      <c r="AX431" s="2939"/>
      <c r="AY431" s="2939"/>
      <c r="AZ431" s="2939"/>
      <c r="BA431" s="2939"/>
      <c r="BB431" s="2939"/>
      <c r="BC431" s="2939"/>
      <c r="BD431" s="2939"/>
      <c r="BE431" s="2939"/>
      <c r="BF431" s="2939"/>
      <c r="BG431" s="2939"/>
      <c r="BH431" s="2939"/>
      <c r="BI431" s="2939"/>
    </row>
    <row r="432" spans="1:61" ht="21.75" customHeight="1">
      <c r="A432" s="734" t="s">
        <v>5657</v>
      </c>
      <c r="B432" s="734" t="s">
        <v>5658</v>
      </c>
      <c r="C432" s="735" t="s">
        <v>1967</v>
      </c>
      <c r="D432" s="734" t="s">
        <v>4867</v>
      </c>
      <c r="E432" s="1666" t="str">
        <f>VLOOKUP(F432,plasmids!$A$2:$B$891,2)</f>
        <v>AAV2-7m8</v>
      </c>
      <c r="F432" s="739">
        <v>178</v>
      </c>
      <c r="G432" s="1667"/>
      <c r="H432" s="1667" t="str">
        <f>VLOOKUP(I432,plasmids!$A$2:$B$891,2)</f>
        <v>sc-CAG-GFP</v>
      </c>
      <c r="I432" s="734">
        <v>120</v>
      </c>
      <c r="J432" s="744"/>
      <c r="K432" s="1668"/>
      <c r="L432" s="811"/>
      <c r="M432" s="737">
        <v>42104</v>
      </c>
      <c r="N432" s="738">
        <v>470</v>
      </c>
      <c r="O432" s="2602"/>
      <c r="P432" s="740" t="s">
        <v>5653</v>
      </c>
      <c r="Q432" s="1613">
        <v>263000000000</v>
      </c>
      <c r="R432" s="3274">
        <v>25900000000</v>
      </c>
      <c r="S432" s="743">
        <f t="shared" si="0"/>
        <v>333065637065.63702</v>
      </c>
      <c r="T432" s="2222">
        <v>42156</v>
      </c>
      <c r="U432" s="744"/>
      <c r="V432" s="734">
        <v>160</v>
      </c>
      <c r="W432" s="733"/>
      <c r="X432" s="733"/>
      <c r="Y432" s="733"/>
      <c r="Z432" s="733"/>
      <c r="AA432" s="733"/>
      <c r="AB432" s="733"/>
      <c r="AC432" s="733"/>
      <c r="AD432" s="733"/>
      <c r="AE432" s="733"/>
      <c r="AF432" s="733"/>
      <c r="AG432" s="733"/>
      <c r="AH432" s="733"/>
      <c r="AI432" s="733"/>
      <c r="AJ432" s="733"/>
      <c r="AK432" s="733"/>
      <c r="AL432" s="733"/>
      <c r="AM432" s="733"/>
      <c r="AN432" s="733"/>
      <c r="AO432" s="733"/>
      <c r="AP432" s="733"/>
      <c r="AQ432" s="733"/>
      <c r="AR432" s="733"/>
      <c r="AS432" s="733"/>
      <c r="AT432" s="733"/>
      <c r="AU432" s="733"/>
      <c r="AV432" s="733"/>
      <c r="AW432" s="733"/>
      <c r="AX432" s="733"/>
      <c r="AY432" s="733"/>
      <c r="AZ432" s="733"/>
      <c r="BA432" s="733"/>
      <c r="BB432" s="733"/>
      <c r="BC432" s="733"/>
      <c r="BD432" s="733"/>
      <c r="BE432" s="733"/>
      <c r="BF432" s="733"/>
      <c r="BG432" s="733"/>
      <c r="BH432" s="733"/>
      <c r="BI432" s="733"/>
    </row>
    <row r="433" spans="1:61" ht="22.5" customHeight="1">
      <c r="A433" s="3275" t="s">
        <v>1549</v>
      </c>
      <c r="B433" s="3275" t="s">
        <v>5659</v>
      </c>
      <c r="C433" s="3276" t="s">
        <v>5660</v>
      </c>
      <c r="D433" s="3275" t="s">
        <v>5661</v>
      </c>
      <c r="E433" s="3277" t="s">
        <v>5662</v>
      </c>
      <c r="F433" s="3278">
        <v>525</v>
      </c>
      <c r="G433" s="3276"/>
      <c r="H433" s="3276" t="s">
        <v>5662</v>
      </c>
      <c r="I433" s="3275">
        <v>525</v>
      </c>
      <c r="J433" s="3279"/>
      <c r="K433" s="3280"/>
      <c r="L433" s="3281"/>
      <c r="M433" s="3282">
        <v>42111</v>
      </c>
      <c r="N433" s="3283">
        <v>471</v>
      </c>
      <c r="O433" s="3284" t="s">
        <v>5663</v>
      </c>
      <c r="P433" s="3285" t="s">
        <v>5664</v>
      </c>
      <c r="Q433" s="3286">
        <v>261000000000000</v>
      </c>
      <c r="R433" s="3285">
        <v>450000000000</v>
      </c>
      <c r="S433" s="3287">
        <f t="shared" si="0"/>
        <v>19024000000000</v>
      </c>
      <c r="T433" s="3281">
        <v>42156</v>
      </c>
      <c r="U433" s="3281">
        <v>42153</v>
      </c>
      <c r="V433" s="3288" t="s">
        <v>5665</v>
      </c>
      <c r="W433" s="3280"/>
      <c r="X433" s="3280"/>
      <c r="Y433" s="3280"/>
      <c r="Z433" s="3280"/>
      <c r="AA433" s="3280"/>
      <c r="AB433" s="3280"/>
      <c r="AC433" s="3280"/>
      <c r="AD433" s="3280"/>
      <c r="AE433" s="3280"/>
      <c r="AF433" s="3280"/>
      <c r="AG433" s="3280"/>
      <c r="AH433" s="3280"/>
      <c r="AI433" s="3280"/>
      <c r="AJ433" s="3280"/>
      <c r="AK433" s="3280"/>
      <c r="AL433" s="3280"/>
      <c r="AM433" s="3280"/>
      <c r="AN433" s="3280"/>
      <c r="AO433" s="3280"/>
      <c r="AP433" s="3280"/>
      <c r="AQ433" s="3280"/>
      <c r="AR433" s="3280"/>
      <c r="AS433" s="3280"/>
      <c r="AT433" s="3280"/>
      <c r="AU433" s="3280"/>
      <c r="AV433" s="3280"/>
      <c r="AW433" s="3280"/>
      <c r="AX433" s="3280"/>
      <c r="AY433" s="3280"/>
      <c r="AZ433" s="3280"/>
      <c r="BA433" s="3280"/>
      <c r="BB433" s="3280"/>
      <c r="BC433" s="3280"/>
      <c r="BD433" s="3280"/>
      <c r="BE433" s="3280"/>
      <c r="BF433" s="3280"/>
      <c r="BG433" s="3280"/>
      <c r="BH433" s="3280"/>
      <c r="BI433" s="3280"/>
    </row>
    <row r="434" spans="1:61" ht="22.5" customHeight="1">
      <c r="A434" s="3275" t="s">
        <v>1549</v>
      </c>
      <c r="B434" s="3275" t="s">
        <v>5659</v>
      </c>
      <c r="C434" s="3276" t="s">
        <v>5660</v>
      </c>
      <c r="D434" s="3275" t="s">
        <v>5661</v>
      </c>
      <c r="E434" s="3277" t="s">
        <v>1849</v>
      </c>
      <c r="F434" s="3278">
        <v>526</v>
      </c>
      <c r="G434" s="3276"/>
      <c r="H434" s="3276" t="s">
        <v>1849</v>
      </c>
      <c r="I434" s="3275">
        <v>526</v>
      </c>
      <c r="J434" s="3279"/>
      <c r="K434" s="3280"/>
      <c r="L434" s="3281"/>
      <c r="M434" s="3282">
        <v>42111</v>
      </c>
      <c r="N434" s="3283">
        <v>472</v>
      </c>
      <c r="O434" s="3279"/>
      <c r="P434" s="3285" t="s">
        <v>5664</v>
      </c>
      <c r="Q434" s="3286">
        <v>346000000000000</v>
      </c>
      <c r="R434" s="3285">
        <v>450000000000</v>
      </c>
      <c r="S434" s="3287">
        <f t="shared" si="0"/>
        <v>25219555555555.555</v>
      </c>
      <c r="T434" s="3281">
        <v>42156</v>
      </c>
      <c r="U434" s="3281">
        <v>42153</v>
      </c>
      <c r="V434" s="3288" t="s">
        <v>5666</v>
      </c>
      <c r="W434" s="3280"/>
      <c r="X434" s="3277" t="s">
        <v>5667</v>
      </c>
      <c r="Y434" s="3280"/>
      <c r="Z434" s="3280"/>
      <c r="AA434" s="3280"/>
      <c r="AB434" s="3280"/>
      <c r="AC434" s="3280"/>
      <c r="AD434" s="3280"/>
      <c r="AE434" s="3280"/>
      <c r="AF434" s="3280"/>
      <c r="AG434" s="3280"/>
      <c r="AH434" s="3280"/>
      <c r="AI434" s="3280"/>
      <c r="AJ434" s="3280"/>
      <c r="AK434" s="3280"/>
      <c r="AL434" s="3280"/>
      <c r="AM434" s="3280"/>
      <c r="AN434" s="3280"/>
      <c r="AO434" s="3280"/>
      <c r="AP434" s="3280"/>
      <c r="AQ434" s="3280"/>
      <c r="AR434" s="3280"/>
      <c r="AS434" s="3280"/>
      <c r="AT434" s="3280"/>
      <c r="AU434" s="3280"/>
      <c r="AV434" s="3280"/>
      <c r="AW434" s="3280"/>
      <c r="AX434" s="3280"/>
      <c r="AY434" s="3280"/>
      <c r="AZ434" s="3280"/>
      <c r="BA434" s="3280"/>
      <c r="BB434" s="3280"/>
      <c r="BC434" s="3280"/>
      <c r="BD434" s="3280"/>
      <c r="BE434" s="3280"/>
      <c r="BF434" s="3280"/>
      <c r="BG434" s="3280"/>
      <c r="BH434" s="3280"/>
      <c r="BI434" s="3280"/>
    </row>
    <row r="435" spans="1:61" ht="22.5" customHeight="1">
      <c r="A435" s="3275" t="s">
        <v>1549</v>
      </c>
      <c r="B435" s="3275" t="s">
        <v>5659</v>
      </c>
      <c r="C435" s="3276" t="s">
        <v>5660</v>
      </c>
      <c r="D435" s="3275" t="s">
        <v>5661</v>
      </c>
      <c r="E435" s="3276" t="s">
        <v>1882</v>
      </c>
      <c r="F435" s="3278">
        <v>539</v>
      </c>
      <c r="G435" s="3276"/>
      <c r="H435" s="3276" t="s">
        <v>1882</v>
      </c>
      <c r="I435" s="3275">
        <v>539</v>
      </c>
      <c r="J435" s="3279"/>
      <c r="K435" s="3280"/>
      <c r="L435" s="3281"/>
      <c r="M435" s="3282">
        <v>42111</v>
      </c>
      <c r="N435" s="3283">
        <v>473</v>
      </c>
      <c r="O435" s="3279"/>
      <c r="P435" s="3285" t="s">
        <v>5664</v>
      </c>
      <c r="Q435" s="3286">
        <v>377000000000000</v>
      </c>
      <c r="R435" s="3285">
        <v>450000000000</v>
      </c>
      <c r="S435" s="3287">
        <f t="shared" si="0"/>
        <v>27479111111111.113</v>
      </c>
      <c r="T435" s="3281">
        <v>42156</v>
      </c>
      <c r="U435" s="3281">
        <v>42153</v>
      </c>
      <c r="V435" s="3288" t="s">
        <v>5668</v>
      </c>
      <c r="W435" s="3280"/>
      <c r="X435" s="3280"/>
      <c r="Y435" s="3280"/>
      <c r="Z435" s="3280"/>
      <c r="AA435" s="3280"/>
      <c r="AB435" s="3280"/>
      <c r="AC435" s="3280"/>
      <c r="AD435" s="3280"/>
      <c r="AE435" s="3280"/>
      <c r="AF435" s="3280"/>
      <c r="AG435" s="3280"/>
      <c r="AH435" s="3280"/>
      <c r="AI435" s="3280"/>
      <c r="AJ435" s="3280"/>
      <c r="AK435" s="3280"/>
      <c r="AL435" s="3280"/>
      <c r="AM435" s="3280"/>
      <c r="AN435" s="3280"/>
      <c r="AO435" s="3280"/>
      <c r="AP435" s="3280"/>
      <c r="AQ435" s="3280"/>
      <c r="AR435" s="3280"/>
      <c r="AS435" s="3280"/>
      <c r="AT435" s="3280"/>
      <c r="AU435" s="3280"/>
      <c r="AV435" s="3280"/>
      <c r="AW435" s="3280"/>
      <c r="AX435" s="3280"/>
      <c r="AY435" s="3280"/>
      <c r="AZ435" s="3280"/>
      <c r="BA435" s="3280"/>
      <c r="BB435" s="3280"/>
      <c r="BC435" s="3280"/>
      <c r="BD435" s="3280"/>
      <c r="BE435" s="3280"/>
      <c r="BF435" s="3280"/>
      <c r="BG435" s="3280"/>
      <c r="BH435" s="3280"/>
      <c r="BI435" s="3280"/>
    </row>
    <row r="436" spans="1:61" ht="20.25" customHeight="1">
      <c r="A436" s="1786" t="s">
        <v>978</v>
      </c>
      <c r="B436" s="1786" t="s">
        <v>985</v>
      </c>
      <c r="C436" s="1787" t="s">
        <v>1967</v>
      </c>
      <c r="D436" s="1786" t="s">
        <v>4748</v>
      </c>
      <c r="E436" s="1788" t="str">
        <f>VLOOKUP(F436,plasmids!$A$2:$B$891,2)</f>
        <v>ShH10,1 Y444F</v>
      </c>
      <c r="F436" s="1798">
        <v>177</v>
      </c>
      <c r="G436" s="3254"/>
      <c r="H436" s="3254" t="str">
        <f>VLOOKUP(I436,plasmids!$A$2:$B$1191,2)</f>
        <v>CAG-Dp40</v>
      </c>
      <c r="I436" s="1786">
        <v>523</v>
      </c>
      <c r="J436" s="1790"/>
      <c r="K436" s="1792">
        <v>42045</v>
      </c>
      <c r="L436" s="1792"/>
      <c r="M436" s="1793">
        <v>42104</v>
      </c>
      <c r="N436" s="8">
        <v>474</v>
      </c>
      <c r="O436" s="2632"/>
      <c r="P436" s="1589" t="s">
        <v>5669</v>
      </c>
      <c r="Q436" s="15">
        <v>61900000000</v>
      </c>
      <c r="R436" s="1435">
        <v>450000000000</v>
      </c>
      <c r="S436" s="1800">
        <f t="shared" si="0"/>
        <v>4511822222.2222223</v>
      </c>
      <c r="T436" s="1802">
        <v>42156</v>
      </c>
      <c r="U436" s="1790"/>
      <c r="V436" s="1798">
        <v>155</v>
      </c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</row>
    <row r="437" spans="1:61" ht="23.25" customHeight="1">
      <c r="A437" s="64" t="s">
        <v>52</v>
      </c>
      <c r="B437" s="64" t="s">
        <v>177</v>
      </c>
      <c r="C437" s="66" t="s">
        <v>1967</v>
      </c>
      <c r="D437" s="64" t="s">
        <v>5547</v>
      </c>
      <c r="E437" s="2690" t="str">
        <f>VLOOKUP(F437,plasmids!$A$2:$B$351,2)</f>
        <v>AAV2-7m8</v>
      </c>
      <c r="F437" s="67">
        <v>178</v>
      </c>
      <c r="G437" s="2339"/>
      <c r="H437" s="2339" t="str">
        <f>VLOOKUP(I437,plasmids!$A$2:$B$1011,2)</f>
        <v>pAAV-hRho-Killer Red</v>
      </c>
      <c r="I437" s="64">
        <v>434</v>
      </c>
      <c r="J437" s="64" t="s">
        <v>1012</v>
      </c>
      <c r="K437" s="84"/>
      <c r="L437" s="2638"/>
      <c r="M437" s="70">
        <v>42111</v>
      </c>
      <c r="N437" s="1077">
        <v>475</v>
      </c>
      <c r="O437" s="84"/>
      <c r="P437" s="74" t="s">
        <v>5669</v>
      </c>
      <c r="Q437" s="2637">
        <v>3720000000000</v>
      </c>
      <c r="R437" s="3268">
        <v>450000000000</v>
      </c>
      <c r="S437" s="82">
        <f t="shared" si="0"/>
        <v>271146666666.66669</v>
      </c>
      <c r="T437" s="2638">
        <v>42156</v>
      </c>
      <c r="U437" s="2638">
        <v>42153</v>
      </c>
      <c r="V437" s="72">
        <f>185-2</f>
        <v>183</v>
      </c>
      <c r="W437" s="2691"/>
      <c r="X437" s="2692"/>
      <c r="Y437" s="72"/>
      <c r="Z437" s="78"/>
      <c r="AA437" s="78"/>
      <c r="AB437" s="78"/>
      <c r="AC437" s="78"/>
      <c r="AD437" s="84"/>
      <c r="AE437" s="67">
        <v>200</v>
      </c>
      <c r="AF437" s="86"/>
      <c r="AG437" s="86"/>
      <c r="AH437" s="86"/>
      <c r="AI437" s="86"/>
      <c r="AJ437" s="86"/>
      <c r="AK437" s="86"/>
      <c r="AL437" s="86"/>
      <c r="AM437" s="86"/>
      <c r="AN437" s="86"/>
      <c r="AO437" s="86"/>
      <c r="AP437" s="86"/>
      <c r="AQ437" s="86"/>
      <c r="AR437" s="86"/>
      <c r="AS437" s="86"/>
      <c r="AT437" s="86"/>
      <c r="AU437" s="86"/>
      <c r="AV437" s="86"/>
      <c r="AW437" s="86"/>
      <c r="AX437" s="86"/>
      <c r="AY437" s="86"/>
      <c r="AZ437" s="86"/>
      <c r="BA437" s="86"/>
      <c r="BB437" s="86"/>
      <c r="BC437" s="86"/>
      <c r="BD437" s="86"/>
      <c r="BE437" s="86"/>
      <c r="BF437" s="86"/>
      <c r="BG437" s="86"/>
      <c r="BH437" s="86"/>
      <c r="BI437" s="86"/>
    </row>
    <row r="438" spans="1:61" ht="18.75" customHeight="1">
      <c r="A438" s="1807" t="s">
        <v>707</v>
      </c>
      <c r="B438" s="1807" t="s">
        <v>5157</v>
      </c>
      <c r="C438" s="1808" t="s">
        <v>1967</v>
      </c>
      <c r="D438" s="1807" t="s">
        <v>4867</v>
      </c>
      <c r="E438" s="1810" t="str">
        <f>VLOOKUP(F438,plasmids!$A$2:$B$891,2)</f>
        <v>AAV2-7m8</v>
      </c>
      <c r="F438" s="1812">
        <v>178</v>
      </c>
      <c r="G438" s="1814"/>
      <c r="H438" s="1814" t="str">
        <f>VLOOKUP(I438,plasmids!$A$2:$B$891,2)</f>
        <v xml:space="preserve">pTR-scCAG-RdCVFs </v>
      </c>
      <c r="I438" s="1807">
        <v>187</v>
      </c>
      <c r="J438" s="1815"/>
      <c r="K438" s="1818">
        <v>41919</v>
      </c>
      <c r="L438" s="1818"/>
      <c r="M438" s="1820">
        <v>42111</v>
      </c>
      <c r="N438" s="1821">
        <v>476</v>
      </c>
      <c r="O438" s="3153"/>
      <c r="P438" s="3154" t="s">
        <v>5669</v>
      </c>
      <c r="Q438" s="1824">
        <v>1260000000000</v>
      </c>
      <c r="R438" s="3154">
        <v>450000000000</v>
      </c>
      <c r="S438" s="1825">
        <f t="shared" si="0"/>
        <v>91840000000</v>
      </c>
      <c r="T438" s="3155">
        <v>42156</v>
      </c>
      <c r="U438" s="3155">
        <v>42153</v>
      </c>
      <c r="V438" s="1810">
        <f>170-2</f>
        <v>168</v>
      </c>
      <c r="W438" s="1826"/>
      <c r="X438" s="1826"/>
      <c r="Y438" s="1826"/>
      <c r="Z438" s="1826"/>
      <c r="AA438" s="1826"/>
      <c r="AB438" s="1826"/>
      <c r="AC438" s="1826"/>
      <c r="AD438" s="1826"/>
      <c r="AE438" s="1826"/>
      <c r="AF438" s="1826"/>
      <c r="AG438" s="1826"/>
      <c r="AH438" s="1826"/>
      <c r="AI438" s="1826"/>
      <c r="AJ438" s="1826"/>
      <c r="AK438" s="1826"/>
      <c r="AL438" s="1826"/>
      <c r="AM438" s="1826"/>
      <c r="AN438" s="1826"/>
      <c r="AO438" s="1826"/>
      <c r="AP438" s="1826"/>
      <c r="AQ438" s="1826"/>
      <c r="AR438" s="1826"/>
      <c r="AS438" s="1826"/>
      <c r="AT438" s="1826"/>
      <c r="AU438" s="1826"/>
      <c r="AV438" s="1826"/>
      <c r="AW438" s="1826"/>
      <c r="AX438" s="1826"/>
      <c r="AY438" s="1826"/>
      <c r="AZ438" s="1826"/>
      <c r="BA438" s="1826"/>
      <c r="BB438" s="1826"/>
      <c r="BC438" s="1826"/>
      <c r="BD438" s="1826"/>
      <c r="BE438" s="1826"/>
      <c r="BF438" s="1826"/>
      <c r="BG438" s="1826"/>
      <c r="BH438" s="1826"/>
      <c r="BI438" s="1826"/>
    </row>
    <row r="439" spans="1:61" ht="19.5" customHeight="1">
      <c r="A439" s="734" t="s">
        <v>5657</v>
      </c>
      <c r="B439" s="734" t="s">
        <v>5658</v>
      </c>
      <c r="C439" s="735" t="s">
        <v>1967</v>
      </c>
      <c r="D439" s="734" t="s">
        <v>4867</v>
      </c>
      <c r="E439" s="1666" t="str">
        <f>VLOOKUP(F439,plasmids!$A$2:$B$891,2)</f>
        <v>AAV2-7m8</v>
      </c>
      <c r="F439" s="739">
        <v>178</v>
      </c>
      <c r="G439" s="1667"/>
      <c r="H439" s="1667" t="str">
        <f>VLOOKUP(I439,plasmids!$A$2:$B$891,2)</f>
        <v>sc-CAG-GFP</v>
      </c>
      <c r="I439" s="734">
        <v>120</v>
      </c>
      <c r="J439" s="744"/>
      <c r="K439" s="1668"/>
      <c r="L439" s="811"/>
      <c r="M439" s="737">
        <v>42111</v>
      </c>
      <c r="N439" s="738">
        <v>477</v>
      </c>
      <c r="O439" s="2602"/>
      <c r="P439" s="740" t="s">
        <v>5669</v>
      </c>
      <c r="Q439" s="1613">
        <v>1990000000000</v>
      </c>
      <c r="R439" s="3274">
        <v>450000000000</v>
      </c>
      <c r="S439" s="743">
        <f t="shared" si="0"/>
        <v>145048888888.88889</v>
      </c>
      <c r="T439" s="2222">
        <v>42150</v>
      </c>
      <c r="U439" s="2222">
        <v>42153</v>
      </c>
      <c r="V439" s="1666">
        <f>180-2-7-30-4</f>
        <v>137</v>
      </c>
      <c r="W439" s="733"/>
      <c r="X439" s="733"/>
      <c r="Y439" s="733"/>
      <c r="Z439" s="733"/>
      <c r="AA439" s="733"/>
      <c r="AB439" s="733"/>
      <c r="AC439" s="733"/>
      <c r="AD439" s="733"/>
      <c r="AE439" s="733"/>
      <c r="AF439" s="733"/>
      <c r="AG439" s="733"/>
      <c r="AH439" s="733"/>
      <c r="AI439" s="733"/>
      <c r="AJ439" s="733"/>
      <c r="AK439" s="733"/>
      <c r="AL439" s="733"/>
      <c r="AM439" s="733"/>
      <c r="AN439" s="733"/>
      <c r="AO439" s="733"/>
      <c r="AP439" s="733"/>
      <c r="AQ439" s="733"/>
      <c r="AR439" s="733"/>
      <c r="AS439" s="733"/>
      <c r="AT439" s="733"/>
      <c r="AU439" s="733"/>
      <c r="AV439" s="733"/>
      <c r="AW439" s="733"/>
      <c r="AX439" s="733"/>
      <c r="AY439" s="733"/>
      <c r="AZ439" s="733"/>
      <c r="BA439" s="733"/>
      <c r="BB439" s="733"/>
      <c r="BC439" s="733"/>
      <c r="BD439" s="733"/>
      <c r="BE439" s="733"/>
      <c r="BF439" s="733"/>
      <c r="BG439" s="733"/>
      <c r="BH439" s="733"/>
      <c r="BI439" s="733"/>
    </row>
    <row r="440" spans="1:61" ht="12">
      <c r="A440" s="2872" t="s">
        <v>707</v>
      </c>
      <c r="B440" s="2872" t="s">
        <v>3973</v>
      </c>
      <c r="C440" s="2873" t="s">
        <v>5065</v>
      </c>
      <c r="D440" s="2872" t="s">
        <v>568</v>
      </c>
      <c r="E440" s="2874" t="str">
        <f>VLOOKUP(F440,plasmids!$A$2:$B$891,2)</f>
        <v>pAAV2/8</v>
      </c>
      <c r="F440" s="2875">
        <v>122</v>
      </c>
      <c r="G440" s="2876"/>
      <c r="H440" s="2876" t="str">
        <f>VLOOKUP(I440,plasmids!$A$2:$B$891,2)</f>
        <v>pssAAV-mCAR-Jaws-GFP</v>
      </c>
      <c r="I440" s="2872">
        <v>89</v>
      </c>
      <c r="J440" s="2877"/>
      <c r="K440" s="2878">
        <v>41933</v>
      </c>
      <c r="L440" s="2878"/>
      <c r="M440" s="2879">
        <v>42118</v>
      </c>
      <c r="N440" s="2880">
        <v>478</v>
      </c>
      <c r="O440" s="2881"/>
      <c r="P440" s="2883"/>
      <c r="Q440" s="2885">
        <v>6920000000000</v>
      </c>
      <c r="R440" s="3267">
        <v>106000000000</v>
      </c>
      <c r="S440" s="2889">
        <f t="shared" si="0"/>
        <v>2141283018867.9243</v>
      </c>
      <c r="T440" s="2891">
        <v>42150</v>
      </c>
      <c r="U440" s="2877"/>
      <c r="V440" s="2881">
        <f>160-10-15-7-14-10-18-18</f>
        <v>68</v>
      </c>
      <c r="W440" s="2894"/>
      <c r="X440" s="2894"/>
      <c r="Y440" s="2894"/>
      <c r="Z440" s="2894"/>
      <c r="AA440" s="2894"/>
      <c r="AB440" s="2894"/>
      <c r="AC440" s="2894"/>
      <c r="AD440" s="2894"/>
      <c r="AE440" s="2894"/>
      <c r="AF440" s="2894"/>
      <c r="AG440" s="2894"/>
      <c r="AH440" s="2894"/>
      <c r="AI440" s="2894"/>
      <c r="AJ440" s="2894"/>
      <c r="AK440" s="2894"/>
      <c r="AL440" s="2894"/>
      <c r="AM440" s="2894"/>
      <c r="AN440" s="2894"/>
      <c r="AO440" s="2894"/>
      <c r="AP440" s="2894"/>
      <c r="AQ440" s="2894"/>
      <c r="AR440" s="2894"/>
      <c r="AS440" s="2894"/>
      <c r="AT440" s="2894"/>
      <c r="AU440" s="2894"/>
      <c r="AV440" s="2894"/>
      <c r="AW440" s="2894"/>
      <c r="AX440" s="2894"/>
      <c r="AY440" s="2894"/>
      <c r="AZ440" s="2894"/>
      <c r="BA440" s="2894"/>
      <c r="BB440" s="2894"/>
      <c r="BC440" s="2894"/>
      <c r="BD440" s="2894"/>
      <c r="BE440" s="2894"/>
      <c r="BF440" s="2894"/>
      <c r="BG440" s="2894"/>
      <c r="BH440" s="2894"/>
      <c r="BI440" s="2894"/>
    </row>
    <row r="441" spans="1:61" ht="12">
      <c r="A441" s="2872" t="s">
        <v>707</v>
      </c>
      <c r="B441" s="2872" t="s">
        <v>3973</v>
      </c>
      <c r="C441" s="2873" t="s">
        <v>1967</v>
      </c>
      <c r="D441" s="2872" t="s">
        <v>4867</v>
      </c>
      <c r="E441" s="2874" t="str">
        <f>VLOOKUP(F441,plasmids!$A$2:$B$891,2)</f>
        <v>pXR8 (Y447F Y733F T494V)</v>
      </c>
      <c r="F441" s="2875">
        <v>516</v>
      </c>
      <c r="G441" s="2876"/>
      <c r="H441" s="2876" t="str">
        <f>VLOOKUP(I441,plasmids!$A$2:$B$891,2)</f>
        <v>sc-CAG-GFP</v>
      </c>
      <c r="I441" s="2872">
        <v>120</v>
      </c>
      <c r="J441" s="2877"/>
      <c r="K441" s="3265"/>
      <c r="L441" s="2878"/>
      <c r="M441" s="2879">
        <v>42118</v>
      </c>
      <c r="N441" s="2880">
        <v>479</v>
      </c>
      <c r="O441" s="2881"/>
      <c r="P441" s="2883"/>
      <c r="Q441" s="2885">
        <v>23300000000000</v>
      </c>
      <c r="R441" s="3267">
        <v>106000000000</v>
      </c>
      <c r="S441" s="2889">
        <f t="shared" si="0"/>
        <v>7209811320754.7168</v>
      </c>
      <c r="T441" s="2891">
        <v>42150</v>
      </c>
      <c r="U441" s="2877"/>
      <c r="V441" s="2872">
        <v>140</v>
      </c>
      <c r="W441" s="2894"/>
      <c r="X441" s="2894"/>
      <c r="Y441" s="2894"/>
      <c r="Z441" s="2894"/>
      <c r="AA441" s="2894"/>
      <c r="AB441" s="2894"/>
      <c r="AC441" s="2894"/>
      <c r="AD441" s="2894"/>
      <c r="AE441" s="2894"/>
      <c r="AF441" s="2894"/>
      <c r="AG441" s="2894"/>
      <c r="AH441" s="2894"/>
      <c r="AI441" s="2894"/>
      <c r="AJ441" s="2894"/>
      <c r="AK441" s="2894"/>
      <c r="AL441" s="2894"/>
      <c r="AM441" s="2894"/>
      <c r="AN441" s="2894"/>
      <c r="AO441" s="2894"/>
      <c r="AP441" s="2894"/>
      <c r="AQ441" s="2894"/>
      <c r="AR441" s="2894"/>
      <c r="AS441" s="2894"/>
      <c r="AT441" s="2894"/>
      <c r="AU441" s="2894"/>
      <c r="AV441" s="2894"/>
      <c r="AW441" s="2894"/>
      <c r="AX441" s="2894"/>
      <c r="AY441" s="2894"/>
      <c r="AZ441" s="2894"/>
      <c r="BA441" s="2894"/>
      <c r="BB441" s="2894"/>
      <c r="BC441" s="2894"/>
      <c r="BD441" s="2894"/>
      <c r="BE441" s="2894"/>
      <c r="BF441" s="2894"/>
      <c r="BG441" s="2894"/>
      <c r="BH441" s="2894"/>
      <c r="BI441" s="2894"/>
    </row>
    <row r="442" spans="1:61" ht="24">
      <c r="A442" s="3024" t="s">
        <v>707</v>
      </c>
      <c r="B442" s="3024" t="s">
        <v>3973</v>
      </c>
      <c r="C442" s="3026" t="s">
        <v>1967</v>
      </c>
      <c r="D442" s="3024" t="s">
        <v>4867</v>
      </c>
      <c r="E442" s="3028" t="str">
        <f>VLOOKUP(F442,plasmids!$A$2:$B$891,2)</f>
        <v>AAV9 2YF</v>
      </c>
      <c r="F442" s="3029">
        <v>168</v>
      </c>
      <c r="G442" s="3031"/>
      <c r="H442" s="3031" t="str">
        <f>VLOOKUP(I442,plasmids!$A$2:$B$891,2)</f>
        <v xml:space="preserve">pTR-scCAG-RdCVFs </v>
      </c>
      <c r="I442" s="3024">
        <v>187</v>
      </c>
      <c r="J442" s="3034"/>
      <c r="K442" s="3289"/>
      <c r="L442" s="3036"/>
      <c r="M442" s="3038">
        <v>42118</v>
      </c>
      <c r="N442" s="3040">
        <v>480</v>
      </c>
      <c r="O442" s="3042"/>
      <c r="P442" s="3047" t="s">
        <v>5670</v>
      </c>
      <c r="Q442" s="3046">
        <v>31000000000000</v>
      </c>
      <c r="R442" s="3290">
        <v>106000000000</v>
      </c>
      <c r="S442" s="3050">
        <f t="shared" si="0"/>
        <v>9592452830188.6797</v>
      </c>
      <c r="T442" s="3052">
        <v>42150</v>
      </c>
      <c r="U442" s="3034"/>
      <c r="V442" s="3028">
        <f>150-110</f>
        <v>40</v>
      </c>
      <c r="W442" s="3056" t="s">
        <v>2812</v>
      </c>
      <c r="X442" s="3058"/>
      <c r="Y442" s="3058"/>
      <c r="Z442" s="3058"/>
      <c r="AA442" s="3058"/>
      <c r="AB442" s="3058"/>
      <c r="AC442" s="3058"/>
      <c r="AD442" s="3058"/>
      <c r="AE442" s="3058"/>
      <c r="AF442" s="3058"/>
      <c r="AG442" s="3058"/>
      <c r="AH442" s="3058"/>
      <c r="AI442" s="3058"/>
      <c r="AJ442" s="3058"/>
      <c r="AK442" s="3058"/>
      <c r="AL442" s="3058"/>
      <c r="AM442" s="3058"/>
      <c r="AN442" s="3058"/>
      <c r="AO442" s="3058"/>
      <c r="AP442" s="3058"/>
      <c r="AQ442" s="3058"/>
      <c r="AR442" s="3058"/>
      <c r="AS442" s="3058"/>
      <c r="AT442" s="3058"/>
      <c r="AU442" s="3058"/>
      <c r="AV442" s="3058"/>
      <c r="AW442" s="3058"/>
      <c r="AX442" s="3058"/>
      <c r="AY442" s="3058"/>
      <c r="AZ442" s="3058"/>
      <c r="BA442" s="3058"/>
      <c r="BB442" s="3058"/>
      <c r="BC442" s="3058"/>
      <c r="BD442" s="3058"/>
      <c r="BE442" s="3058"/>
      <c r="BF442" s="3058"/>
      <c r="BG442" s="3058"/>
      <c r="BH442" s="3058"/>
      <c r="BI442" s="3058"/>
    </row>
    <row r="443" spans="1:61" ht="12">
      <c r="A443" s="2872" t="s">
        <v>707</v>
      </c>
      <c r="B443" s="2872" t="s">
        <v>3973</v>
      </c>
      <c r="C443" s="2873" t="s">
        <v>1967</v>
      </c>
      <c r="D443" s="2872" t="s">
        <v>4867</v>
      </c>
      <c r="E443" s="2874" t="str">
        <f>VLOOKUP(F443,plasmids!$A$2:$B$891,2)</f>
        <v>AAV9 2YF</v>
      </c>
      <c r="F443" s="2875">
        <v>168</v>
      </c>
      <c r="G443" s="2876"/>
      <c r="H443" s="2876" t="str">
        <f>VLOOKUP(I443,plasmids!$A$2:$B$891,2)</f>
        <v>sc-CAG-GFP</v>
      </c>
      <c r="I443" s="2872">
        <v>120</v>
      </c>
      <c r="J443" s="2877"/>
      <c r="K443" s="3265"/>
      <c r="L443" s="2878"/>
      <c r="M443" s="2879">
        <v>42118</v>
      </c>
      <c r="N443" s="2880">
        <v>481</v>
      </c>
      <c r="O443" s="2881"/>
      <c r="P443" s="2883"/>
      <c r="Q443" s="2885">
        <v>6770000000000</v>
      </c>
      <c r="R443" s="3267">
        <v>106000000000</v>
      </c>
      <c r="S443" s="2889">
        <f t="shared" si="0"/>
        <v>2094867924528.3018</v>
      </c>
      <c r="T443" s="2891">
        <v>42150</v>
      </c>
      <c r="U443" s="2877"/>
      <c r="V443" s="2874">
        <f>170-28-28</f>
        <v>114</v>
      </c>
      <c r="W443" s="2894"/>
      <c r="X443" s="2894"/>
      <c r="Y443" s="2894"/>
      <c r="Z443" s="2894"/>
      <c r="AA443" s="2894"/>
      <c r="AB443" s="2894"/>
      <c r="AC443" s="2894"/>
      <c r="AD443" s="2894"/>
      <c r="AE443" s="2894"/>
      <c r="AF443" s="2894"/>
      <c r="AG443" s="2894"/>
      <c r="AH443" s="2894"/>
      <c r="AI443" s="2894"/>
      <c r="AJ443" s="2894"/>
      <c r="AK443" s="2894"/>
      <c r="AL443" s="2894"/>
      <c r="AM443" s="2894"/>
      <c r="AN443" s="2894"/>
      <c r="AO443" s="2894"/>
      <c r="AP443" s="2894"/>
      <c r="AQ443" s="2894"/>
      <c r="AR443" s="2894"/>
      <c r="AS443" s="2894"/>
      <c r="AT443" s="2894"/>
      <c r="AU443" s="2894"/>
      <c r="AV443" s="2894"/>
      <c r="AW443" s="2894"/>
      <c r="AX443" s="2894"/>
      <c r="AY443" s="2894"/>
      <c r="AZ443" s="2894"/>
      <c r="BA443" s="2894"/>
      <c r="BB443" s="2894"/>
      <c r="BC443" s="2894"/>
      <c r="BD443" s="2894"/>
      <c r="BE443" s="2894"/>
      <c r="BF443" s="2894"/>
      <c r="BG443" s="2894"/>
      <c r="BH443" s="2894"/>
      <c r="BI443" s="2894"/>
    </row>
    <row r="444" spans="1:61" ht="19.5" customHeight="1">
      <c r="A444" s="966" t="s">
        <v>2599</v>
      </c>
      <c r="B444" s="966" t="s">
        <v>4808</v>
      </c>
      <c r="C444" s="967" t="s">
        <v>178</v>
      </c>
      <c r="D444" s="966" t="s">
        <v>4809</v>
      </c>
      <c r="E444" s="2058" t="str">
        <f>VLOOKUP(F444,plasmids!$A$2:$B$891,2)</f>
        <v>AAV9 2YF</v>
      </c>
      <c r="F444" s="966">
        <v>168</v>
      </c>
      <c r="G444" s="2059"/>
      <c r="H444" s="2059" t="str">
        <f>VLOOKUP(I444,plasmids!$A$2:$B$1011,2)</f>
        <v>pAAV-hRho-eNpHR-EYFP</v>
      </c>
      <c r="I444" s="966">
        <v>392</v>
      </c>
      <c r="J444" s="978"/>
      <c r="K444" s="1614"/>
      <c r="L444" s="1496"/>
      <c r="M444" s="971">
        <v>42118</v>
      </c>
      <c r="N444" s="1055">
        <v>482</v>
      </c>
      <c r="O444" s="978"/>
      <c r="P444" s="978"/>
      <c r="Q444" s="1599">
        <v>4600000000000</v>
      </c>
      <c r="R444" s="3291">
        <v>106000000000</v>
      </c>
      <c r="S444" s="977">
        <f t="shared" si="0"/>
        <v>1423396226415.0942</v>
      </c>
      <c r="T444" s="2183">
        <v>42150</v>
      </c>
      <c r="U444" s="978"/>
      <c r="V444" s="966">
        <v>170</v>
      </c>
      <c r="W444" s="978"/>
      <c r="X444" s="966" t="s">
        <v>5671</v>
      </c>
      <c r="Y444" s="978"/>
      <c r="Z444" s="978"/>
      <c r="AA444" s="978"/>
      <c r="AB444" s="978"/>
      <c r="AC444" s="978"/>
      <c r="AD444" s="978"/>
      <c r="AE444" s="978"/>
      <c r="AF444" s="978"/>
      <c r="AG444" s="978"/>
      <c r="AH444" s="978"/>
      <c r="AI444" s="978"/>
      <c r="AJ444" s="978"/>
      <c r="AK444" s="978"/>
      <c r="AL444" s="978"/>
      <c r="AM444" s="978"/>
      <c r="AN444" s="978"/>
      <c r="AO444" s="978"/>
      <c r="AP444" s="978"/>
      <c r="AQ444" s="978"/>
      <c r="AR444" s="978"/>
      <c r="AS444" s="978"/>
      <c r="AT444" s="978"/>
      <c r="AU444" s="978"/>
      <c r="AV444" s="978"/>
      <c r="AW444" s="978"/>
      <c r="AX444" s="978"/>
      <c r="AY444" s="978"/>
      <c r="AZ444" s="978"/>
      <c r="BA444" s="978"/>
      <c r="BB444" s="978"/>
      <c r="BC444" s="978"/>
      <c r="BD444" s="978"/>
      <c r="BE444" s="978"/>
      <c r="BF444" s="978"/>
      <c r="BG444" s="978"/>
      <c r="BH444" s="978"/>
      <c r="BI444" s="978"/>
    </row>
    <row r="445" spans="1:61" ht="21.75" customHeight="1">
      <c r="A445" s="1785" t="s">
        <v>3891</v>
      </c>
      <c r="B445" s="1786" t="s">
        <v>3930</v>
      </c>
      <c r="C445" s="1787" t="s">
        <v>178</v>
      </c>
      <c r="D445" s="1786" t="s">
        <v>70</v>
      </c>
      <c r="E445" s="1788" t="str">
        <f>VLOOKUP(F445,plasmids!$A$2:$B$351,2)</f>
        <v>AAV2</v>
      </c>
      <c r="F445" s="1786">
        <v>140</v>
      </c>
      <c r="G445" s="2596"/>
      <c r="H445" s="2596" t="str">
        <f>VLOOKUP(I445,plasmids!$A$2:$B$940,2)</f>
        <v>pscAAV-CAG-SwitchR-TS-YFP</v>
      </c>
      <c r="I445" s="1786">
        <v>524</v>
      </c>
      <c r="J445" s="1790"/>
      <c r="K445" s="1791"/>
      <c r="L445" s="2785"/>
      <c r="M445" s="2695">
        <v>42118</v>
      </c>
      <c r="N445" s="4">
        <v>483</v>
      </c>
      <c r="O445" s="2632"/>
      <c r="P445" s="2651"/>
      <c r="Q445" s="2652">
        <v>3980000000000</v>
      </c>
      <c r="R445" s="1435">
        <v>106000000000</v>
      </c>
      <c r="S445" s="1800">
        <f t="shared" si="0"/>
        <v>1231547169811.3208</v>
      </c>
      <c r="T445" s="1802">
        <v>42150</v>
      </c>
      <c r="U445" s="1790"/>
      <c r="V445" s="2202">
        <v>160</v>
      </c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</row>
    <row r="446" spans="1:61" ht="12">
      <c r="A446" s="1786" t="s">
        <v>5672</v>
      </c>
      <c r="B446" s="1786" t="s">
        <v>5673</v>
      </c>
      <c r="C446" s="1787" t="s">
        <v>1967</v>
      </c>
      <c r="D446" s="1786" t="s">
        <v>70</v>
      </c>
      <c r="E446" s="1788" t="str">
        <f>VLOOKUP(F446,plasmids!$A$2:$B$891,2)</f>
        <v>AAV2</v>
      </c>
      <c r="F446" s="1798">
        <v>140</v>
      </c>
      <c r="G446" s="2596"/>
      <c r="H446" s="2596" t="str">
        <f>VLOOKUP(I446,plasmids!$A$2:$B$940,2)</f>
        <v>Alain cMyc</v>
      </c>
      <c r="I446" s="1786">
        <v>542</v>
      </c>
      <c r="J446" s="1790"/>
      <c r="K446" s="1791"/>
      <c r="L446" s="3292"/>
      <c r="M446" s="3293">
        <v>42118</v>
      </c>
      <c r="N446" s="8">
        <v>484</v>
      </c>
      <c r="O446" s="2632"/>
      <c r="P446" s="2651"/>
      <c r="Q446" s="2652">
        <v>50700000000000</v>
      </c>
      <c r="R446" s="1435">
        <v>106000000000</v>
      </c>
      <c r="S446" s="1800">
        <f t="shared" si="0"/>
        <v>15688301886792.453</v>
      </c>
      <c r="T446" s="1802">
        <v>42150</v>
      </c>
      <c r="U446" s="1790"/>
      <c r="V446" s="1798">
        <v>125</v>
      </c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</row>
    <row r="447" spans="1:61" ht="12">
      <c r="A447" s="1786" t="s">
        <v>5672</v>
      </c>
      <c r="B447" s="1786" t="s">
        <v>5673</v>
      </c>
      <c r="C447" s="1787" t="s">
        <v>1967</v>
      </c>
      <c r="D447" s="1786" t="s">
        <v>70</v>
      </c>
      <c r="E447" s="1788" t="str">
        <f>VLOOKUP(F447,plasmids!$A$2:$B$891,2)</f>
        <v>AAV2</v>
      </c>
      <c r="F447" s="1798">
        <v>140</v>
      </c>
      <c r="G447" s="2596"/>
      <c r="H447" s="2596" t="str">
        <f>VLOOKUP(I447,plasmids!$A$2:$B$940,2)</f>
        <v>Alain cntf</v>
      </c>
      <c r="I447" s="1786">
        <v>543</v>
      </c>
      <c r="J447" s="1790"/>
      <c r="K447" s="1791"/>
      <c r="L447" s="3292"/>
      <c r="M447" s="3293">
        <v>42118</v>
      </c>
      <c r="N447" s="8">
        <v>485</v>
      </c>
      <c r="O447" s="2632"/>
      <c r="P447" s="2651"/>
      <c r="Q447" s="2652">
        <v>26200000000000</v>
      </c>
      <c r="R447" s="1435">
        <v>106000000000</v>
      </c>
      <c r="S447" s="1800">
        <f t="shared" si="0"/>
        <v>8107169811320.7539</v>
      </c>
      <c r="T447" s="1802">
        <v>42150</v>
      </c>
      <c r="U447" s="1790"/>
      <c r="V447" s="1798">
        <v>155</v>
      </c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</row>
    <row r="448" spans="1:61" ht="21.75" customHeight="1">
      <c r="A448" s="2709" t="s">
        <v>707</v>
      </c>
      <c r="B448" s="2709" t="s">
        <v>3973</v>
      </c>
      <c r="C448" s="2710" t="s">
        <v>1967</v>
      </c>
      <c r="D448" s="2709" t="s">
        <v>5655</v>
      </c>
      <c r="E448" s="2718" t="str">
        <f>VLOOKUP(F448,plasmids!$A$2:$B$351,2)</f>
        <v>pAAV2/8</v>
      </c>
      <c r="F448" s="2720">
        <v>122</v>
      </c>
      <c r="G448" s="2721"/>
      <c r="H448" s="2721" t="str">
        <f>VLOOKUP(I448,plasmids!$A$2:$B$1191,2)</f>
        <v>pssAAV-mCAR-GFP</v>
      </c>
      <c r="I448" s="2709">
        <v>93</v>
      </c>
      <c r="J448" s="2738"/>
      <c r="K448" s="2724">
        <v>41919</v>
      </c>
      <c r="L448" s="2724"/>
      <c r="M448" s="2725">
        <v>42125</v>
      </c>
      <c r="N448" s="3294">
        <v>486</v>
      </c>
      <c r="O448" s="2720" t="s">
        <v>5674</v>
      </c>
      <c r="P448" s="2728"/>
      <c r="Q448" s="3295"/>
      <c r="R448" s="2728"/>
      <c r="S448" s="2734" t="e">
        <f t="shared" si="0"/>
        <v>#DIV/0!</v>
      </c>
      <c r="T448" s="2738"/>
      <c r="U448" s="2738"/>
      <c r="V448" s="3296"/>
      <c r="W448" s="2739"/>
      <c r="X448" s="2739"/>
      <c r="Y448" s="2739"/>
      <c r="Z448" s="2739"/>
      <c r="AA448" s="2739"/>
      <c r="AB448" s="2739"/>
      <c r="AC448" s="2739"/>
      <c r="AD448" s="2739"/>
      <c r="AE448" s="2739"/>
      <c r="AF448" s="2739"/>
      <c r="AG448" s="2739"/>
      <c r="AH448" s="2739"/>
      <c r="AI448" s="2739"/>
      <c r="AJ448" s="2739"/>
      <c r="AK448" s="2739"/>
      <c r="AL448" s="2739"/>
      <c r="AM448" s="2739"/>
      <c r="AN448" s="2739"/>
      <c r="AO448" s="2739"/>
      <c r="AP448" s="2739"/>
      <c r="AQ448" s="2739"/>
      <c r="AR448" s="2739"/>
      <c r="AS448" s="2739"/>
      <c r="AT448" s="2739"/>
      <c r="AU448" s="2739"/>
      <c r="AV448" s="2739"/>
      <c r="AW448" s="2739"/>
      <c r="AX448" s="2739"/>
      <c r="AY448" s="2739"/>
      <c r="AZ448" s="2739"/>
      <c r="BA448" s="2739"/>
      <c r="BB448" s="2739"/>
      <c r="BC448" s="2739"/>
      <c r="BD448" s="2739"/>
      <c r="BE448" s="2739"/>
      <c r="BF448" s="2739"/>
      <c r="BG448" s="2739"/>
      <c r="BH448" s="2739"/>
      <c r="BI448" s="2739"/>
    </row>
    <row r="449" spans="1:61" ht="21.75" customHeight="1">
      <c r="A449" s="2872" t="s">
        <v>707</v>
      </c>
      <c r="B449" s="2872" t="s">
        <v>3973</v>
      </c>
      <c r="C449" s="2873" t="s">
        <v>1967</v>
      </c>
      <c r="D449" s="2872" t="s">
        <v>4867</v>
      </c>
      <c r="E449" s="2874" t="str">
        <f>VLOOKUP(F449,plasmids!$A$2:$B$891,2)</f>
        <v>AAV9 2YF</v>
      </c>
      <c r="F449" s="2875">
        <v>168</v>
      </c>
      <c r="G449" s="2876"/>
      <c r="H449" s="2876" t="str">
        <f>VLOOKUP(I449,plasmids!$A$2:$B$891,2)</f>
        <v>pssAAV-mCAR-GFP</v>
      </c>
      <c r="I449" s="2872">
        <v>93</v>
      </c>
      <c r="J449" s="2877"/>
      <c r="K449" s="2878">
        <v>41919</v>
      </c>
      <c r="L449" s="2878"/>
      <c r="M449" s="2879">
        <v>42125</v>
      </c>
      <c r="N449" s="839">
        <v>487</v>
      </c>
      <c r="O449" s="2881"/>
      <c r="P449" s="2883"/>
      <c r="Q449" s="2885">
        <v>1470000000000000</v>
      </c>
      <c r="R449" s="3267">
        <v>10500000000</v>
      </c>
      <c r="S449" s="2889">
        <f t="shared" si="0"/>
        <v>4592000000000000</v>
      </c>
      <c r="T449" s="2891">
        <v>42150</v>
      </c>
      <c r="U449" s="2877"/>
      <c r="V449" s="3297">
        <f>170-8-2</f>
        <v>160</v>
      </c>
      <c r="W449" s="3250" t="s">
        <v>5638</v>
      </c>
      <c r="X449" s="2894"/>
      <c r="Y449" s="2894"/>
      <c r="Z449" s="2894"/>
      <c r="AA449" s="2894"/>
      <c r="AB449" s="2894"/>
      <c r="AC449" s="2894"/>
      <c r="AD449" s="2894"/>
      <c r="AE449" s="2894"/>
      <c r="AF449" s="2894"/>
      <c r="AG449" s="2894"/>
      <c r="AH449" s="2894"/>
      <c r="AI449" s="2894"/>
      <c r="AJ449" s="2894"/>
      <c r="AK449" s="2894"/>
      <c r="AL449" s="2894"/>
      <c r="AM449" s="2894"/>
      <c r="AN449" s="2894"/>
      <c r="AO449" s="2894"/>
      <c r="AP449" s="2894"/>
      <c r="AQ449" s="2894"/>
      <c r="AR449" s="2894"/>
      <c r="AS449" s="2894"/>
      <c r="AT449" s="2894"/>
      <c r="AU449" s="2894"/>
      <c r="AV449" s="2894"/>
      <c r="AW449" s="2894"/>
      <c r="AX449" s="2894"/>
      <c r="AY449" s="2894"/>
      <c r="AZ449" s="2894"/>
      <c r="BA449" s="2894"/>
      <c r="BB449" s="2894"/>
      <c r="BC449" s="2894"/>
      <c r="BD449" s="2894"/>
      <c r="BE449" s="2894"/>
      <c r="BF449" s="2894"/>
      <c r="BG449" s="2894"/>
      <c r="BH449" s="2894"/>
      <c r="BI449" s="2894"/>
    </row>
    <row r="450" spans="1:61" ht="12">
      <c r="A450" s="3298" t="s">
        <v>5675</v>
      </c>
      <c r="B450" s="3298" t="s">
        <v>1025</v>
      </c>
      <c r="C450" s="3299" t="s">
        <v>1967</v>
      </c>
      <c r="D450" s="3298" t="s">
        <v>70</v>
      </c>
      <c r="E450" s="3300" t="str">
        <f>VLOOKUP(F450,plasmids!$A$2:$B$891,2)</f>
        <v>AAV2</v>
      </c>
      <c r="F450" s="3301">
        <v>140</v>
      </c>
      <c r="G450" s="3302"/>
      <c r="H450" s="3302" t="str">
        <f>VLOOKUP(I450,plasmids!$A$2:$B$891,2)</f>
        <v>pscAAV-SNCG-GCAmp6s-pA</v>
      </c>
      <c r="I450" s="3298">
        <v>533</v>
      </c>
      <c r="J450" s="3303"/>
      <c r="K450" s="3304"/>
      <c r="L450" s="3305"/>
      <c r="M450" s="3306">
        <v>42125</v>
      </c>
      <c r="N450" s="3307">
        <v>488</v>
      </c>
      <c r="O450" s="3308"/>
      <c r="P450" s="3309"/>
      <c r="Q450" s="3310">
        <v>5970000000000</v>
      </c>
      <c r="R450" s="3311">
        <v>10500000000</v>
      </c>
      <c r="S450" s="3312">
        <f t="shared" si="0"/>
        <v>18649142857142.855</v>
      </c>
      <c r="T450" s="3313">
        <v>42150</v>
      </c>
      <c r="U450" s="3303"/>
      <c r="V450" s="3314"/>
      <c r="W450" s="3315"/>
      <c r="X450" s="3315"/>
      <c r="Y450" s="3315"/>
      <c r="Z450" s="3315"/>
      <c r="AA450" s="3315"/>
      <c r="AB450" s="3315"/>
      <c r="AC450" s="3315"/>
      <c r="AD450" s="3315"/>
      <c r="AE450" s="3315"/>
      <c r="AF450" s="3315"/>
      <c r="AG450" s="3315"/>
      <c r="AH450" s="3315"/>
      <c r="AI450" s="3315"/>
      <c r="AJ450" s="3315"/>
      <c r="AK450" s="3315"/>
      <c r="AL450" s="3315"/>
      <c r="AM450" s="3315"/>
      <c r="AN450" s="3315"/>
      <c r="AO450" s="3315"/>
      <c r="AP450" s="3315"/>
      <c r="AQ450" s="3315"/>
      <c r="AR450" s="3315"/>
      <c r="AS450" s="3315"/>
      <c r="AT450" s="3315"/>
      <c r="AU450" s="3315"/>
      <c r="AV450" s="3315"/>
      <c r="AW450" s="3315"/>
      <c r="AX450" s="3315"/>
      <c r="AY450" s="3315"/>
      <c r="AZ450" s="3315"/>
      <c r="BA450" s="3315"/>
      <c r="BB450" s="3315"/>
      <c r="BC450" s="3315"/>
      <c r="BD450" s="3315"/>
      <c r="BE450" s="3315"/>
      <c r="BF450" s="3315"/>
      <c r="BG450" s="3315"/>
      <c r="BH450" s="3315"/>
      <c r="BI450" s="3315"/>
    </row>
    <row r="451" spans="1:61" ht="12">
      <c r="A451" s="3316" t="s">
        <v>5675</v>
      </c>
      <c r="B451" s="3316" t="s">
        <v>1025</v>
      </c>
      <c r="C451" s="3317" t="s">
        <v>1967</v>
      </c>
      <c r="D451" s="3316" t="s">
        <v>70</v>
      </c>
      <c r="E451" s="3318" t="str">
        <f>VLOOKUP(F451,plasmids!$A$2:$B$891,2)</f>
        <v>AAV2-7m8</v>
      </c>
      <c r="F451" s="3319">
        <v>178</v>
      </c>
      <c r="G451" s="3264"/>
      <c r="H451" s="3264" t="str">
        <f>VLOOKUP(I451,plasmids!$A$2:$B$891,2)</f>
        <v>pscAAV-1xGrm6-GCamp6s-pA</v>
      </c>
      <c r="I451" s="3316">
        <v>517</v>
      </c>
      <c r="J451" s="3320"/>
      <c r="K451" s="3321"/>
      <c r="L451" s="3292"/>
      <c r="M451" s="3293">
        <v>42125</v>
      </c>
      <c r="N451" s="3322">
        <v>489</v>
      </c>
      <c r="O451" s="3323"/>
      <c r="P451" s="3324"/>
      <c r="Q451" s="3325">
        <v>4420000000000</v>
      </c>
      <c r="R451" s="3326">
        <v>10500000000</v>
      </c>
      <c r="S451" s="3327">
        <f t="shared" si="0"/>
        <v>13807238095238.096</v>
      </c>
      <c r="T451" s="3328">
        <v>42150</v>
      </c>
      <c r="U451" s="3320"/>
      <c r="V451" s="3316">
        <f>130-15-30</f>
        <v>85</v>
      </c>
      <c r="W451" s="3329"/>
      <c r="X451" s="3329"/>
      <c r="Y451" s="3329"/>
      <c r="Z451" s="3329"/>
      <c r="AA451" s="3329"/>
      <c r="AB451" s="3329"/>
      <c r="AC451" s="3329"/>
      <c r="AD451" s="3329"/>
      <c r="AE451" s="3329"/>
      <c r="AF451" s="3329"/>
      <c r="AG451" s="3329"/>
      <c r="AH451" s="3329"/>
      <c r="AI451" s="3329"/>
      <c r="AJ451" s="3329"/>
      <c r="AK451" s="3329"/>
      <c r="AL451" s="3329"/>
      <c r="AM451" s="3329"/>
      <c r="AN451" s="3329"/>
      <c r="AO451" s="3329"/>
      <c r="AP451" s="3329"/>
      <c r="AQ451" s="3329"/>
      <c r="AR451" s="3329"/>
      <c r="AS451" s="3329"/>
      <c r="AT451" s="3329"/>
      <c r="AU451" s="3329"/>
      <c r="AV451" s="3329"/>
      <c r="AW451" s="3329"/>
      <c r="AX451" s="3329"/>
      <c r="AY451" s="3329"/>
      <c r="AZ451" s="3329"/>
      <c r="BA451" s="3329"/>
      <c r="BB451" s="3329"/>
      <c r="BC451" s="3329"/>
      <c r="BD451" s="3329"/>
      <c r="BE451" s="3329"/>
      <c r="BF451" s="3329"/>
      <c r="BG451" s="3329"/>
      <c r="BH451" s="3329"/>
      <c r="BI451" s="3329"/>
    </row>
    <row r="452" spans="1:61" ht="21.75" customHeight="1">
      <c r="A452" s="3024" t="s">
        <v>707</v>
      </c>
      <c r="B452" s="3024" t="s">
        <v>3973</v>
      </c>
      <c r="C452" s="3026" t="s">
        <v>1967</v>
      </c>
      <c r="D452" s="3024" t="s">
        <v>5655</v>
      </c>
      <c r="E452" s="3028" t="str">
        <f>VLOOKUP(F452,plasmids!$A$2:$B$351,2)</f>
        <v>pAAV2/8</v>
      </c>
      <c r="F452" s="3029">
        <v>122</v>
      </c>
      <c r="G452" s="3031"/>
      <c r="H452" s="3031" t="str">
        <f>VLOOKUP(I452,plasmids!$A$2:$B$1191,2)</f>
        <v>pssAAV-mCAR-GFP</v>
      </c>
      <c r="I452" s="3024">
        <v>93</v>
      </c>
      <c r="J452" s="3034"/>
      <c r="K452" s="3036">
        <v>41919</v>
      </c>
      <c r="L452" s="3036"/>
      <c r="M452" s="3038">
        <v>42132</v>
      </c>
      <c r="N452" s="3330">
        <v>490</v>
      </c>
      <c r="O452" s="3042"/>
      <c r="P452" s="3044"/>
      <c r="Q452" s="3046">
        <v>9430000000000</v>
      </c>
      <c r="R452" s="3290">
        <v>48800000000</v>
      </c>
      <c r="S452" s="3050">
        <f t="shared" si="0"/>
        <v>6338196721311.4756</v>
      </c>
      <c r="T452" s="3052">
        <v>42150</v>
      </c>
      <c r="U452" s="3052">
        <v>42153</v>
      </c>
      <c r="V452" s="3331">
        <f>145-10-25-7-2-30-14-12</f>
        <v>45</v>
      </c>
      <c r="W452" s="3058"/>
      <c r="X452" s="3058"/>
      <c r="Y452" s="3058"/>
      <c r="Z452" s="3058"/>
      <c r="AA452" s="3058"/>
      <c r="AB452" s="3058"/>
      <c r="AC452" s="3058"/>
      <c r="AD452" s="3058"/>
      <c r="AE452" s="3058"/>
      <c r="AF452" s="3058"/>
      <c r="AG452" s="3058"/>
      <c r="AH452" s="3058"/>
      <c r="AI452" s="3058"/>
      <c r="AJ452" s="3058"/>
      <c r="AK452" s="3058"/>
      <c r="AL452" s="3058"/>
      <c r="AM452" s="3058"/>
      <c r="AN452" s="3058"/>
      <c r="AO452" s="3058"/>
      <c r="AP452" s="3058"/>
      <c r="AQ452" s="3058"/>
      <c r="AR452" s="3058"/>
      <c r="AS452" s="3058"/>
      <c r="AT452" s="3058"/>
      <c r="AU452" s="3058"/>
      <c r="AV452" s="3058"/>
      <c r="AW452" s="3058"/>
      <c r="AX452" s="3058"/>
      <c r="AY452" s="3058"/>
      <c r="AZ452" s="3058"/>
      <c r="BA452" s="3058"/>
      <c r="BB452" s="3058"/>
      <c r="BC452" s="3058"/>
      <c r="BD452" s="3058"/>
      <c r="BE452" s="3058"/>
      <c r="BF452" s="3058"/>
      <c r="BG452" s="3058"/>
      <c r="BH452" s="3058"/>
      <c r="BI452" s="3058"/>
    </row>
    <row r="453" spans="1:61" ht="21.75" customHeight="1">
      <c r="A453" s="3316" t="s">
        <v>5676</v>
      </c>
      <c r="B453" s="3316" t="s">
        <v>5677</v>
      </c>
      <c r="C453" s="3317" t="s">
        <v>1967</v>
      </c>
      <c r="D453" s="3316" t="s">
        <v>568</v>
      </c>
      <c r="E453" s="1788" t="str">
        <f>VLOOKUP(F453,plasmids!$A$2:$B$891,2)</f>
        <v>pXR8 Y447 733F</v>
      </c>
      <c r="F453" s="3319">
        <v>195</v>
      </c>
      <c r="G453" s="3317"/>
      <c r="H453" s="3317" t="s">
        <v>1072</v>
      </c>
      <c r="I453" s="3316">
        <v>532</v>
      </c>
      <c r="J453" s="3320"/>
      <c r="K453" s="3321"/>
      <c r="L453" s="1802"/>
      <c r="M453" s="1793">
        <v>42132</v>
      </c>
      <c r="N453" s="3322">
        <v>491</v>
      </c>
      <c r="O453" s="3323"/>
      <c r="P453" s="3324"/>
      <c r="Q453" s="3325">
        <v>518000000000000</v>
      </c>
      <c r="R453" s="1435">
        <v>48800000000</v>
      </c>
      <c r="S453" s="3327">
        <f t="shared" si="0"/>
        <v>348163934426229.5</v>
      </c>
      <c r="T453" s="3328">
        <v>42150</v>
      </c>
      <c r="U453" s="3320"/>
      <c r="V453" s="3332">
        <f>149-5-1.76-4.41-11.72</f>
        <v>126.11000000000001</v>
      </c>
      <c r="W453" s="3329"/>
      <c r="X453" s="3329"/>
      <c r="Y453" s="3329"/>
      <c r="Z453" s="3329"/>
      <c r="AA453" s="3329"/>
      <c r="AB453" s="3329"/>
      <c r="AC453" s="3329"/>
      <c r="AD453" s="3329"/>
      <c r="AE453" s="3329"/>
      <c r="AF453" s="3329"/>
      <c r="AG453" s="3329"/>
      <c r="AH453" s="3329"/>
      <c r="AI453" s="3329"/>
      <c r="AJ453" s="3329"/>
      <c r="AK453" s="3329"/>
      <c r="AL453" s="3329"/>
      <c r="AM453" s="3329"/>
      <c r="AN453" s="3329"/>
      <c r="AO453" s="3329"/>
      <c r="AP453" s="3329"/>
      <c r="AQ453" s="3329"/>
      <c r="AR453" s="3329"/>
      <c r="AS453" s="3329"/>
      <c r="AT453" s="3329"/>
      <c r="AU453" s="3329"/>
      <c r="AV453" s="3329"/>
      <c r="AW453" s="3329"/>
      <c r="AX453" s="3329"/>
      <c r="AY453" s="3329"/>
      <c r="AZ453" s="3329"/>
      <c r="BA453" s="3329"/>
      <c r="BB453" s="3329"/>
      <c r="BC453" s="3329"/>
      <c r="BD453" s="3329"/>
      <c r="BE453" s="3329"/>
      <c r="BF453" s="3329"/>
      <c r="BG453" s="3329"/>
      <c r="BH453" s="3329"/>
      <c r="BI453" s="3329"/>
    </row>
    <row r="454" spans="1:61" ht="12">
      <c r="A454" s="3316" t="s">
        <v>3891</v>
      </c>
      <c r="B454" s="3316" t="s">
        <v>5678</v>
      </c>
      <c r="C454" s="3317" t="s">
        <v>1967</v>
      </c>
      <c r="D454" s="3316" t="s">
        <v>4867</v>
      </c>
      <c r="E454" s="1788" t="str">
        <f>VLOOKUP(F454,plasmids!$A$2:$B$891,2)</f>
        <v>pXR8 Y447 733F</v>
      </c>
      <c r="F454" s="3319">
        <v>195</v>
      </c>
      <c r="G454" s="3264"/>
      <c r="H454" s="3264" t="str">
        <f>VLOOKUP(I454,plasmids!$A$2:$B$891,2)</f>
        <v>pssAAV-CAG-eNpHR-TAG-2A-Clm</v>
      </c>
      <c r="I454" s="3316">
        <v>515</v>
      </c>
      <c r="J454" s="3320"/>
      <c r="K454" s="3321"/>
      <c r="L454" s="1802"/>
      <c r="M454" s="1793">
        <v>42132</v>
      </c>
      <c r="N454" s="3322">
        <v>492</v>
      </c>
      <c r="O454" s="3323"/>
      <c r="P454" s="3324"/>
      <c r="Q454" s="3325">
        <v>19700000000000</v>
      </c>
      <c r="R454" s="1435">
        <v>48800000000</v>
      </c>
      <c r="S454" s="3327">
        <f t="shared" si="0"/>
        <v>13240983606557.377</v>
      </c>
      <c r="T454" s="3328">
        <v>42150</v>
      </c>
      <c r="U454" s="3320"/>
      <c r="V454" s="3316">
        <v>140</v>
      </c>
      <c r="W454" s="3333" t="s">
        <v>2812</v>
      </c>
      <c r="X454" s="3320"/>
      <c r="Y454" s="3320"/>
      <c r="Z454" s="3320"/>
      <c r="AA454" s="3320"/>
      <c r="AB454" s="3320"/>
      <c r="AC454" s="3320"/>
      <c r="AD454" s="3320"/>
      <c r="AE454" s="3320"/>
      <c r="AF454" s="3320"/>
      <c r="AG454" s="3320"/>
      <c r="AH454" s="3320"/>
      <c r="AI454" s="3320"/>
      <c r="AJ454" s="3320"/>
      <c r="AK454" s="3320"/>
      <c r="AL454" s="3320"/>
      <c r="AM454" s="3320"/>
      <c r="AN454" s="3320"/>
      <c r="AO454" s="3320"/>
      <c r="AP454" s="3320"/>
      <c r="AQ454" s="3320"/>
      <c r="AR454" s="3320"/>
      <c r="AS454" s="3320"/>
      <c r="AT454" s="3320"/>
      <c r="AU454" s="3320"/>
      <c r="AV454" s="3320"/>
      <c r="AW454" s="3320"/>
      <c r="AX454" s="3320"/>
      <c r="AY454" s="3320"/>
      <c r="AZ454" s="3320"/>
      <c r="BA454" s="3320"/>
      <c r="BB454" s="3320"/>
      <c r="BC454" s="3320"/>
      <c r="BD454" s="3320"/>
      <c r="BE454" s="3320"/>
      <c r="BF454" s="3320"/>
      <c r="BG454" s="3320"/>
      <c r="BH454" s="3320"/>
      <c r="BI454" s="3320"/>
    </row>
    <row r="455" spans="1:61" ht="21" customHeight="1">
      <c r="A455" s="1785" t="s">
        <v>3891</v>
      </c>
      <c r="B455" s="1786" t="s">
        <v>3930</v>
      </c>
      <c r="C455" s="1787" t="s">
        <v>178</v>
      </c>
      <c r="D455" s="1786" t="s">
        <v>70</v>
      </c>
      <c r="E455" s="1788" t="str">
        <f>VLOOKUP(F455,plasmids!$A$2:$B$351,2)</f>
        <v>AAV2</v>
      </c>
      <c r="F455" s="1786">
        <v>140</v>
      </c>
      <c r="G455" s="2596"/>
      <c r="H455" s="2596" t="str">
        <f>VLOOKUP(I455,plasmids!$A$2:$B$351,2)</f>
        <v>pAAV2-hSyn-ReaChR-Citrine</v>
      </c>
      <c r="I455" s="1786">
        <v>304</v>
      </c>
      <c r="J455" s="1790"/>
      <c r="K455" s="1791"/>
      <c r="L455" s="2785"/>
      <c r="M455" s="2695">
        <v>42132</v>
      </c>
      <c r="N455" s="4">
        <v>493</v>
      </c>
      <c r="O455" s="2632"/>
      <c r="P455" s="1624"/>
      <c r="Q455" s="3325">
        <v>25300000000000</v>
      </c>
      <c r="R455" s="1435">
        <v>48800000000</v>
      </c>
      <c r="S455" s="1800">
        <f t="shared" si="0"/>
        <v>17004918032786.885</v>
      </c>
      <c r="T455" s="1802">
        <v>42150</v>
      </c>
      <c r="U455" s="1790"/>
      <c r="V455" s="2202">
        <f>146-120</f>
        <v>26</v>
      </c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</row>
    <row r="456" spans="1:61" ht="24" customHeight="1">
      <c r="A456" s="3024" t="s">
        <v>707</v>
      </c>
      <c r="B456" s="3024" t="s">
        <v>3973</v>
      </c>
      <c r="C456" s="3026" t="s">
        <v>1967</v>
      </c>
      <c r="D456" s="3024" t="s">
        <v>4867</v>
      </c>
      <c r="E456" s="3028" t="str">
        <f>VLOOKUP(F456,plasmids!$A$2:$B$891,2)</f>
        <v>AAV9 2YF</v>
      </c>
      <c r="F456" s="3029">
        <v>168</v>
      </c>
      <c r="G456" s="3031"/>
      <c r="H456" s="3031" t="str">
        <f>VLOOKUP(I456,plasmids!$A$2:$B$891,2)</f>
        <v xml:space="preserve">pTR-scCAG-RdCVFs </v>
      </c>
      <c r="I456" s="3024">
        <v>187</v>
      </c>
      <c r="J456" s="3034"/>
      <c r="K456" s="3289"/>
      <c r="L456" s="3036"/>
      <c r="M456" s="3038">
        <v>42139</v>
      </c>
      <c r="N456" s="3040">
        <v>494</v>
      </c>
      <c r="O456" s="3029">
        <v>3</v>
      </c>
      <c r="P456" s="3047" t="s">
        <v>5670</v>
      </c>
      <c r="Q456" s="3046">
        <v>15200000000000</v>
      </c>
      <c r="R456" s="3290">
        <v>148000000000</v>
      </c>
      <c r="S456" s="3050">
        <f t="shared" si="0"/>
        <v>3368648648648.6489</v>
      </c>
      <c r="T456" s="3052">
        <v>42150</v>
      </c>
      <c r="U456" s="3334"/>
      <c r="V456" s="3024">
        <f>135-5</f>
        <v>130</v>
      </c>
      <c r="W456" s="3335" t="s">
        <v>2812</v>
      </c>
      <c r="X456" s="3058"/>
      <c r="Y456" s="3058"/>
      <c r="Z456" s="3058"/>
      <c r="AA456" s="3058"/>
      <c r="AB456" s="3058"/>
      <c r="AC456" s="3058"/>
      <c r="AD456" s="3058"/>
      <c r="AE456" s="3058"/>
      <c r="AF456" s="3058"/>
      <c r="AG456" s="3058"/>
      <c r="AH456" s="3058"/>
      <c r="AI456" s="3058"/>
      <c r="AJ456" s="3058"/>
      <c r="AK456" s="3058"/>
      <c r="AL456" s="3058"/>
      <c r="AM456" s="3058"/>
      <c r="AN456" s="3058"/>
      <c r="AO456" s="3058"/>
      <c r="AP456" s="3058"/>
      <c r="AQ456" s="3058"/>
      <c r="AR456" s="3058"/>
      <c r="AS456" s="3058"/>
      <c r="AT456" s="3058"/>
      <c r="AU456" s="3058"/>
      <c r="AV456" s="3058"/>
      <c r="AW456" s="3058"/>
      <c r="AX456" s="3058"/>
      <c r="AY456" s="3058"/>
      <c r="AZ456" s="3058"/>
      <c r="BA456" s="3058"/>
      <c r="BB456" s="3058"/>
      <c r="BC456" s="3058"/>
      <c r="BD456" s="3058"/>
      <c r="BE456" s="3058"/>
      <c r="BF456" s="3058"/>
      <c r="BG456" s="3058"/>
      <c r="BH456" s="3058"/>
      <c r="BI456" s="3058"/>
    </row>
    <row r="457" spans="1:61" ht="12">
      <c r="A457" s="1786" t="s">
        <v>3891</v>
      </c>
      <c r="B457" s="1786" t="s">
        <v>5678</v>
      </c>
      <c r="C457" s="1787" t="s">
        <v>1967</v>
      </c>
      <c r="D457" s="1786" t="s">
        <v>568</v>
      </c>
      <c r="E457" s="1788" t="str">
        <f>VLOOKUP(F457,plasmids!$A$2:$B$891,2)</f>
        <v>pXR8 Y447 733F</v>
      </c>
      <c r="F457" s="1786">
        <v>195</v>
      </c>
      <c r="G457" s="3264"/>
      <c r="H457" s="3264" t="str">
        <f>VLOOKUP(I457,plasmids!$A$2:$B$891,2)</f>
        <v>pssAAV-mCar-eNpHR-TAG-2A-Clm</v>
      </c>
      <c r="I457" s="1786">
        <v>508</v>
      </c>
      <c r="J457" s="1790"/>
      <c r="K457" s="1790"/>
      <c r="L457" s="1802"/>
      <c r="M457" s="1793">
        <v>42139</v>
      </c>
      <c r="N457" s="4">
        <v>495</v>
      </c>
      <c r="O457" s="1786">
        <v>3</v>
      </c>
      <c r="P457" s="1790"/>
      <c r="Q457" s="15">
        <v>4290000000000</v>
      </c>
      <c r="R457" s="1435">
        <v>148000000000</v>
      </c>
      <c r="S457" s="1800">
        <f t="shared" si="0"/>
        <v>950756756756.75684</v>
      </c>
      <c r="T457" s="1802">
        <v>42150</v>
      </c>
      <c r="U457" s="1790"/>
      <c r="V457" s="2255" t="s">
        <v>5679</v>
      </c>
      <c r="W457" s="1790"/>
      <c r="X457" s="1790"/>
      <c r="Y457" s="1790"/>
      <c r="Z457" s="1790"/>
      <c r="AA457" s="1790"/>
      <c r="AB457" s="1790"/>
      <c r="AC457" s="1790"/>
      <c r="AD457" s="1790"/>
      <c r="AE457" s="1790"/>
      <c r="AF457" s="1790"/>
      <c r="AG457" s="1790"/>
      <c r="AH457" s="1790"/>
      <c r="AI457" s="1790"/>
      <c r="AJ457" s="1790"/>
      <c r="AK457" s="1790"/>
      <c r="AL457" s="1790"/>
      <c r="AM457" s="1790"/>
      <c r="AN457" s="1790"/>
      <c r="AO457" s="1790"/>
      <c r="AP457" s="1790"/>
      <c r="AQ457" s="1790"/>
      <c r="AR457" s="1790"/>
      <c r="AS457" s="1790"/>
      <c r="AT457" s="1790"/>
      <c r="AU457" s="1790"/>
      <c r="AV457" s="1790"/>
      <c r="AW457" s="1790"/>
      <c r="AX457" s="1790"/>
      <c r="AY457" s="1790"/>
      <c r="AZ457" s="1790"/>
      <c r="BA457" s="1790"/>
      <c r="BB457" s="1790"/>
      <c r="BC457" s="1790"/>
      <c r="BD457" s="1790"/>
      <c r="BE457" s="1790"/>
      <c r="BF457" s="1790"/>
      <c r="BG457" s="1790"/>
      <c r="BH457" s="1790"/>
      <c r="BI457" s="1790"/>
    </row>
    <row r="458" spans="1:61" ht="20.25" customHeight="1">
      <c r="A458" s="1807" t="s">
        <v>707</v>
      </c>
      <c r="B458" s="1807" t="s">
        <v>5157</v>
      </c>
      <c r="C458" s="1808" t="s">
        <v>1967</v>
      </c>
      <c r="D458" s="1807" t="s">
        <v>4867</v>
      </c>
      <c r="E458" s="1810" t="str">
        <f>VLOOKUP(F458,plasmids!$A$2:$B$891,2)</f>
        <v>AAV2-7m8</v>
      </c>
      <c r="F458" s="1812">
        <v>178</v>
      </c>
      <c r="G458" s="1814"/>
      <c r="H458" s="1814" t="str">
        <f>VLOOKUP(I458,plasmids!$A$2:$B$891,2)</f>
        <v xml:space="preserve">pTR-scCAG-RdCVFs </v>
      </c>
      <c r="I458" s="1807">
        <v>187</v>
      </c>
      <c r="J458" s="1815"/>
      <c r="K458" s="1817"/>
      <c r="L458" s="1818"/>
      <c r="M458" s="1820">
        <v>42139</v>
      </c>
      <c r="N458" s="3336">
        <v>496</v>
      </c>
      <c r="O458" s="1812">
        <v>6</v>
      </c>
      <c r="P458" s="1823"/>
      <c r="Q458" s="1824">
        <v>2810000000000</v>
      </c>
      <c r="R458" s="3337">
        <v>148000000000</v>
      </c>
      <c r="S458" s="1825">
        <f t="shared" si="0"/>
        <v>622756756756.75684</v>
      </c>
      <c r="T458" s="3155">
        <v>42150</v>
      </c>
      <c r="U458" s="1815"/>
      <c r="V458" s="1807">
        <v>150</v>
      </c>
      <c r="W458" s="3338" t="s">
        <v>5680</v>
      </c>
      <c r="X458" s="3338" t="s">
        <v>5681</v>
      </c>
      <c r="Y458" s="1826"/>
      <c r="Z458" s="1826"/>
      <c r="AA458" s="1826"/>
      <c r="AB458" s="1826"/>
      <c r="AC458" s="1826"/>
      <c r="AD458" s="1826"/>
      <c r="AE458" s="1826"/>
      <c r="AF458" s="1826"/>
      <c r="AG458" s="1826"/>
      <c r="AH458" s="1826"/>
      <c r="AI458" s="1826"/>
      <c r="AJ458" s="1826"/>
      <c r="AK458" s="1826"/>
      <c r="AL458" s="1826"/>
      <c r="AM458" s="1826"/>
      <c r="AN458" s="1826"/>
      <c r="AO458" s="1826"/>
      <c r="AP458" s="1826"/>
      <c r="AQ458" s="1826"/>
      <c r="AR458" s="1826"/>
      <c r="AS458" s="1826"/>
      <c r="AT458" s="1826"/>
      <c r="AU458" s="1826"/>
      <c r="AV458" s="1826"/>
      <c r="AW458" s="1826"/>
      <c r="AX458" s="1826"/>
      <c r="AY458" s="1826"/>
      <c r="AZ458" s="1826"/>
      <c r="BA458" s="1826"/>
      <c r="BB458" s="1826"/>
      <c r="BC458" s="1826"/>
      <c r="BD458" s="1826"/>
      <c r="BE458" s="1826"/>
      <c r="BF458" s="1826"/>
      <c r="BG458" s="1826"/>
      <c r="BH458" s="1826"/>
      <c r="BI458" s="1826"/>
    </row>
    <row r="459" spans="1:61" ht="21.75" customHeight="1">
      <c r="A459" s="1786" t="s">
        <v>1701</v>
      </c>
      <c r="B459" s="1786" t="s">
        <v>5423</v>
      </c>
      <c r="C459" s="1787" t="s">
        <v>1967</v>
      </c>
      <c r="D459" s="1786" t="s">
        <v>5424</v>
      </c>
      <c r="E459" s="1788" t="str">
        <f>VLOOKUP(F459,plasmids!$A$2:$B$891,2)</f>
        <v>ShH10,1 Y444F</v>
      </c>
      <c r="F459" s="1798">
        <v>177</v>
      </c>
      <c r="G459" s="1789"/>
      <c r="H459" s="1789" t="str">
        <f>VLOOKUP(I459,plasmids!$A$2:$B$891,2)</f>
        <v>pTR-ssCMV-GFP-WPRE-bghpA</v>
      </c>
      <c r="I459" s="1786">
        <v>192</v>
      </c>
      <c r="J459" s="3320"/>
      <c r="K459" s="3321"/>
      <c r="L459" s="1802"/>
      <c r="M459" s="1793">
        <v>42139</v>
      </c>
      <c r="N459" s="3322">
        <v>497</v>
      </c>
      <c r="O459" s="3319">
        <v>6</v>
      </c>
      <c r="P459" s="3324"/>
      <c r="Q459" s="3325">
        <v>3160000000000</v>
      </c>
      <c r="R459" s="3339">
        <v>148000000000</v>
      </c>
      <c r="S459" s="3327">
        <f t="shared" si="0"/>
        <v>700324324324.32434</v>
      </c>
      <c r="T459" s="3328">
        <v>42150</v>
      </c>
      <c r="U459" s="3320"/>
      <c r="V459" s="3298">
        <v>140</v>
      </c>
      <c r="W459" s="3340"/>
      <c r="X459" s="3340" t="s">
        <v>5425</v>
      </c>
      <c r="Y459" s="3329"/>
      <c r="Z459" s="3329"/>
      <c r="AA459" s="3329"/>
      <c r="AB459" s="3329"/>
      <c r="AC459" s="3329"/>
      <c r="AD459" s="3329"/>
      <c r="AE459" s="3329"/>
      <c r="AF459" s="3329"/>
      <c r="AG459" s="3329"/>
      <c r="AH459" s="3329"/>
      <c r="AI459" s="3329"/>
      <c r="AJ459" s="3329"/>
      <c r="AK459" s="3329"/>
      <c r="AL459" s="3329"/>
      <c r="AM459" s="3329"/>
      <c r="AN459" s="3329"/>
      <c r="AO459" s="3329"/>
      <c r="AP459" s="3329"/>
      <c r="AQ459" s="3329"/>
      <c r="AR459" s="3329"/>
      <c r="AS459" s="3329"/>
      <c r="AT459" s="3329"/>
      <c r="AU459" s="3329"/>
      <c r="AV459" s="3329"/>
      <c r="AW459" s="3329"/>
      <c r="AX459" s="3329"/>
      <c r="AY459" s="3329"/>
      <c r="AZ459" s="3329"/>
      <c r="BA459" s="3329"/>
      <c r="BB459" s="3329"/>
      <c r="BC459" s="3329"/>
      <c r="BD459" s="3329"/>
      <c r="BE459" s="3329"/>
      <c r="BF459" s="3329"/>
      <c r="BG459" s="3329"/>
      <c r="BH459" s="3329"/>
      <c r="BI459" s="3329"/>
    </row>
    <row r="460" spans="1:61" ht="21.75" customHeight="1">
      <c r="A460" s="64" t="s">
        <v>3891</v>
      </c>
      <c r="B460" s="64" t="s">
        <v>4841</v>
      </c>
      <c r="C460" s="66" t="s">
        <v>1967</v>
      </c>
      <c r="D460" s="64" t="s">
        <v>568</v>
      </c>
      <c r="E460" s="2690" t="str">
        <f>VLOOKUP(F460,plasmids!$A$2:$B$891,2)</f>
        <v>pAAV2/8</v>
      </c>
      <c r="F460" s="67">
        <v>122</v>
      </c>
      <c r="G460" s="2339"/>
      <c r="H460" s="2339" t="str">
        <f>VLOOKUP(I460,plasmids!$A$2:$B$911,2)</f>
        <v>pssAAV-mCAr-SwichR-ReachR-Citrine</v>
      </c>
      <c r="I460" s="64">
        <v>432</v>
      </c>
      <c r="J460" s="84"/>
      <c r="K460" s="2691"/>
      <c r="L460" s="68"/>
      <c r="M460" s="70">
        <v>42139</v>
      </c>
      <c r="N460" s="71">
        <v>498</v>
      </c>
      <c r="O460" s="67">
        <v>3</v>
      </c>
      <c r="P460" s="78"/>
      <c r="Q460" s="2637">
        <v>7640000000000</v>
      </c>
      <c r="R460" s="3268">
        <v>148000000000</v>
      </c>
      <c r="S460" s="82">
        <f t="shared" si="0"/>
        <v>1693189189189.1892</v>
      </c>
      <c r="T460" s="2638">
        <v>42150</v>
      </c>
      <c r="U460" s="84"/>
      <c r="V460" s="67">
        <v>150</v>
      </c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  <c r="AG460" s="86"/>
      <c r="AH460" s="86"/>
      <c r="AI460" s="86"/>
      <c r="AJ460" s="86"/>
      <c r="AK460" s="86"/>
      <c r="AL460" s="86"/>
      <c r="AM460" s="86"/>
      <c r="AN460" s="86"/>
      <c r="AO460" s="86"/>
      <c r="AP460" s="86"/>
      <c r="AQ460" s="86"/>
      <c r="AR460" s="86"/>
      <c r="AS460" s="86"/>
      <c r="AT460" s="86"/>
      <c r="AU460" s="86"/>
      <c r="AV460" s="86"/>
      <c r="AW460" s="86"/>
      <c r="AX460" s="86"/>
      <c r="AY460" s="86"/>
      <c r="AZ460" s="86"/>
      <c r="BA460" s="86"/>
      <c r="BB460" s="86"/>
      <c r="BC460" s="86"/>
      <c r="BD460" s="86"/>
      <c r="BE460" s="86"/>
      <c r="BF460" s="86"/>
      <c r="BG460" s="86"/>
      <c r="BH460" s="86"/>
      <c r="BI460" s="86"/>
    </row>
    <row r="461" spans="1:61" ht="24">
      <c r="A461" s="3341" t="s">
        <v>2599</v>
      </c>
      <c r="B461" s="3341" t="s">
        <v>4808</v>
      </c>
      <c r="C461" s="3342" t="s">
        <v>178</v>
      </c>
      <c r="D461" s="3341" t="s">
        <v>4809</v>
      </c>
      <c r="E461" s="3343" t="str">
        <f>VLOOKUP(F461,plasmids!$A$2:$B$891,2)</f>
        <v>AAV9 2YF</v>
      </c>
      <c r="F461" s="3341">
        <v>168</v>
      </c>
      <c r="G461" s="3344"/>
      <c r="H461" s="3344" t="str">
        <f>VLOOKUP(I461,plasmids!$A$2:$B$1011,2)</f>
        <v>pAAV-hRho-eNpHR-EYFP</v>
      </c>
      <c r="I461" s="3341">
        <v>392</v>
      </c>
      <c r="J461" s="3345"/>
      <c r="K461" s="3346"/>
      <c r="L461" s="3347"/>
      <c r="M461" s="3348">
        <v>42139</v>
      </c>
      <c r="N461" s="3349">
        <v>499</v>
      </c>
      <c r="O461" s="3341">
        <v>3</v>
      </c>
      <c r="P461" s="3345"/>
      <c r="Q461" s="3350">
        <v>4130000000000</v>
      </c>
      <c r="R461" s="3351">
        <v>148000000000</v>
      </c>
      <c r="S461" s="3352">
        <f t="shared" si="0"/>
        <v>915297297297.29736</v>
      </c>
      <c r="T461" s="3353">
        <v>42150</v>
      </c>
      <c r="U461" s="978"/>
      <c r="V461" s="966">
        <v>140</v>
      </c>
      <c r="W461" s="3345"/>
      <c r="X461" s="3345"/>
      <c r="Y461" s="978"/>
      <c r="Z461" s="978"/>
      <c r="AA461" s="978"/>
      <c r="AB461" s="978"/>
      <c r="AC461" s="978"/>
      <c r="AD461" s="978"/>
      <c r="AE461" s="978"/>
      <c r="AF461" s="978"/>
      <c r="AG461" s="978"/>
      <c r="AH461" s="978"/>
      <c r="AI461" s="978"/>
      <c r="AJ461" s="978"/>
      <c r="AK461" s="978"/>
      <c r="AL461" s="978"/>
      <c r="AM461" s="978"/>
      <c r="AN461" s="978"/>
      <c r="AO461" s="978"/>
      <c r="AP461" s="978"/>
      <c r="AQ461" s="978"/>
      <c r="AR461" s="978"/>
      <c r="AS461" s="978"/>
      <c r="AT461" s="978"/>
      <c r="AU461" s="978"/>
      <c r="AV461" s="978"/>
      <c r="AW461" s="978"/>
      <c r="AX461" s="978"/>
      <c r="AY461" s="978"/>
      <c r="AZ461" s="978"/>
      <c r="BA461" s="978"/>
      <c r="BB461" s="978"/>
      <c r="BC461" s="978"/>
      <c r="BD461" s="978"/>
      <c r="BE461" s="978"/>
      <c r="BF461" s="978"/>
      <c r="BG461" s="978"/>
      <c r="BH461" s="978"/>
      <c r="BI461" s="978"/>
    </row>
    <row r="462" spans="1:61" ht="22.5" customHeight="1">
      <c r="A462" s="3354" t="s">
        <v>707</v>
      </c>
      <c r="B462" s="3354" t="s">
        <v>3973</v>
      </c>
      <c r="C462" s="3355" t="s">
        <v>1967</v>
      </c>
      <c r="D462" s="3354" t="s">
        <v>5655</v>
      </c>
      <c r="E462" s="3356" t="str">
        <f>VLOOKUP(F462,plasmids!$A$2:$B$891,2)</f>
        <v>AAV2-7m8</v>
      </c>
      <c r="F462" s="3357">
        <v>178</v>
      </c>
      <c r="G462" s="3358"/>
      <c r="H462" s="3358" t="str">
        <f>VLOOKUP(I462,plasmids!$A$2:$B$891,2)</f>
        <v>pssAAV-mCAR-eNphR-eYFP</v>
      </c>
      <c r="I462" s="3354">
        <v>92</v>
      </c>
      <c r="J462" s="3359"/>
      <c r="K462" s="3360"/>
      <c r="L462" s="3361"/>
      <c r="M462" s="3362">
        <v>42146</v>
      </c>
      <c r="N462" s="3363">
        <v>500</v>
      </c>
      <c r="O462" s="3357">
        <v>6</v>
      </c>
      <c r="P462" s="3364"/>
      <c r="Q462" s="3365">
        <v>10300000000000</v>
      </c>
      <c r="R462" s="3366">
        <v>15100000000</v>
      </c>
      <c r="S462" s="3367">
        <f t="shared" si="0"/>
        <v>22373509933774.836</v>
      </c>
      <c r="T462" s="3368">
        <v>42163</v>
      </c>
      <c r="U462" s="3369"/>
      <c r="V462" s="2875">
        <f>150-10</f>
        <v>140</v>
      </c>
      <c r="W462" s="3250" t="s">
        <v>5638</v>
      </c>
      <c r="X462" s="3370" t="s">
        <v>5682</v>
      </c>
      <c r="Y462" s="2894"/>
      <c r="Z462" s="2894"/>
      <c r="AA462" s="2894"/>
      <c r="AB462" s="2894"/>
      <c r="AC462" s="2894"/>
      <c r="AD462" s="2894"/>
      <c r="AE462" s="2894"/>
      <c r="AF462" s="2894"/>
      <c r="AG462" s="2894"/>
      <c r="AH462" s="2894"/>
      <c r="AI462" s="2894"/>
      <c r="AJ462" s="2894"/>
      <c r="AK462" s="2894"/>
      <c r="AL462" s="2894"/>
      <c r="AM462" s="2894"/>
      <c r="AN462" s="2894"/>
      <c r="AO462" s="2894"/>
      <c r="AP462" s="2894"/>
      <c r="AQ462" s="2894"/>
      <c r="AR462" s="2894"/>
      <c r="AS462" s="2894"/>
      <c r="AT462" s="2894"/>
      <c r="AU462" s="2894"/>
      <c r="AV462" s="2894"/>
      <c r="AW462" s="2894"/>
      <c r="AX462" s="2894"/>
      <c r="AY462" s="2894"/>
      <c r="AZ462" s="2894"/>
      <c r="BA462" s="2894"/>
      <c r="BB462" s="2894"/>
      <c r="BC462" s="2894"/>
      <c r="BD462" s="2894"/>
      <c r="BE462" s="2894"/>
      <c r="BF462" s="2894"/>
      <c r="BG462" s="2894"/>
      <c r="BH462" s="2894"/>
      <c r="BI462" s="2894"/>
    </row>
    <row r="463" spans="1:61" ht="27.75" customHeight="1">
      <c r="A463" s="1807" t="s">
        <v>707</v>
      </c>
      <c r="B463" s="1807" t="s">
        <v>5157</v>
      </c>
      <c r="C463" s="1808" t="s">
        <v>1967</v>
      </c>
      <c r="D463" s="1807" t="s">
        <v>4867</v>
      </c>
      <c r="E463" s="1810" t="str">
        <f>VLOOKUP(F463,plasmids!$A$2:$B$351,2)</f>
        <v>AAV2-7m8</v>
      </c>
      <c r="F463" s="1812">
        <v>178</v>
      </c>
      <c r="G463" s="1814"/>
      <c r="H463" s="1814" t="str">
        <f>VLOOKUP(I463,plasmids!$A$2:$B$1191,2)</f>
        <v>pscAAV-CAG-tdTomato-bghPA</v>
      </c>
      <c r="I463" s="1807">
        <v>454</v>
      </c>
      <c r="J463" s="1815"/>
      <c r="K463" s="1818">
        <v>41919</v>
      </c>
      <c r="L463" s="1818"/>
      <c r="M463" s="1820">
        <v>42146</v>
      </c>
      <c r="N463" s="1821">
        <v>501</v>
      </c>
      <c r="O463" s="1812">
        <v>6</v>
      </c>
      <c r="P463" s="1823"/>
      <c r="Q463" s="1824">
        <v>12700000000000</v>
      </c>
      <c r="R463" s="3154">
        <v>15100000000</v>
      </c>
      <c r="S463" s="1825">
        <f t="shared" si="0"/>
        <v>27586754966887.418</v>
      </c>
      <c r="T463" s="3155">
        <v>42163</v>
      </c>
      <c r="U463" s="1815"/>
      <c r="V463" s="3371">
        <f>165-7-35</f>
        <v>123</v>
      </c>
      <c r="W463" s="3372" t="s">
        <v>5683</v>
      </c>
      <c r="X463" s="3338" t="s">
        <v>5684</v>
      </c>
      <c r="Y463" s="1826"/>
      <c r="Z463" s="1826"/>
      <c r="AA463" s="1826"/>
      <c r="AB463" s="1826"/>
      <c r="AC463" s="1826"/>
      <c r="AD463" s="1826"/>
      <c r="AE463" s="1826"/>
      <c r="AF463" s="1826"/>
      <c r="AG463" s="1826"/>
      <c r="AH463" s="1826"/>
      <c r="AI463" s="1826"/>
      <c r="AJ463" s="1826"/>
      <c r="AK463" s="1826"/>
      <c r="AL463" s="1826"/>
      <c r="AM463" s="1826"/>
      <c r="AN463" s="1826"/>
      <c r="AO463" s="1826"/>
      <c r="AP463" s="1826"/>
      <c r="AQ463" s="1826"/>
      <c r="AR463" s="1826"/>
      <c r="AS463" s="1826"/>
      <c r="AT463" s="1826"/>
      <c r="AU463" s="1826"/>
      <c r="AV463" s="1826"/>
      <c r="AW463" s="1826"/>
      <c r="AX463" s="1826"/>
      <c r="AY463" s="1826"/>
      <c r="AZ463" s="1826"/>
      <c r="BA463" s="1826"/>
      <c r="BB463" s="1826"/>
      <c r="BC463" s="1826"/>
      <c r="BD463" s="1826"/>
      <c r="BE463" s="1826"/>
      <c r="BF463" s="1826"/>
      <c r="BG463" s="1826"/>
      <c r="BH463" s="1826"/>
      <c r="BI463" s="1826"/>
    </row>
    <row r="464" spans="1:61" ht="21" customHeight="1">
      <c r="A464" s="2872" t="s">
        <v>707</v>
      </c>
      <c r="B464" s="2872" t="s">
        <v>3973</v>
      </c>
      <c r="C464" s="2873" t="s">
        <v>1967</v>
      </c>
      <c r="D464" s="2872" t="s">
        <v>4867</v>
      </c>
      <c r="E464" s="2874" t="str">
        <f>VLOOKUP(F464,plasmids!$A$2:$B$891,2)</f>
        <v>AAV9 2YF</v>
      </c>
      <c r="F464" s="2875">
        <v>168</v>
      </c>
      <c r="G464" s="2876"/>
      <c r="H464" s="2876" t="str">
        <f>VLOOKUP(I464,plasmids!$A$2:$B$891,2)</f>
        <v>sc-CAG-GFP</v>
      </c>
      <c r="I464" s="2872">
        <v>120</v>
      </c>
      <c r="J464" s="2877"/>
      <c r="K464" s="3265"/>
      <c r="L464" s="2878"/>
      <c r="M464" s="2879">
        <v>42146</v>
      </c>
      <c r="N464" s="2880">
        <v>502</v>
      </c>
      <c r="O464" s="2875">
        <v>3</v>
      </c>
      <c r="P464" s="2887"/>
      <c r="Q464" s="2885">
        <v>34400000000000</v>
      </c>
      <c r="R464" s="3267">
        <v>15100000000</v>
      </c>
      <c r="S464" s="2889">
        <f t="shared" si="0"/>
        <v>74723178807947.016</v>
      </c>
      <c r="T464" s="2891">
        <v>42163</v>
      </c>
      <c r="U464" s="2877"/>
      <c r="V464" s="2872">
        <f>114-75</f>
        <v>39</v>
      </c>
      <c r="W464" s="3266" t="s">
        <v>5683</v>
      </c>
      <c r="X464" s="3373" t="s">
        <v>5685</v>
      </c>
      <c r="Y464" s="2894"/>
      <c r="Z464" s="2894"/>
      <c r="AA464" s="2894"/>
      <c r="AB464" s="2894"/>
      <c r="AC464" s="2894"/>
      <c r="AD464" s="2894"/>
      <c r="AE464" s="2894"/>
      <c r="AF464" s="2894"/>
      <c r="AG464" s="2894"/>
      <c r="AH464" s="2894"/>
      <c r="AI464" s="2894"/>
      <c r="AJ464" s="2894"/>
      <c r="AK464" s="2894"/>
      <c r="AL464" s="2894"/>
      <c r="AM464" s="2894"/>
      <c r="AN464" s="2894"/>
      <c r="AO464" s="2894"/>
      <c r="AP464" s="2894"/>
      <c r="AQ464" s="2894"/>
      <c r="AR464" s="2894"/>
      <c r="AS464" s="2894"/>
      <c r="AT464" s="2894"/>
      <c r="AU464" s="2894"/>
      <c r="AV464" s="2894"/>
      <c r="AW464" s="2894"/>
      <c r="AX464" s="2894"/>
      <c r="AY464" s="2894"/>
      <c r="AZ464" s="2894"/>
      <c r="BA464" s="2894"/>
      <c r="BB464" s="2894"/>
      <c r="BC464" s="2894"/>
      <c r="BD464" s="2894"/>
      <c r="BE464" s="2894"/>
      <c r="BF464" s="2894"/>
      <c r="BG464" s="2894"/>
      <c r="BH464" s="2894"/>
      <c r="BI464" s="2894"/>
    </row>
    <row r="465" spans="1:61" ht="18" customHeight="1">
      <c r="A465" s="3024" t="s">
        <v>707</v>
      </c>
      <c r="B465" s="3024" t="s">
        <v>3973</v>
      </c>
      <c r="C465" s="3026" t="s">
        <v>1967</v>
      </c>
      <c r="D465" s="3024" t="s">
        <v>4867</v>
      </c>
      <c r="E465" s="3028" t="str">
        <f>VLOOKUP(F465,plasmids!$A$2:$B$891,2)</f>
        <v>AAV9 2YF</v>
      </c>
      <c r="F465" s="3029">
        <v>168</v>
      </c>
      <c r="G465" s="3031"/>
      <c r="H465" s="3031" t="str">
        <f>VLOOKUP(I465,plasmids!$A$2:$B$891,2)</f>
        <v xml:space="preserve">pTR-scCAG-RdCVFs </v>
      </c>
      <c r="I465" s="3024">
        <v>187</v>
      </c>
      <c r="J465" s="3034"/>
      <c r="K465" s="3289"/>
      <c r="L465" s="3036"/>
      <c r="M465" s="3038">
        <v>42146</v>
      </c>
      <c r="N465" s="3040">
        <v>503</v>
      </c>
      <c r="O465" s="3029">
        <v>3</v>
      </c>
      <c r="P465" s="3047" t="s">
        <v>5686</v>
      </c>
      <c r="Q465" s="3046">
        <v>82100000000000</v>
      </c>
      <c r="R465" s="3290">
        <v>15100000000</v>
      </c>
      <c r="S465" s="3050">
        <f t="shared" si="0"/>
        <v>178336423841059.59</v>
      </c>
      <c r="T465" s="3052">
        <v>42163</v>
      </c>
      <c r="U465" s="3034"/>
      <c r="V465" s="3028">
        <f>150-110-16</f>
        <v>24</v>
      </c>
      <c r="W465" s="3056" t="s">
        <v>5687</v>
      </c>
      <c r="X465" s="3058"/>
      <c r="Y465" s="3058"/>
      <c r="Z465" s="3058"/>
      <c r="AA465" s="3058"/>
      <c r="AB465" s="3058"/>
      <c r="AC465" s="3058"/>
      <c r="AD465" s="3058"/>
      <c r="AE465" s="3058"/>
      <c r="AF465" s="3058"/>
      <c r="AG465" s="3058"/>
      <c r="AH465" s="3058"/>
      <c r="AI465" s="3058"/>
      <c r="AJ465" s="3058"/>
      <c r="AK465" s="3058"/>
      <c r="AL465" s="3058"/>
      <c r="AM465" s="3058"/>
      <c r="AN465" s="3058"/>
      <c r="AO465" s="3058"/>
      <c r="AP465" s="3058"/>
      <c r="AQ465" s="3058"/>
      <c r="AR465" s="3058"/>
      <c r="AS465" s="3058"/>
      <c r="AT465" s="3058"/>
      <c r="AU465" s="3058"/>
      <c r="AV465" s="3058"/>
      <c r="AW465" s="3058"/>
      <c r="AX465" s="3058"/>
      <c r="AY465" s="3058"/>
      <c r="AZ465" s="3058"/>
      <c r="BA465" s="3058"/>
      <c r="BB465" s="3058"/>
      <c r="BC465" s="3058"/>
      <c r="BD465" s="3058"/>
      <c r="BE465" s="3058"/>
      <c r="BF465" s="3058"/>
      <c r="BG465" s="3058"/>
      <c r="BH465" s="3058"/>
      <c r="BI465" s="3058"/>
    </row>
    <row r="466" spans="1:61" ht="24" customHeight="1">
      <c r="A466" s="135" t="s">
        <v>5688</v>
      </c>
      <c r="B466" s="135" t="s">
        <v>5689</v>
      </c>
      <c r="C466" s="137" t="s">
        <v>5065</v>
      </c>
      <c r="D466" s="135" t="s">
        <v>568</v>
      </c>
      <c r="E466" s="2657" t="str">
        <f>VLOOKUP(F466,plasmids!$A$2:$B$891,2)</f>
        <v>pAAV2/8</v>
      </c>
      <c r="F466" s="139">
        <v>122</v>
      </c>
      <c r="G466" s="2334"/>
      <c r="H466" s="2334" t="str">
        <f>VLOOKUP(I466,plasmids!$A$2:$B$891,2)</f>
        <v>pssAAV-mCAR-Jaws-GFP</v>
      </c>
      <c r="I466" s="135">
        <v>89</v>
      </c>
      <c r="J466" s="156"/>
      <c r="K466" s="1086">
        <v>41933</v>
      </c>
      <c r="L466" s="1086"/>
      <c r="M466" s="1087">
        <v>42146</v>
      </c>
      <c r="N466" s="145">
        <v>504</v>
      </c>
      <c r="O466" s="139">
        <v>3</v>
      </c>
      <c r="P466" s="1090"/>
      <c r="Q466" s="150">
        <v>371000000000000</v>
      </c>
      <c r="R466" s="3374">
        <v>15100000000</v>
      </c>
      <c r="S466" s="153">
        <f t="shared" si="0"/>
        <v>805880794701986.75</v>
      </c>
      <c r="T466" s="2337">
        <v>42163</v>
      </c>
      <c r="U466" s="156"/>
      <c r="V466" s="139">
        <f>165-33-27</f>
        <v>105</v>
      </c>
      <c r="W466" s="162" t="s">
        <v>5683</v>
      </c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  <c r="BG466" s="158"/>
      <c r="BH466" s="158"/>
      <c r="BI466" s="158"/>
    </row>
    <row r="467" spans="1:61" ht="26.25" customHeight="1">
      <c r="A467" s="2646" t="s">
        <v>5690</v>
      </c>
      <c r="B467" s="2646" t="s">
        <v>5691</v>
      </c>
      <c r="C467" s="2647" t="s">
        <v>1967</v>
      </c>
      <c r="D467" s="2646" t="s">
        <v>1247</v>
      </c>
      <c r="E467" s="3013" t="str">
        <f>VLOOKUP(F467,plasmids!$A$2:$B$891,2)</f>
        <v>pAAV2/9</v>
      </c>
      <c r="F467" s="2655">
        <v>123</v>
      </c>
      <c r="G467" s="2596"/>
      <c r="H467" s="2596" t="str">
        <f>VLOOKUP(I467,plasmids!$A$2:$B$891,2)</f>
        <v>sc-CAG-GFP</v>
      </c>
      <c r="I467" s="2646">
        <v>120</v>
      </c>
      <c r="J467" s="2648"/>
      <c r="K467" s="3147"/>
      <c r="L467" s="2654"/>
      <c r="M467" s="2695">
        <v>42146</v>
      </c>
      <c r="N467" s="2649">
        <v>505</v>
      </c>
      <c r="O467" s="2655">
        <v>3</v>
      </c>
      <c r="P467" s="2651"/>
      <c r="Q467" s="2652">
        <v>77100000000000</v>
      </c>
      <c r="R467" s="3011">
        <v>15100000000</v>
      </c>
      <c r="S467" s="2653">
        <f t="shared" si="0"/>
        <v>167475496688741.72</v>
      </c>
      <c r="T467" s="2654">
        <v>42163</v>
      </c>
      <c r="U467" s="2648"/>
      <c r="V467" s="3375">
        <v>70</v>
      </c>
      <c r="W467" s="3145" t="s">
        <v>5683</v>
      </c>
      <c r="X467" s="3150" t="s">
        <v>5692</v>
      </c>
      <c r="Y467" s="2656"/>
      <c r="Z467" s="2656"/>
      <c r="AA467" s="2656"/>
      <c r="AB467" s="2656"/>
      <c r="AC467" s="2656"/>
      <c r="AD467" s="2656"/>
      <c r="AE467" s="2656"/>
      <c r="AF467" s="2656"/>
      <c r="AG467" s="2656"/>
      <c r="AH467" s="2656"/>
      <c r="AI467" s="2656"/>
      <c r="AJ467" s="2656"/>
      <c r="AK467" s="2656"/>
      <c r="AL467" s="2656"/>
      <c r="AM467" s="2656"/>
      <c r="AN467" s="2656"/>
      <c r="AO467" s="2656"/>
      <c r="AP467" s="2656"/>
      <c r="AQ467" s="2656"/>
      <c r="AR467" s="2656"/>
      <c r="AS467" s="2656"/>
      <c r="AT467" s="2656"/>
      <c r="AU467" s="2656"/>
      <c r="AV467" s="2656"/>
      <c r="AW467" s="2656"/>
      <c r="AX467" s="2656"/>
      <c r="AY467" s="2656"/>
      <c r="AZ467" s="2656"/>
      <c r="BA467" s="2656"/>
      <c r="BB467" s="2656"/>
      <c r="BC467" s="2656"/>
      <c r="BD467" s="2656"/>
      <c r="BE467" s="2656"/>
      <c r="BF467" s="2656"/>
      <c r="BG467" s="2656"/>
      <c r="BH467" s="2656"/>
      <c r="BI467" s="2656"/>
    </row>
    <row r="468" spans="1:61" ht="27" customHeight="1">
      <c r="A468" s="64" t="s">
        <v>52</v>
      </c>
      <c r="B468" s="64" t="s">
        <v>177</v>
      </c>
      <c r="C468" s="66" t="s">
        <v>1967</v>
      </c>
      <c r="D468" s="64" t="s">
        <v>5547</v>
      </c>
      <c r="E468" s="2690" t="str">
        <f>VLOOKUP(F468,plasmids!$A$2:$B$351,2)</f>
        <v>AAV2-7m8</v>
      </c>
      <c r="F468" s="67">
        <v>178</v>
      </c>
      <c r="G468" s="2339"/>
      <c r="H468" s="2339" t="str">
        <f>VLOOKUP(I468,plasmids!$A$2:$B$1011,2)</f>
        <v>pAAV-hRho-Killer Red</v>
      </c>
      <c r="I468" s="64">
        <v>434</v>
      </c>
      <c r="J468" s="64" t="s">
        <v>1012</v>
      </c>
      <c r="K468" s="84"/>
      <c r="L468" s="2638"/>
      <c r="M468" s="70">
        <v>42153</v>
      </c>
      <c r="N468" s="1077">
        <v>506</v>
      </c>
      <c r="O468" s="64">
        <v>6</v>
      </c>
      <c r="P468" s="78"/>
      <c r="Q468" s="2637">
        <v>15900000000000</v>
      </c>
      <c r="R468" s="3268">
        <v>35400000000</v>
      </c>
      <c r="S468" s="82">
        <f t="shared" si="0"/>
        <v>14732203389830.508</v>
      </c>
      <c r="T468" s="2638">
        <v>42163</v>
      </c>
      <c r="U468" s="3376"/>
      <c r="V468" s="72">
        <f>155-54-54</f>
        <v>47</v>
      </c>
      <c r="W468" s="426" t="s">
        <v>5693</v>
      </c>
      <c r="X468" s="2692"/>
      <c r="Y468" s="72"/>
      <c r="Z468" s="78"/>
      <c r="AA468" s="78"/>
      <c r="AB468" s="78"/>
      <c r="AC468" s="78"/>
      <c r="AD468" s="84"/>
      <c r="AE468" s="67">
        <v>200</v>
      </c>
      <c r="AF468" s="86"/>
      <c r="AG468" s="86"/>
      <c r="AH468" s="86"/>
      <c r="AI468" s="86"/>
      <c r="AJ468" s="86"/>
      <c r="AK468" s="86"/>
      <c r="AL468" s="86"/>
      <c r="AM468" s="86"/>
      <c r="AN468" s="86"/>
      <c r="AO468" s="86"/>
      <c r="AP468" s="86"/>
      <c r="AQ468" s="86"/>
      <c r="AR468" s="86"/>
      <c r="AS468" s="86"/>
      <c r="AT468" s="86"/>
      <c r="AU468" s="86"/>
      <c r="AV468" s="86"/>
      <c r="AW468" s="86"/>
      <c r="AX468" s="86"/>
      <c r="AY468" s="86"/>
      <c r="AZ468" s="86"/>
      <c r="BA468" s="86"/>
      <c r="BB468" s="86"/>
      <c r="BC468" s="86"/>
      <c r="BD468" s="86"/>
      <c r="BE468" s="86"/>
      <c r="BF468" s="86"/>
      <c r="BG468" s="86"/>
      <c r="BH468" s="86"/>
      <c r="BI468" s="86"/>
    </row>
    <row r="469" spans="1:61" ht="12">
      <c r="A469" s="3377" t="s">
        <v>5209</v>
      </c>
      <c r="B469" s="3378" t="s">
        <v>1025</v>
      </c>
      <c r="C469" s="3379" t="s">
        <v>178</v>
      </c>
      <c r="D469" s="3378" t="s">
        <v>1088</v>
      </c>
      <c r="E469" s="3380" t="str">
        <f>VLOOKUP(F469,plasmids!$A$2:$B$351,2)</f>
        <v>AAV2-7m8</v>
      </c>
      <c r="F469" s="3378">
        <v>178</v>
      </c>
      <c r="G469" s="3381"/>
      <c r="H469" s="3381" t="str">
        <f>VLOOKUP(I469,plasmids!$A$2:$B$1191,2)</f>
        <v>pscAAV-CMV-GCaMP6s-BGHpA</v>
      </c>
      <c r="I469" s="3378">
        <v>293</v>
      </c>
      <c r="J469" s="3382"/>
      <c r="K469" s="3383"/>
      <c r="L469" s="3384"/>
      <c r="M469" s="3385">
        <v>42153</v>
      </c>
      <c r="N469" s="1461">
        <v>507</v>
      </c>
      <c r="O469" s="3386">
        <v>6</v>
      </c>
      <c r="P469" s="3387"/>
      <c r="Q469" s="3388">
        <v>18000000000000</v>
      </c>
      <c r="R469" s="3389">
        <v>35400000000</v>
      </c>
      <c r="S469" s="3390">
        <f t="shared" si="0"/>
        <v>16677966101694.916</v>
      </c>
      <c r="T469" s="3391">
        <v>42163</v>
      </c>
      <c r="U469" s="3382"/>
      <c r="V469" s="3392">
        <f>140</f>
        <v>140</v>
      </c>
      <c r="W469" s="3378" t="s">
        <v>5693</v>
      </c>
      <c r="X469" s="3393" t="s">
        <v>5694</v>
      </c>
      <c r="Y469" s="3394"/>
      <c r="Z469" s="3394"/>
      <c r="AA469" s="3394"/>
      <c r="AB469" s="3394"/>
      <c r="AC469" s="3394"/>
      <c r="AD469" s="3394"/>
      <c r="AE469" s="3394"/>
      <c r="AF469" s="3394"/>
      <c r="AG469" s="3394"/>
      <c r="AH469" s="3394"/>
      <c r="AI469" s="3394"/>
      <c r="AJ469" s="3394"/>
      <c r="AK469" s="3394"/>
      <c r="AL469" s="3394"/>
      <c r="AM469" s="3394"/>
      <c r="AN469" s="3394"/>
      <c r="AO469" s="3394"/>
      <c r="AP469" s="3394"/>
      <c r="AQ469" s="3394"/>
      <c r="AR469" s="3394"/>
      <c r="AS469" s="3394"/>
      <c r="AT469" s="3394"/>
      <c r="AU469" s="3394"/>
      <c r="AV469" s="3394"/>
      <c r="AW469" s="3394"/>
      <c r="AX469" s="3394"/>
      <c r="AY469" s="3394"/>
      <c r="AZ469" s="3394"/>
      <c r="BA469" s="3394"/>
      <c r="BB469" s="3394"/>
      <c r="BC469" s="3394"/>
      <c r="BD469" s="3394"/>
      <c r="BE469" s="3394"/>
      <c r="BF469" s="3394"/>
      <c r="BG469" s="3394"/>
      <c r="BH469" s="3394"/>
      <c r="BI469" s="3394"/>
    </row>
    <row r="470" spans="1:61" ht="24">
      <c r="A470" s="135" t="s">
        <v>734</v>
      </c>
      <c r="B470" s="135" t="s">
        <v>625</v>
      </c>
      <c r="C470" s="137" t="s">
        <v>626</v>
      </c>
      <c r="D470" s="135" t="s">
        <v>655</v>
      </c>
      <c r="E470" s="2657" t="str">
        <f>VLOOKUP(F470,plasmids!$A$2:$B$351,2)</f>
        <v>AAV2</v>
      </c>
      <c r="F470" s="139">
        <v>140</v>
      </c>
      <c r="G470" s="2334"/>
      <c r="H470" s="2334" t="str">
        <f>VLOOKUP(I470,plasmids!$A$2:$B$391,2)</f>
        <v>pTR-ssCMV-GFP-WPRE-bghpA</v>
      </c>
      <c r="I470" s="135">
        <v>192</v>
      </c>
      <c r="J470" s="135" t="s">
        <v>60</v>
      </c>
      <c r="K470" s="1086">
        <v>41943</v>
      </c>
      <c r="L470" s="1086"/>
      <c r="M470" s="1087">
        <v>42153</v>
      </c>
      <c r="N470" s="145">
        <v>508</v>
      </c>
      <c r="O470" s="139">
        <v>6</v>
      </c>
      <c r="P470" s="1090"/>
      <c r="Q470" s="150">
        <v>13000000000000</v>
      </c>
      <c r="R470" s="149">
        <v>35400000000</v>
      </c>
      <c r="S470" s="153">
        <f t="shared" si="0"/>
        <v>12045197740112.994</v>
      </c>
      <c r="T470" s="2337">
        <v>42163</v>
      </c>
      <c r="U470" s="156"/>
      <c r="V470" s="147">
        <f>150</f>
        <v>150</v>
      </c>
      <c r="W470" s="135" t="s">
        <v>5693</v>
      </c>
      <c r="X470" s="158"/>
      <c r="Y470" s="158"/>
      <c r="Z470" s="158"/>
      <c r="AA470" s="158"/>
      <c r="AB470" s="158"/>
      <c r="AC470" s="158"/>
      <c r="AD470" s="158"/>
      <c r="AE470" s="158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</row>
    <row r="471" spans="1:61" ht="12">
      <c r="A471" s="3377" t="s">
        <v>5209</v>
      </c>
      <c r="B471" s="3378" t="s">
        <v>1025</v>
      </c>
      <c r="C471" s="3379" t="s">
        <v>178</v>
      </c>
      <c r="D471" s="3378" t="s">
        <v>1088</v>
      </c>
      <c r="E471" s="3380" t="str">
        <f>VLOOKUP(F471,plasmids!$A$2:$B$351,2)</f>
        <v>AAV2-7m8</v>
      </c>
      <c r="F471" s="3378">
        <v>178</v>
      </c>
      <c r="G471" s="3381"/>
      <c r="H471" s="3381" t="str">
        <f>VLOOKUP(I471,plasmids!$A$2:$B$1191,2)</f>
        <v>pssAAV-CMV-hCatch-WPRE</v>
      </c>
      <c r="I471" s="3378">
        <v>556</v>
      </c>
      <c r="J471" s="3382"/>
      <c r="K471" s="3383"/>
      <c r="L471" s="3384"/>
      <c r="M471" s="3385">
        <v>42153</v>
      </c>
      <c r="N471" s="1461">
        <v>509</v>
      </c>
      <c r="O471" s="3386">
        <v>6</v>
      </c>
      <c r="P471" s="3387"/>
      <c r="Q471" s="3388">
        <v>137000000000</v>
      </c>
      <c r="R471" s="3389">
        <v>35400000000</v>
      </c>
      <c r="S471" s="3390">
        <f t="shared" si="0"/>
        <v>126937853107.34464</v>
      </c>
      <c r="T471" s="3391">
        <v>42163</v>
      </c>
      <c r="U471" s="3382"/>
      <c r="V471" s="3392">
        <f>135</f>
        <v>135</v>
      </c>
      <c r="W471" s="3378" t="s">
        <v>5693</v>
      </c>
      <c r="X471" s="3394"/>
      <c r="Y471" s="3394"/>
      <c r="Z471" s="3394"/>
      <c r="AA471" s="3394"/>
      <c r="AB471" s="3394"/>
      <c r="AC471" s="3394"/>
      <c r="AD471" s="3394"/>
      <c r="AE471" s="3394"/>
      <c r="AF471" s="3394"/>
      <c r="AG471" s="3394"/>
      <c r="AH471" s="3394"/>
      <c r="AI471" s="3394"/>
      <c r="AJ471" s="3394"/>
      <c r="AK471" s="3394"/>
      <c r="AL471" s="3394"/>
      <c r="AM471" s="3394"/>
      <c r="AN471" s="3394"/>
      <c r="AO471" s="3394"/>
      <c r="AP471" s="3394"/>
      <c r="AQ471" s="3394"/>
      <c r="AR471" s="3394"/>
      <c r="AS471" s="3394"/>
      <c r="AT471" s="3394"/>
      <c r="AU471" s="3394"/>
      <c r="AV471" s="3394"/>
      <c r="AW471" s="3394"/>
      <c r="AX471" s="3394"/>
      <c r="AY471" s="3394"/>
      <c r="AZ471" s="3394"/>
      <c r="BA471" s="3394"/>
      <c r="BB471" s="3394"/>
      <c r="BC471" s="3394"/>
      <c r="BD471" s="3394"/>
      <c r="BE471" s="3394"/>
      <c r="BF471" s="3394"/>
      <c r="BG471" s="3394"/>
      <c r="BH471" s="3394"/>
      <c r="BI471" s="3394"/>
    </row>
    <row r="472" spans="1:61" ht="19.5" customHeight="1">
      <c r="A472" s="778" t="s">
        <v>707</v>
      </c>
      <c r="B472" s="778" t="s">
        <v>2698</v>
      </c>
      <c r="C472" s="782" t="s">
        <v>178</v>
      </c>
      <c r="D472" s="778" t="s">
        <v>345</v>
      </c>
      <c r="E472" s="778" t="s">
        <v>363</v>
      </c>
      <c r="F472" s="778">
        <v>171</v>
      </c>
      <c r="G472" s="782"/>
      <c r="H472" s="782" t="s">
        <v>197</v>
      </c>
      <c r="I472" s="778">
        <v>120</v>
      </c>
      <c r="J472" s="778" t="s">
        <v>1675</v>
      </c>
      <c r="K472" s="1462" t="s">
        <v>2752</v>
      </c>
      <c r="L472" s="784"/>
      <c r="M472" s="786">
        <v>42153</v>
      </c>
      <c r="N472" s="788">
        <v>510</v>
      </c>
      <c r="O472" s="790">
        <v>6</v>
      </c>
      <c r="P472" s="1466"/>
      <c r="Q472" s="2586">
        <v>55400000000000</v>
      </c>
      <c r="R472" s="792">
        <v>35400000000</v>
      </c>
      <c r="S472" s="797">
        <f t="shared" si="0"/>
        <v>51331073446327.688</v>
      </c>
      <c r="T472" s="2587">
        <v>42163</v>
      </c>
      <c r="U472" s="799"/>
      <c r="V472" s="3395">
        <f>175-10-65</f>
        <v>100</v>
      </c>
      <c r="W472" s="778" t="s">
        <v>5693</v>
      </c>
      <c r="X472" s="807"/>
      <c r="Y472" s="809"/>
      <c r="Z472" s="809"/>
      <c r="AA472" s="809"/>
      <c r="AB472" s="809"/>
      <c r="AC472" s="809"/>
      <c r="AD472" s="809"/>
      <c r="AE472" s="809"/>
      <c r="AF472" s="809"/>
      <c r="AG472" s="234"/>
      <c r="AH472" s="234"/>
      <c r="AI472" s="234"/>
      <c r="AJ472" s="234"/>
      <c r="AK472" s="234"/>
      <c r="AL472" s="234"/>
      <c r="AM472" s="234"/>
      <c r="AN472" s="234"/>
      <c r="AO472" s="234"/>
      <c r="AP472" s="234"/>
      <c r="AQ472" s="234"/>
      <c r="AR472" s="234"/>
      <c r="AS472" s="234"/>
      <c r="AT472" s="234"/>
      <c r="AU472" s="234"/>
      <c r="AV472" s="234"/>
      <c r="AW472" s="234"/>
      <c r="AX472" s="234"/>
      <c r="AY472" s="234"/>
      <c r="AZ472" s="234"/>
      <c r="BA472" s="234"/>
      <c r="BB472" s="234"/>
      <c r="BC472" s="234"/>
      <c r="BD472" s="234"/>
      <c r="BE472" s="234"/>
      <c r="BF472" s="234"/>
      <c r="BG472" s="234"/>
      <c r="BH472" s="234"/>
      <c r="BI472" s="234"/>
    </row>
    <row r="473" spans="1:61" ht="24.75" customHeight="1">
      <c r="A473" s="470" t="s">
        <v>52</v>
      </c>
      <c r="B473" s="470" t="s">
        <v>139</v>
      </c>
      <c r="C473" s="1001" t="s">
        <v>178</v>
      </c>
      <c r="D473" s="470" t="s">
        <v>1029</v>
      </c>
      <c r="E473" s="470" t="s">
        <v>516</v>
      </c>
      <c r="F473" s="470">
        <v>140</v>
      </c>
      <c r="G473" s="1828"/>
      <c r="H473" s="1828" t="str">
        <f>VLOOKUP(I473,plasmids!$A$2:$B$891,2)</f>
        <v>pssAAV-CAG-ChrimsonR-tdTomato</v>
      </c>
      <c r="I473" s="470">
        <v>479</v>
      </c>
      <c r="J473" s="471"/>
      <c r="K473" s="471"/>
      <c r="L473" s="1830"/>
      <c r="M473" s="1005">
        <v>42153</v>
      </c>
      <c r="N473" s="781">
        <v>511</v>
      </c>
      <c r="O473" s="470">
        <v>6</v>
      </c>
      <c r="P473" s="466"/>
      <c r="Q473" s="1604">
        <v>10900000000000</v>
      </c>
      <c r="R473" s="462">
        <v>35400000000</v>
      </c>
      <c r="S473" s="468">
        <f t="shared" si="0"/>
        <v>10099435028248.588</v>
      </c>
      <c r="T473" s="1830">
        <v>42163</v>
      </c>
      <c r="U473" s="1830">
        <v>42256</v>
      </c>
      <c r="V473" s="2633">
        <f>150</f>
        <v>150</v>
      </c>
      <c r="W473" s="470" t="s">
        <v>5693</v>
      </c>
      <c r="X473" s="1011"/>
      <c r="Y473" s="1011"/>
      <c r="Z473" s="1011"/>
      <c r="AA473" s="1011"/>
      <c r="AB473" s="1011"/>
      <c r="AC473" s="1011"/>
      <c r="AD473" s="1011"/>
      <c r="AE473" s="1011"/>
      <c r="AF473" s="1011"/>
      <c r="AG473" s="1011"/>
      <c r="AH473" s="1011"/>
      <c r="AI473" s="1011"/>
      <c r="AJ473" s="1011"/>
      <c r="AK473" s="1011"/>
      <c r="AL473" s="1011"/>
      <c r="AM473" s="1011"/>
      <c r="AN473" s="1011"/>
      <c r="AO473" s="1011"/>
      <c r="AP473" s="1011"/>
      <c r="AQ473" s="1011"/>
      <c r="AR473" s="1011"/>
      <c r="AS473" s="1011"/>
      <c r="AT473" s="1011"/>
      <c r="AU473" s="1011"/>
      <c r="AV473" s="1011"/>
      <c r="AW473" s="1011"/>
      <c r="AX473" s="1011"/>
      <c r="AY473" s="1011"/>
      <c r="AZ473" s="1011"/>
      <c r="BA473" s="1011"/>
      <c r="BB473" s="1011"/>
      <c r="BC473" s="1011"/>
      <c r="BD473" s="1011"/>
      <c r="BE473" s="1011"/>
      <c r="BF473" s="1011"/>
      <c r="BG473" s="1011"/>
      <c r="BH473" s="1011"/>
      <c r="BI473" s="1011"/>
    </row>
    <row r="474" spans="1:61" ht="24">
      <c r="A474" s="3156" t="s">
        <v>52</v>
      </c>
      <c r="B474" s="3156" t="s">
        <v>5695</v>
      </c>
      <c r="C474" s="3157" t="s">
        <v>1967</v>
      </c>
      <c r="D474" s="3156" t="s">
        <v>5696</v>
      </c>
      <c r="E474" s="3159" t="str">
        <f>VLOOKUP(F474,plasmids!$A$2:$B$891,2)</f>
        <v>AAV2-7m8</v>
      </c>
      <c r="F474" s="3160">
        <v>178</v>
      </c>
      <c r="G474" s="3161"/>
      <c r="H474" s="3161" t="str">
        <f>VLOOKUP(I474,plasmids!$A$2:$B$891,2)</f>
        <v>ssAAV Ple155-emGFP-WPRE</v>
      </c>
      <c r="I474" s="3156">
        <v>446</v>
      </c>
      <c r="J474" s="3163"/>
      <c r="K474" s="3164"/>
      <c r="L474" s="3166"/>
      <c r="M474" s="3168">
        <v>42153</v>
      </c>
      <c r="N474" s="3169">
        <v>512</v>
      </c>
      <c r="O474" s="3160">
        <v>6</v>
      </c>
      <c r="P474" s="3172"/>
      <c r="Q474" s="3174">
        <v>26700000000000</v>
      </c>
      <c r="R474" s="3176">
        <v>35400000000</v>
      </c>
      <c r="S474" s="3178">
        <f t="shared" si="0"/>
        <v>24738983050847.457</v>
      </c>
      <c r="T474" s="3180">
        <v>42163</v>
      </c>
      <c r="U474" s="3163"/>
      <c r="V474" s="3159">
        <f>135-16</f>
        <v>119</v>
      </c>
      <c r="W474" s="3156" t="s">
        <v>5693</v>
      </c>
      <c r="X474" s="3182"/>
      <c r="Y474" s="3182"/>
      <c r="Z474" s="3182"/>
      <c r="AA474" s="3182"/>
      <c r="AB474" s="3182"/>
      <c r="AC474" s="3182"/>
      <c r="AD474" s="3182"/>
      <c r="AE474" s="3182"/>
      <c r="AF474" s="3182"/>
      <c r="AG474" s="3182"/>
      <c r="AH474" s="3182"/>
      <c r="AI474" s="3182"/>
      <c r="AJ474" s="3182"/>
      <c r="AK474" s="3182"/>
      <c r="AL474" s="3182"/>
      <c r="AM474" s="3182"/>
      <c r="AN474" s="3182"/>
      <c r="AO474" s="3182"/>
      <c r="AP474" s="3182"/>
      <c r="AQ474" s="3182"/>
      <c r="AR474" s="3182"/>
      <c r="AS474" s="3182"/>
      <c r="AT474" s="3182"/>
      <c r="AU474" s="3182"/>
      <c r="AV474" s="3182"/>
      <c r="AW474" s="3182"/>
      <c r="AX474" s="3182"/>
      <c r="AY474" s="3182"/>
      <c r="AZ474" s="3182"/>
      <c r="BA474" s="3182"/>
      <c r="BB474" s="3182"/>
      <c r="BC474" s="3182"/>
      <c r="BD474" s="3182"/>
      <c r="BE474" s="3182"/>
      <c r="BF474" s="3182"/>
      <c r="BG474" s="3182"/>
      <c r="BH474" s="3182"/>
      <c r="BI474" s="3182"/>
    </row>
    <row r="475" spans="1:61" ht="21" customHeight="1">
      <c r="A475" s="2872" t="s">
        <v>707</v>
      </c>
      <c r="B475" s="2872" t="s">
        <v>3973</v>
      </c>
      <c r="C475" s="2873" t="s">
        <v>5065</v>
      </c>
      <c r="D475" s="2872" t="s">
        <v>568</v>
      </c>
      <c r="E475" s="2874" t="str">
        <f>VLOOKUP(F475,plasmids!$A$2:$B$891,2)</f>
        <v>pAAV2/8</v>
      </c>
      <c r="F475" s="2875">
        <v>122</v>
      </c>
      <c r="G475" s="2876"/>
      <c r="H475" s="2876" t="str">
        <f>VLOOKUP(I475,plasmids!$A$2:$B$891,2)</f>
        <v>pssAAV-mCAR-Jaws-GFP</v>
      </c>
      <c r="I475" s="2872">
        <v>89</v>
      </c>
      <c r="J475" s="2877"/>
      <c r="K475" s="2878">
        <v>41933</v>
      </c>
      <c r="L475" s="2878"/>
      <c r="M475" s="2879">
        <v>42153</v>
      </c>
      <c r="N475" s="2880">
        <v>513</v>
      </c>
      <c r="O475" s="2875">
        <v>6</v>
      </c>
      <c r="P475" s="2883"/>
      <c r="Q475" s="2885">
        <v>575000000000000</v>
      </c>
      <c r="R475" s="3267">
        <v>35400000000</v>
      </c>
      <c r="S475" s="2889">
        <f t="shared" si="0"/>
        <v>532768361581920.94</v>
      </c>
      <c r="T475" s="2891">
        <v>42163</v>
      </c>
      <c r="U475" s="2877"/>
      <c r="V475" s="2881">
        <f>162-5</f>
        <v>157</v>
      </c>
      <c r="W475" s="3250" t="s">
        <v>5638</v>
      </c>
      <c r="X475" s="2894"/>
      <c r="Y475" s="2894"/>
      <c r="Z475" s="2894"/>
      <c r="AA475" s="2894"/>
      <c r="AB475" s="2894"/>
      <c r="AC475" s="2894"/>
      <c r="AD475" s="2894"/>
      <c r="AE475" s="2894"/>
      <c r="AF475" s="2894"/>
      <c r="AG475" s="2894"/>
      <c r="AH475" s="2894"/>
      <c r="AI475" s="2894"/>
      <c r="AJ475" s="2894"/>
      <c r="AK475" s="2894"/>
      <c r="AL475" s="2894"/>
      <c r="AM475" s="2894"/>
      <c r="AN475" s="2894"/>
      <c r="AO475" s="2894"/>
      <c r="AP475" s="2894"/>
      <c r="AQ475" s="2894"/>
      <c r="AR475" s="2894"/>
      <c r="AS475" s="2894"/>
      <c r="AT475" s="2894"/>
      <c r="AU475" s="2894"/>
      <c r="AV475" s="2894"/>
      <c r="AW475" s="2894"/>
      <c r="AX475" s="2894"/>
      <c r="AY475" s="2894"/>
      <c r="AZ475" s="2894"/>
      <c r="BA475" s="2894"/>
      <c r="BB475" s="2894"/>
      <c r="BC475" s="2894"/>
      <c r="BD475" s="2894"/>
      <c r="BE475" s="2894"/>
      <c r="BF475" s="2894"/>
      <c r="BG475" s="2894"/>
      <c r="BH475" s="2894"/>
      <c r="BI475" s="2894"/>
    </row>
    <row r="476" spans="1:61" ht="24">
      <c r="A476" s="557" t="s">
        <v>691</v>
      </c>
      <c r="B476" s="557" t="s">
        <v>2176</v>
      </c>
      <c r="C476" s="558" t="s">
        <v>178</v>
      </c>
      <c r="D476" s="557" t="s">
        <v>70</v>
      </c>
      <c r="E476" s="2791" t="str">
        <f>VLOOKUP(F476,plasmids!$A$2:$B$1191,2)</f>
        <v>ShH10,1 Y444F</v>
      </c>
      <c r="F476" s="557">
        <v>177</v>
      </c>
      <c r="G476" s="2792"/>
      <c r="H476" s="2792" t="str">
        <f>VLOOKUP(I476,plasmids!$A$2:$B$1191,2)</f>
        <v>sc-CAG-GFP</v>
      </c>
      <c r="I476" s="557">
        <v>120</v>
      </c>
      <c r="J476" s="557" t="s">
        <v>146</v>
      </c>
      <c r="K476" s="563" t="s">
        <v>2185</v>
      </c>
      <c r="L476" s="2793"/>
      <c r="M476" s="564">
        <v>42160</v>
      </c>
      <c r="N476" s="565">
        <v>514</v>
      </c>
      <c r="O476" s="3396">
        <v>6</v>
      </c>
      <c r="P476" s="569"/>
      <c r="Q476" s="2794">
        <v>9920000000000</v>
      </c>
      <c r="R476" s="3397">
        <v>295000000000</v>
      </c>
      <c r="S476" s="570">
        <f t="shared" si="0"/>
        <v>1102969491525.4236</v>
      </c>
      <c r="T476" s="2796">
        <v>42170</v>
      </c>
      <c r="U476" s="604"/>
      <c r="V476" s="2984">
        <v>140</v>
      </c>
      <c r="W476" s="576" t="s">
        <v>5693</v>
      </c>
      <c r="X476" s="576" t="s">
        <v>5697</v>
      </c>
      <c r="Y476" s="556"/>
      <c r="Z476" s="556"/>
      <c r="AA476" s="556"/>
      <c r="AB476" s="556"/>
      <c r="AC476" s="556"/>
      <c r="AD476" s="556"/>
      <c r="AE476" s="556"/>
      <c r="AF476" s="556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</row>
    <row r="477" spans="1:61" ht="24">
      <c r="A477" s="557" t="s">
        <v>691</v>
      </c>
      <c r="B477" s="557" t="s">
        <v>2176</v>
      </c>
      <c r="C477" s="558" t="s">
        <v>178</v>
      </c>
      <c r="D477" s="557" t="s">
        <v>70</v>
      </c>
      <c r="E477" s="2791" t="str">
        <f>VLOOKUP(F477,plasmids!$A$2:$B$1191,2)</f>
        <v>ShH10,1 Y444F</v>
      </c>
      <c r="F477" s="557">
        <v>177</v>
      </c>
      <c r="G477" s="2792"/>
      <c r="H477" s="2792" t="str">
        <f>VLOOKUP(I477,plasmids!$A$2:$B$1191,2)</f>
        <v>pTRBeta-SDH-CNTF</v>
      </c>
      <c r="I477" s="557">
        <v>200</v>
      </c>
      <c r="J477" s="557" t="s">
        <v>146</v>
      </c>
      <c r="K477" s="563" t="s">
        <v>2185</v>
      </c>
      <c r="L477" s="2793"/>
      <c r="M477" s="564">
        <v>42160</v>
      </c>
      <c r="N477" s="565">
        <v>515</v>
      </c>
      <c r="O477" s="3396">
        <v>6</v>
      </c>
      <c r="P477" s="569"/>
      <c r="Q477" s="2794">
        <v>20100000000000</v>
      </c>
      <c r="R477" s="3397">
        <v>295000000000</v>
      </c>
      <c r="S477" s="570">
        <f t="shared" si="0"/>
        <v>2234847457627.1187</v>
      </c>
      <c r="T477" s="2796">
        <v>42170</v>
      </c>
      <c r="U477" s="571"/>
      <c r="V477" s="2984">
        <v>145</v>
      </c>
      <c r="W477" s="576" t="s">
        <v>5693</v>
      </c>
      <c r="X477" s="576" t="s">
        <v>5698</v>
      </c>
      <c r="Y477" s="556"/>
      <c r="Z477" s="556"/>
      <c r="AA477" s="556"/>
      <c r="AB477" s="556"/>
      <c r="AC477" s="556"/>
      <c r="AD477" s="556"/>
      <c r="AE477" s="556"/>
      <c r="AF477" s="556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</row>
    <row r="478" spans="1:61" ht="22.5" customHeight="1">
      <c r="A478" s="3298" t="s">
        <v>5699</v>
      </c>
      <c r="B478" s="3298" t="s">
        <v>5700</v>
      </c>
      <c r="C478" s="3299" t="s">
        <v>5701</v>
      </c>
      <c r="D478" s="3298" t="s">
        <v>3032</v>
      </c>
      <c r="E478" s="3300" t="str">
        <f>VLOOKUP(F478,plasmids!$A$2:$B$891,2)</f>
        <v>AAV2-7m8</v>
      </c>
      <c r="F478" s="3301">
        <v>178</v>
      </c>
      <c r="G478" s="3302"/>
      <c r="H478" s="3302" t="str">
        <f>VLOOKUP(I478,plasmids!$A$2:$B$891,2)</f>
        <v>pssAAV-hSyn-ChR2(H134R)-GFP</v>
      </c>
      <c r="I478" s="3298">
        <v>557</v>
      </c>
      <c r="J478" s="3303"/>
      <c r="K478" s="3304"/>
      <c r="L478" s="3305"/>
      <c r="M478" s="3306">
        <v>42160</v>
      </c>
      <c r="N478" s="3307">
        <v>516</v>
      </c>
      <c r="O478" s="3301">
        <v>6</v>
      </c>
      <c r="P478" s="3309"/>
      <c r="Q478" s="3310">
        <v>52200000000000</v>
      </c>
      <c r="R478" s="3398">
        <v>295000000000</v>
      </c>
      <c r="S478" s="3312">
        <f t="shared" si="0"/>
        <v>5803932203389.8301</v>
      </c>
      <c r="T478" s="3313">
        <v>42170</v>
      </c>
      <c r="U478" s="3303"/>
      <c r="V478" s="3314">
        <v>155</v>
      </c>
      <c r="W478" s="3399" t="s">
        <v>5693</v>
      </c>
      <c r="X478" s="3399" t="s">
        <v>5702</v>
      </c>
      <c r="Y478" s="3399" t="s">
        <v>5703</v>
      </c>
      <c r="Z478" s="3315"/>
      <c r="AA478" s="3315"/>
      <c r="AB478" s="3315"/>
      <c r="AC478" s="3315"/>
      <c r="AD478" s="3315"/>
      <c r="AE478" s="3315"/>
      <c r="AF478" s="3315"/>
      <c r="AG478" s="3315"/>
      <c r="AH478" s="3315"/>
      <c r="AI478" s="3315"/>
      <c r="AJ478" s="3315"/>
      <c r="AK478" s="3315"/>
      <c r="AL478" s="3315"/>
      <c r="AM478" s="3315"/>
      <c r="AN478" s="3315"/>
      <c r="AO478" s="3315"/>
      <c r="AP478" s="3315"/>
      <c r="AQ478" s="3315"/>
      <c r="AR478" s="3315"/>
      <c r="AS478" s="3315"/>
      <c r="AT478" s="3315"/>
      <c r="AU478" s="3315"/>
      <c r="AV478" s="3315"/>
      <c r="AW478" s="3315"/>
      <c r="AX478" s="3315"/>
      <c r="AY478" s="3315"/>
      <c r="AZ478" s="3315"/>
      <c r="BA478" s="3315"/>
      <c r="BB478" s="3315"/>
      <c r="BC478" s="3315"/>
      <c r="BD478" s="3315"/>
      <c r="BE478" s="3315"/>
      <c r="BF478" s="3315"/>
      <c r="BG478" s="3315"/>
      <c r="BH478" s="3315"/>
      <c r="BI478" s="3315"/>
    </row>
    <row r="479" spans="1:61" ht="21" customHeight="1">
      <c r="A479" s="1807" t="s">
        <v>707</v>
      </c>
      <c r="B479" s="1807" t="s">
        <v>5157</v>
      </c>
      <c r="C479" s="1808" t="s">
        <v>1967</v>
      </c>
      <c r="D479" s="1807" t="s">
        <v>4867</v>
      </c>
      <c r="E479" s="1810" t="str">
        <f>VLOOKUP(F479,plasmids!$A$2:$B$891,2)</f>
        <v>AAV2-7m8</v>
      </c>
      <c r="F479" s="1812">
        <v>178</v>
      </c>
      <c r="G479" s="1814"/>
      <c r="H479" s="1814" t="str">
        <f>VLOOKUP(I479,plasmids!$A$2:$B$891,2)</f>
        <v xml:space="preserve">pTR-scCAG-RdCVFs </v>
      </c>
      <c r="I479" s="1807">
        <v>187</v>
      </c>
      <c r="J479" s="1815"/>
      <c r="K479" s="1818">
        <v>41919</v>
      </c>
      <c r="L479" s="1818"/>
      <c r="M479" s="1820">
        <v>42160</v>
      </c>
      <c r="N479" s="1821">
        <v>517</v>
      </c>
      <c r="O479" s="1812">
        <v>6</v>
      </c>
      <c r="P479" s="1823"/>
      <c r="Q479" s="1824">
        <v>9220000000000</v>
      </c>
      <c r="R479" s="3337">
        <v>295000000000</v>
      </c>
      <c r="S479" s="1825">
        <f t="shared" si="0"/>
        <v>1025138983050.8474</v>
      </c>
      <c r="T479" s="3155">
        <v>42170</v>
      </c>
      <c r="U479" s="1815"/>
      <c r="V479" s="3400">
        <f>135-1</f>
        <v>134</v>
      </c>
      <c r="W479" s="3338" t="s">
        <v>5693</v>
      </c>
      <c r="X479" s="1826"/>
      <c r="Y479" s="1826"/>
      <c r="Z479" s="1826"/>
      <c r="AA479" s="1826"/>
      <c r="AB479" s="1826"/>
      <c r="AC479" s="1826"/>
      <c r="AD479" s="1826"/>
      <c r="AE479" s="1826"/>
      <c r="AF479" s="1826"/>
      <c r="AG479" s="1826"/>
      <c r="AH479" s="1826"/>
      <c r="AI479" s="1826"/>
      <c r="AJ479" s="1826"/>
      <c r="AK479" s="1826"/>
      <c r="AL479" s="1826"/>
      <c r="AM479" s="1826"/>
      <c r="AN479" s="1826"/>
      <c r="AO479" s="1826"/>
      <c r="AP479" s="1826"/>
      <c r="AQ479" s="1826"/>
      <c r="AR479" s="1826"/>
      <c r="AS479" s="1826"/>
      <c r="AT479" s="1826"/>
      <c r="AU479" s="1826"/>
      <c r="AV479" s="1826"/>
      <c r="AW479" s="1826"/>
      <c r="AX479" s="1826"/>
      <c r="AY479" s="1826"/>
      <c r="AZ479" s="1826"/>
      <c r="BA479" s="1826"/>
      <c r="BB479" s="1826"/>
      <c r="BC479" s="1826"/>
      <c r="BD479" s="1826"/>
      <c r="BE479" s="1826"/>
      <c r="BF479" s="1826"/>
      <c r="BG479" s="1826"/>
      <c r="BH479" s="1826"/>
      <c r="BI479" s="1826"/>
    </row>
    <row r="480" spans="1:61" ht="22.5" customHeight="1">
      <c r="A480" s="2646" t="s">
        <v>5690</v>
      </c>
      <c r="B480" s="2646" t="s">
        <v>5691</v>
      </c>
      <c r="C480" s="2647" t="s">
        <v>1967</v>
      </c>
      <c r="D480" s="2646" t="s">
        <v>1247</v>
      </c>
      <c r="E480" s="3013" t="str">
        <f>VLOOKUP(F480,plasmids!$A$2:$B$891,2)</f>
        <v>ShH10,1 Y444F</v>
      </c>
      <c r="F480" s="2655">
        <v>177</v>
      </c>
      <c r="G480" s="2596"/>
      <c r="H480" s="2596" t="str">
        <f>VLOOKUP(I480,plasmids!$A$2:$B$891,2)</f>
        <v>sc-CAG-GFP</v>
      </c>
      <c r="I480" s="2646">
        <v>120</v>
      </c>
      <c r="J480" s="2648"/>
      <c r="K480" s="3147"/>
      <c r="L480" s="2654"/>
      <c r="M480" s="2695">
        <v>42160</v>
      </c>
      <c r="N480" s="2649">
        <v>518</v>
      </c>
      <c r="O480" s="2655">
        <v>6</v>
      </c>
      <c r="P480" s="2651"/>
      <c r="Q480" s="2652">
        <v>12800000000000</v>
      </c>
      <c r="R480" s="3401">
        <v>295000000000</v>
      </c>
      <c r="S480" s="2653">
        <f t="shared" si="0"/>
        <v>1423186440677.9661</v>
      </c>
      <c r="T480" s="2654">
        <v>42170</v>
      </c>
      <c r="U480" s="2648"/>
      <c r="V480" s="3375">
        <v>145</v>
      </c>
      <c r="W480" s="3150" t="s">
        <v>5693</v>
      </c>
      <c r="X480" s="1927" t="s">
        <v>5692</v>
      </c>
      <c r="Y480" s="2656"/>
      <c r="Z480" s="2656"/>
      <c r="AA480" s="2656"/>
      <c r="AB480" s="2656"/>
      <c r="AC480" s="2656"/>
      <c r="AD480" s="2656"/>
      <c r="AE480" s="2656"/>
      <c r="AF480" s="2656"/>
      <c r="AG480" s="2656"/>
      <c r="AH480" s="2656"/>
      <c r="AI480" s="2656"/>
      <c r="AJ480" s="2656"/>
      <c r="AK480" s="2656"/>
      <c r="AL480" s="2656"/>
      <c r="AM480" s="2656"/>
      <c r="AN480" s="2656"/>
      <c r="AO480" s="2656"/>
      <c r="AP480" s="2656"/>
      <c r="AQ480" s="2656"/>
      <c r="AR480" s="2656"/>
      <c r="AS480" s="2656"/>
      <c r="AT480" s="2656"/>
      <c r="AU480" s="2656"/>
      <c r="AV480" s="2656"/>
      <c r="AW480" s="2656"/>
      <c r="AX480" s="2656"/>
      <c r="AY480" s="2656"/>
      <c r="AZ480" s="2656"/>
      <c r="BA480" s="2656"/>
      <c r="BB480" s="2656"/>
      <c r="BC480" s="2656"/>
      <c r="BD480" s="2656"/>
      <c r="BE480" s="2656"/>
      <c r="BF480" s="2656"/>
      <c r="BG480" s="2656"/>
      <c r="BH480" s="2656"/>
      <c r="BI480" s="2656"/>
    </row>
    <row r="481" spans="1:61" ht="19.5" customHeight="1">
      <c r="A481" s="470" t="s">
        <v>52</v>
      </c>
      <c r="B481" s="470" t="s">
        <v>139</v>
      </c>
      <c r="C481" s="1001" t="s">
        <v>178</v>
      </c>
      <c r="D481" s="470" t="s">
        <v>1029</v>
      </c>
      <c r="E481" s="2633" t="str">
        <f>VLOOKUP(F481,plasmids!$A$2:$B$891,2)</f>
        <v>AAV2</v>
      </c>
      <c r="F481" s="470">
        <v>140</v>
      </c>
      <c r="G481" s="1828"/>
      <c r="H481" s="1828" t="str">
        <f>VLOOKUP(I481,plasmids!$A$2:$B$891,2)</f>
        <v>pssAAV-CAG-ChrimsonR-tdTomato</v>
      </c>
      <c r="I481" s="470">
        <v>479</v>
      </c>
      <c r="J481" s="471"/>
      <c r="K481" s="471"/>
      <c r="L481" s="1830"/>
      <c r="M481" s="1005">
        <v>42160</v>
      </c>
      <c r="N481" s="781">
        <v>519</v>
      </c>
      <c r="O481" s="470">
        <v>6</v>
      </c>
      <c r="P481" s="466"/>
      <c r="Q481" s="1604">
        <v>7690000000000</v>
      </c>
      <c r="R481" s="3402">
        <v>295000000000</v>
      </c>
      <c r="S481" s="3403">
        <f t="shared" si="0"/>
        <v>855023728813.55933</v>
      </c>
      <c r="T481" s="2914">
        <v>42170</v>
      </c>
      <c r="U481" s="471"/>
      <c r="V481" s="2910">
        <v>150</v>
      </c>
      <c r="W481" s="2910" t="s">
        <v>5693</v>
      </c>
      <c r="X481" s="1011"/>
      <c r="Y481" s="1011"/>
      <c r="Z481" s="1011"/>
      <c r="AA481" s="1011"/>
      <c r="AB481" s="1011"/>
      <c r="AC481" s="1011"/>
      <c r="AD481" s="1011"/>
      <c r="AE481" s="1011"/>
      <c r="AF481" s="1011"/>
      <c r="AG481" s="1011"/>
      <c r="AH481" s="1011"/>
      <c r="AI481" s="1011"/>
      <c r="AJ481" s="1011"/>
      <c r="AK481" s="1011"/>
      <c r="AL481" s="1011"/>
      <c r="AM481" s="1011"/>
      <c r="AN481" s="1011"/>
      <c r="AO481" s="1011"/>
      <c r="AP481" s="1011"/>
      <c r="AQ481" s="1011"/>
      <c r="AR481" s="1011"/>
      <c r="AS481" s="1011"/>
      <c r="AT481" s="1011"/>
      <c r="AU481" s="1011"/>
      <c r="AV481" s="1011"/>
      <c r="AW481" s="1011"/>
      <c r="AX481" s="1011"/>
      <c r="AY481" s="1011"/>
      <c r="AZ481" s="1011"/>
      <c r="BA481" s="1011"/>
      <c r="BB481" s="1011"/>
      <c r="BC481" s="1011"/>
      <c r="BD481" s="1011"/>
      <c r="BE481" s="1011"/>
      <c r="BF481" s="1011"/>
      <c r="BG481" s="1011"/>
      <c r="BH481" s="1011"/>
      <c r="BI481" s="1011"/>
    </row>
    <row r="482" spans="1:61" ht="24">
      <c r="A482" s="3404" t="s">
        <v>707</v>
      </c>
      <c r="B482" s="3404" t="s">
        <v>5704</v>
      </c>
      <c r="C482" s="3405" t="s">
        <v>1967</v>
      </c>
      <c r="D482" s="3404" t="s">
        <v>5655</v>
      </c>
      <c r="E482" s="3406" t="str">
        <f>VLOOKUP(F482,plasmids!$A$2:$B$891,2)</f>
        <v>AAV2-7m8</v>
      </c>
      <c r="F482" s="3407">
        <v>178</v>
      </c>
      <c r="G482" s="3408"/>
      <c r="H482" s="3408" t="str">
        <f>VLOOKUP(I482,plasmids!$A$2:$B$891,2)</f>
        <v>pAAV-GFP opsin rv right</v>
      </c>
      <c r="I482" s="3404">
        <v>272</v>
      </c>
      <c r="J482" s="3409"/>
      <c r="K482" s="3410"/>
      <c r="L482" s="3411"/>
      <c r="M482" s="3412">
        <v>42160</v>
      </c>
      <c r="N482" s="3413">
        <v>520</v>
      </c>
      <c r="O482" s="3407">
        <v>6</v>
      </c>
      <c r="P482" s="3414"/>
      <c r="Q482" s="3415">
        <v>12100000000000</v>
      </c>
      <c r="R482" s="3416">
        <v>295000000000</v>
      </c>
      <c r="S482" s="3417">
        <f t="shared" si="0"/>
        <v>1345355932203.3899</v>
      </c>
      <c r="T482" s="3418">
        <v>42170</v>
      </c>
      <c r="U482" s="3409"/>
      <c r="V482" s="3419">
        <f>145-92-26</f>
        <v>27</v>
      </c>
      <c r="W482" s="3420" t="s">
        <v>5693</v>
      </c>
      <c r="X482" s="3421"/>
      <c r="Y482" s="3421"/>
      <c r="Z482" s="3421"/>
      <c r="AA482" s="3421"/>
      <c r="AB482" s="3421"/>
      <c r="AC482" s="3421"/>
      <c r="AD482" s="3421"/>
      <c r="AE482" s="3421"/>
      <c r="AF482" s="3421"/>
      <c r="AG482" s="3421"/>
      <c r="AH482" s="3421"/>
      <c r="AI482" s="3421"/>
      <c r="AJ482" s="3421"/>
      <c r="AK482" s="3421"/>
      <c r="AL482" s="3421"/>
      <c r="AM482" s="3421"/>
      <c r="AN482" s="3421"/>
      <c r="AO482" s="3421"/>
      <c r="AP482" s="3421"/>
      <c r="AQ482" s="3421"/>
      <c r="AR482" s="3421"/>
      <c r="AS482" s="3421"/>
      <c r="AT482" s="3421"/>
      <c r="AU482" s="3421"/>
      <c r="AV482" s="3421"/>
      <c r="AW482" s="3421"/>
      <c r="AX482" s="3421"/>
      <c r="AY482" s="3421"/>
      <c r="AZ482" s="3421"/>
      <c r="BA482" s="3421"/>
      <c r="BB482" s="3421"/>
      <c r="BC482" s="3421"/>
      <c r="BD482" s="3421"/>
      <c r="BE482" s="3421"/>
      <c r="BF482" s="3421"/>
      <c r="BG482" s="3421"/>
      <c r="BH482" s="3421"/>
      <c r="BI482" s="3421"/>
    </row>
    <row r="483" spans="1:61" ht="39">
      <c r="A483" s="3422" t="s">
        <v>707</v>
      </c>
      <c r="B483" s="3422" t="s">
        <v>5704</v>
      </c>
      <c r="C483" s="3423" t="s">
        <v>1967</v>
      </c>
      <c r="D483" s="3422" t="s">
        <v>5655</v>
      </c>
      <c r="E483" s="3424" t="str">
        <f>VLOOKUP(F483,plasmids!$A$2:$B$891,2)</f>
        <v>AAV2-7m8</v>
      </c>
      <c r="F483" s="3425">
        <v>178</v>
      </c>
      <c r="G483" s="3426"/>
      <c r="H483" s="3426" t="str">
        <f>VLOOKUP(I483,plasmids!$A$2:$B$891,2)</f>
        <v>pAAV-sshCAr-eGFP</v>
      </c>
      <c r="I483" s="3422">
        <v>301</v>
      </c>
      <c r="J483" s="3255"/>
      <c r="K483" s="3427"/>
      <c r="L483" s="3428"/>
      <c r="M483" s="3429">
        <v>42160</v>
      </c>
      <c r="N483" s="3430">
        <v>521</v>
      </c>
      <c r="O483" s="3425">
        <v>6</v>
      </c>
      <c r="P483" s="3431"/>
      <c r="Q483" s="3432">
        <v>19000000000000</v>
      </c>
      <c r="R483" s="3433">
        <v>295000000000</v>
      </c>
      <c r="S483" s="3434">
        <f t="shared" si="0"/>
        <v>2112542372881.356</v>
      </c>
      <c r="T483" s="3435">
        <v>42170</v>
      </c>
      <c r="U483" s="3255"/>
      <c r="V483" s="3436">
        <v>50</v>
      </c>
      <c r="W483" s="3250" t="s">
        <v>5705</v>
      </c>
      <c r="X483" s="3437"/>
      <c r="Y483" s="3437"/>
      <c r="Z483" s="3437"/>
      <c r="AA483" s="3437"/>
      <c r="AB483" s="3437"/>
      <c r="AC483" s="3437"/>
      <c r="AD483" s="3437"/>
      <c r="AE483" s="3437"/>
      <c r="AF483" s="3437"/>
      <c r="AG483" s="3437"/>
      <c r="AH483" s="3437"/>
      <c r="AI483" s="3437"/>
      <c r="AJ483" s="3437"/>
      <c r="AK483" s="3437"/>
      <c r="AL483" s="3437"/>
      <c r="AM483" s="3437"/>
      <c r="AN483" s="3437"/>
      <c r="AO483" s="3437"/>
      <c r="AP483" s="3437"/>
      <c r="AQ483" s="3437"/>
      <c r="AR483" s="3437"/>
      <c r="AS483" s="3437"/>
      <c r="AT483" s="3437"/>
      <c r="AU483" s="3437"/>
      <c r="AV483" s="3437"/>
      <c r="AW483" s="3437"/>
      <c r="AX483" s="3437"/>
      <c r="AY483" s="3437"/>
      <c r="AZ483" s="3437"/>
      <c r="BA483" s="3437"/>
      <c r="BB483" s="3437"/>
      <c r="BC483" s="3437"/>
      <c r="BD483" s="3437"/>
      <c r="BE483" s="3437"/>
      <c r="BF483" s="3437"/>
      <c r="BG483" s="3437"/>
      <c r="BH483" s="3437"/>
      <c r="BI483" s="3437"/>
    </row>
    <row r="484" spans="1:61" ht="24">
      <c r="A484" s="29" t="s">
        <v>52</v>
      </c>
      <c r="B484" s="29" t="s">
        <v>54</v>
      </c>
      <c r="C484" s="31" t="s">
        <v>55</v>
      </c>
      <c r="D484" s="29" t="s">
        <v>57</v>
      </c>
      <c r="E484" s="29" t="s">
        <v>58</v>
      </c>
      <c r="F484" s="29">
        <v>178</v>
      </c>
      <c r="G484" s="31"/>
      <c r="H484" s="31" t="s">
        <v>59</v>
      </c>
      <c r="I484" s="29">
        <v>93</v>
      </c>
      <c r="J484" s="29" t="s">
        <v>2340</v>
      </c>
      <c r="K484" s="36" t="s">
        <v>2341</v>
      </c>
      <c r="L484" s="3438"/>
      <c r="M484" s="38" t="s">
        <v>5706</v>
      </c>
      <c r="N484" s="40">
        <v>522</v>
      </c>
      <c r="O484" s="42"/>
      <c r="P484" s="44"/>
      <c r="Q484" s="1622">
        <v>582000000000</v>
      </c>
      <c r="R484" s="3439">
        <v>295000000000</v>
      </c>
      <c r="S484" s="55">
        <f t="shared" si="0"/>
        <v>64710508474.576271</v>
      </c>
      <c r="T484" s="1623">
        <v>42170</v>
      </c>
      <c r="U484" s="3438"/>
      <c r="V484" s="601">
        <v>580</v>
      </c>
      <c r="W484" s="61"/>
      <c r="X484" s="58"/>
      <c r="Y484" s="61"/>
      <c r="Z484" s="61"/>
      <c r="AA484" s="61"/>
      <c r="AB484" s="61"/>
      <c r="AC484" s="61"/>
      <c r="AD484" s="61"/>
      <c r="AE484" s="61"/>
      <c r="AF484" s="61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</row>
    <row r="485" spans="1:61" ht="20.25" customHeight="1">
      <c r="A485" s="2646" t="s">
        <v>5690</v>
      </c>
      <c r="B485" s="2646" t="s">
        <v>5691</v>
      </c>
      <c r="C485" s="2647" t="s">
        <v>1967</v>
      </c>
      <c r="D485" s="2646" t="s">
        <v>1247</v>
      </c>
      <c r="E485" s="3013" t="str">
        <f>VLOOKUP(F485,plasmids!$A$2:$B$891,2)</f>
        <v>pAAV2/8</v>
      </c>
      <c r="F485" s="2655">
        <v>122</v>
      </c>
      <c r="G485" s="2596"/>
      <c r="H485" s="2596" t="str">
        <f>VLOOKUP(I485,plasmids!$A$2:$B$891,2)</f>
        <v>sc-CAG-GFP</v>
      </c>
      <c r="I485" s="2646">
        <v>120</v>
      </c>
      <c r="J485" s="2648"/>
      <c r="K485" s="3147"/>
      <c r="L485" s="2654"/>
      <c r="M485" s="2695">
        <v>42167</v>
      </c>
      <c r="N485" s="2649">
        <v>523</v>
      </c>
      <c r="O485" s="2655">
        <v>3</v>
      </c>
      <c r="P485" s="2651"/>
      <c r="Q485" s="3440">
        <v>112000000000000</v>
      </c>
      <c r="R485" s="3148">
        <v>55000000000</v>
      </c>
      <c r="S485" s="2653">
        <f t="shared" si="0"/>
        <v>66792727272727.266</v>
      </c>
      <c r="T485" s="3375">
        <v>9</v>
      </c>
      <c r="U485" s="2648"/>
      <c r="V485" s="3375">
        <v>160</v>
      </c>
      <c r="W485" s="3150" t="s">
        <v>5693</v>
      </c>
      <c r="X485" s="1927" t="s">
        <v>5692</v>
      </c>
      <c r="Y485" s="2656"/>
      <c r="Z485" s="2656"/>
      <c r="AA485" s="2656"/>
      <c r="AB485" s="2656"/>
      <c r="AC485" s="2656"/>
      <c r="AD485" s="2656"/>
      <c r="AE485" s="2656"/>
      <c r="AF485" s="2656"/>
      <c r="AG485" s="2656"/>
      <c r="AH485" s="2656"/>
      <c r="AI485" s="2656"/>
      <c r="AJ485" s="2656"/>
      <c r="AK485" s="2656"/>
      <c r="AL485" s="2656"/>
      <c r="AM485" s="2656"/>
      <c r="AN485" s="2656"/>
      <c r="AO485" s="2656"/>
      <c r="AP485" s="2656"/>
      <c r="AQ485" s="2656"/>
      <c r="AR485" s="2656"/>
      <c r="AS485" s="2656"/>
      <c r="AT485" s="2656"/>
      <c r="AU485" s="2656"/>
      <c r="AV485" s="2656"/>
      <c r="AW485" s="2656"/>
      <c r="AX485" s="2656"/>
      <c r="AY485" s="2656"/>
      <c r="AZ485" s="2656"/>
      <c r="BA485" s="2656"/>
      <c r="BB485" s="2656"/>
      <c r="BC485" s="2656"/>
      <c r="BD485" s="2656"/>
      <c r="BE485" s="2656"/>
      <c r="BF485" s="2656"/>
      <c r="BG485" s="2656"/>
      <c r="BH485" s="2656"/>
      <c r="BI485" s="2656"/>
    </row>
    <row r="486" spans="1:61" ht="17.25" customHeight="1">
      <c r="A486" s="2150" t="s">
        <v>1343</v>
      </c>
      <c r="B486" s="2151" t="s">
        <v>5707</v>
      </c>
      <c r="C486" s="2152" t="s">
        <v>5708</v>
      </c>
      <c r="D486" s="2151" t="s">
        <v>568</v>
      </c>
      <c r="E486" s="2154" t="str">
        <f>VLOOKUP(F486,plasmids!$A$2:$B$891,2)</f>
        <v>pXR8 Y447 733F</v>
      </c>
      <c r="F486" s="2151">
        <v>195</v>
      </c>
      <c r="G486" s="2156"/>
      <c r="H486" s="2156" t="str">
        <f>VLOOKUP(I486,plasmids!$A$2:$B$891,2)</f>
        <v>sc-CAG-GFP</v>
      </c>
      <c r="I486" s="3441">
        <v>120</v>
      </c>
      <c r="J486" s="2159"/>
      <c r="K486" s="2159"/>
      <c r="L486" s="3214"/>
      <c r="M486" s="2163">
        <v>42167</v>
      </c>
      <c r="N486" s="3442">
        <v>524</v>
      </c>
      <c r="O486" s="2151">
        <v>3</v>
      </c>
      <c r="P486" s="2167"/>
      <c r="Q486" s="3443">
        <v>169000000000000</v>
      </c>
      <c r="R486" s="3444">
        <v>55000000000</v>
      </c>
      <c r="S486" s="3445">
        <f t="shared" si="0"/>
        <v>100785454545454.53</v>
      </c>
      <c r="T486" s="2167"/>
      <c r="U486" s="2167"/>
      <c r="V486" s="3446">
        <v>150</v>
      </c>
      <c r="W486" s="3446" t="s">
        <v>5693</v>
      </c>
      <c r="X486" s="3446" t="s">
        <v>5357</v>
      </c>
      <c r="Y486" s="2167"/>
      <c r="Z486" s="2167"/>
      <c r="AA486" s="2167"/>
      <c r="AB486" s="2167"/>
      <c r="AC486" s="2167"/>
      <c r="AD486" s="2167"/>
      <c r="AE486" s="2167"/>
      <c r="AF486" s="2167"/>
      <c r="AG486" s="2167"/>
      <c r="AH486" s="2167"/>
      <c r="AI486" s="2167"/>
      <c r="AJ486" s="2167"/>
      <c r="AK486" s="2167"/>
      <c r="AL486" s="2167"/>
      <c r="AM486" s="2167"/>
      <c r="AN486" s="2167"/>
      <c r="AO486" s="2167"/>
      <c r="AP486" s="2167"/>
      <c r="AQ486" s="2167"/>
      <c r="AR486" s="2167"/>
      <c r="AS486" s="2167"/>
      <c r="AT486" s="2167"/>
      <c r="AU486" s="2167"/>
      <c r="AV486" s="2167"/>
      <c r="AW486" s="2167"/>
      <c r="AX486" s="2167"/>
      <c r="AY486" s="2167"/>
      <c r="AZ486" s="2167"/>
      <c r="BA486" s="2167"/>
      <c r="BB486" s="2167"/>
      <c r="BC486" s="2167"/>
      <c r="BD486" s="2167"/>
      <c r="BE486" s="2167"/>
      <c r="BF486" s="2167"/>
      <c r="BG486" s="2167"/>
      <c r="BH486" s="2167"/>
      <c r="BI486" s="2167"/>
    </row>
    <row r="487" spans="1:61" ht="18" customHeight="1">
      <c r="A487" s="3024" t="s">
        <v>707</v>
      </c>
      <c r="B487" s="3024" t="s">
        <v>3973</v>
      </c>
      <c r="C487" s="3026" t="s">
        <v>1967</v>
      </c>
      <c r="D487" s="3024" t="s">
        <v>4867</v>
      </c>
      <c r="E487" s="3028" t="str">
        <f>VLOOKUP(F487,plasmids!$A$2:$B$891,2)</f>
        <v>AAV9 2YF</v>
      </c>
      <c r="F487" s="3029">
        <v>168</v>
      </c>
      <c r="G487" s="3031"/>
      <c r="H487" s="3031" t="str">
        <f>VLOOKUP(I487,plasmids!$A$2:$B$891,2)</f>
        <v xml:space="preserve">pTR-scCAG-RdCVFs </v>
      </c>
      <c r="I487" s="3024">
        <v>187</v>
      </c>
      <c r="J487" s="3034"/>
      <c r="K487" s="3289"/>
      <c r="L487" s="3036"/>
      <c r="M487" s="3038">
        <v>42167</v>
      </c>
      <c r="N487" s="3040">
        <v>525</v>
      </c>
      <c r="O487" s="3029">
        <v>6</v>
      </c>
      <c r="P487" s="3044"/>
      <c r="Q487" s="3447">
        <v>603000000000000</v>
      </c>
      <c r="R487" s="3448">
        <v>55000000000</v>
      </c>
      <c r="S487" s="3050">
        <f t="shared" si="0"/>
        <v>359607272727272.69</v>
      </c>
      <c r="T487" s="3334" t="s">
        <v>5709</v>
      </c>
      <c r="U487" s="3334"/>
      <c r="V487" s="3449">
        <v>165</v>
      </c>
      <c r="W487" s="3056" t="s">
        <v>5693</v>
      </c>
      <c r="X487" s="3058"/>
      <c r="Y487" s="3058"/>
      <c r="Z487" s="3058"/>
      <c r="AA487" s="3058"/>
      <c r="AB487" s="3058"/>
      <c r="AC487" s="3058"/>
      <c r="AD487" s="3058"/>
      <c r="AE487" s="3058"/>
      <c r="AF487" s="3058"/>
      <c r="AG487" s="3058"/>
      <c r="AH487" s="3058"/>
      <c r="AI487" s="3058"/>
      <c r="AJ487" s="3058"/>
      <c r="AK487" s="3058"/>
      <c r="AL487" s="3058"/>
      <c r="AM487" s="3058"/>
      <c r="AN487" s="3058"/>
      <c r="AO487" s="3058"/>
      <c r="AP487" s="3058"/>
      <c r="AQ487" s="3058"/>
      <c r="AR487" s="3058"/>
      <c r="AS487" s="3058"/>
      <c r="AT487" s="3058"/>
      <c r="AU487" s="3058"/>
      <c r="AV487" s="3058"/>
      <c r="AW487" s="3058"/>
      <c r="AX487" s="3058"/>
      <c r="AY487" s="3058"/>
      <c r="AZ487" s="3058"/>
      <c r="BA487" s="3058"/>
      <c r="BB487" s="3058"/>
      <c r="BC487" s="3058"/>
      <c r="BD487" s="3058"/>
      <c r="BE487" s="3058"/>
      <c r="BF487" s="3058"/>
      <c r="BG487" s="3058"/>
      <c r="BH487" s="3058"/>
      <c r="BI487" s="3058"/>
    </row>
    <row r="488" spans="1:61" ht="18" customHeight="1">
      <c r="A488" s="3024" t="s">
        <v>707</v>
      </c>
      <c r="B488" s="3024" t="s">
        <v>3973</v>
      </c>
      <c r="C488" s="3026" t="s">
        <v>1967</v>
      </c>
      <c r="D488" s="3024" t="s">
        <v>4867</v>
      </c>
      <c r="E488" s="3028" t="str">
        <f>VLOOKUP(F488,plasmids!$A$2:$B$891,2)</f>
        <v>AAV9 2YF</v>
      </c>
      <c r="F488" s="3029">
        <v>168</v>
      </c>
      <c r="G488" s="3031"/>
      <c r="H488" s="3031" t="str">
        <f>VLOOKUP(I488,plasmids!$A$2:$B$891,2)</f>
        <v xml:space="preserve">pTR-scCAG-RdCVFs </v>
      </c>
      <c r="I488" s="3024">
        <v>187</v>
      </c>
      <c r="J488" s="3034"/>
      <c r="K488" s="3289"/>
      <c r="L488" s="3036"/>
      <c r="M488" s="3038">
        <v>42167</v>
      </c>
      <c r="N488" s="3040">
        <v>526</v>
      </c>
      <c r="O488" s="3029">
        <v>6</v>
      </c>
      <c r="P488" s="3044"/>
      <c r="Q488" s="3447">
        <v>264000000000000</v>
      </c>
      <c r="R488" s="3448">
        <v>55000000000</v>
      </c>
      <c r="S488" s="3050">
        <f t="shared" si="0"/>
        <v>157440000000000</v>
      </c>
      <c r="T488" s="3334" t="s">
        <v>5709</v>
      </c>
      <c r="U488" s="3034"/>
      <c r="V488" s="3449">
        <f>165-100</f>
        <v>65</v>
      </c>
      <c r="W488" s="3056" t="s">
        <v>5693</v>
      </c>
      <c r="X488" s="3058"/>
      <c r="Y488" s="3058"/>
      <c r="Z488" s="3058"/>
      <c r="AA488" s="3058"/>
      <c r="AB488" s="3058"/>
      <c r="AC488" s="3058"/>
      <c r="AD488" s="3058"/>
      <c r="AE488" s="3058"/>
      <c r="AF488" s="3058"/>
      <c r="AG488" s="3058"/>
      <c r="AH488" s="3058"/>
      <c r="AI488" s="3058"/>
      <c r="AJ488" s="3058"/>
      <c r="AK488" s="3058"/>
      <c r="AL488" s="3058"/>
      <c r="AM488" s="3058"/>
      <c r="AN488" s="3058"/>
      <c r="AO488" s="3058"/>
      <c r="AP488" s="3058"/>
      <c r="AQ488" s="3058"/>
      <c r="AR488" s="3058"/>
      <c r="AS488" s="3058"/>
      <c r="AT488" s="3058"/>
      <c r="AU488" s="3058"/>
      <c r="AV488" s="3058"/>
      <c r="AW488" s="3058"/>
      <c r="AX488" s="3058"/>
      <c r="AY488" s="3058"/>
      <c r="AZ488" s="3058"/>
      <c r="BA488" s="3058"/>
      <c r="BB488" s="3058"/>
      <c r="BC488" s="3058"/>
      <c r="BD488" s="3058"/>
      <c r="BE488" s="3058"/>
      <c r="BF488" s="3058"/>
      <c r="BG488" s="3058"/>
      <c r="BH488" s="3058"/>
      <c r="BI488" s="3058"/>
    </row>
    <row r="489" spans="1:61" ht="18" customHeight="1">
      <c r="A489" s="2872" t="s">
        <v>707</v>
      </c>
      <c r="B489" s="2872" t="s">
        <v>3973</v>
      </c>
      <c r="C489" s="2873" t="s">
        <v>1967</v>
      </c>
      <c r="D489" s="2872" t="s">
        <v>4867</v>
      </c>
      <c r="E489" s="2874" t="str">
        <f>VLOOKUP(F489,plasmids!$A$2:$B$891,2)</f>
        <v>AAV9 2YF</v>
      </c>
      <c r="F489" s="2875">
        <v>168</v>
      </c>
      <c r="G489" s="2876"/>
      <c r="H489" s="2876" t="str">
        <f>VLOOKUP(I489,plasmids!$A$2:$B$891,2)</f>
        <v>sc-CAG-GFP</v>
      </c>
      <c r="I489" s="3369">
        <v>120</v>
      </c>
      <c r="J489" s="2877"/>
      <c r="K489" s="3265"/>
      <c r="L489" s="2878"/>
      <c r="M489" s="2879">
        <v>42167</v>
      </c>
      <c r="N489" s="2880">
        <v>527</v>
      </c>
      <c r="O489" s="2875">
        <v>6</v>
      </c>
      <c r="P489" s="2887" t="s">
        <v>5686</v>
      </c>
      <c r="Q489" s="3450">
        <v>160000000000000</v>
      </c>
      <c r="R489" s="3451">
        <v>55000000000</v>
      </c>
      <c r="S489" s="2889">
        <f t="shared" si="0"/>
        <v>95418181818181.812</v>
      </c>
      <c r="T489" s="3369" t="s">
        <v>5709</v>
      </c>
      <c r="U489" s="2877"/>
      <c r="V489" s="3452">
        <f>95-15</f>
        <v>80</v>
      </c>
      <c r="W489" s="3250" t="s">
        <v>5710</v>
      </c>
      <c r="X489" s="2894"/>
      <c r="Y489" s="2894"/>
      <c r="Z489" s="2894"/>
      <c r="AA489" s="2894"/>
      <c r="AB489" s="2894"/>
      <c r="AC489" s="2894"/>
      <c r="AD489" s="2894"/>
      <c r="AE489" s="2894"/>
      <c r="AF489" s="2894"/>
      <c r="AG489" s="2894"/>
      <c r="AH489" s="2894"/>
      <c r="AI489" s="2894"/>
      <c r="AJ489" s="2894"/>
      <c r="AK489" s="2894"/>
      <c r="AL489" s="2894"/>
      <c r="AM489" s="2894"/>
      <c r="AN489" s="2894"/>
      <c r="AO489" s="2894"/>
      <c r="AP489" s="2894"/>
      <c r="AQ489" s="2894"/>
      <c r="AR489" s="2894"/>
      <c r="AS489" s="2894"/>
      <c r="AT489" s="2894"/>
      <c r="AU489" s="2894"/>
      <c r="AV489" s="2894"/>
      <c r="AW489" s="2894"/>
      <c r="AX489" s="2894"/>
      <c r="AY489" s="2894"/>
      <c r="AZ489" s="2894"/>
      <c r="BA489" s="2894"/>
      <c r="BB489" s="2894"/>
      <c r="BC489" s="2894"/>
      <c r="BD489" s="2894"/>
      <c r="BE489" s="2894"/>
      <c r="BF489" s="2894"/>
      <c r="BG489" s="2894"/>
      <c r="BH489" s="2894"/>
      <c r="BI489" s="2894"/>
    </row>
    <row r="490" spans="1:61" ht="12">
      <c r="A490" s="3377" t="s">
        <v>5209</v>
      </c>
      <c r="B490" s="3378" t="s">
        <v>1025</v>
      </c>
      <c r="C490" s="3453" t="s">
        <v>178</v>
      </c>
      <c r="D490" s="3378" t="s">
        <v>1088</v>
      </c>
      <c r="E490" s="3380" t="str">
        <f>VLOOKUP(F490,plasmids!$A$2:$B$351,2)</f>
        <v>AAV2-7m8</v>
      </c>
      <c r="F490" s="3454">
        <v>178</v>
      </c>
      <c r="G490" s="3381"/>
      <c r="H490" s="3381" t="str">
        <f>VLOOKUP(I490,plasmids!$A$2:$B$1191,2)</f>
        <v>pscAAV-CAG-Chronos-bghpolyA</v>
      </c>
      <c r="I490" s="3455">
        <v>552</v>
      </c>
      <c r="J490" s="3382"/>
      <c r="K490" s="3383"/>
      <c r="L490" s="3384"/>
      <c r="M490" s="3456">
        <v>42174</v>
      </c>
      <c r="N490" s="3457">
        <v>528</v>
      </c>
      <c r="O490" s="3458">
        <v>6</v>
      </c>
      <c r="P490" s="3459"/>
      <c r="Q490" s="3460">
        <v>998000000000</v>
      </c>
      <c r="R490" s="3461">
        <v>29200000000</v>
      </c>
      <c r="S490" s="3390">
        <f t="shared" si="0"/>
        <v>1121041095890.4109</v>
      </c>
      <c r="T490" s="3382"/>
      <c r="U490" s="3455"/>
      <c r="V490" s="3462">
        <v>110</v>
      </c>
      <c r="W490" s="3463" t="s">
        <v>5693</v>
      </c>
      <c r="X490" s="3393" t="s">
        <v>5694</v>
      </c>
      <c r="Y490" s="3393" t="s">
        <v>5711</v>
      </c>
      <c r="Z490" s="3394"/>
      <c r="AA490" s="3394"/>
      <c r="AB490" s="3394"/>
      <c r="AC490" s="3394"/>
      <c r="AD490" s="3394"/>
      <c r="AE490" s="3394"/>
      <c r="AF490" s="3394"/>
      <c r="AG490" s="3394"/>
      <c r="AH490" s="3394"/>
      <c r="AI490" s="3394"/>
      <c r="AJ490" s="3394"/>
      <c r="AK490" s="3394"/>
      <c r="AL490" s="3394"/>
      <c r="AM490" s="3394"/>
      <c r="AN490" s="3394"/>
      <c r="AO490" s="3394"/>
      <c r="AP490" s="3394"/>
      <c r="AQ490" s="3394"/>
      <c r="AR490" s="3394"/>
      <c r="AS490" s="3394"/>
      <c r="AT490" s="3394"/>
      <c r="AU490" s="3394"/>
      <c r="AV490" s="3394"/>
      <c r="AW490" s="3394"/>
      <c r="AX490" s="3394"/>
      <c r="AY490" s="3394"/>
      <c r="AZ490" s="3394"/>
      <c r="BA490" s="3394"/>
      <c r="BB490" s="3394"/>
      <c r="BC490" s="3394"/>
      <c r="BD490" s="3394"/>
      <c r="BE490" s="3394"/>
      <c r="BF490" s="3394"/>
      <c r="BG490" s="3394"/>
      <c r="BH490" s="3394"/>
      <c r="BI490" s="3394"/>
    </row>
    <row r="491" spans="1:61" ht="19.5" customHeight="1">
      <c r="A491" s="2150" t="s">
        <v>1343</v>
      </c>
      <c r="B491" s="2151" t="s">
        <v>5707</v>
      </c>
      <c r="C491" s="2152" t="s">
        <v>5708</v>
      </c>
      <c r="D491" s="2151" t="s">
        <v>568</v>
      </c>
      <c r="E491" s="2154" t="str">
        <f>VLOOKUP(F491,plasmids!$A$2:$B$891,2)</f>
        <v>pXR8 Y447 733F</v>
      </c>
      <c r="F491" s="2151">
        <v>195</v>
      </c>
      <c r="G491" s="2156"/>
      <c r="H491" s="2156" t="str">
        <f>VLOOKUP(I491,plasmids!$A$2:$B$891,2)</f>
        <v>pscAAV-CAG-SWO-GFP</v>
      </c>
      <c r="I491" s="3441">
        <v>541</v>
      </c>
      <c r="J491" s="2159"/>
      <c r="K491" s="2159"/>
      <c r="L491" s="3214"/>
      <c r="M491" s="2163">
        <v>42174</v>
      </c>
      <c r="N491" s="3442">
        <v>529</v>
      </c>
      <c r="O491" s="2151">
        <v>3</v>
      </c>
      <c r="P491" s="2167"/>
      <c r="Q491" s="3443">
        <v>6120000000000</v>
      </c>
      <c r="R491" s="3444">
        <v>29200000000</v>
      </c>
      <c r="S491" s="3445">
        <f t="shared" si="0"/>
        <v>6874520547945.2061</v>
      </c>
      <c r="T491" s="2167"/>
      <c r="U491" s="2167"/>
      <c r="V491" s="3446">
        <v>120</v>
      </c>
      <c r="W491" s="2167"/>
      <c r="X491" s="3446" t="s">
        <v>5357</v>
      </c>
      <c r="Y491" s="2167"/>
      <c r="Z491" s="2167"/>
      <c r="AA491" s="2167"/>
      <c r="AB491" s="2167"/>
      <c r="AC491" s="2167"/>
      <c r="AD491" s="2167"/>
      <c r="AE491" s="2167"/>
      <c r="AF491" s="2167"/>
      <c r="AG491" s="2167"/>
      <c r="AH491" s="2167"/>
      <c r="AI491" s="2167"/>
      <c r="AJ491" s="2167"/>
      <c r="AK491" s="2167"/>
      <c r="AL491" s="2167"/>
      <c r="AM491" s="2167"/>
      <c r="AN491" s="2167"/>
      <c r="AO491" s="2167"/>
      <c r="AP491" s="2167"/>
      <c r="AQ491" s="2167"/>
      <c r="AR491" s="2167"/>
      <c r="AS491" s="2167"/>
      <c r="AT491" s="2167"/>
      <c r="AU491" s="2167"/>
      <c r="AV491" s="2167"/>
      <c r="AW491" s="2167"/>
      <c r="AX491" s="2167"/>
      <c r="AY491" s="2167"/>
      <c r="AZ491" s="2167"/>
      <c r="BA491" s="2167"/>
      <c r="BB491" s="2167"/>
      <c r="BC491" s="2167"/>
      <c r="BD491" s="2167"/>
      <c r="BE491" s="2167"/>
      <c r="BF491" s="2167"/>
      <c r="BG491" s="2167"/>
      <c r="BH491" s="2167"/>
      <c r="BI491" s="2167"/>
    </row>
    <row r="492" spans="1:61" ht="30.75" customHeight="1">
      <c r="A492" s="3464" t="s">
        <v>1643</v>
      </c>
      <c r="B492" s="3464" t="s">
        <v>5026</v>
      </c>
      <c r="C492" s="167" t="s">
        <v>567</v>
      </c>
      <c r="D492" s="165" t="s">
        <v>1088</v>
      </c>
      <c r="E492" s="3465" t="str">
        <f>VLOOKUP(F492,plasmids!$A$2:$B$891,2)</f>
        <v>AAV9 2YF</v>
      </c>
      <c r="F492" s="3466">
        <v>168</v>
      </c>
      <c r="G492" s="2321"/>
      <c r="H492" s="2321" t="str">
        <f>VLOOKUP(I492,plasmids!$A$2:$B$891,2)</f>
        <v>pAAV-CMV-hOPN4-mCherry</v>
      </c>
      <c r="I492" s="3466">
        <v>548</v>
      </c>
      <c r="J492" s="183"/>
      <c r="K492" s="2333">
        <v>41893</v>
      </c>
      <c r="L492" s="2333"/>
      <c r="M492" s="173">
        <v>42174</v>
      </c>
      <c r="N492" s="1811">
        <v>530</v>
      </c>
      <c r="O492" s="169">
        <v>3</v>
      </c>
      <c r="P492" s="326"/>
      <c r="Q492" s="2332">
        <v>16600000000000</v>
      </c>
      <c r="R492" s="178">
        <v>29200000000</v>
      </c>
      <c r="S492" s="182">
        <f t="shared" si="0"/>
        <v>18646575342465.754</v>
      </c>
      <c r="T492" s="2333" t="s">
        <v>5709</v>
      </c>
      <c r="U492" s="186"/>
      <c r="V492" s="3466">
        <v>10</v>
      </c>
      <c r="W492" s="186"/>
      <c r="X492" s="187" t="s">
        <v>5712</v>
      </c>
      <c r="Y492" s="186"/>
      <c r="Z492" s="186"/>
      <c r="AA492" s="186"/>
      <c r="AB492" s="186"/>
      <c r="AC492" s="186"/>
      <c r="AD492" s="186"/>
      <c r="AE492" s="186"/>
      <c r="AF492" s="186"/>
      <c r="AG492" s="186"/>
      <c r="AH492" s="186"/>
      <c r="AI492" s="186"/>
      <c r="AJ492" s="186"/>
      <c r="AK492" s="186"/>
      <c r="AL492" s="186"/>
      <c r="AM492" s="186"/>
      <c r="AN492" s="186"/>
      <c r="AO492" s="186"/>
      <c r="AP492" s="186"/>
      <c r="AQ492" s="186"/>
      <c r="AR492" s="186"/>
      <c r="AS492" s="186"/>
      <c r="AT492" s="186"/>
      <c r="AU492" s="186"/>
      <c r="AV492" s="186"/>
      <c r="AW492" s="186"/>
      <c r="AX492" s="186"/>
      <c r="AY492" s="186"/>
      <c r="AZ492" s="186"/>
      <c r="BA492" s="186"/>
      <c r="BB492" s="186"/>
      <c r="BC492" s="186"/>
      <c r="BD492" s="186"/>
      <c r="BE492" s="186"/>
      <c r="BF492" s="186"/>
      <c r="BG492" s="186"/>
      <c r="BH492" s="186"/>
      <c r="BI492" s="186"/>
    </row>
    <row r="493" spans="1:61" ht="24">
      <c r="A493" s="1756" t="s">
        <v>5469</v>
      </c>
      <c r="B493" s="1756" t="s">
        <v>5471</v>
      </c>
      <c r="C493" s="1758" t="s">
        <v>1967</v>
      </c>
      <c r="D493" s="1756" t="s">
        <v>5472</v>
      </c>
      <c r="E493" s="1761" t="str">
        <f>VLOOKUP(F493,plasmids!$A$2:$B$891,2)</f>
        <v>pXR1</v>
      </c>
      <c r="F493" s="1772">
        <v>110</v>
      </c>
      <c r="G493" s="1758"/>
      <c r="H493" s="1758" t="s">
        <v>5476</v>
      </c>
      <c r="I493" s="1756">
        <v>511</v>
      </c>
      <c r="J493" s="1766"/>
      <c r="K493" s="1767"/>
      <c r="L493" s="1768"/>
      <c r="M493" s="1770">
        <v>42174</v>
      </c>
      <c r="N493" s="3467">
        <v>531</v>
      </c>
      <c r="O493" s="1772">
        <v>6</v>
      </c>
      <c r="P493" s="1774"/>
      <c r="Q493" s="3468">
        <v>4770000000000</v>
      </c>
      <c r="R493" s="3469">
        <v>29200000000</v>
      </c>
      <c r="S493" s="1779">
        <f t="shared" si="0"/>
        <v>5358082191780.8223</v>
      </c>
      <c r="T493" s="1756" t="s">
        <v>5709</v>
      </c>
      <c r="U493" s="1766"/>
      <c r="V493" s="1772">
        <v>140</v>
      </c>
      <c r="W493" s="997" t="s">
        <v>2934</v>
      </c>
      <c r="X493" s="234"/>
      <c r="Y493" s="234"/>
      <c r="Z493" s="234"/>
      <c r="AA493" s="234"/>
      <c r="AB493" s="234"/>
      <c r="AC493" s="234"/>
      <c r="AD493" s="234"/>
      <c r="AE493" s="234"/>
      <c r="AF493" s="234"/>
      <c r="AG493" s="234"/>
      <c r="AH493" s="234"/>
      <c r="AI493" s="234"/>
      <c r="AJ493" s="234"/>
      <c r="AK493" s="234"/>
      <c r="AL493" s="234"/>
      <c r="AM493" s="234"/>
      <c r="AN493" s="234"/>
      <c r="AO493" s="234"/>
      <c r="AP493" s="234"/>
      <c r="AQ493" s="234"/>
      <c r="AR493" s="234"/>
      <c r="AS493" s="234"/>
      <c r="AT493" s="234"/>
      <c r="AU493" s="234"/>
      <c r="AV493" s="234"/>
      <c r="AW493" s="234"/>
      <c r="AX493" s="234"/>
      <c r="AY493" s="234"/>
      <c r="AZ493" s="234"/>
      <c r="BA493" s="234"/>
      <c r="BB493" s="234"/>
      <c r="BC493" s="234"/>
      <c r="BD493" s="234"/>
      <c r="BE493" s="234"/>
      <c r="BF493" s="234"/>
      <c r="BG493" s="234"/>
      <c r="BH493" s="234"/>
      <c r="BI493" s="234"/>
    </row>
    <row r="494" spans="1:61" ht="24">
      <c r="A494" s="1756" t="s">
        <v>5469</v>
      </c>
      <c r="B494" s="1756" t="s">
        <v>5471</v>
      </c>
      <c r="C494" s="1758" t="s">
        <v>1967</v>
      </c>
      <c r="D494" s="1756" t="s">
        <v>5472</v>
      </c>
      <c r="E494" s="1761" t="str">
        <f>VLOOKUP(F494,plasmids!$A$2:$B$891,2)</f>
        <v>pXR1</v>
      </c>
      <c r="F494" s="1772">
        <v>110</v>
      </c>
      <c r="G494" s="1758"/>
      <c r="H494" s="1758" t="s">
        <v>5482</v>
      </c>
      <c r="I494" s="1756">
        <v>512</v>
      </c>
      <c r="J494" s="1766"/>
      <c r="K494" s="1767"/>
      <c r="L494" s="1768"/>
      <c r="M494" s="1770">
        <v>42174</v>
      </c>
      <c r="N494" s="3467">
        <v>532</v>
      </c>
      <c r="O494" s="1772">
        <v>6</v>
      </c>
      <c r="P494" s="1774"/>
      <c r="Q494" s="3468">
        <v>1110000000000</v>
      </c>
      <c r="R494" s="3469">
        <v>29200000000</v>
      </c>
      <c r="S494" s="1779">
        <f t="shared" si="0"/>
        <v>1246849315068.4932</v>
      </c>
      <c r="T494" s="1756" t="s">
        <v>5709</v>
      </c>
      <c r="U494" s="1766"/>
      <c r="V494" s="1772">
        <v>130</v>
      </c>
      <c r="W494" s="997" t="s">
        <v>2934</v>
      </c>
      <c r="X494" s="234"/>
      <c r="Y494" s="234"/>
      <c r="Z494" s="234"/>
      <c r="AA494" s="234"/>
      <c r="AB494" s="234"/>
      <c r="AC494" s="234"/>
      <c r="AD494" s="234"/>
      <c r="AE494" s="234"/>
      <c r="AF494" s="234"/>
      <c r="AG494" s="234"/>
      <c r="AH494" s="234"/>
      <c r="AI494" s="234"/>
      <c r="AJ494" s="234"/>
      <c r="AK494" s="234"/>
      <c r="AL494" s="234"/>
      <c r="AM494" s="234"/>
      <c r="AN494" s="234"/>
      <c r="AO494" s="234"/>
      <c r="AP494" s="234"/>
      <c r="AQ494" s="234"/>
      <c r="AR494" s="234"/>
      <c r="AS494" s="234"/>
      <c r="AT494" s="234"/>
      <c r="AU494" s="234"/>
      <c r="AV494" s="234"/>
      <c r="AW494" s="234"/>
      <c r="AX494" s="234"/>
      <c r="AY494" s="234"/>
      <c r="AZ494" s="234"/>
      <c r="BA494" s="234"/>
      <c r="BB494" s="234"/>
      <c r="BC494" s="234"/>
      <c r="BD494" s="234"/>
      <c r="BE494" s="234"/>
      <c r="BF494" s="234"/>
      <c r="BG494" s="234"/>
      <c r="BH494" s="234"/>
      <c r="BI494" s="234"/>
    </row>
    <row r="495" spans="1:61" ht="20.25" customHeight="1">
      <c r="A495" s="1786" t="s">
        <v>978</v>
      </c>
      <c r="B495" s="1786" t="s">
        <v>985</v>
      </c>
      <c r="C495" s="1787" t="s">
        <v>1967</v>
      </c>
      <c r="D495" s="1786" t="s">
        <v>4748</v>
      </c>
      <c r="E495" s="1788" t="str">
        <f>VLOOKUP(F495,plasmids!$A$2:$B$891,2)</f>
        <v>ShH10,1 Y444F</v>
      </c>
      <c r="F495" s="1798">
        <v>177</v>
      </c>
      <c r="G495" s="3254"/>
      <c r="H495" s="3254" t="str">
        <f>VLOOKUP(I495,plasmids!$A$2:$B$1191,2)</f>
        <v>CAG-Dp40</v>
      </c>
      <c r="I495" s="1786">
        <v>523</v>
      </c>
      <c r="J495" s="1790"/>
      <c r="K495" s="1792">
        <v>42045</v>
      </c>
      <c r="L495" s="2654"/>
      <c r="M495" s="2695">
        <v>42181</v>
      </c>
      <c r="N495" s="8">
        <v>533</v>
      </c>
      <c r="O495" s="1798">
        <v>6</v>
      </c>
      <c r="P495" s="1589"/>
      <c r="Q495" s="17">
        <v>1170000000000</v>
      </c>
      <c r="R495" s="2178">
        <v>88500000000</v>
      </c>
      <c r="S495" s="1800">
        <f t="shared" si="0"/>
        <v>433627118644.06781</v>
      </c>
      <c r="T495" s="1802" t="s">
        <v>5709</v>
      </c>
      <c r="U495" s="2255"/>
      <c r="V495" s="1798">
        <v>211</v>
      </c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</row>
    <row r="496" spans="1:61" ht="19.5" customHeight="1">
      <c r="A496" s="557" t="s">
        <v>691</v>
      </c>
      <c r="B496" s="557" t="s">
        <v>2176</v>
      </c>
      <c r="C496" s="558" t="s">
        <v>178</v>
      </c>
      <c r="D496" s="557" t="s">
        <v>70</v>
      </c>
      <c r="E496" s="2791" t="str">
        <f>VLOOKUP(F496,plasmids!$A$2:$B$891,2)</f>
        <v>AAV2</v>
      </c>
      <c r="F496" s="557">
        <v>140</v>
      </c>
      <c r="G496" s="2792"/>
      <c r="H496" s="2792" t="str">
        <f>VLOOKUP(I496,plasmids!$A$2:$B$1191,2)</f>
        <v xml:space="preserve">pAAV-CMV-NogoA </v>
      </c>
      <c r="I496" s="557">
        <v>453</v>
      </c>
      <c r="J496" s="557" t="s">
        <v>146</v>
      </c>
      <c r="K496" s="563" t="s">
        <v>2185</v>
      </c>
      <c r="L496" s="2793"/>
      <c r="M496" s="564">
        <v>42181</v>
      </c>
      <c r="N496" s="565">
        <v>534</v>
      </c>
      <c r="O496" s="3396">
        <v>6</v>
      </c>
      <c r="P496" s="569"/>
      <c r="Q496" s="3470">
        <v>11300000000000</v>
      </c>
      <c r="R496" s="3471">
        <v>88500000000</v>
      </c>
      <c r="S496" s="570">
        <f t="shared" si="0"/>
        <v>4188022598870.0566</v>
      </c>
      <c r="T496" s="557" t="s">
        <v>5709</v>
      </c>
      <c r="U496" s="571"/>
      <c r="V496" s="2984">
        <v>250</v>
      </c>
      <c r="W496" s="556"/>
      <c r="X496" s="576" t="s">
        <v>5713</v>
      </c>
      <c r="Y496" s="556"/>
      <c r="Z496" s="556"/>
      <c r="AA496" s="556"/>
      <c r="AB496" s="556"/>
      <c r="AC496" s="556"/>
      <c r="AD496" s="556"/>
      <c r="AE496" s="556"/>
      <c r="AF496" s="556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</row>
    <row r="497" spans="1:61" ht="24.75" customHeight="1">
      <c r="A497" s="3472" t="s">
        <v>52</v>
      </c>
      <c r="B497" s="3472" t="s">
        <v>5714</v>
      </c>
      <c r="C497" s="3473" t="s">
        <v>1155</v>
      </c>
      <c r="D497" s="834" t="s">
        <v>5715</v>
      </c>
      <c r="E497" s="3474" t="str">
        <f>VLOOKUP(F497,plasmids!$A$2:$B$891,2)</f>
        <v>AAV2-7m8</v>
      </c>
      <c r="F497" s="834">
        <v>178</v>
      </c>
      <c r="G497" s="2258"/>
      <c r="H497" s="2258" t="str">
        <f>VLOOKUP(I497,plasmids!$A$2:$B$891,2)</f>
        <v>pssAAV-mCAR-LWO-GFP</v>
      </c>
      <c r="I497" s="834">
        <v>370</v>
      </c>
      <c r="J497" s="642"/>
      <c r="K497" s="1605"/>
      <c r="L497" s="1605"/>
      <c r="M497" s="631">
        <v>42181</v>
      </c>
      <c r="N497" s="870">
        <v>535</v>
      </c>
      <c r="O497" s="634">
        <v>6</v>
      </c>
      <c r="P497" s="638"/>
      <c r="Q497" s="3475">
        <v>8830000000000</v>
      </c>
      <c r="R497" s="3476">
        <v>88500000000</v>
      </c>
      <c r="S497" s="640">
        <f t="shared" si="0"/>
        <v>3272587570621.4688</v>
      </c>
      <c r="T497" s="1605" t="s">
        <v>5709</v>
      </c>
      <c r="U497" s="3477">
        <v>42256</v>
      </c>
      <c r="V497" s="834">
        <f>248-62</f>
        <v>186</v>
      </c>
      <c r="W497" s="645"/>
      <c r="X497" s="645"/>
      <c r="Y497" s="645"/>
      <c r="Z497" s="645"/>
      <c r="AA497" s="645"/>
      <c r="AB497" s="645"/>
      <c r="AC497" s="645"/>
      <c r="AD497" s="645"/>
      <c r="AE497" s="645"/>
      <c r="AF497" s="645"/>
      <c r="AG497" s="645"/>
      <c r="AH497" s="645"/>
      <c r="AI497" s="645"/>
      <c r="AJ497" s="645"/>
      <c r="AK497" s="645"/>
      <c r="AL497" s="645"/>
      <c r="AM497" s="645"/>
      <c r="AN497" s="645"/>
      <c r="AO497" s="645"/>
      <c r="AP497" s="645"/>
      <c r="AQ497" s="645"/>
      <c r="AR497" s="645"/>
      <c r="AS497" s="645"/>
      <c r="AT497" s="645"/>
      <c r="AU497" s="645"/>
      <c r="AV497" s="645"/>
      <c r="AW497" s="645"/>
      <c r="AX497" s="645"/>
      <c r="AY497" s="645"/>
      <c r="AZ497" s="645"/>
      <c r="BA497" s="645"/>
      <c r="BB497" s="645"/>
      <c r="BC497" s="645"/>
      <c r="BD497" s="645"/>
      <c r="BE497" s="645"/>
      <c r="BF497" s="645"/>
      <c r="BG497" s="645"/>
      <c r="BH497" s="645"/>
      <c r="BI497" s="645"/>
    </row>
    <row r="498" spans="1:61" ht="21.75" customHeight="1">
      <c r="A498" s="3464" t="s">
        <v>1643</v>
      </c>
      <c r="B498" s="3464" t="s">
        <v>5029</v>
      </c>
      <c r="C498" s="167" t="s">
        <v>567</v>
      </c>
      <c r="D498" s="165" t="s">
        <v>1088</v>
      </c>
      <c r="E498" s="3465" t="str">
        <f>VLOOKUP(F498,plasmids!$A$2:$B$891,2)</f>
        <v>AAV9 2YF</v>
      </c>
      <c r="F498" s="3466">
        <v>168</v>
      </c>
      <c r="G498" s="2321"/>
      <c r="H498" s="2321" t="str">
        <f>VLOOKUP(I498,plasmids!$A$2:$B$891,2)</f>
        <v>pAAV-MCS-OPN4L-eGFP</v>
      </c>
      <c r="I498" s="3466">
        <v>549</v>
      </c>
      <c r="J498" s="183"/>
      <c r="K498" s="2333">
        <v>41893</v>
      </c>
      <c r="L498" s="2333"/>
      <c r="M498" s="173">
        <v>42181</v>
      </c>
      <c r="N498" s="1811">
        <v>536</v>
      </c>
      <c r="O498" s="169">
        <v>3</v>
      </c>
      <c r="P498" s="326"/>
      <c r="Q498" s="3478">
        <v>9510000000000</v>
      </c>
      <c r="R498" s="3479">
        <v>88500000000</v>
      </c>
      <c r="S498" s="182">
        <f t="shared" si="0"/>
        <v>3524610169491.5254</v>
      </c>
      <c r="T498" s="2333">
        <v>42226</v>
      </c>
      <c r="U498" s="186"/>
      <c r="V498" s="3466">
        <v>10</v>
      </c>
      <c r="W498" s="186"/>
      <c r="X498" s="187" t="s">
        <v>5712</v>
      </c>
      <c r="Y498" s="186"/>
      <c r="Z498" s="186"/>
      <c r="AA498" s="186"/>
      <c r="AB498" s="186"/>
      <c r="AC498" s="186"/>
      <c r="AD498" s="186"/>
      <c r="AE498" s="186"/>
      <c r="AF498" s="186"/>
      <c r="AG498" s="186"/>
      <c r="AH498" s="186"/>
      <c r="AI498" s="186"/>
      <c r="AJ498" s="186"/>
      <c r="AK498" s="186"/>
      <c r="AL498" s="186"/>
      <c r="AM498" s="186"/>
      <c r="AN498" s="186"/>
      <c r="AO498" s="186"/>
      <c r="AP498" s="186"/>
      <c r="AQ498" s="186"/>
      <c r="AR498" s="186"/>
      <c r="AS498" s="186"/>
      <c r="AT498" s="186"/>
      <c r="AU498" s="186"/>
      <c r="AV498" s="186"/>
      <c r="AW498" s="186"/>
      <c r="AX498" s="186"/>
      <c r="AY498" s="186"/>
      <c r="AZ498" s="186"/>
      <c r="BA498" s="186"/>
      <c r="BB498" s="186"/>
      <c r="BC498" s="186"/>
      <c r="BD498" s="186"/>
      <c r="BE498" s="186"/>
      <c r="BF498" s="186"/>
      <c r="BG498" s="186"/>
      <c r="BH498" s="186"/>
      <c r="BI498" s="186"/>
    </row>
    <row r="499" spans="1:61" ht="24.75" customHeight="1">
      <c r="A499" s="3464" t="s">
        <v>1643</v>
      </c>
      <c r="B499" s="3464" t="s">
        <v>5034</v>
      </c>
      <c r="C499" s="167" t="s">
        <v>567</v>
      </c>
      <c r="D499" s="165" t="s">
        <v>1088</v>
      </c>
      <c r="E499" s="3465" t="str">
        <f>VLOOKUP(F499,plasmids!$A$2:$B$891,2)</f>
        <v>AAV9 2YF</v>
      </c>
      <c r="F499" s="3466">
        <v>168</v>
      </c>
      <c r="G499" s="2321"/>
      <c r="H499" s="2321" t="str">
        <f>VLOOKUP(I499,plasmids!$A$2:$B$891,2)</f>
        <v>pAAV-EF1alpha-OPN4L-eGFP (DIO?)</v>
      </c>
      <c r="I499" s="3466">
        <v>550</v>
      </c>
      <c r="J499" s="183"/>
      <c r="K499" s="2333">
        <v>41893</v>
      </c>
      <c r="L499" s="2333"/>
      <c r="M499" s="173">
        <v>42181</v>
      </c>
      <c r="N499" s="1811">
        <v>537</v>
      </c>
      <c r="O499" s="169">
        <v>3</v>
      </c>
      <c r="P499" s="326"/>
      <c r="Q499" s="3478">
        <v>23600000000000</v>
      </c>
      <c r="R499" s="3479">
        <v>88500000000</v>
      </c>
      <c r="S499" s="182">
        <f t="shared" si="0"/>
        <v>8746666666666.667</v>
      </c>
      <c r="T499" s="2333">
        <v>42226</v>
      </c>
      <c r="U499" s="186"/>
      <c r="V499" s="3466">
        <v>10</v>
      </c>
      <c r="W499" s="186"/>
      <c r="X499" s="187" t="s">
        <v>5712</v>
      </c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/>
      <c r="AL499" s="186"/>
      <c r="AM499" s="186"/>
      <c r="AN499" s="186"/>
      <c r="AO499" s="186"/>
      <c r="AP499" s="186"/>
      <c r="AQ499" s="186"/>
      <c r="AR499" s="186"/>
      <c r="AS499" s="186"/>
      <c r="AT499" s="186"/>
      <c r="AU499" s="186"/>
      <c r="AV499" s="186"/>
      <c r="AW499" s="186"/>
      <c r="AX499" s="186"/>
      <c r="AY499" s="186"/>
      <c r="AZ499" s="186"/>
      <c r="BA499" s="186"/>
      <c r="BB499" s="186"/>
      <c r="BC499" s="186"/>
      <c r="BD499" s="186"/>
      <c r="BE499" s="186"/>
      <c r="BF499" s="186"/>
      <c r="BG499" s="186"/>
      <c r="BH499" s="186"/>
      <c r="BI499" s="186"/>
    </row>
    <row r="500" spans="1:61" ht="30.75" customHeight="1">
      <c r="A500" s="557" t="s">
        <v>691</v>
      </c>
      <c r="B500" s="557" t="s">
        <v>2176</v>
      </c>
      <c r="C500" s="558" t="s">
        <v>178</v>
      </c>
      <c r="D500" s="557" t="s">
        <v>70</v>
      </c>
      <c r="E500" s="2791" t="str">
        <f>VLOOKUP(F500,plasmids!$A$2:$B$891,2)</f>
        <v>AAV2</v>
      </c>
      <c r="F500" s="557">
        <v>140</v>
      </c>
      <c r="G500" s="559"/>
      <c r="H500" s="559" t="s">
        <v>5716</v>
      </c>
      <c r="I500" s="557">
        <v>558</v>
      </c>
      <c r="J500" s="557" t="s">
        <v>146</v>
      </c>
      <c r="K500" s="563" t="s">
        <v>2185</v>
      </c>
      <c r="L500" s="2793"/>
      <c r="M500" s="564">
        <v>42188</v>
      </c>
      <c r="N500" s="565">
        <v>538</v>
      </c>
      <c r="O500" s="3396">
        <v>6</v>
      </c>
      <c r="P500" s="567"/>
      <c r="Q500" s="3480">
        <v>22300000000000</v>
      </c>
      <c r="R500" s="3397">
        <v>54200000000</v>
      </c>
      <c r="S500" s="570">
        <f t="shared" si="0"/>
        <v>13495202952029.521</v>
      </c>
      <c r="T500" s="2796">
        <v>42226</v>
      </c>
      <c r="U500" s="604"/>
      <c r="V500" s="2984">
        <v>229</v>
      </c>
      <c r="W500" s="556"/>
      <c r="X500" s="576" t="s">
        <v>5713</v>
      </c>
      <c r="Y500" s="556"/>
      <c r="Z500" s="556"/>
      <c r="AA500" s="556"/>
      <c r="AB500" s="556"/>
      <c r="AC500" s="556"/>
      <c r="AD500" s="556"/>
      <c r="AE500" s="556"/>
      <c r="AF500" s="556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</row>
    <row r="501" spans="1:61" ht="24.75" customHeight="1">
      <c r="A501" s="3472" t="s">
        <v>52</v>
      </c>
      <c r="B501" s="3472" t="s">
        <v>5714</v>
      </c>
      <c r="C501" s="3473" t="s">
        <v>1155</v>
      </c>
      <c r="D501" s="834" t="s">
        <v>5715</v>
      </c>
      <c r="E501" s="3474" t="str">
        <f>VLOOKUP(F501,plasmids!$A$2:$B$891,2)</f>
        <v>AAV2-7m8</v>
      </c>
      <c r="F501" s="834">
        <v>178</v>
      </c>
      <c r="G501" s="2258"/>
      <c r="H501" s="2258" t="str">
        <f>VLOOKUP(I501,plasmids!$A$2:$B$891,2)</f>
        <v>pAAV-mCAr-Catch-EGFP</v>
      </c>
      <c r="I501" s="834">
        <v>232</v>
      </c>
      <c r="J501" s="642"/>
      <c r="K501" s="1605"/>
      <c r="L501" s="1605"/>
      <c r="M501" s="631">
        <v>42188</v>
      </c>
      <c r="N501" s="870">
        <v>539</v>
      </c>
      <c r="O501" s="634">
        <v>6</v>
      </c>
      <c r="P501" s="638"/>
      <c r="Q501" s="3481">
        <v>8000000000000</v>
      </c>
      <c r="R501" s="3482">
        <v>54200000000</v>
      </c>
      <c r="S501" s="640">
        <f t="shared" si="0"/>
        <v>4841328413284.1328</v>
      </c>
      <c r="T501" s="1605">
        <v>42226</v>
      </c>
      <c r="U501" s="3477">
        <v>42256</v>
      </c>
      <c r="V501" s="834">
        <f>183-42</f>
        <v>141</v>
      </c>
      <c r="W501" s="645"/>
      <c r="X501" s="645"/>
      <c r="Y501" s="645"/>
      <c r="Z501" s="645"/>
      <c r="AA501" s="645"/>
      <c r="AB501" s="645"/>
      <c r="AC501" s="645"/>
      <c r="AD501" s="645"/>
      <c r="AE501" s="645"/>
      <c r="AF501" s="645"/>
      <c r="AG501" s="645"/>
      <c r="AH501" s="645"/>
      <c r="AI501" s="645"/>
      <c r="AJ501" s="645"/>
      <c r="AK501" s="645"/>
      <c r="AL501" s="645"/>
      <c r="AM501" s="645"/>
      <c r="AN501" s="645"/>
      <c r="AO501" s="645"/>
      <c r="AP501" s="645"/>
      <c r="AQ501" s="645"/>
      <c r="AR501" s="645"/>
      <c r="AS501" s="645"/>
      <c r="AT501" s="645"/>
      <c r="AU501" s="645"/>
      <c r="AV501" s="645"/>
      <c r="AW501" s="645"/>
      <c r="AX501" s="645"/>
      <c r="AY501" s="645"/>
      <c r="AZ501" s="645"/>
      <c r="BA501" s="645"/>
      <c r="BB501" s="645"/>
      <c r="BC501" s="645"/>
      <c r="BD501" s="645"/>
      <c r="BE501" s="645"/>
      <c r="BF501" s="645"/>
      <c r="BG501" s="645"/>
      <c r="BH501" s="645"/>
      <c r="BI501" s="645"/>
    </row>
    <row r="502" spans="1:61" ht="24.75" customHeight="1">
      <c r="A502" s="3472" t="s">
        <v>52</v>
      </c>
      <c r="B502" s="3472" t="s">
        <v>5714</v>
      </c>
      <c r="C502" s="3473" t="s">
        <v>1155</v>
      </c>
      <c r="D502" s="834" t="s">
        <v>70</v>
      </c>
      <c r="E502" s="3474" t="str">
        <f>VLOOKUP(F502,plasmids!$A$2:$B$891,2)</f>
        <v>AAV2</v>
      </c>
      <c r="F502" s="834">
        <v>140</v>
      </c>
      <c r="G502" s="2258"/>
      <c r="H502" s="2258" t="str">
        <f>VLOOKUP(I502,plasmids!$A$2:$B$891,2)</f>
        <v>pssAAV-CMV-hCatch-WPRE</v>
      </c>
      <c r="I502" s="834">
        <v>350</v>
      </c>
      <c r="J502" s="642"/>
      <c r="K502" s="1605"/>
      <c r="L502" s="1345"/>
      <c r="M502" s="631">
        <v>42188</v>
      </c>
      <c r="N502" s="870">
        <v>540</v>
      </c>
      <c r="O502" s="634">
        <v>6</v>
      </c>
      <c r="P502" s="635"/>
      <c r="Q502" s="3481">
        <v>691000000000</v>
      </c>
      <c r="R502" s="3482">
        <v>54200000000</v>
      </c>
      <c r="S502" s="640">
        <f t="shared" si="0"/>
        <v>418169741697.41699</v>
      </c>
      <c r="T502" s="1605">
        <v>42226</v>
      </c>
      <c r="U502" s="3477">
        <v>42256</v>
      </c>
      <c r="V502" s="834">
        <v>195</v>
      </c>
      <c r="W502" s="3472" t="s">
        <v>5717</v>
      </c>
      <c r="X502" s="645"/>
      <c r="Y502" s="645"/>
      <c r="Z502" s="645"/>
      <c r="AA502" s="645"/>
      <c r="AB502" s="645"/>
      <c r="AC502" s="645"/>
      <c r="AD502" s="645"/>
      <c r="AE502" s="645"/>
      <c r="AF502" s="645"/>
      <c r="AG502" s="645"/>
      <c r="AH502" s="645"/>
      <c r="AI502" s="645"/>
      <c r="AJ502" s="645"/>
      <c r="AK502" s="645"/>
      <c r="AL502" s="645"/>
      <c r="AM502" s="645"/>
      <c r="AN502" s="645"/>
      <c r="AO502" s="645"/>
      <c r="AP502" s="645"/>
      <c r="AQ502" s="645"/>
      <c r="AR502" s="645"/>
      <c r="AS502" s="645"/>
      <c r="AT502" s="645"/>
      <c r="AU502" s="645"/>
      <c r="AV502" s="645"/>
      <c r="AW502" s="645"/>
      <c r="AX502" s="645"/>
      <c r="AY502" s="645"/>
      <c r="AZ502" s="645"/>
      <c r="BA502" s="645"/>
      <c r="BB502" s="645"/>
      <c r="BC502" s="645"/>
      <c r="BD502" s="645"/>
      <c r="BE502" s="645"/>
      <c r="BF502" s="645"/>
      <c r="BG502" s="645"/>
      <c r="BH502" s="645"/>
      <c r="BI502" s="645"/>
    </row>
    <row r="503" spans="1:61" ht="26.25" customHeight="1">
      <c r="A503" s="648" t="s">
        <v>52</v>
      </c>
      <c r="B503" s="3472" t="s">
        <v>5714</v>
      </c>
      <c r="C503" s="3473" t="s">
        <v>1155</v>
      </c>
      <c r="D503" s="628" t="s">
        <v>70</v>
      </c>
      <c r="E503" s="3474" t="str">
        <f>VLOOKUP(F503,plasmids!$A$2:$B$891,2)</f>
        <v>AAV2</v>
      </c>
      <c r="F503" s="628">
        <v>140</v>
      </c>
      <c r="G503" s="2258"/>
      <c r="H503" s="2258" t="str">
        <f>VLOOKUP(I503,plasmids!$A$2:$B$400,2)</f>
        <v>pssSNCG-hCatch-WPRE</v>
      </c>
      <c r="I503" s="628">
        <v>349</v>
      </c>
      <c r="J503" s="642"/>
      <c r="K503" s="2263"/>
      <c r="L503" s="1605"/>
      <c r="M503" s="631">
        <v>42188</v>
      </c>
      <c r="N503" s="870">
        <v>541</v>
      </c>
      <c r="O503" s="634">
        <v>6</v>
      </c>
      <c r="P503" s="638"/>
      <c r="Q503" s="3481">
        <v>21900000000000</v>
      </c>
      <c r="R503" s="3482">
        <v>54200000000</v>
      </c>
      <c r="S503" s="640">
        <f t="shared" si="0"/>
        <v>13253136531365.314</v>
      </c>
      <c r="T503" s="1605">
        <v>42226</v>
      </c>
      <c r="U503" s="1605">
        <v>42256</v>
      </c>
      <c r="V503" s="834">
        <v>250</v>
      </c>
      <c r="W503" s="648"/>
      <c r="X503" s="645"/>
      <c r="Y503" s="645"/>
      <c r="Z503" s="645"/>
      <c r="AA503" s="645"/>
      <c r="AB503" s="645"/>
      <c r="AC503" s="645"/>
      <c r="AD503" s="645"/>
      <c r="AE503" s="645"/>
      <c r="AF503" s="645"/>
      <c r="AG503" s="645"/>
      <c r="AH503" s="645"/>
      <c r="AI503" s="645"/>
      <c r="AJ503" s="645"/>
      <c r="AK503" s="645"/>
      <c r="AL503" s="645"/>
      <c r="AM503" s="645"/>
      <c r="AN503" s="645"/>
      <c r="AO503" s="645"/>
      <c r="AP503" s="645"/>
      <c r="AQ503" s="645"/>
      <c r="AR503" s="645"/>
      <c r="AS503" s="645"/>
      <c r="AT503" s="645"/>
      <c r="AU503" s="645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</row>
    <row r="504" spans="1:61" ht="21" customHeight="1">
      <c r="A504" s="2850" t="s">
        <v>5690</v>
      </c>
      <c r="B504" s="2850" t="s">
        <v>5691</v>
      </c>
      <c r="C504" s="2852" t="s">
        <v>1967</v>
      </c>
      <c r="D504" s="2850" t="s">
        <v>1247</v>
      </c>
      <c r="E504" s="2854" t="str">
        <f>VLOOKUP(F504,plasmids!$A$2:$B$891,2)</f>
        <v>AAV9 2YF</v>
      </c>
      <c r="F504" s="3269">
        <v>168</v>
      </c>
      <c r="G504" s="1763"/>
      <c r="H504" s="1763" t="str">
        <f>VLOOKUP(I504,plasmids!$A$2:$B$891,2)</f>
        <v>sc-CAG-GFP</v>
      </c>
      <c r="I504" s="2850">
        <v>120</v>
      </c>
      <c r="J504" s="2856"/>
      <c r="K504" s="3270"/>
      <c r="L504" s="3483"/>
      <c r="M504" s="3022">
        <v>42195</v>
      </c>
      <c r="N504" s="2798">
        <v>542</v>
      </c>
      <c r="O504" s="3269">
        <v>3</v>
      </c>
      <c r="P504" s="2859"/>
      <c r="Q504" s="3484">
        <v>26100000000000</v>
      </c>
      <c r="R504" s="3271">
        <v>48200000000</v>
      </c>
      <c r="S504" s="2861">
        <f t="shared" si="0"/>
        <v>17760995850622.406</v>
      </c>
      <c r="T504" s="3485">
        <v>42226</v>
      </c>
      <c r="U504" s="3486"/>
      <c r="V504" s="3486">
        <v>160</v>
      </c>
      <c r="W504" s="2863"/>
      <c r="X504" s="3487" t="s">
        <v>5692</v>
      </c>
      <c r="Y504" s="2863"/>
      <c r="Z504" s="2863"/>
      <c r="AA504" s="2863"/>
      <c r="AB504" s="2863"/>
      <c r="AC504" s="2863"/>
      <c r="AD504" s="2863"/>
      <c r="AE504" s="2863"/>
      <c r="AF504" s="2863"/>
      <c r="AG504" s="2863"/>
      <c r="AH504" s="2863"/>
      <c r="AI504" s="2863"/>
      <c r="AJ504" s="2863"/>
      <c r="AK504" s="2863"/>
      <c r="AL504" s="2863"/>
      <c r="AM504" s="2863"/>
      <c r="AN504" s="2863"/>
      <c r="AO504" s="2863"/>
      <c r="AP504" s="2863"/>
      <c r="AQ504" s="2863"/>
      <c r="AR504" s="2863"/>
      <c r="AS504" s="2863"/>
      <c r="AT504" s="2863"/>
      <c r="AU504" s="2863"/>
      <c r="AV504" s="2863"/>
      <c r="AW504" s="2863"/>
      <c r="AX504" s="2863"/>
      <c r="AY504" s="2863"/>
      <c r="AZ504" s="2863"/>
      <c r="BA504" s="2863"/>
      <c r="BB504" s="2863"/>
      <c r="BC504" s="2863"/>
      <c r="BD504" s="2863"/>
      <c r="BE504" s="2863"/>
      <c r="BF504" s="2863"/>
      <c r="BG504" s="2863"/>
      <c r="BH504" s="2863"/>
      <c r="BI504" s="2863"/>
    </row>
    <row r="505" spans="1:61" ht="26.25" customHeight="1">
      <c r="A505" s="648" t="s">
        <v>52</v>
      </c>
      <c r="B505" s="3472" t="s">
        <v>5718</v>
      </c>
      <c r="C505" s="3473" t="s">
        <v>1155</v>
      </c>
      <c r="D505" s="628" t="s">
        <v>70</v>
      </c>
      <c r="E505" s="3474" t="str">
        <f>VLOOKUP(F505,plasmids!$A$2:$B$891,2)</f>
        <v>AAV2-7m8</v>
      </c>
      <c r="F505" s="834">
        <v>178</v>
      </c>
      <c r="G505" s="2258"/>
      <c r="H505" s="2258" t="str">
        <f>VLOOKUP(I505,plasmids!$A$2:$B$400,2)</f>
        <v>pscAAV-hSNCG-GFP</v>
      </c>
      <c r="I505" s="834">
        <v>53</v>
      </c>
      <c r="J505" s="642"/>
      <c r="K505" s="2263"/>
      <c r="L505" s="1345"/>
      <c r="M505" s="631">
        <v>42195</v>
      </c>
      <c r="N505" s="870">
        <v>543</v>
      </c>
      <c r="O505" s="634">
        <v>6</v>
      </c>
      <c r="P505" s="638"/>
      <c r="Q505" s="3481">
        <v>39900000000000</v>
      </c>
      <c r="R505" s="3482">
        <v>48200000000</v>
      </c>
      <c r="S505" s="640">
        <f t="shared" si="0"/>
        <v>27151867219917.012</v>
      </c>
      <c r="T505" s="1605">
        <v>42226</v>
      </c>
      <c r="U505" s="1605">
        <v>42256</v>
      </c>
      <c r="V505" s="834">
        <f>170-8</f>
        <v>162</v>
      </c>
      <c r="W505" s="648"/>
      <c r="X505" s="645"/>
      <c r="Y505" s="645"/>
      <c r="Z505" s="645"/>
      <c r="AA505" s="645"/>
      <c r="AB505" s="645"/>
      <c r="AC505" s="645"/>
      <c r="AD505" s="645"/>
      <c r="AE505" s="645"/>
      <c r="AF505" s="645"/>
      <c r="AG505" s="645"/>
      <c r="AH505" s="645"/>
      <c r="AI505" s="645"/>
      <c r="AJ505" s="645"/>
      <c r="AK505" s="645"/>
      <c r="AL505" s="645"/>
      <c r="AM505" s="645"/>
      <c r="AN505" s="645"/>
      <c r="AO505" s="645"/>
      <c r="AP505" s="645"/>
      <c r="AQ505" s="645"/>
      <c r="AR505" s="645"/>
      <c r="AS505" s="645"/>
      <c r="AT505" s="645"/>
      <c r="AU505" s="645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</row>
    <row r="506" spans="1:61" ht="24" customHeight="1">
      <c r="A506" s="2877" t="s">
        <v>707</v>
      </c>
      <c r="B506" s="2877" t="s">
        <v>3973</v>
      </c>
      <c r="C506" s="3488" t="s">
        <v>1967</v>
      </c>
      <c r="D506" s="2877" t="s">
        <v>5655</v>
      </c>
      <c r="E506" s="2874" t="str">
        <f>VLOOKUP(F506,plasmids!$A$2:$B$351,2)</f>
        <v>pAAV2/8</v>
      </c>
      <c r="F506" s="2881">
        <v>122</v>
      </c>
      <c r="G506" s="2876"/>
      <c r="H506" s="2876" t="str">
        <f>VLOOKUP(I506,plasmids!$A$2:$B$1191,2)</f>
        <v>pssAAV-mCAR-GFP</v>
      </c>
      <c r="I506" s="3489">
        <v>93</v>
      </c>
      <c r="J506" s="2877"/>
      <c r="K506" s="3490">
        <v>41919</v>
      </c>
      <c r="L506" s="2878"/>
      <c r="M506" s="2879">
        <v>42195</v>
      </c>
      <c r="N506" s="2880">
        <v>544</v>
      </c>
      <c r="O506" s="2875">
        <v>6</v>
      </c>
      <c r="P506" s="2883"/>
      <c r="Q506" s="3491">
        <v>819000000000000</v>
      </c>
      <c r="R506" s="3267">
        <v>48200000000</v>
      </c>
      <c r="S506" s="2889">
        <f t="shared" si="0"/>
        <v>557327800829875.56</v>
      </c>
      <c r="T506" s="2891">
        <v>42226</v>
      </c>
      <c r="U506" s="3492"/>
      <c r="V506" s="3493" t="s">
        <v>5719</v>
      </c>
      <c r="W506" s="3494" t="s">
        <v>5638</v>
      </c>
      <c r="X506" s="3373" t="s">
        <v>5720</v>
      </c>
      <c r="Y506" s="2877"/>
      <c r="Z506" s="2877"/>
      <c r="AA506" s="2877"/>
      <c r="AB506" s="2877"/>
      <c r="AC506" s="2877"/>
      <c r="AD506" s="2877"/>
      <c r="AE506" s="2877"/>
      <c r="AF506" s="2877"/>
      <c r="AG506" s="2877"/>
      <c r="AH506" s="2877"/>
      <c r="AI506" s="2877"/>
      <c r="AJ506" s="2877"/>
      <c r="AK506" s="2877"/>
      <c r="AL506" s="2877"/>
      <c r="AM506" s="2877"/>
      <c r="AN506" s="2877"/>
      <c r="AO506" s="2877"/>
      <c r="AP506" s="2877"/>
      <c r="AQ506" s="2877"/>
      <c r="AR506" s="2877"/>
      <c r="AS506" s="2877"/>
      <c r="AT506" s="2877"/>
      <c r="AU506" s="2877"/>
      <c r="AV506" s="2877"/>
      <c r="AW506" s="2877"/>
      <c r="AX506" s="2877"/>
      <c r="AY506" s="2877"/>
      <c r="AZ506" s="2877"/>
      <c r="BA506" s="2877"/>
      <c r="BB506" s="2877"/>
      <c r="BC506" s="2877"/>
      <c r="BD506" s="2877"/>
      <c r="BE506" s="2877"/>
      <c r="BF506" s="2877"/>
      <c r="BG506" s="2877"/>
      <c r="BH506" s="2877"/>
      <c r="BI506" s="2877"/>
    </row>
    <row r="507" spans="1:61" ht="24" customHeight="1">
      <c r="A507" s="2872" t="s">
        <v>5688</v>
      </c>
      <c r="B507" s="2872" t="s">
        <v>5689</v>
      </c>
      <c r="C507" s="2873" t="s">
        <v>5065</v>
      </c>
      <c r="D507" s="2872" t="s">
        <v>568</v>
      </c>
      <c r="E507" s="2874" t="str">
        <f>VLOOKUP(F507,plasmids!$A$2:$B$891,2)</f>
        <v>pAAV2/8</v>
      </c>
      <c r="F507" s="2875">
        <v>122</v>
      </c>
      <c r="G507" s="2876"/>
      <c r="H507" s="2876" t="str">
        <f>VLOOKUP(I507,plasmids!$A$2:$B$891,2)</f>
        <v>pssAAV-mCAR-eNphR-eYFP</v>
      </c>
      <c r="I507" s="3369">
        <v>92</v>
      </c>
      <c r="J507" s="2877"/>
      <c r="K507" s="2878">
        <v>41933</v>
      </c>
      <c r="L507" s="2878"/>
      <c r="M507" s="2879">
        <v>42195</v>
      </c>
      <c r="N507" s="2880">
        <v>545</v>
      </c>
      <c r="O507" s="2875">
        <v>3</v>
      </c>
      <c r="P507" s="2883"/>
      <c r="Q507" s="3491">
        <v>205000000000000</v>
      </c>
      <c r="R507" s="3267">
        <v>48200000000</v>
      </c>
      <c r="S507" s="2889">
        <f t="shared" si="0"/>
        <v>139502074688796.69</v>
      </c>
      <c r="T507" s="2891">
        <v>42226</v>
      </c>
      <c r="U507" s="2877"/>
      <c r="V507" s="2875">
        <f>160-30</f>
        <v>130</v>
      </c>
      <c r="W507" s="3266"/>
      <c r="X507" s="2894"/>
      <c r="Y507" s="3373" t="s">
        <v>5721</v>
      </c>
      <c r="Z507" s="2894"/>
      <c r="AA507" s="2894"/>
      <c r="AB507" s="2894"/>
      <c r="AC507" s="2894"/>
      <c r="AD507" s="2894"/>
      <c r="AE507" s="2894"/>
      <c r="AF507" s="2894"/>
      <c r="AG507" s="2894"/>
      <c r="AH507" s="2894"/>
      <c r="AI507" s="2894"/>
      <c r="AJ507" s="2894"/>
      <c r="AK507" s="2894"/>
      <c r="AL507" s="2894"/>
      <c r="AM507" s="2894"/>
      <c r="AN507" s="2894"/>
      <c r="AO507" s="2894"/>
      <c r="AP507" s="2894"/>
      <c r="AQ507" s="2894"/>
      <c r="AR507" s="2894"/>
      <c r="AS507" s="2894"/>
      <c r="AT507" s="2894"/>
      <c r="AU507" s="2894"/>
      <c r="AV507" s="2894"/>
      <c r="AW507" s="2894"/>
      <c r="AX507" s="2894"/>
      <c r="AY507" s="2894"/>
      <c r="AZ507" s="2894"/>
      <c r="BA507" s="2894"/>
      <c r="BB507" s="2894"/>
      <c r="BC507" s="2894"/>
      <c r="BD507" s="2894"/>
      <c r="BE507" s="2894"/>
      <c r="BF507" s="2894"/>
      <c r="BG507" s="2894"/>
      <c r="BH507" s="2894"/>
      <c r="BI507" s="2894"/>
    </row>
    <row r="508" spans="1:61" ht="19.5" customHeight="1">
      <c r="A508" s="834" t="s">
        <v>52</v>
      </c>
      <c r="B508" s="834" t="s">
        <v>5714</v>
      </c>
      <c r="C508" s="3473" t="s">
        <v>1155</v>
      </c>
      <c r="D508" s="834" t="s">
        <v>70</v>
      </c>
      <c r="E508" s="3474" t="str">
        <f>VLOOKUP(F508,plasmids!$A$2:$B$891,2)</f>
        <v>AAV2-7m8</v>
      </c>
      <c r="F508" s="634">
        <v>178</v>
      </c>
      <c r="G508" s="2258"/>
      <c r="H508" s="2258" t="str">
        <f>VLOOKUP(I508,plasmids!$A$2:$B$891,2)</f>
        <v>sc-CAG-GFP</v>
      </c>
      <c r="I508" s="628">
        <v>120</v>
      </c>
      <c r="J508" s="642"/>
      <c r="K508" s="2263"/>
      <c r="L508" s="1345"/>
      <c r="M508" s="631">
        <v>42195</v>
      </c>
      <c r="N508" s="633">
        <v>546</v>
      </c>
      <c r="O508" s="634">
        <v>6</v>
      </c>
      <c r="P508" s="635"/>
      <c r="Q508" s="3481">
        <v>8610000000000</v>
      </c>
      <c r="R508" s="3482">
        <v>48200000000</v>
      </c>
      <c r="S508" s="640">
        <f t="shared" si="0"/>
        <v>5859087136929.4609</v>
      </c>
      <c r="T508" s="1605">
        <v>42226</v>
      </c>
      <c r="U508" s="1605">
        <v>42256</v>
      </c>
      <c r="V508" s="3495">
        <f>180-132-35-8</f>
        <v>5</v>
      </c>
      <c r="W508" s="645"/>
      <c r="X508" s="645"/>
      <c r="Y508" s="645"/>
      <c r="Z508" s="645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645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</row>
    <row r="509" spans="1:61" ht="18" customHeight="1">
      <c r="A509" s="3369" t="s">
        <v>707</v>
      </c>
      <c r="B509" s="3369" t="s">
        <v>3973</v>
      </c>
      <c r="C509" s="3496" t="s">
        <v>1967</v>
      </c>
      <c r="D509" s="2872" t="s">
        <v>568</v>
      </c>
      <c r="E509" s="2874" t="str">
        <f>VLOOKUP(F509,plasmids!$A$2:$B$351,2)</f>
        <v>AAV2-7m8</v>
      </c>
      <c r="F509" s="2875">
        <v>178</v>
      </c>
      <c r="G509" s="2876"/>
      <c r="H509" s="2876" t="str">
        <f>VLOOKUP(I509,plasmids!$A$2:$B$1191,2)</f>
        <v>pssAAV-mCAR-Jaws-GFP</v>
      </c>
      <c r="I509" s="2872">
        <v>89</v>
      </c>
      <c r="J509" s="2877" t="s">
        <v>3726</v>
      </c>
      <c r="K509" s="3265">
        <v>41932</v>
      </c>
      <c r="L509" s="2878"/>
      <c r="M509" s="2879">
        <v>42202</v>
      </c>
      <c r="N509" s="2880">
        <v>547</v>
      </c>
      <c r="O509" s="2875">
        <v>6</v>
      </c>
      <c r="P509" s="2883"/>
      <c r="Q509" s="3491">
        <v>74100000000000</v>
      </c>
      <c r="R509" s="3267">
        <v>94900000000</v>
      </c>
      <c r="S509" s="2889">
        <f t="shared" si="0"/>
        <v>25610958904109.59</v>
      </c>
      <c r="T509" s="2891">
        <v>42226</v>
      </c>
      <c r="U509" s="3369"/>
      <c r="V509" s="3452">
        <v>25</v>
      </c>
      <c r="W509" s="3373" t="s">
        <v>5722</v>
      </c>
      <c r="X509" s="2894"/>
      <c r="Y509" s="2894"/>
      <c r="Z509" s="2894"/>
      <c r="AA509" s="2894"/>
      <c r="AB509" s="2894"/>
      <c r="AC509" s="2894"/>
      <c r="AD509" s="2894"/>
      <c r="AE509" s="2894"/>
      <c r="AF509" s="2894"/>
      <c r="AG509" s="2894"/>
      <c r="AH509" s="2894"/>
      <c r="AI509" s="2894"/>
      <c r="AJ509" s="2894"/>
      <c r="AK509" s="2894"/>
      <c r="AL509" s="2894"/>
      <c r="AM509" s="2894"/>
      <c r="AN509" s="2894"/>
      <c r="AO509" s="2894"/>
      <c r="AP509" s="2894"/>
      <c r="AQ509" s="2894"/>
      <c r="AR509" s="2894"/>
      <c r="AS509" s="2894"/>
      <c r="AT509" s="2894"/>
      <c r="AU509" s="2894"/>
      <c r="AV509" s="2894"/>
      <c r="AW509" s="2894"/>
      <c r="AX509" s="2894"/>
      <c r="AY509" s="2894"/>
      <c r="AZ509" s="2894"/>
      <c r="BA509" s="2894"/>
      <c r="BB509" s="2894"/>
      <c r="BC509" s="2894"/>
      <c r="BD509" s="2894"/>
      <c r="BE509" s="2894"/>
      <c r="BF509" s="2894"/>
      <c r="BG509" s="2894"/>
      <c r="BH509" s="2894"/>
      <c r="BI509" s="2894"/>
    </row>
    <row r="510" spans="1:61" ht="18" customHeight="1">
      <c r="A510" s="2872" t="s">
        <v>707</v>
      </c>
      <c r="B510" s="2872" t="s">
        <v>3973</v>
      </c>
      <c r="C510" s="2873" t="s">
        <v>1967</v>
      </c>
      <c r="D510" s="2872" t="s">
        <v>4867</v>
      </c>
      <c r="E510" s="2874" t="str">
        <f>VLOOKUP(F510,plasmids!$A$2:$B$891,2)</f>
        <v>pAAV2/8</v>
      </c>
      <c r="F510" s="2875">
        <v>122</v>
      </c>
      <c r="G510" s="2876"/>
      <c r="H510" s="2876" t="str">
        <f>VLOOKUP(I510,plasmids!$A$2:$B$891,2)</f>
        <v>pTR-scCAG-RdCVFL</v>
      </c>
      <c r="I510" s="3369">
        <v>186</v>
      </c>
      <c r="J510" s="2877"/>
      <c r="K510" s="3265"/>
      <c r="L510" s="2878"/>
      <c r="M510" s="2879">
        <v>42202</v>
      </c>
      <c r="N510" s="2880">
        <v>548</v>
      </c>
      <c r="O510" s="2875">
        <v>6</v>
      </c>
      <c r="P510" s="2883"/>
      <c r="Q510" s="3491">
        <v>914000000000000</v>
      </c>
      <c r="R510" s="3267">
        <v>94900000000</v>
      </c>
      <c r="S510" s="2889">
        <f t="shared" si="0"/>
        <v>315903055848261.31</v>
      </c>
      <c r="T510" s="2891">
        <v>42226</v>
      </c>
      <c r="U510" s="2877"/>
      <c r="V510" s="3452" t="s">
        <v>5723</v>
      </c>
      <c r="W510" s="3250" t="s">
        <v>5724</v>
      </c>
      <c r="X510" s="2894"/>
      <c r="Y510" s="2894"/>
      <c r="Z510" s="2894"/>
      <c r="AA510" s="2894"/>
      <c r="AB510" s="2894"/>
      <c r="AC510" s="2894"/>
      <c r="AD510" s="2894"/>
      <c r="AE510" s="2894"/>
      <c r="AF510" s="2894"/>
      <c r="AG510" s="2894"/>
      <c r="AH510" s="2894"/>
      <c r="AI510" s="2894"/>
      <c r="AJ510" s="2894"/>
      <c r="AK510" s="2894"/>
      <c r="AL510" s="2894"/>
      <c r="AM510" s="2894"/>
      <c r="AN510" s="2894"/>
      <c r="AO510" s="2894"/>
      <c r="AP510" s="2894"/>
      <c r="AQ510" s="2894"/>
      <c r="AR510" s="2894"/>
      <c r="AS510" s="2894"/>
      <c r="AT510" s="2894"/>
      <c r="AU510" s="2894"/>
      <c r="AV510" s="2894"/>
      <c r="AW510" s="2894"/>
      <c r="AX510" s="2894"/>
      <c r="AY510" s="2894"/>
      <c r="AZ510" s="2894"/>
      <c r="BA510" s="2894"/>
      <c r="BB510" s="2894"/>
      <c r="BC510" s="2894"/>
      <c r="BD510" s="2894"/>
      <c r="BE510" s="2894"/>
      <c r="BF510" s="2894"/>
      <c r="BG510" s="2894"/>
      <c r="BH510" s="2894"/>
      <c r="BI510" s="2894"/>
    </row>
    <row r="511" spans="1:61" ht="18" customHeight="1">
      <c r="A511" s="2872" t="s">
        <v>707</v>
      </c>
      <c r="B511" s="2872" t="s">
        <v>3973</v>
      </c>
      <c r="C511" s="2873" t="s">
        <v>1967</v>
      </c>
      <c r="D511" s="2872" t="s">
        <v>4867</v>
      </c>
      <c r="E511" s="2874" t="str">
        <f>VLOOKUP(F511,plasmids!$A$2:$B$891,2)</f>
        <v>pAAV2/8</v>
      </c>
      <c r="F511" s="2875">
        <v>122</v>
      </c>
      <c r="G511" s="2876"/>
      <c r="H511" s="2876" t="str">
        <f>VLOOKUP(I511,plasmids!$A$2:$B$891,2)</f>
        <v xml:space="preserve">pTR-scCAG-RdCVFs </v>
      </c>
      <c r="I511" s="2872">
        <v>187</v>
      </c>
      <c r="J511" s="2877"/>
      <c r="K511" s="3265"/>
      <c r="L511" s="2878"/>
      <c r="M511" s="2879">
        <v>42202</v>
      </c>
      <c r="N511" s="2880">
        <v>549</v>
      </c>
      <c r="O511" s="2875">
        <v>6</v>
      </c>
      <c r="P511" s="2883"/>
      <c r="Q511" s="3491">
        <v>715000000000000</v>
      </c>
      <c r="R511" s="3267">
        <v>94900000000</v>
      </c>
      <c r="S511" s="2889">
        <f t="shared" si="0"/>
        <v>247123287671232.88</v>
      </c>
      <c r="T511" s="2891">
        <v>42226</v>
      </c>
      <c r="U511" s="2877"/>
      <c r="V511" s="3452">
        <v>25</v>
      </c>
      <c r="W511" s="3250" t="s">
        <v>5724</v>
      </c>
      <c r="X511" s="2894"/>
      <c r="Y511" s="2894"/>
      <c r="Z511" s="2894"/>
      <c r="AA511" s="2894"/>
      <c r="AB511" s="2894"/>
      <c r="AC511" s="2894"/>
      <c r="AD511" s="2894"/>
      <c r="AE511" s="2894"/>
      <c r="AF511" s="2894"/>
      <c r="AG511" s="2894"/>
      <c r="AH511" s="2894"/>
      <c r="AI511" s="2894"/>
      <c r="AJ511" s="2894"/>
      <c r="AK511" s="2894"/>
      <c r="AL511" s="2894"/>
      <c r="AM511" s="2894"/>
      <c r="AN511" s="2894"/>
      <c r="AO511" s="2894"/>
      <c r="AP511" s="2894"/>
      <c r="AQ511" s="2894"/>
      <c r="AR511" s="2894"/>
      <c r="AS511" s="2894"/>
      <c r="AT511" s="2894"/>
      <c r="AU511" s="2894"/>
      <c r="AV511" s="2894"/>
      <c r="AW511" s="2894"/>
      <c r="AX511" s="2894"/>
      <c r="AY511" s="2894"/>
      <c r="AZ511" s="2894"/>
      <c r="BA511" s="2894"/>
      <c r="BB511" s="2894"/>
      <c r="BC511" s="2894"/>
      <c r="BD511" s="2894"/>
      <c r="BE511" s="2894"/>
      <c r="BF511" s="2894"/>
      <c r="BG511" s="2894"/>
      <c r="BH511" s="2894"/>
      <c r="BI511" s="2894"/>
    </row>
    <row r="512" spans="1:61" ht="18" customHeight="1">
      <c r="A512" s="3024" t="s">
        <v>707</v>
      </c>
      <c r="B512" s="3024" t="s">
        <v>3973</v>
      </c>
      <c r="C512" s="3026" t="s">
        <v>1967</v>
      </c>
      <c r="D512" s="3024" t="s">
        <v>4867</v>
      </c>
      <c r="E512" s="3028" t="str">
        <f>VLOOKUP(F512,plasmids!$A$2:$B$891,2)</f>
        <v>AAV9 2YF</v>
      </c>
      <c r="F512" s="3029">
        <v>168</v>
      </c>
      <c r="G512" s="3031"/>
      <c r="H512" s="3031" t="str">
        <f>VLOOKUP(I512,plasmids!$A$2:$B$891,2)</f>
        <v xml:space="preserve">pTR-scCAG-RdCVFs </v>
      </c>
      <c r="I512" s="3024">
        <v>187</v>
      </c>
      <c r="J512" s="3034"/>
      <c r="K512" s="3289"/>
      <c r="L512" s="3036"/>
      <c r="M512" s="3038">
        <v>42202</v>
      </c>
      <c r="N512" s="3040">
        <v>550</v>
      </c>
      <c r="O512" s="3029">
        <v>6</v>
      </c>
      <c r="P512" s="3047" t="s">
        <v>5725</v>
      </c>
      <c r="Q512" s="3497">
        <v>276000000000000</v>
      </c>
      <c r="R512" s="3290">
        <v>94900000000</v>
      </c>
      <c r="S512" s="3050">
        <f t="shared" si="0"/>
        <v>95393045310853.531</v>
      </c>
      <c r="T512" s="3052">
        <v>42226</v>
      </c>
      <c r="U512" s="3034"/>
      <c r="V512" s="3449">
        <f>170-62-75</f>
        <v>33</v>
      </c>
      <c r="W512" s="3056" t="s">
        <v>2812</v>
      </c>
      <c r="X512" s="3058"/>
      <c r="Y512" s="3058"/>
      <c r="Z512" s="3058"/>
      <c r="AA512" s="3058"/>
      <c r="AB512" s="3058"/>
      <c r="AC512" s="3058"/>
      <c r="AD512" s="3058"/>
      <c r="AE512" s="3058"/>
      <c r="AF512" s="3058"/>
      <c r="AG512" s="3058"/>
      <c r="AH512" s="3058"/>
      <c r="AI512" s="3058"/>
      <c r="AJ512" s="3058"/>
      <c r="AK512" s="3058"/>
      <c r="AL512" s="3058"/>
      <c r="AM512" s="3058"/>
      <c r="AN512" s="3058"/>
      <c r="AO512" s="3058"/>
      <c r="AP512" s="3058"/>
      <c r="AQ512" s="3058"/>
      <c r="AR512" s="3058"/>
      <c r="AS512" s="3058"/>
      <c r="AT512" s="3058"/>
      <c r="AU512" s="3058"/>
      <c r="AV512" s="3058"/>
      <c r="AW512" s="3058"/>
      <c r="AX512" s="3058"/>
      <c r="AY512" s="3058"/>
      <c r="AZ512" s="3058"/>
      <c r="BA512" s="3058"/>
      <c r="BB512" s="3058"/>
      <c r="BC512" s="3058"/>
      <c r="BD512" s="3058"/>
      <c r="BE512" s="3058"/>
      <c r="BF512" s="3058"/>
      <c r="BG512" s="3058"/>
      <c r="BH512" s="3058"/>
      <c r="BI512" s="3058"/>
    </row>
    <row r="513" spans="1:61" ht="24">
      <c r="A513" s="3404" t="s">
        <v>707</v>
      </c>
      <c r="B513" s="3404" t="s">
        <v>5704</v>
      </c>
      <c r="C513" s="3405" t="s">
        <v>1967</v>
      </c>
      <c r="D513" s="3404" t="s">
        <v>5655</v>
      </c>
      <c r="E513" s="3406" t="str">
        <f>VLOOKUP(F513,plasmids!$A$2:$B$891,2)</f>
        <v>AAV2-7m8</v>
      </c>
      <c r="F513" s="3407">
        <v>178</v>
      </c>
      <c r="G513" s="3408"/>
      <c r="H513" s="3408" t="str">
        <f>VLOOKUP(I513,plasmids!$A$2:$B$891,2)</f>
        <v>pssAAV-mCAR-GFP</v>
      </c>
      <c r="I513" s="3404">
        <v>93</v>
      </c>
      <c r="J513" s="3409"/>
      <c r="K513" s="3410"/>
      <c r="L513" s="3411"/>
      <c r="M513" s="3412">
        <v>42208</v>
      </c>
      <c r="N513" s="3413">
        <v>551</v>
      </c>
      <c r="O513" s="3407">
        <v>6</v>
      </c>
      <c r="P513" s="3414"/>
      <c r="Q513" s="3498">
        <v>25600000000000</v>
      </c>
      <c r="R513" s="3416">
        <v>65700000000</v>
      </c>
      <c r="S513" s="3417">
        <f t="shared" si="0"/>
        <v>12780517503805.174</v>
      </c>
      <c r="T513" s="3418">
        <v>42226</v>
      </c>
      <c r="U513" s="3419"/>
      <c r="V513" s="3419">
        <f>180-26-2-12-85</f>
        <v>55</v>
      </c>
      <c r="W513" s="3420" t="s">
        <v>5726</v>
      </c>
      <c r="X513" s="3421"/>
      <c r="Y513" s="3421"/>
      <c r="Z513" s="3421"/>
      <c r="AA513" s="3421"/>
      <c r="AB513" s="3421"/>
      <c r="AC513" s="3421"/>
      <c r="AD513" s="3421"/>
      <c r="AE513" s="3421"/>
      <c r="AF513" s="3421"/>
      <c r="AG513" s="3421"/>
      <c r="AH513" s="3421"/>
      <c r="AI513" s="3421"/>
      <c r="AJ513" s="3421"/>
      <c r="AK513" s="3421"/>
      <c r="AL513" s="3421"/>
      <c r="AM513" s="3421"/>
      <c r="AN513" s="3421"/>
      <c r="AO513" s="3421"/>
      <c r="AP513" s="3421"/>
      <c r="AQ513" s="3421"/>
      <c r="AR513" s="3421"/>
      <c r="AS513" s="3421"/>
      <c r="AT513" s="3421"/>
      <c r="AU513" s="3421"/>
      <c r="AV513" s="3421"/>
      <c r="AW513" s="3421"/>
      <c r="AX513" s="3421"/>
      <c r="AY513" s="3421"/>
      <c r="AZ513" s="3421"/>
      <c r="BA513" s="3421"/>
      <c r="BB513" s="3421"/>
      <c r="BC513" s="3421"/>
      <c r="BD513" s="3421"/>
      <c r="BE513" s="3421"/>
      <c r="BF513" s="3421"/>
      <c r="BG513" s="3421"/>
      <c r="BH513" s="3421"/>
      <c r="BI513" s="3421"/>
    </row>
    <row r="514" spans="1:61" ht="24">
      <c r="A514" s="3404" t="s">
        <v>707</v>
      </c>
      <c r="B514" s="3404" t="s">
        <v>5704</v>
      </c>
      <c r="C514" s="3405" t="s">
        <v>1967</v>
      </c>
      <c r="D514" s="3404" t="s">
        <v>5655</v>
      </c>
      <c r="E514" s="3406" t="str">
        <f>VLOOKUP(F514,plasmids!$A$2:$B$891,2)</f>
        <v>AAV2-7m8</v>
      </c>
      <c r="F514" s="3407">
        <v>178</v>
      </c>
      <c r="G514" s="3499"/>
      <c r="H514" s="3499" t="s">
        <v>1940</v>
      </c>
      <c r="I514" s="3419">
        <v>564</v>
      </c>
      <c r="J514" s="3409"/>
      <c r="K514" s="3410"/>
      <c r="L514" s="3411"/>
      <c r="M514" s="3412">
        <v>42208</v>
      </c>
      <c r="N514" s="3413">
        <v>552</v>
      </c>
      <c r="O514" s="3407">
        <v>6</v>
      </c>
      <c r="P514" s="3414"/>
      <c r="Q514" s="3498">
        <v>65300000000000</v>
      </c>
      <c r="R514" s="3416">
        <v>65700000000</v>
      </c>
      <c r="S514" s="3417">
        <f t="shared" si="0"/>
        <v>32600304414003.043</v>
      </c>
      <c r="T514" s="3419" t="s">
        <v>5727</v>
      </c>
      <c r="U514" s="3409"/>
      <c r="V514" s="3419">
        <f>185-26-2-12-17-4.4-5</f>
        <v>118.6</v>
      </c>
      <c r="W514" s="3421"/>
      <c r="X514" s="3421"/>
      <c r="Y514" s="3421"/>
      <c r="Z514" s="3421"/>
      <c r="AA514" s="3421"/>
      <c r="AB514" s="3421"/>
      <c r="AC514" s="3421"/>
      <c r="AD514" s="3421"/>
      <c r="AE514" s="3421"/>
      <c r="AF514" s="3421"/>
      <c r="AG514" s="3421"/>
      <c r="AH514" s="3421"/>
      <c r="AI514" s="3421"/>
      <c r="AJ514" s="3421"/>
      <c r="AK514" s="3421"/>
      <c r="AL514" s="3421"/>
      <c r="AM514" s="3421"/>
      <c r="AN514" s="3421"/>
      <c r="AO514" s="3421"/>
      <c r="AP514" s="3421"/>
      <c r="AQ514" s="3421"/>
      <c r="AR514" s="3421"/>
      <c r="AS514" s="3421"/>
      <c r="AT514" s="3421"/>
      <c r="AU514" s="3421"/>
      <c r="AV514" s="3421"/>
      <c r="AW514" s="3421"/>
      <c r="AX514" s="3421"/>
      <c r="AY514" s="3421"/>
      <c r="AZ514" s="3421"/>
      <c r="BA514" s="3421"/>
      <c r="BB514" s="3421"/>
      <c r="BC514" s="3421"/>
      <c r="BD514" s="3421"/>
      <c r="BE514" s="3421"/>
      <c r="BF514" s="3421"/>
      <c r="BG514" s="3421"/>
      <c r="BH514" s="3421"/>
      <c r="BI514" s="3421"/>
    </row>
    <row r="515" spans="1:61" ht="24">
      <c r="A515" s="3404" t="s">
        <v>707</v>
      </c>
      <c r="B515" s="3404" t="s">
        <v>5704</v>
      </c>
      <c r="C515" s="3405" t="s">
        <v>1967</v>
      </c>
      <c r="D515" s="3404" t="s">
        <v>5655</v>
      </c>
      <c r="E515" s="3406" t="str">
        <f>VLOOKUP(F515,plasmids!$A$2:$B$891,2)</f>
        <v>AAV2-7m8</v>
      </c>
      <c r="F515" s="3407">
        <v>178</v>
      </c>
      <c r="G515" s="3499"/>
      <c r="H515" s="3499" t="s">
        <v>5728</v>
      </c>
      <c r="I515" s="3419">
        <v>566</v>
      </c>
      <c r="J515" s="3409"/>
      <c r="K515" s="3410"/>
      <c r="L515" s="3411"/>
      <c r="M515" s="3412">
        <v>42208</v>
      </c>
      <c r="N515" s="3413">
        <v>553</v>
      </c>
      <c r="O515" s="3407">
        <v>6</v>
      </c>
      <c r="P515" s="3414"/>
      <c r="Q515" s="3498">
        <v>57300000000000</v>
      </c>
      <c r="R515" s="3416">
        <v>65700000000</v>
      </c>
      <c r="S515" s="3417">
        <f t="shared" si="0"/>
        <v>28606392694063.926</v>
      </c>
      <c r="T515" s="3418">
        <v>42226</v>
      </c>
      <c r="U515" s="3409"/>
      <c r="V515" s="3419">
        <f>180-26-30-20-2-38-38</f>
        <v>26</v>
      </c>
      <c r="W515" s="3421"/>
      <c r="X515" s="3421"/>
      <c r="Y515" s="3421"/>
      <c r="Z515" s="3421"/>
      <c r="AA515" s="3421"/>
      <c r="AB515" s="3421"/>
      <c r="AC515" s="3421"/>
      <c r="AD515" s="3421"/>
      <c r="AE515" s="3421"/>
      <c r="AF515" s="3421"/>
      <c r="AG515" s="3421"/>
      <c r="AH515" s="3421"/>
      <c r="AI515" s="3421"/>
      <c r="AJ515" s="3421"/>
      <c r="AK515" s="3421"/>
      <c r="AL515" s="3421"/>
      <c r="AM515" s="3421"/>
      <c r="AN515" s="3421"/>
      <c r="AO515" s="3421"/>
      <c r="AP515" s="3421"/>
      <c r="AQ515" s="3421"/>
      <c r="AR515" s="3421"/>
      <c r="AS515" s="3421"/>
      <c r="AT515" s="3421"/>
      <c r="AU515" s="3421"/>
      <c r="AV515" s="3421"/>
      <c r="AW515" s="3421"/>
      <c r="AX515" s="3421"/>
      <c r="AY515" s="3421"/>
      <c r="AZ515" s="3421"/>
      <c r="BA515" s="3421"/>
      <c r="BB515" s="3421"/>
      <c r="BC515" s="3421"/>
      <c r="BD515" s="3421"/>
      <c r="BE515" s="3421"/>
      <c r="BF515" s="3421"/>
      <c r="BG515" s="3421"/>
      <c r="BH515" s="3421"/>
      <c r="BI515" s="3421"/>
    </row>
    <row r="516" spans="1:61" ht="24">
      <c r="A516" s="3422" t="s">
        <v>707</v>
      </c>
      <c r="B516" s="3422" t="s">
        <v>5704</v>
      </c>
      <c r="C516" s="3423" t="s">
        <v>1967</v>
      </c>
      <c r="D516" s="3422" t="s">
        <v>5655</v>
      </c>
      <c r="E516" s="3424" t="str">
        <f>VLOOKUP(F516,plasmids!$A$2:$B$891,2)</f>
        <v>AAV2-7m8</v>
      </c>
      <c r="F516" s="3425">
        <v>178</v>
      </c>
      <c r="G516" s="3500"/>
      <c r="H516" s="3500" t="s">
        <v>1947</v>
      </c>
      <c r="I516" s="3436">
        <v>568</v>
      </c>
      <c r="J516" s="3255"/>
      <c r="K516" s="3427"/>
      <c r="L516" s="3428"/>
      <c r="M516" s="3429">
        <v>42208</v>
      </c>
      <c r="N516" s="3430">
        <v>554</v>
      </c>
      <c r="O516" s="3425">
        <v>6</v>
      </c>
      <c r="P516" s="3431"/>
      <c r="Q516" s="3501">
        <v>39700000000000</v>
      </c>
      <c r="R516" s="3433">
        <v>65700000000</v>
      </c>
      <c r="S516" s="3434">
        <f t="shared" si="0"/>
        <v>19819786910197.867</v>
      </c>
      <c r="T516" s="3435">
        <v>42226</v>
      </c>
      <c r="U516" s="3255"/>
      <c r="V516" s="3436" t="s">
        <v>5729</v>
      </c>
      <c r="W516" s="3437"/>
      <c r="X516" s="3437"/>
      <c r="Y516" s="3437"/>
      <c r="Z516" s="3437"/>
      <c r="AA516" s="3437"/>
      <c r="AB516" s="3437"/>
      <c r="AC516" s="3437"/>
      <c r="AD516" s="3437"/>
      <c r="AE516" s="3437"/>
      <c r="AF516" s="3437"/>
      <c r="AG516" s="3437"/>
      <c r="AH516" s="3437"/>
      <c r="AI516" s="3437"/>
      <c r="AJ516" s="3437"/>
      <c r="AK516" s="3437"/>
      <c r="AL516" s="3437"/>
      <c r="AM516" s="3437"/>
      <c r="AN516" s="3437"/>
      <c r="AO516" s="3437"/>
      <c r="AP516" s="3437"/>
      <c r="AQ516" s="3437"/>
      <c r="AR516" s="3437"/>
      <c r="AS516" s="3437"/>
      <c r="AT516" s="3437"/>
      <c r="AU516" s="3437"/>
      <c r="AV516" s="3437"/>
      <c r="AW516" s="3437"/>
      <c r="AX516" s="3437"/>
      <c r="AY516" s="3437"/>
      <c r="AZ516" s="3437"/>
      <c r="BA516" s="3437"/>
      <c r="BB516" s="3437"/>
      <c r="BC516" s="3437"/>
      <c r="BD516" s="3437"/>
      <c r="BE516" s="3437"/>
      <c r="BF516" s="3437"/>
      <c r="BG516" s="3437"/>
      <c r="BH516" s="3437"/>
      <c r="BI516" s="3437"/>
    </row>
    <row r="517" spans="1:61" ht="27" customHeight="1">
      <c r="A517" s="235" t="s">
        <v>52</v>
      </c>
      <c r="B517" s="235" t="s">
        <v>177</v>
      </c>
      <c r="C517" s="236" t="s">
        <v>1967</v>
      </c>
      <c r="D517" s="235" t="s">
        <v>5547</v>
      </c>
      <c r="E517" s="3502" t="str">
        <f>VLOOKUP(F517,plasmids!$A$2:$B$351,2)</f>
        <v>AAV2-7m8</v>
      </c>
      <c r="F517" s="237">
        <v>178</v>
      </c>
      <c r="G517" s="3503"/>
      <c r="H517" s="3503" t="str">
        <f>VLOOKUP(I517,plasmids!$A$2:$B$1011,2)</f>
        <v>pAAV-hRho-Killer Red</v>
      </c>
      <c r="I517" s="235">
        <v>434</v>
      </c>
      <c r="J517" s="235" t="s">
        <v>1012</v>
      </c>
      <c r="K517" s="252"/>
      <c r="L517" s="238"/>
      <c r="M517" s="241">
        <v>42215</v>
      </c>
      <c r="N517" s="1379">
        <v>555</v>
      </c>
      <c r="O517" s="235">
        <v>6</v>
      </c>
      <c r="P517" s="248"/>
      <c r="Q517" s="3504">
        <v>96700000000000</v>
      </c>
      <c r="R517" s="3505">
        <v>38500000000</v>
      </c>
      <c r="S517" s="250">
        <f t="shared" si="0"/>
        <v>82383376623376.625</v>
      </c>
      <c r="T517" s="3506">
        <v>42226</v>
      </c>
      <c r="U517" s="3507"/>
      <c r="V517" s="237">
        <v>170</v>
      </c>
      <c r="W517" s="3508" t="s">
        <v>5730</v>
      </c>
      <c r="X517" s="3509"/>
      <c r="Y517" s="244"/>
      <c r="Z517" s="248"/>
      <c r="AA517" s="248"/>
      <c r="AB517" s="248"/>
      <c r="AC517" s="248"/>
      <c r="AD517" s="252"/>
      <c r="AE517" s="237">
        <v>200</v>
      </c>
      <c r="AF517" s="255"/>
      <c r="AG517" s="255"/>
      <c r="AH517" s="255"/>
      <c r="AI517" s="255"/>
      <c r="AJ517" s="255"/>
      <c r="AK517" s="255"/>
      <c r="AL517" s="255"/>
      <c r="AM517" s="255"/>
      <c r="AN517" s="255"/>
      <c r="AO517" s="255"/>
      <c r="AP517" s="255"/>
      <c r="AQ517" s="255"/>
      <c r="AR517" s="255"/>
      <c r="AS517" s="255"/>
      <c r="AT517" s="255"/>
      <c r="AU517" s="255"/>
      <c r="AV517" s="255"/>
      <c r="AW517" s="255"/>
      <c r="AX517" s="255"/>
      <c r="AY517" s="255"/>
      <c r="AZ517" s="255"/>
      <c r="BA517" s="255"/>
      <c r="BB517" s="255"/>
      <c r="BC517" s="255"/>
      <c r="BD517" s="255"/>
      <c r="BE517" s="255"/>
      <c r="BF517" s="255"/>
      <c r="BG517" s="255"/>
      <c r="BH517" s="255"/>
      <c r="BI517" s="255"/>
    </row>
    <row r="518" spans="1:61" ht="12">
      <c r="A518" s="3510" t="s">
        <v>1343</v>
      </c>
      <c r="B518" s="3510" t="s">
        <v>5707</v>
      </c>
      <c r="C518" s="3511" t="s">
        <v>5708</v>
      </c>
      <c r="D518" s="3510" t="s">
        <v>3782</v>
      </c>
      <c r="E518" s="3512" t="str">
        <f>VLOOKUP(F518,plasmids!$A$2:$B$891,2)</f>
        <v>AAV2-7m8</v>
      </c>
      <c r="F518" s="3513">
        <v>178</v>
      </c>
      <c r="G518" s="3514"/>
      <c r="H518" s="3514" t="str">
        <f>VLOOKUP(I518,plasmids!$A$2:$B$891,2)</f>
        <v>pssAAV-CAG-tdTomato</v>
      </c>
      <c r="I518" s="3510">
        <v>481</v>
      </c>
      <c r="J518" s="3515"/>
      <c r="K518" s="3516"/>
      <c r="L518" s="3517"/>
      <c r="M518" s="3518">
        <v>42215</v>
      </c>
      <c r="N518" s="3519">
        <v>556</v>
      </c>
      <c r="O518" s="3513">
        <v>6</v>
      </c>
      <c r="P518" s="3520"/>
      <c r="Q518" s="3521">
        <v>26200000000000</v>
      </c>
      <c r="R518" s="3522">
        <v>38500000000</v>
      </c>
      <c r="S518" s="3523">
        <f t="shared" si="0"/>
        <v>22321038961038.961</v>
      </c>
      <c r="T518" s="3517">
        <v>42226</v>
      </c>
      <c r="U518" s="3515"/>
      <c r="V518" s="3510">
        <v>165</v>
      </c>
      <c r="W518" s="3524"/>
      <c r="X518" s="3525" t="s">
        <v>5731</v>
      </c>
      <c r="Y518" s="3524"/>
      <c r="Z518" s="3524"/>
      <c r="AA518" s="3524"/>
      <c r="AB518" s="3524"/>
      <c r="AC518" s="3524"/>
      <c r="AD518" s="3524"/>
      <c r="AE518" s="3524"/>
      <c r="AF518" s="3524"/>
      <c r="AG518" s="3524"/>
      <c r="AH518" s="3524"/>
      <c r="AI518" s="3524"/>
      <c r="AJ518" s="3524"/>
      <c r="AK518" s="3524"/>
      <c r="AL518" s="3524"/>
      <c r="AM518" s="3524"/>
      <c r="AN518" s="3524"/>
      <c r="AO518" s="3524"/>
      <c r="AP518" s="3524"/>
      <c r="AQ518" s="3524"/>
      <c r="AR518" s="3524"/>
      <c r="AS518" s="3524"/>
      <c r="AT518" s="3524"/>
      <c r="AU518" s="3524"/>
      <c r="AV518" s="3524"/>
      <c r="AW518" s="3524"/>
      <c r="AX518" s="3524"/>
      <c r="AY518" s="3524"/>
      <c r="AZ518" s="3524"/>
      <c r="BA518" s="3524"/>
      <c r="BB518" s="3524"/>
      <c r="BC518" s="3524"/>
      <c r="BD518" s="3524"/>
      <c r="BE518" s="3524"/>
      <c r="BF518" s="3524"/>
      <c r="BG518" s="3524"/>
      <c r="BH518" s="3524"/>
      <c r="BI518" s="3524"/>
    </row>
    <row r="519" spans="1:61" ht="12">
      <c r="A519" s="3510" t="s">
        <v>1343</v>
      </c>
      <c r="B519" s="3510" t="s">
        <v>5732</v>
      </c>
      <c r="C519" s="3511" t="s">
        <v>5708</v>
      </c>
      <c r="D519" s="3510" t="s">
        <v>3782</v>
      </c>
      <c r="E519" s="3512" t="str">
        <f>VLOOKUP(F519,plasmids!$A$2:$B$891,2)</f>
        <v>AAV2-7m8</v>
      </c>
      <c r="F519" s="3513">
        <v>178</v>
      </c>
      <c r="G519" s="3514"/>
      <c r="H519" s="3514" t="str">
        <f>VLOOKUP(I519,plasmids!$A$2:$B$891,2)</f>
        <v>pssAAV-CAG-ChrimsonR-tdTomato</v>
      </c>
      <c r="I519" s="3510">
        <v>479</v>
      </c>
      <c r="J519" s="3515"/>
      <c r="K519" s="3516"/>
      <c r="L519" s="3517"/>
      <c r="M519" s="3518">
        <v>42215</v>
      </c>
      <c r="N519" s="3519">
        <v>557</v>
      </c>
      <c r="O519" s="3513">
        <v>6</v>
      </c>
      <c r="P519" s="3520"/>
      <c r="Q519" s="3521">
        <v>98100000000000</v>
      </c>
      <c r="R519" s="3522">
        <v>38500000000</v>
      </c>
      <c r="S519" s="3523">
        <f t="shared" si="0"/>
        <v>83576103896103.891</v>
      </c>
      <c r="T519" s="3517">
        <v>42226</v>
      </c>
      <c r="U519" s="3517">
        <v>42256</v>
      </c>
      <c r="V519" s="3510">
        <f>170-120-14</f>
        <v>36</v>
      </c>
      <c r="W519" s="3524"/>
      <c r="X519" s="3524"/>
      <c r="Y519" s="3524"/>
      <c r="Z519" s="3524"/>
      <c r="AA519" s="3524"/>
      <c r="AB519" s="3524"/>
      <c r="AC519" s="3524"/>
      <c r="AD519" s="3524"/>
      <c r="AE519" s="3524"/>
      <c r="AF519" s="3524"/>
      <c r="AG519" s="3524"/>
      <c r="AH519" s="3524"/>
      <c r="AI519" s="3524"/>
      <c r="AJ519" s="3524"/>
      <c r="AK519" s="3524"/>
      <c r="AL519" s="3524"/>
      <c r="AM519" s="3524"/>
      <c r="AN519" s="3524"/>
      <c r="AO519" s="3524"/>
      <c r="AP519" s="3524"/>
      <c r="AQ519" s="3524"/>
      <c r="AR519" s="3524"/>
      <c r="AS519" s="3524"/>
      <c r="AT519" s="3524"/>
      <c r="AU519" s="3524"/>
      <c r="AV519" s="3524"/>
      <c r="AW519" s="3524"/>
      <c r="AX519" s="3524"/>
      <c r="AY519" s="3524"/>
      <c r="AZ519" s="3524"/>
      <c r="BA519" s="3524"/>
      <c r="BB519" s="3524"/>
      <c r="BC519" s="3524"/>
      <c r="BD519" s="3524"/>
      <c r="BE519" s="3524"/>
      <c r="BF519" s="3524"/>
      <c r="BG519" s="3524"/>
      <c r="BH519" s="3524"/>
      <c r="BI519" s="3524"/>
    </row>
    <row r="520" spans="1:61" ht="12">
      <c r="A520" s="3510" t="s">
        <v>1343</v>
      </c>
      <c r="B520" s="3510" t="s">
        <v>5732</v>
      </c>
      <c r="C520" s="3511" t="s">
        <v>5708</v>
      </c>
      <c r="D520" s="3510" t="s">
        <v>3782</v>
      </c>
      <c r="E520" s="3512" t="str">
        <f>VLOOKUP(F520,plasmids!$A$2:$B$891,2)</f>
        <v>pAAV2/8</v>
      </c>
      <c r="F520" s="3513">
        <v>122</v>
      </c>
      <c r="G520" s="3514"/>
      <c r="H520" s="3514" t="str">
        <f>VLOOKUP(I520,plasmids!$A$2:$B$891,2)</f>
        <v>sc-CAG-GFP</v>
      </c>
      <c r="I520" s="3510">
        <v>120</v>
      </c>
      <c r="J520" s="3515"/>
      <c r="K520" s="3516"/>
      <c r="L520" s="3517"/>
      <c r="M520" s="3518">
        <v>42215</v>
      </c>
      <c r="N520" s="3519">
        <v>558</v>
      </c>
      <c r="O520" s="3513">
        <v>3</v>
      </c>
      <c r="P520" s="3520"/>
      <c r="Q520" s="3521">
        <v>188000000000000</v>
      </c>
      <c r="R520" s="3522">
        <v>38500000000</v>
      </c>
      <c r="S520" s="3523">
        <f t="shared" si="0"/>
        <v>160166233766233.75</v>
      </c>
      <c r="T520" s="3517">
        <v>42226</v>
      </c>
      <c r="U520" s="3515"/>
      <c r="V520" s="3510">
        <v>170</v>
      </c>
      <c r="W520" s="3525" t="s">
        <v>2812</v>
      </c>
      <c r="X520" s="3524"/>
      <c r="Y520" s="3524"/>
      <c r="Z520" s="3524"/>
      <c r="AA520" s="3524"/>
      <c r="AB520" s="3524"/>
      <c r="AC520" s="3524"/>
      <c r="AD520" s="3524"/>
      <c r="AE520" s="3524"/>
      <c r="AF520" s="3524"/>
      <c r="AG520" s="3524"/>
      <c r="AH520" s="3524"/>
      <c r="AI520" s="3524"/>
      <c r="AJ520" s="3524"/>
      <c r="AK520" s="3524"/>
      <c r="AL520" s="3524"/>
      <c r="AM520" s="3524"/>
      <c r="AN520" s="3524"/>
      <c r="AO520" s="3524"/>
      <c r="AP520" s="3524"/>
      <c r="AQ520" s="3524"/>
      <c r="AR520" s="3524"/>
      <c r="AS520" s="3524"/>
      <c r="AT520" s="3524"/>
      <c r="AU520" s="3524"/>
      <c r="AV520" s="3524"/>
      <c r="AW520" s="3524"/>
      <c r="AX520" s="3524"/>
      <c r="AY520" s="3524"/>
      <c r="AZ520" s="3524"/>
      <c r="BA520" s="3524"/>
      <c r="BB520" s="3524"/>
      <c r="BC520" s="3524"/>
      <c r="BD520" s="3524"/>
      <c r="BE520" s="3524"/>
      <c r="BF520" s="3524"/>
      <c r="BG520" s="3524"/>
      <c r="BH520" s="3524"/>
      <c r="BI520" s="3524"/>
    </row>
    <row r="521" spans="1:61" ht="12">
      <c r="A521" s="3526" t="s">
        <v>1343</v>
      </c>
      <c r="B521" s="3526" t="s">
        <v>5707</v>
      </c>
      <c r="C521" s="3527" t="s">
        <v>5708</v>
      </c>
      <c r="D521" s="3526" t="s">
        <v>3782</v>
      </c>
      <c r="E521" s="3528" t="str">
        <f>VLOOKUP(F521,plasmids!$A$2:$B$891,2)</f>
        <v>AAV2-7m8</v>
      </c>
      <c r="F521" s="3529">
        <v>178</v>
      </c>
      <c r="G521" s="3530"/>
      <c r="H521" s="3530" t="str">
        <f>VLOOKUP(I521,plasmids!$A$2:$B$891,2)</f>
        <v>sc-CAG-GFP</v>
      </c>
      <c r="I521" s="3526">
        <v>120</v>
      </c>
      <c r="J521" s="3531"/>
      <c r="K521" s="3532"/>
      <c r="L521" s="3533"/>
      <c r="M521" s="3534">
        <v>42222</v>
      </c>
      <c r="N521" s="3535">
        <v>559</v>
      </c>
      <c r="O521" s="3529">
        <v>6</v>
      </c>
      <c r="P521" s="3536"/>
      <c r="Q521" s="3537">
        <v>56700000000000</v>
      </c>
      <c r="R521" s="3538">
        <v>143000000000</v>
      </c>
      <c r="S521" s="3539">
        <f t="shared" si="0"/>
        <v>13005314685314.686</v>
      </c>
      <c r="T521" s="3540" t="s">
        <v>5709</v>
      </c>
      <c r="U521" s="3526"/>
      <c r="V521" s="3526">
        <v>160</v>
      </c>
      <c r="W521" s="3541"/>
      <c r="X521" s="3541"/>
      <c r="Y521" s="3541"/>
      <c r="Z521" s="3541"/>
      <c r="AA521" s="3541"/>
      <c r="AB521" s="3541"/>
      <c r="AC521" s="3541"/>
      <c r="AD521" s="3541"/>
      <c r="AE521" s="3541"/>
      <c r="AF521" s="3541"/>
      <c r="AG521" s="3541"/>
      <c r="AH521" s="3541"/>
      <c r="AI521" s="3541"/>
      <c r="AJ521" s="3541"/>
      <c r="AK521" s="3541"/>
      <c r="AL521" s="3541"/>
      <c r="AM521" s="3541"/>
      <c r="AN521" s="3541"/>
      <c r="AO521" s="3541"/>
      <c r="AP521" s="3541"/>
      <c r="AQ521" s="3541"/>
      <c r="AR521" s="3541"/>
      <c r="AS521" s="3541"/>
      <c r="AT521" s="3541"/>
      <c r="AU521" s="3541"/>
      <c r="AV521" s="3541"/>
      <c r="AW521" s="3541"/>
      <c r="AX521" s="3541"/>
      <c r="AY521" s="3541"/>
      <c r="AZ521" s="3541"/>
      <c r="BA521" s="3541"/>
      <c r="BB521" s="3541"/>
      <c r="BC521" s="3541"/>
      <c r="BD521" s="3541"/>
      <c r="BE521" s="3541"/>
      <c r="BF521" s="3541"/>
      <c r="BG521" s="3541"/>
      <c r="BH521" s="3541"/>
      <c r="BI521" s="3541"/>
    </row>
    <row r="522" spans="1:61" ht="24">
      <c r="A522" s="3510" t="s">
        <v>1343</v>
      </c>
      <c r="B522" s="3510" t="s">
        <v>5732</v>
      </c>
      <c r="C522" s="3511" t="s">
        <v>5708</v>
      </c>
      <c r="D522" s="3510" t="s">
        <v>3782</v>
      </c>
      <c r="E522" s="3512" t="str">
        <f>VLOOKUP(F522,plasmids!$A$2:$B$891,2)</f>
        <v>AAV2-7m8</v>
      </c>
      <c r="F522" s="3513">
        <v>178</v>
      </c>
      <c r="G522" s="3514"/>
      <c r="H522" s="3514" t="str">
        <f>VLOOKUP(I522,plasmids!$A$2:$B$891,2)</f>
        <v>pssAAV-mCAR-GFP</v>
      </c>
      <c r="I522" s="3510">
        <v>93</v>
      </c>
      <c r="J522" s="3515"/>
      <c r="K522" s="3516"/>
      <c r="L522" s="3517"/>
      <c r="M522" s="3518">
        <v>42222</v>
      </c>
      <c r="N522" s="3519">
        <v>560</v>
      </c>
      <c r="O522" s="3513">
        <v>6</v>
      </c>
      <c r="P522" s="3520"/>
      <c r="Q522" s="3521">
        <v>163000000000000</v>
      </c>
      <c r="R522" s="3522">
        <v>143000000000</v>
      </c>
      <c r="S522" s="3523">
        <f t="shared" si="0"/>
        <v>37387412587412.586</v>
      </c>
      <c r="T522" s="3510" t="s">
        <v>5733</v>
      </c>
      <c r="U522" s="3515"/>
      <c r="V522" s="3510">
        <v>165</v>
      </c>
      <c r="W522" s="3524"/>
      <c r="X522" s="3524"/>
      <c r="Y522" s="3524"/>
      <c r="Z522" s="3524"/>
      <c r="AA522" s="3524"/>
      <c r="AB522" s="3524"/>
      <c r="AC522" s="3524"/>
      <c r="AD522" s="3524"/>
      <c r="AE522" s="3524"/>
      <c r="AF522" s="3524"/>
      <c r="AG522" s="3524"/>
      <c r="AH522" s="3524"/>
      <c r="AI522" s="3524"/>
      <c r="AJ522" s="3524"/>
      <c r="AK522" s="3524"/>
      <c r="AL522" s="3524"/>
      <c r="AM522" s="3524"/>
      <c r="AN522" s="3524"/>
      <c r="AO522" s="3524"/>
      <c r="AP522" s="3524"/>
      <c r="AQ522" s="3524"/>
      <c r="AR522" s="3524"/>
      <c r="AS522" s="3524"/>
      <c r="AT522" s="3524"/>
      <c r="AU522" s="3524"/>
      <c r="AV522" s="3524"/>
      <c r="AW522" s="3524"/>
      <c r="AX522" s="3524"/>
      <c r="AY522" s="3524"/>
      <c r="AZ522" s="3524"/>
      <c r="BA522" s="3524"/>
      <c r="BB522" s="3524"/>
      <c r="BC522" s="3524"/>
      <c r="BD522" s="3524"/>
      <c r="BE522" s="3524"/>
      <c r="BF522" s="3524"/>
      <c r="BG522" s="3524"/>
      <c r="BH522" s="3524"/>
      <c r="BI522" s="3524"/>
    </row>
    <row r="523" spans="1:61" ht="12">
      <c r="A523" s="3510" t="s">
        <v>1343</v>
      </c>
      <c r="B523" s="3510" t="s">
        <v>5732</v>
      </c>
      <c r="C523" s="3511" t="s">
        <v>5708</v>
      </c>
      <c r="D523" s="3510" t="s">
        <v>3782</v>
      </c>
      <c r="E523" s="3512" t="str">
        <f>VLOOKUP(F523,plasmids!$A$2:$B$891,2)</f>
        <v>AAV2-7m8</v>
      </c>
      <c r="F523" s="3513">
        <v>178</v>
      </c>
      <c r="G523" s="3514"/>
      <c r="H523" s="3514" t="str">
        <f>VLOOKUP(I523,plasmids!$A$2:$B$891,2)</f>
        <v>pssAAV-mCAR-Jaws-GFP</v>
      </c>
      <c r="I523" s="3510">
        <v>89</v>
      </c>
      <c r="J523" s="3515"/>
      <c r="K523" s="3516"/>
      <c r="L523" s="3517"/>
      <c r="M523" s="3518">
        <v>42222</v>
      </c>
      <c r="N523" s="3519">
        <v>561</v>
      </c>
      <c r="O523" s="3513">
        <v>6</v>
      </c>
      <c r="P523" s="3520"/>
      <c r="Q523" s="3521">
        <v>168000000000000</v>
      </c>
      <c r="R523" s="3522">
        <v>143000000000</v>
      </c>
      <c r="S523" s="3523">
        <f t="shared" si="0"/>
        <v>38534265734265.734</v>
      </c>
      <c r="T523" s="3542" t="s">
        <v>5709</v>
      </c>
      <c r="U523" s="3515"/>
      <c r="V523" s="3510">
        <v>3</v>
      </c>
      <c r="W523" s="3524"/>
      <c r="X523" s="3525" t="s">
        <v>5731</v>
      </c>
      <c r="Y523" s="3524"/>
      <c r="Z523" s="3524"/>
      <c r="AA523" s="3524"/>
      <c r="AB523" s="3524"/>
      <c r="AC523" s="3524"/>
      <c r="AD523" s="3524"/>
      <c r="AE523" s="3524"/>
      <c r="AF523" s="3524"/>
      <c r="AG523" s="3524"/>
      <c r="AH523" s="3524"/>
      <c r="AI523" s="3524"/>
      <c r="AJ523" s="3524"/>
      <c r="AK523" s="3524"/>
      <c r="AL523" s="3524"/>
      <c r="AM523" s="3524"/>
      <c r="AN523" s="3524"/>
      <c r="AO523" s="3524"/>
      <c r="AP523" s="3524"/>
      <c r="AQ523" s="3524"/>
      <c r="AR523" s="3524"/>
      <c r="AS523" s="3524"/>
      <c r="AT523" s="3524"/>
      <c r="AU523" s="3524"/>
      <c r="AV523" s="3524"/>
      <c r="AW523" s="3524"/>
      <c r="AX523" s="3524"/>
      <c r="AY523" s="3524"/>
      <c r="AZ523" s="3524"/>
      <c r="BA523" s="3524"/>
      <c r="BB523" s="3524"/>
      <c r="BC523" s="3524"/>
      <c r="BD523" s="3524"/>
      <c r="BE523" s="3524"/>
      <c r="BF523" s="3524"/>
      <c r="BG523" s="3524"/>
      <c r="BH523" s="3524"/>
      <c r="BI523" s="3524"/>
    </row>
    <row r="524" spans="1:61" ht="19.5" customHeight="1">
      <c r="A524" s="778" t="s">
        <v>5657</v>
      </c>
      <c r="B524" s="778" t="s">
        <v>5658</v>
      </c>
      <c r="C524" s="782" t="s">
        <v>1967</v>
      </c>
      <c r="D524" s="778" t="s">
        <v>4867</v>
      </c>
      <c r="E524" s="2584" t="str">
        <f>VLOOKUP(F524,plasmids!$A$2:$B$891,2)</f>
        <v>AAV2-7m8</v>
      </c>
      <c r="F524" s="790">
        <v>178</v>
      </c>
      <c r="G524" s="2585"/>
      <c r="H524" s="2585" t="str">
        <f>VLOOKUP(I524,plasmids!$A$2:$B$891,2)</f>
        <v>sc-CAG-GFP</v>
      </c>
      <c r="I524" s="778">
        <v>120</v>
      </c>
      <c r="J524" s="799"/>
      <c r="K524" s="3065"/>
      <c r="L524" s="784"/>
      <c r="M524" s="786">
        <v>42222</v>
      </c>
      <c r="N524" s="788">
        <v>562</v>
      </c>
      <c r="O524" s="790">
        <v>6</v>
      </c>
      <c r="P524" s="792"/>
      <c r="Q524" s="3543">
        <v>97300000000000</v>
      </c>
      <c r="R524" s="3544">
        <v>143000000000</v>
      </c>
      <c r="S524" s="797">
        <f t="shared" si="0"/>
        <v>22317762237762.238</v>
      </c>
      <c r="T524" s="2587" t="s">
        <v>5709</v>
      </c>
      <c r="U524" s="2587"/>
      <c r="V524" s="3545">
        <f>170-24-7</f>
        <v>139</v>
      </c>
      <c r="W524" s="809"/>
      <c r="X524" s="809"/>
      <c r="Y524" s="809"/>
      <c r="Z524" s="809"/>
      <c r="AA524" s="809"/>
      <c r="AB524" s="809"/>
      <c r="AC524" s="809"/>
      <c r="AD524" s="809"/>
      <c r="AE524" s="809"/>
      <c r="AF524" s="809"/>
      <c r="AG524" s="809"/>
      <c r="AH524" s="809"/>
      <c r="AI524" s="809"/>
      <c r="AJ524" s="809"/>
      <c r="AK524" s="809"/>
      <c r="AL524" s="809"/>
      <c r="AM524" s="809"/>
      <c r="AN524" s="809"/>
      <c r="AO524" s="809"/>
      <c r="AP524" s="809"/>
      <c r="AQ524" s="809"/>
      <c r="AR524" s="809"/>
      <c r="AS524" s="809"/>
      <c r="AT524" s="809"/>
      <c r="AU524" s="809"/>
      <c r="AV524" s="809"/>
      <c r="AW524" s="809"/>
      <c r="AX524" s="809"/>
      <c r="AY524" s="809"/>
      <c r="AZ524" s="809"/>
      <c r="BA524" s="809"/>
      <c r="BB524" s="809"/>
      <c r="BC524" s="809"/>
      <c r="BD524" s="809"/>
      <c r="BE524" s="809"/>
      <c r="BF524" s="809"/>
      <c r="BG524" s="809"/>
      <c r="BH524" s="809"/>
      <c r="BI524" s="809"/>
    </row>
    <row r="525" spans="1:61" ht="18" customHeight="1">
      <c r="A525" s="3486" t="s">
        <v>1954</v>
      </c>
      <c r="B525" s="3486" t="s">
        <v>5734</v>
      </c>
      <c r="C525" s="2852" t="s">
        <v>1967</v>
      </c>
      <c r="D525" s="3486" t="s">
        <v>1088</v>
      </c>
      <c r="E525" s="1761" t="str">
        <f>VLOOKUP(F525,plasmids!$A$2:$B$891,2)</f>
        <v>AAV2-7m8</v>
      </c>
      <c r="F525" s="3269">
        <v>178</v>
      </c>
      <c r="G525" s="3546"/>
      <c r="H525" s="3546" t="s">
        <v>5735</v>
      </c>
      <c r="I525" s="3486">
        <v>572</v>
      </c>
      <c r="J525" s="2856"/>
      <c r="K525" s="3270"/>
      <c r="L525" s="3483"/>
      <c r="M525" s="3022">
        <v>42229</v>
      </c>
      <c r="N525" s="2798">
        <v>563</v>
      </c>
      <c r="O525" s="3269">
        <v>6</v>
      </c>
      <c r="P525" s="2859"/>
      <c r="Q525" s="3484">
        <v>40000000000000</v>
      </c>
      <c r="R525" s="3271">
        <v>18600000000</v>
      </c>
      <c r="S525" s="2861">
        <f t="shared" si="0"/>
        <v>70537634408602.156</v>
      </c>
      <c r="T525" s="2646"/>
      <c r="U525" s="3375"/>
      <c r="V525" s="3547">
        <v>160</v>
      </c>
      <c r="W525" s="3150" t="s">
        <v>5736</v>
      </c>
      <c r="X525" s="2656"/>
      <c r="Y525" s="2656"/>
      <c r="Z525" s="2656"/>
      <c r="AA525" s="2656"/>
      <c r="AB525" s="2656"/>
      <c r="AC525" s="2656"/>
      <c r="AD525" s="2656"/>
      <c r="AE525" s="2656"/>
      <c r="AF525" s="2656"/>
      <c r="AG525" s="2656"/>
      <c r="AH525" s="2656"/>
      <c r="AI525" s="2656"/>
      <c r="AJ525" s="2656"/>
      <c r="AK525" s="2656"/>
      <c r="AL525" s="2656"/>
      <c r="AM525" s="2656"/>
      <c r="AN525" s="2656"/>
      <c r="AO525" s="2656"/>
      <c r="AP525" s="2656"/>
      <c r="AQ525" s="2656"/>
      <c r="AR525" s="2656"/>
      <c r="AS525" s="2656"/>
      <c r="AT525" s="2656"/>
      <c r="AU525" s="2656"/>
      <c r="AV525" s="2656"/>
      <c r="AW525" s="2656"/>
      <c r="AX525" s="2656"/>
      <c r="AY525" s="2656"/>
      <c r="AZ525" s="2656"/>
      <c r="BA525" s="2656"/>
      <c r="BB525" s="2656"/>
      <c r="BC525" s="2656"/>
      <c r="BD525" s="2656"/>
      <c r="BE525" s="2656"/>
      <c r="BF525" s="2656"/>
      <c r="BG525" s="2656"/>
      <c r="BH525" s="2656"/>
      <c r="BI525" s="2656"/>
    </row>
    <row r="526" spans="1:61" ht="24.75" customHeight="1">
      <c r="A526" s="3472" t="s">
        <v>52</v>
      </c>
      <c r="B526" s="3472" t="s">
        <v>5714</v>
      </c>
      <c r="C526" s="3473" t="s">
        <v>1155</v>
      </c>
      <c r="D526" s="834" t="s">
        <v>70</v>
      </c>
      <c r="E526" s="3474" t="str">
        <f>VLOOKUP(F526,plasmids!$A$2:$B$891,2)</f>
        <v>AAV2</v>
      </c>
      <c r="F526" s="834">
        <v>140</v>
      </c>
      <c r="G526" s="2258"/>
      <c r="H526" s="2258" t="str">
        <f>VLOOKUP(I526,plasmids!$A$2:$B$891,2)</f>
        <v>pssAAV-CMV-hCatch-WPRE</v>
      </c>
      <c r="I526" s="834">
        <v>350</v>
      </c>
      <c r="J526" s="642"/>
      <c r="K526" s="1605"/>
      <c r="L526" s="1345"/>
      <c r="M526" s="631">
        <v>42229</v>
      </c>
      <c r="N526" s="870">
        <v>564</v>
      </c>
      <c r="O526" s="634">
        <v>6</v>
      </c>
      <c r="P526" s="635"/>
      <c r="Q526" s="3481">
        <v>260000000000</v>
      </c>
      <c r="R526" s="3482">
        <v>18600000000</v>
      </c>
      <c r="S526" s="640">
        <f t="shared" si="0"/>
        <v>458494623655.914</v>
      </c>
      <c r="T526" s="1605" t="s">
        <v>5709</v>
      </c>
      <c r="U526" s="3472"/>
      <c r="V526" s="834">
        <v>140</v>
      </c>
      <c r="W526" s="3472" t="s">
        <v>5737</v>
      </c>
      <c r="X526" s="645"/>
      <c r="Y526" s="645"/>
      <c r="Z526" s="645"/>
      <c r="AA526" s="645"/>
      <c r="AB526" s="645"/>
      <c r="AC526" s="645"/>
      <c r="AD526" s="645"/>
      <c r="AE526" s="645"/>
      <c r="AF526" s="645"/>
      <c r="AG526" s="645"/>
      <c r="AH526" s="645"/>
      <c r="AI526" s="645"/>
      <c r="AJ526" s="645"/>
      <c r="AK526" s="645"/>
      <c r="AL526" s="645"/>
      <c r="AM526" s="645"/>
      <c r="AN526" s="645"/>
      <c r="AO526" s="645"/>
      <c r="AP526" s="645"/>
      <c r="AQ526" s="645"/>
      <c r="AR526" s="645"/>
      <c r="AS526" s="645"/>
      <c r="AT526" s="645"/>
      <c r="AU526" s="645"/>
      <c r="AV526" s="645"/>
      <c r="AW526" s="645"/>
      <c r="AX526" s="645"/>
      <c r="AY526" s="645"/>
      <c r="AZ526" s="645"/>
      <c r="BA526" s="645"/>
      <c r="BB526" s="645"/>
      <c r="BC526" s="645"/>
      <c r="BD526" s="645"/>
      <c r="BE526" s="645"/>
      <c r="BF526" s="645"/>
      <c r="BG526" s="645"/>
      <c r="BH526" s="645"/>
      <c r="BI526" s="645"/>
    </row>
    <row r="527" spans="1:61" ht="26.25" customHeight="1">
      <c r="A527" s="648" t="s">
        <v>52</v>
      </c>
      <c r="B527" s="3472" t="s">
        <v>5714</v>
      </c>
      <c r="C527" s="3473" t="s">
        <v>1155</v>
      </c>
      <c r="D527" s="628" t="s">
        <v>70</v>
      </c>
      <c r="E527" s="3474" t="str">
        <f>VLOOKUP(F527,plasmids!$A$2:$B$891,2)</f>
        <v>AAV2</v>
      </c>
      <c r="F527" s="628">
        <v>140</v>
      </c>
      <c r="G527" s="2258"/>
      <c r="H527" s="2258" t="str">
        <f>VLOOKUP(I527,plasmids!$A$2:$B$400,2)</f>
        <v>pssSNCG-hCatch-WPRE</v>
      </c>
      <c r="I527" s="628">
        <v>349</v>
      </c>
      <c r="J527" s="642"/>
      <c r="K527" s="2263"/>
      <c r="L527" s="1345"/>
      <c r="M527" s="631">
        <v>42229</v>
      </c>
      <c r="N527" s="870">
        <v>565</v>
      </c>
      <c r="O527" s="634">
        <v>6</v>
      </c>
      <c r="P527" s="638"/>
      <c r="Q527" s="3481">
        <v>50000000000000</v>
      </c>
      <c r="R527" s="3482">
        <v>18600000000</v>
      </c>
      <c r="S527" s="640">
        <f t="shared" si="0"/>
        <v>88172043010752.688</v>
      </c>
      <c r="T527" s="1605" t="s">
        <v>5709</v>
      </c>
      <c r="U527" s="642"/>
      <c r="V527" s="834">
        <v>180</v>
      </c>
      <c r="W527" s="648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5"/>
      <c r="AH527" s="645"/>
      <c r="AI527" s="645"/>
      <c r="AJ527" s="645"/>
      <c r="AK527" s="645"/>
      <c r="AL527" s="645"/>
      <c r="AM527" s="645"/>
      <c r="AN527" s="645"/>
      <c r="AO527" s="645"/>
      <c r="AP527" s="645"/>
      <c r="AQ527" s="645"/>
      <c r="AR527" s="645"/>
      <c r="AS527" s="645"/>
      <c r="AT527" s="645"/>
      <c r="AU527" s="645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</row>
    <row r="528" spans="1:61" ht="26.25" customHeight="1">
      <c r="A528" s="648" t="s">
        <v>52</v>
      </c>
      <c r="B528" s="3472" t="s">
        <v>5714</v>
      </c>
      <c r="C528" s="629" t="s">
        <v>3233</v>
      </c>
      <c r="D528" s="628" t="s">
        <v>70</v>
      </c>
      <c r="E528" s="628" t="s">
        <v>516</v>
      </c>
      <c r="F528" s="628">
        <v>140</v>
      </c>
      <c r="G528" s="2258"/>
      <c r="H528" s="2258" t="str">
        <f>VLOOKUP(I528,plasmids!$A$2:$B$351,2)</f>
        <v>pssAAV-SNCG-hCatch-GFP-WPRE</v>
      </c>
      <c r="I528" s="628">
        <v>279</v>
      </c>
      <c r="J528" s="642"/>
      <c r="K528" s="2263"/>
      <c r="L528" s="1345"/>
      <c r="M528" s="631">
        <v>42236</v>
      </c>
      <c r="N528" s="870">
        <v>566</v>
      </c>
      <c r="O528" s="634">
        <v>3</v>
      </c>
      <c r="P528" s="638"/>
      <c r="Q528" s="3481">
        <v>82100000000000</v>
      </c>
      <c r="R528" s="3482">
        <v>34800000000</v>
      </c>
      <c r="S528" s="640">
        <f t="shared" si="0"/>
        <v>77381609195402.297</v>
      </c>
      <c r="T528" s="628" t="s">
        <v>5709</v>
      </c>
      <c r="U528" s="834"/>
      <c r="V528" s="3548">
        <v>140</v>
      </c>
      <c r="W528" s="645"/>
      <c r="X528" s="645"/>
      <c r="Y528" s="645"/>
      <c r="Z528" s="648">
        <v>175</v>
      </c>
      <c r="AA528" s="645"/>
      <c r="AB528" s="645"/>
      <c r="AC528" s="645"/>
      <c r="AD528" s="645"/>
      <c r="AE528" s="645"/>
      <c r="AF528" s="645"/>
      <c r="AG528" s="645"/>
      <c r="AH528" s="645"/>
      <c r="AI528" s="645"/>
      <c r="AJ528" s="645"/>
      <c r="AK528" s="645"/>
      <c r="AL528" s="645"/>
      <c r="AM528" s="645"/>
      <c r="AN528" s="645"/>
      <c r="AO528" s="645"/>
      <c r="AP528" s="645"/>
      <c r="AQ528" s="645"/>
      <c r="AR528" s="645"/>
      <c r="AS528" s="645"/>
      <c r="AT528" s="645"/>
      <c r="AU528" s="645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</row>
    <row r="529" spans="1:61" ht="26.25" customHeight="1">
      <c r="A529" s="648" t="s">
        <v>52</v>
      </c>
      <c r="B529" s="3472" t="s">
        <v>5714</v>
      </c>
      <c r="C529" s="629" t="s">
        <v>3233</v>
      </c>
      <c r="D529" s="628" t="s">
        <v>70</v>
      </c>
      <c r="E529" s="3474" t="str">
        <f>VLOOKUP(F529,plasmids!$A$2:$B$891,2)</f>
        <v>p5E18</v>
      </c>
      <c r="F529" s="834">
        <v>150</v>
      </c>
      <c r="G529" s="2258"/>
      <c r="H529" s="2258" t="str">
        <f>VLOOKUP(I529,plasmids!$A$2:$B$351,2)</f>
        <v>pssAAV-SNCG-hCatch-GFP-WPRE</v>
      </c>
      <c r="I529" s="628">
        <v>279</v>
      </c>
      <c r="J529" s="642"/>
      <c r="K529" s="2263"/>
      <c r="L529" s="1345"/>
      <c r="M529" s="631">
        <v>42236</v>
      </c>
      <c r="N529" s="870">
        <v>567</v>
      </c>
      <c r="O529" s="634">
        <v>3</v>
      </c>
      <c r="P529" s="638"/>
      <c r="Q529" s="3481">
        <v>76500000000000</v>
      </c>
      <c r="R529" s="3482">
        <v>34800000000</v>
      </c>
      <c r="S529" s="640">
        <f t="shared" si="0"/>
        <v>72103448275862.062</v>
      </c>
      <c r="T529" s="628" t="s">
        <v>5709</v>
      </c>
      <c r="U529" s="642"/>
      <c r="V529" s="3548">
        <v>165</v>
      </c>
      <c r="W529" s="645"/>
      <c r="X529" s="645"/>
      <c r="Y529" s="645"/>
      <c r="Z529" s="648">
        <v>175</v>
      </c>
      <c r="AA529" s="645"/>
      <c r="AB529" s="645"/>
      <c r="AC529" s="645"/>
      <c r="AD529" s="645"/>
      <c r="AE529" s="645"/>
      <c r="AF529" s="645"/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  <c r="AQ529" s="645"/>
      <c r="AR529" s="645"/>
      <c r="AS529" s="645"/>
      <c r="AT529" s="645"/>
      <c r="AU529" s="645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</row>
    <row r="530" spans="1:61" ht="22.5" customHeight="1">
      <c r="A530" s="1594" t="s">
        <v>600</v>
      </c>
      <c r="B530" s="1594" t="s">
        <v>139</v>
      </c>
      <c r="C530" s="3549" t="s">
        <v>55</v>
      </c>
      <c r="D530" s="1594" t="s">
        <v>70</v>
      </c>
      <c r="E530" s="2058" t="str">
        <f>VLOOKUP(F530,plasmids!$A$2:$B$891,2)</f>
        <v>AAV2-7m8</v>
      </c>
      <c r="F530" s="973">
        <v>178</v>
      </c>
      <c r="G530" s="2059"/>
      <c r="H530" s="2059" t="str">
        <f>VLOOKUP(I530,plasmids!$A$2:$B$891,2)</f>
        <v>pssAAV-CAG-ChrimsonR-tdTomato</v>
      </c>
      <c r="I530" s="1594">
        <v>479</v>
      </c>
      <c r="J530" s="978"/>
      <c r="K530" s="1614"/>
      <c r="L530" s="2183"/>
      <c r="M530" s="971">
        <v>42236</v>
      </c>
      <c r="N530" s="972">
        <v>568</v>
      </c>
      <c r="O530" s="973">
        <v>6</v>
      </c>
      <c r="P530" s="976"/>
      <c r="Q530" s="3550">
        <v>222000000000000</v>
      </c>
      <c r="R530" s="3291">
        <v>21900000000</v>
      </c>
      <c r="S530" s="977">
        <f t="shared" si="0"/>
        <v>332493150684931.5</v>
      </c>
      <c r="T530" s="2183" t="s">
        <v>5709</v>
      </c>
      <c r="U530" s="978"/>
      <c r="V530" s="1594" t="s">
        <v>5738</v>
      </c>
      <c r="W530" s="932"/>
      <c r="X530" s="932"/>
      <c r="Y530" s="932"/>
      <c r="Z530" s="932"/>
      <c r="AA530" s="932"/>
      <c r="AB530" s="932"/>
      <c r="AC530" s="932"/>
      <c r="AD530" s="932"/>
      <c r="AE530" s="932"/>
      <c r="AF530" s="932"/>
      <c r="AG530" s="932"/>
      <c r="AH530" s="932"/>
      <c r="AI530" s="932"/>
      <c r="AJ530" s="932"/>
      <c r="AK530" s="932"/>
      <c r="AL530" s="932"/>
      <c r="AM530" s="932"/>
      <c r="AN530" s="932"/>
      <c r="AO530" s="932"/>
      <c r="AP530" s="932"/>
      <c r="AQ530" s="932"/>
      <c r="AR530" s="932"/>
      <c r="AS530" s="932"/>
      <c r="AT530" s="932"/>
      <c r="AU530" s="932"/>
      <c r="AV530" s="932"/>
      <c r="AW530" s="932"/>
      <c r="AX530" s="932"/>
      <c r="AY530" s="932"/>
      <c r="AZ530" s="932"/>
      <c r="BA530" s="932"/>
      <c r="BB530" s="932"/>
      <c r="BC530" s="932"/>
      <c r="BD530" s="932"/>
      <c r="BE530" s="932"/>
      <c r="BF530" s="932"/>
      <c r="BG530" s="932"/>
      <c r="BH530" s="932"/>
      <c r="BI530" s="932"/>
    </row>
    <row r="531" spans="1:61" ht="24">
      <c r="A531" s="628" t="s">
        <v>52</v>
      </c>
      <c r="B531" s="834" t="s">
        <v>5714</v>
      </c>
      <c r="C531" s="629" t="s">
        <v>3233</v>
      </c>
      <c r="D531" s="628" t="s">
        <v>70</v>
      </c>
      <c r="E531" s="3474" t="str">
        <f>VLOOKUP(F531,plasmids!$A$2:$B$891,2)</f>
        <v>AAV2-7m8</v>
      </c>
      <c r="F531" s="834">
        <v>178</v>
      </c>
      <c r="G531" s="2258"/>
      <c r="H531" s="2258" t="str">
        <f>VLOOKUP(I531,plasmids!$A$2:$B$891,2)</f>
        <v>pssAAV-mCar-hCatch-GFP</v>
      </c>
      <c r="I531" s="834">
        <v>562</v>
      </c>
      <c r="J531" s="628" t="s">
        <v>3033</v>
      </c>
      <c r="K531" s="1345">
        <v>41695</v>
      </c>
      <c r="L531" s="1345"/>
      <c r="M531" s="631">
        <v>42236</v>
      </c>
      <c r="N531" s="633">
        <v>569</v>
      </c>
      <c r="O531" s="634">
        <v>6</v>
      </c>
      <c r="P531" s="638"/>
      <c r="Q531" s="3481">
        <v>145000000000000</v>
      </c>
      <c r="R531" s="3482">
        <v>21900000000</v>
      </c>
      <c r="S531" s="640">
        <f t="shared" si="0"/>
        <v>217168949771689.5</v>
      </c>
      <c r="T531" s="1605" t="s">
        <v>5709</v>
      </c>
      <c r="U531" s="1605"/>
      <c r="V531" s="3548">
        <v>145</v>
      </c>
      <c r="W531" s="645"/>
      <c r="X531" s="645"/>
      <c r="Y531" s="645"/>
      <c r="Z531" s="2471"/>
      <c r="AA531" s="645"/>
      <c r="AB531" s="645"/>
      <c r="AC531" s="645"/>
      <c r="AD531" s="645"/>
      <c r="AE531" s="645"/>
      <c r="AF531" s="645"/>
      <c r="AG531" s="645"/>
      <c r="AH531" s="645"/>
      <c r="AI531" s="645"/>
      <c r="AJ531" s="645"/>
      <c r="AK531" s="645"/>
      <c r="AL531" s="645"/>
      <c r="AM531" s="645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</row>
    <row r="532" spans="1:61" ht="21.75" customHeight="1">
      <c r="A532" s="3375" t="s">
        <v>506</v>
      </c>
      <c r="B532" s="3375" t="s">
        <v>5739</v>
      </c>
      <c r="C532" s="3551" t="s">
        <v>1967</v>
      </c>
      <c r="D532" s="3375" t="s">
        <v>70</v>
      </c>
      <c r="E532" s="3013" t="str">
        <f>VLOOKUP(F532,plasmids!$A$2:$B$891,2)</f>
        <v>AAV2</v>
      </c>
      <c r="F532" s="2655">
        <v>140</v>
      </c>
      <c r="G532" s="2596"/>
      <c r="H532" s="2596" t="str">
        <f>VLOOKUP(I532,plasmids!$A$2:$B$891,2)</f>
        <v>pssAAV-hSyn-ReachR-WPRE</v>
      </c>
      <c r="I532" s="3375">
        <v>560</v>
      </c>
      <c r="J532" s="2648"/>
      <c r="K532" s="3147"/>
      <c r="L532" s="2654"/>
      <c r="M532" s="2695">
        <v>42243</v>
      </c>
      <c r="N532" s="2649">
        <v>570</v>
      </c>
      <c r="O532" s="2655">
        <v>6</v>
      </c>
      <c r="P532" s="2651"/>
      <c r="Q532" s="1437">
        <v>157000000000000</v>
      </c>
      <c r="R532" s="1435">
        <v>34800000000</v>
      </c>
      <c r="S532" s="2653">
        <f t="shared" si="0"/>
        <v>147977011494252.88</v>
      </c>
      <c r="T532" s="2646" t="s">
        <v>5709</v>
      </c>
      <c r="U532" s="3375"/>
      <c r="V532" s="3375">
        <v>165</v>
      </c>
      <c r="W532" s="2656"/>
      <c r="X532" s="2656"/>
      <c r="Y532" s="3150" t="s">
        <v>5740</v>
      </c>
      <c r="Z532" s="2656"/>
      <c r="AA532" s="2656"/>
      <c r="AB532" s="2656"/>
      <c r="AC532" s="2656"/>
      <c r="AD532" s="2656"/>
      <c r="AE532" s="2656"/>
      <c r="AF532" s="2656"/>
      <c r="AG532" s="2656"/>
      <c r="AH532" s="2656"/>
      <c r="AI532" s="2656"/>
      <c r="AJ532" s="2656"/>
      <c r="AK532" s="2656"/>
      <c r="AL532" s="2656"/>
      <c r="AM532" s="2656"/>
      <c r="AN532" s="2656"/>
      <c r="AO532" s="2656"/>
      <c r="AP532" s="2656"/>
      <c r="AQ532" s="2656"/>
      <c r="AR532" s="2656"/>
      <c r="AS532" s="2656"/>
      <c r="AT532" s="2656"/>
      <c r="AU532" s="2656"/>
      <c r="AV532" s="2656"/>
      <c r="AW532" s="2656"/>
      <c r="AX532" s="2656"/>
      <c r="AY532" s="2656"/>
      <c r="AZ532" s="2656"/>
      <c r="BA532" s="2656"/>
      <c r="BB532" s="2656"/>
      <c r="BC532" s="2656"/>
      <c r="BD532" s="2656"/>
      <c r="BE532" s="2656"/>
      <c r="BF532" s="2656"/>
      <c r="BG532" s="2656"/>
      <c r="BH532" s="2656"/>
      <c r="BI532" s="2656"/>
    </row>
    <row r="533" spans="1:61" ht="24">
      <c r="A533" s="2646" t="s">
        <v>52</v>
      </c>
      <c r="B533" s="3375" t="s">
        <v>5714</v>
      </c>
      <c r="C533" s="2647" t="s">
        <v>3233</v>
      </c>
      <c r="D533" s="3375" t="s">
        <v>568</v>
      </c>
      <c r="E533" s="3013" t="str">
        <f>VLOOKUP(F533,plasmids!$A$2:$B$891,2)</f>
        <v>AAV2-7m8</v>
      </c>
      <c r="F533" s="3375">
        <v>178</v>
      </c>
      <c r="G533" s="2596"/>
      <c r="H533" s="2596" t="str">
        <f>VLOOKUP(I533,plasmids!$A$2:$B$891,2)</f>
        <v>pssAAV-CMV-hChR2(H134R)-WPRE</v>
      </c>
      <c r="I533" s="3375">
        <v>561</v>
      </c>
      <c r="J533" s="2646" t="s">
        <v>3033</v>
      </c>
      <c r="K533" s="2785">
        <v>41695</v>
      </c>
      <c r="L533" s="2785"/>
      <c r="M533" s="2695">
        <v>42243</v>
      </c>
      <c r="N533" s="2649">
        <v>571</v>
      </c>
      <c r="O533" s="2655">
        <v>6</v>
      </c>
      <c r="P533" s="2651"/>
      <c r="Q533" s="1437">
        <v>8250000000000</v>
      </c>
      <c r="R533" s="1435">
        <v>34800000000</v>
      </c>
      <c r="S533" s="2653">
        <f t="shared" si="0"/>
        <v>7775862068965.5166</v>
      </c>
      <c r="T533" s="2654" t="s">
        <v>5709</v>
      </c>
      <c r="U533" s="3375"/>
      <c r="V533" s="3552">
        <v>185</v>
      </c>
      <c r="W533" s="2656"/>
      <c r="X533" s="2656"/>
      <c r="Y533" s="2656"/>
      <c r="Z533" s="2650"/>
      <c r="AA533" s="2656"/>
      <c r="AB533" s="2656"/>
      <c r="AC533" s="2656"/>
      <c r="AD533" s="2656"/>
      <c r="AE533" s="2656"/>
      <c r="AF533" s="2656"/>
      <c r="AG533" s="2656"/>
      <c r="AH533" s="2656"/>
      <c r="AI533" s="2656"/>
      <c r="AJ533" s="2656"/>
      <c r="AK533" s="2656"/>
      <c r="AL533" s="2656"/>
      <c r="AM533" s="2656"/>
      <c r="AN533" s="2656"/>
      <c r="AO533" s="2656"/>
      <c r="AP533" s="2656"/>
      <c r="AQ533" s="2656"/>
      <c r="AR533" s="2656"/>
      <c r="AS533" s="2656"/>
      <c r="AT533" s="2656"/>
      <c r="AU533" s="2656"/>
      <c r="AV533" s="2656"/>
      <c r="AW533" s="2656"/>
      <c r="AX533" s="2656"/>
      <c r="AY533" s="2656"/>
      <c r="AZ533" s="2656"/>
      <c r="BA533" s="2656"/>
      <c r="BB533" s="2656"/>
      <c r="BC533" s="2656"/>
      <c r="BD533" s="2656"/>
      <c r="BE533" s="2656"/>
      <c r="BF533" s="2656"/>
      <c r="BG533" s="2656"/>
      <c r="BH533" s="2656"/>
      <c r="BI533" s="2656"/>
    </row>
    <row r="534" spans="1:61" ht="24">
      <c r="A534" s="2646" t="s">
        <v>52</v>
      </c>
      <c r="B534" s="3375" t="s">
        <v>5714</v>
      </c>
      <c r="C534" s="2647" t="s">
        <v>3233</v>
      </c>
      <c r="D534" s="2646" t="s">
        <v>70</v>
      </c>
      <c r="E534" s="2646" t="s">
        <v>516</v>
      </c>
      <c r="F534" s="2646">
        <v>140</v>
      </c>
      <c r="G534" s="2596"/>
      <c r="H534" s="2596" t="str">
        <f>VLOOKUP(I534,plasmids!$A$2:$B$391,2)</f>
        <v xml:space="preserve">pssAAV-SNCG-hChR2 (H134R)-GFP-WPRE </v>
      </c>
      <c r="I534" s="2646">
        <v>373</v>
      </c>
      <c r="J534" s="2646" t="s">
        <v>3033</v>
      </c>
      <c r="K534" s="2785">
        <v>41695</v>
      </c>
      <c r="L534" s="2785"/>
      <c r="M534" s="2695">
        <v>42243</v>
      </c>
      <c r="N534" s="2649">
        <v>572</v>
      </c>
      <c r="O534" s="2655">
        <v>6</v>
      </c>
      <c r="P534" s="2651"/>
      <c r="Q534" s="1437">
        <v>132000000000000</v>
      </c>
      <c r="R534" s="1435">
        <v>34800000000</v>
      </c>
      <c r="S534" s="2653">
        <f t="shared" si="0"/>
        <v>124413793103448.27</v>
      </c>
      <c r="T534" s="2654" t="s">
        <v>5709</v>
      </c>
      <c r="U534" s="2654"/>
      <c r="V534" s="3552">
        <f>165-10-5-5</f>
        <v>145</v>
      </c>
      <c r="W534" s="2656"/>
      <c r="X534" s="2656"/>
      <c r="Y534" s="2656"/>
      <c r="Z534" s="2650"/>
      <c r="AA534" s="2656"/>
      <c r="AB534" s="2656"/>
      <c r="AC534" s="2656"/>
      <c r="AD534" s="2656"/>
      <c r="AE534" s="2656"/>
      <c r="AF534" s="2656"/>
      <c r="AG534" s="2656"/>
      <c r="AH534" s="2656"/>
      <c r="AI534" s="2656"/>
      <c r="AJ534" s="2656"/>
      <c r="AK534" s="2656"/>
      <c r="AL534" s="2656"/>
      <c r="AM534" s="2656"/>
      <c r="AN534" s="2656"/>
      <c r="AO534" s="2656"/>
      <c r="AP534" s="2656"/>
      <c r="AQ534" s="2656"/>
      <c r="AR534" s="2656"/>
      <c r="AS534" s="2656"/>
      <c r="AT534" s="2656"/>
      <c r="AU534" s="2656"/>
      <c r="AV534" s="2656"/>
      <c r="AW534" s="2656"/>
      <c r="AX534" s="2656"/>
      <c r="AY534" s="2656"/>
      <c r="AZ534" s="2656"/>
      <c r="BA534" s="2656"/>
      <c r="BB534" s="2656"/>
      <c r="BC534" s="2656"/>
      <c r="BD534" s="2656"/>
      <c r="BE534" s="2656"/>
      <c r="BF534" s="2656"/>
      <c r="BG534" s="2656"/>
      <c r="BH534" s="2656"/>
      <c r="BI534" s="2656"/>
    </row>
    <row r="535" spans="1:61" ht="27.75" customHeight="1">
      <c r="A535" s="2646" t="s">
        <v>5690</v>
      </c>
      <c r="B535" s="2646" t="s">
        <v>5691</v>
      </c>
      <c r="C535" s="2647" t="s">
        <v>1967</v>
      </c>
      <c r="D535" s="2646" t="s">
        <v>1247</v>
      </c>
      <c r="E535" s="1788" t="str">
        <f>VLOOKUP(F535,plasmids!$A$2:$B$891,2)</f>
        <v>ShH19</v>
      </c>
      <c r="F535" s="2655">
        <v>574</v>
      </c>
      <c r="G535" s="2596"/>
      <c r="H535" s="2596" t="str">
        <f>VLOOKUP(I535,plasmids!$A$2:$B$891,2)</f>
        <v>sc-CAG-GFP</v>
      </c>
      <c r="I535" s="2646">
        <v>120</v>
      </c>
      <c r="J535" s="2648"/>
      <c r="K535" s="3147"/>
      <c r="L535" s="2785"/>
      <c r="M535" s="2695">
        <v>42250</v>
      </c>
      <c r="N535" s="2649">
        <v>573</v>
      </c>
      <c r="O535" s="2655">
        <v>6</v>
      </c>
      <c r="P535" s="2651"/>
      <c r="Q535" s="1437">
        <v>59100000000000</v>
      </c>
      <c r="R535" s="3553"/>
      <c r="S535" s="2653" t="e">
        <f t="shared" si="0"/>
        <v>#DIV/0!</v>
      </c>
      <c r="T535" s="2646" t="s">
        <v>2423</v>
      </c>
      <c r="U535" s="3375"/>
      <c r="V535" s="3554">
        <v>155</v>
      </c>
      <c r="W535" s="3150"/>
      <c r="X535" s="2656"/>
      <c r="Y535" s="2656"/>
      <c r="Z535" s="2656"/>
      <c r="AA535" s="2656"/>
      <c r="AB535" s="2656"/>
      <c r="AC535" s="2656"/>
      <c r="AD535" s="2656"/>
      <c r="AE535" s="2656"/>
      <c r="AF535" s="2656"/>
      <c r="AG535" s="2656"/>
      <c r="AH535" s="2656"/>
      <c r="AI535" s="2656"/>
      <c r="AJ535" s="2656"/>
      <c r="AK535" s="2656"/>
      <c r="AL535" s="2656"/>
      <c r="AM535" s="2656"/>
      <c r="AN535" s="2656"/>
      <c r="AO535" s="2656"/>
      <c r="AP535" s="2656"/>
      <c r="AQ535" s="2656"/>
      <c r="AR535" s="2656"/>
      <c r="AS535" s="2656"/>
      <c r="AT535" s="2656"/>
      <c r="AU535" s="2656"/>
      <c r="AV535" s="2656"/>
      <c r="AW535" s="2656"/>
      <c r="AX535" s="2656"/>
      <c r="AY535" s="2656"/>
      <c r="AZ535" s="2656"/>
      <c r="BA535" s="2656"/>
      <c r="BB535" s="2656"/>
      <c r="BC535" s="2656"/>
      <c r="BD535" s="2656"/>
      <c r="BE535" s="2656"/>
      <c r="BF535" s="2656"/>
      <c r="BG535" s="2656"/>
      <c r="BH535" s="2656"/>
      <c r="BI535" s="2656"/>
    </row>
    <row r="536" spans="1:61" ht="21" customHeight="1">
      <c r="A536" s="3555" t="s">
        <v>1731</v>
      </c>
      <c r="B536" s="3555" t="s">
        <v>5741</v>
      </c>
      <c r="C536" s="208" t="s">
        <v>178</v>
      </c>
      <c r="D536" s="207" t="s">
        <v>1045</v>
      </c>
      <c r="E536" s="207" t="s">
        <v>58</v>
      </c>
      <c r="F536" s="207">
        <v>178</v>
      </c>
      <c r="G536" s="3556"/>
      <c r="H536" s="3556" t="str">
        <f>VLOOKUP(I536,plasmids!$A$2:$B$891,2)</f>
        <v>pAAV2,1,MG6,hChR2(H134R)-GFP</v>
      </c>
      <c r="I536" s="207">
        <v>190</v>
      </c>
      <c r="J536" s="207" t="s">
        <v>1012</v>
      </c>
      <c r="K536" s="223"/>
      <c r="L536" s="3557"/>
      <c r="M536" s="213">
        <v>42250</v>
      </c>
      <c r="N536" s="3558">
        <v>574</v>
      </c>
      <c r="O536" s="209">
        <v>6</v>
      </c>
      <c r="P536" s="220"/>
      <c r="Q536" s="3559">
        <v>189000000000000</v>
      </c>
      <c r="R536" s="217"/>
      <c r="S536" s="222" t="e">
        <f t="shared" si="0"/>
        <v>#DIV/0!</v>
      </c>
      <c r="T536" s="3557"/>
      <c r="U536" s="232"/>
      <c r="V536" s="3560">
        <f>1</f>
        <v>1</v>
      </c>
      <c r="W536" s="232"/>
      <c r="X536" s="232"/>
      <c r="Y536" s="3555" t="s">
        <v>5742</v>
      </c>
      <c r="Z536" s="232"/>
      <c r="AA536" s="232"/>
      <c r="AB536" s="232"/>
      <c r="AC536" s="232"/>
      <c r="AD536" s="232"/>
      <c r="AE536" s="232"/>
      <c r="AF536" s="232"/>
      <c r="AG536" s="232"/>
      <c r="AH536" s="232"/>
      <c r="AI536" s="232"/>
      <c r="AJ536" s="232"/>
      <c r="AK536" s="232"/>
      <c r="AL536" s="232"/>
      <c r="AM536" s="232"/>
      <c r="AN536" s="232"/>
      <c r="AO536" s="232"/>
      <c r="AP536" s="232"/>
      <c r="AQ536" s="232"/>
      <c r="AR536" s="232"/>
      <c r="AS536" s="232"/>
      <c r="AT536" s="232"/>
      <c r="AU536" s="232"/>
      <c r="AV536" s="232"/>
      <c r="AW536" s="232"/>
      <c r="AX536" s="232"/>
      <c r="AY536" s="232"/>
      <c r="AZ536" s="232"/>
      <c r="BA536" s="232"/>
      <c r="BB536" s="232"/>
      <c r="BC536" s="232"/>
      <c r="BD536" s="232"/>
      <c r="BE536" s="232"/>
      <c r="BF536" s="232"/>
      <c r="BG536" s="232"/>
      <c r="BH536" s="232"/>
      <c r="BI536" s="232"/>
    </row>
    <row r="537" spans="1:61" ht="24.75" customHeight="1">
      <c r="A537" s="3561" t="s">
        <v>52</v>
      </c>
      <c r="B537" s="3562" t="s">
        <v>5714</v>
      </c>
      <c r="C537" s="3563" t="s">
        <v>55</v>
      </c>
      <c r="D537" s="3564" t="s">
        <v>1088</v>
      </c>
      <c r="E537" s="3565" t="str">
        <f>VLOOKUP(F537,plasmids!$A$2:$B$351,2)</f>
        <v>AAV2-7m8</v>
      </c>
      <c r="F537" s="3564">
        <v>178</v>
      </c>
      <c r="G537" s="3566"/>
      <c r="H537" s="3566" t="str">
        <f>VLOOKUP(I537,plasmids!$A$2:$B$1191,2)</f>
        <v>pssAAV-CMV-hCatch-WPRE</v>
      </c>
      <c r="I537" s="3564">
        <v>556</v>
      </c>
      <c r="J537" s="3567"/>
      <c r="K537" s="3568"/>
      <c r="L537" s="2183"/>
      <c r="M537" s="971">
        <v>42250</v>
      </c>
      <c r="N537" s="3569">
        <v>575</v>
      </c>
      <c r="O537" s="3570">
        <v>6</v>
      </c>
      <c r="P537" s="3571"/>
      <c r="Q537" s="3550">
        <v>545000000000</v>
      </c>
      <c r="R537" s="3572"/>
      <c r="S537" s="3573" t="e">
        <f t="shared" si="0"/>
        <v>#DIV/0!</v>
      </c>
      <c r="T537" s="3574" t="s">
        <v>2423</v>
      </c>
      <c r="U537" s="3562"/>
      <c r="V537" s="3575">
        <v>150</v>
      </c>
      <c r="W537" s="3564"/>
      <c r="X537" s="3576"/>
      <c r="Y537" s="3576"/>
      <c r="Z537" s="3576"/>
      <c r="AA537" s="3576"/>
      <c r="AB537" s="3576"/>
      <c r="AC537" s="3576"/>
      <c r="AD537" s="3576"/>
      <c r="AE537" s="3576"/>
      <c r="AF537" s="3576"/>
      <c r="AG537" s="3576"/>
      <c r="AH537" s="3576"/>
      <c r="AI537" s="3576"/>
      <c r="AJ537" s="3576"/>
      <c r="AK537" s="3576"/>
      <c r="AL537" s="3576"/>
      <c r="AM537" s="3576"/>
      <c r="AN537" s="3576"/>
      <c r="AO537" s="3576"/>
      <c r="AP537" s="3576"/>
      <c r="AQ537" s="3576"/>
      <c r="AR537" s="3576"/>
      <c r="AS537" s="3576"/>
      <c r="AT537" s="3576"/>
      <c r="AU537" s="3576"/>
      <c r="AV537" s="3576"/>
      <c r="AW537" s="3576"/>
      <c r="AX537" s="3576"/>
      <c r="AY537" s="3576"/>
      <c r="AZ537" s="3576"/>
      <c r="BA537" s="3576"/>
      <c r="BB537" s="3576"/>
      <c r="BC537" s="3576"/>
      <c r="BD537" s="3576"/>
      <c r="BE537" s="3576"/>
      <c r="BF537" s="3576"/>
      <c r="BG537" s="3576"/>
      <c r="BH537" s="3576"/>
      <c r="BI537" s="3576"/>
    </row>
    <row r="538" spans="1:61" ht="22.5" customHeight="1">
      <c r="A538" s="1594" t="s">
        <v>600</v>
      </c>
      <c r="B538" s="1594" t="s">
        <v>139</v>
      </c>
      <c r="C538" s="3549" t="s">
        <v>55</v>
      </c>
      <c r="D538" s="1594" t="s">
        <v>70</v>
      </c>
      <c r="E538" s="2058" t="str">
        <f>VLOOKUP(F538,plasmids!$A$2:$B$891,2)</f>
        <v>AAV2-7m8</v>
      </c>
      <c r="F538" s="973">
        <v>178</v>
      </c>
      <c r="G538" s="2059"/>
      <c r="H538" s="2059" t="str">
        <f>VLOOKUP(I538,plasmids!$A$2:$B$891,2)</f>
        <v>pssAAV-CAG-ChrimsonR-tdTomato</v>
      </c>
      <c r="I538" s="1594">
        <v>479</v>
      </c>
      <c r="J538" s="978"/>
      <c r="K538" s="1614"/>
      <c r="L538" s="2183"/>
      <c r="M538" s="971">
        <v>42250</v>
      </c>
      <c r="N538" s="972">
        <v>576</v>
      </c>
      <c r="O538" s="973">
        <v>6</v>
      </c>
      <c r="P538" s="976"/>
      <c r="Q538" s="3550">
        <v>266000000000000</v>
      </c>
      <c r="R538" s="3291"/>
      <c r="S538" s="977" t="e">
        <f t="shared" si="0"/>
        <v>#DIV/0!</v>
      </c>
      <c r="T538" s="2183"/>
      <c r="U538" s="1594"/>
      <c r="V538" s="1594">
        <v>180</v>
      </c>
      <c r="W538" s="932"/>
      <c r="X538" s="932"/>
      <c r="Y538" s="932"/>
      <c r="Z538" s="932"/>
      <c r="AA538" s="932"/>
      <c r="AB538" s="932"/>
      <c r="AC538" s="932"/>
      <c r="AD538" s="932"/>
      <c r="AE538" s="932"/>
      <c r="AF538" s="932"/>
      <c r="AG538" s="932"/>
      <c r="AH538" s="932"/>
      <c r="AI538" s="932"/>
      <c r="AJ538" s="932"/>
      <c r="AK538" s="932"/>
      <c r="AL538" s="932"/>
      <c r="AM538" s="932"/>
      <c r="AN538" s="932"/>
      <c r="AO538" s="932"/>
      <c r="AP538" s="932"/>
      <c r="AQ538" s="932"/>
      <c r="AR538" s="932"/>
      <c r="AS538" s="932"/>
      <c r="AT538" s="932"/>
      <c r="AU538" s="932"/>
      <c r="AV538" s="932"/>
      <c r="AW538" s="932"/>
      <c r="AX538" s="932"/>
      <c r="AY538" s="932"/>
      <c r="AZ538" s="932"/>
      <c r="BA538" s="932"/>
      <c r="BB538" s="932"/>
      <c r="BC538" s="932"/>
      <c r="BD538" s="932"/>
      <c r="BE538" s="932"/>
      <c r="BF538" s="932"/>
      <c r="BG538" s="932"/>
      <c r="BH538" s="932"/>
      <c r="BI538" s="932"/>
    </row>
    <row r="539" spans="1:61" ht="44.25" customHeight="1">
      <c r="A539" s="1756"/>
      <c r="B539" s="1756"/>
      <c r="C539" s="1758"/>
      <c r="D539" s="1756"/>
      <c r="E539" s="3577" t="str">
        <f>VLOOKUP(F539,plasmids!$A$2:$B$891,2)</f>
        <v>AAV2-7m8</v>
      </c>
      <c r="F539" s="3578">
        <v>178</v>
      </c>
      <c r="G539" s="2767"/>
      <c r="H539" s="2767" t="str">
        <f>VLOOKUP(I539,plasmids!$A$2:$B$891,2)</f>
        <v>pssAAV-CAG-ChrimsonR-tdTomato</v>
      </c>
      <c r="I539" s="2762">
        <v>479</v>
      </c>
      <c r="J539" s="2764"/>
      <c r="K539" s="3579"/>
      <c r="L539" s="2762"/>
      <c r="M539" s="2771" t="s">
        <v>5743</v>
      </c>
      <c r="N539" s="2772">
        <v>577</v>
      </c>
      <c r="O539" s="3578" t="s">
        <v>5744</v>
      </c>
      <c r="P539" s="2774"/>
      <c r="Q539" s="3580">
        <v>145000000000000</v>
      </c>
      <c r="R539" s="3581">
        <v>24200000000</v>
      </c>
      <c r="S539" s="2777">
        <f t="shared" si="0"/>
        <v>196528925619834.69</v>
      </c>
      <c r="T539" s="3582" t="s">
        <v>5745</v>
      </c>
      <c r="U539" s="2801">
        <v>42256</v>
      </c>
      <c r="V539" s="3583">
        <f>120+170-18-9-3</f>
        <v>260</v>
      </c>
      <c r="W539" s="1756"/>
      <c r="X539" s="3584" t="s">
        <v>5746</v>
      </c>
      <c r="Y539" s="234"/>
      <c r="Z539" s="234"/>
      <c r="AA539" s="234"/>
      <c r="AB539" s="234"/>
      <c r="AC539" s="234"/>
      <c r="AD539" s="234"/>
      <c r="AE539" s="234"/>
      <c r="AF539" s="234"/>
      <c r="AG539" s="234"/>
      <c r="AH539" s="234"/>
      <c r="AI539" s="234"/>
      <c r="AJ539" s="234"/>
      <c r="AK539" s="234"/>
      <c r="AL539" s="234"/>
      <c r="AM539" s="234"/>
      <c r="AN539" s="234"/>
      <c r="AO539" s="234"/>
      <c r="AP539" s="234"/>
      <c r="AQ539" s="234"/>
      <c r="AR539" s="234"/>
      <c r="AS539" s="234"/>
      <c r="AT539" s="234"/>
      <c r="AU539" s="234"/>
      <c r="AV539" s="234"/>
      <c r="AW539" s="234"/>
      <c r="AX539" s="234"/>
      <c r="AY539" s="234"/>
      <c r="AZ539" s="234"/>
      <c r="BA539" s="234"/>
      <c r="BB539" s="234"/>
      <c r="BC539" s="234"/>
      <c r="BD539" s="234"/>
      <c r="BE539" s="234"/>
      <c r="BF539" s="234"/>
      <c r="BG539" s="234"/>
      <c r="BH539" s="234"/>
      <c r="BI539" s="234"/>
    </row>
    <row r="540" spans="1:61" ht="19.5" customHeight="1">
      <c r="A540" s="734" t="s">
        <v>707</v>
      </c>
      <c r="B540" s="734" t="s">
        <v>2698</v>
      </c>
      <c r="C540" s="735" t="s">
        <v>178</v>
      </c>
      <c r="D540" s="734" t="s">
        <v>345</v>
      </c>
      <c r="E540" s="734" t="str">
        <f>VLOOKUP(F540,plasmids!$A$2:$B$891,2)</f>
        <v>AAV9 7M8 (AA------)</v>
      </c>
      <c r="F540" s="3585">
        <v>170</v>
      </c>
      <c r="G540" s="735"/>
      <c r="H540" s="735" t="str">
        <f>VLOOKUP(I540,plasmids!$A$2:$B$891,2)</f>
        <v>Rho-eGFP</v>
      </c>
      <c r="I540" s="3585">
        <v>121</v>
      </c>
      <c r="J540" s="734" t="s">
        <v>1675</v>
      </c>
      <c r="K540" s="736" t="s">
        <v>2752</v>
      </c>
      <c r="L540" s="811"/>
      <c r="M540" s="737">
        <v>42279</v>
      </c>
      <c r="N540" s="738">
        <v>578</v>
      </c>
      <c r="O540" s="739">
        <v>3</v>
      </c>
      <c r="P540" s="740" t="s">
        <v>4456</v>
      </c>
      <c r="Q540" s="3586">
        <v>4810000000000</v>
      </c>
      <c r="R540" s="3274">
        <v>20900000000</v>
      </c>
      <c r="S540" s="742">
        <f t="shared" si="0"/>
        <v>7548708133971.292</v>
      </c>
      <c r="T540" s="2222" t="s">
        <v>2423</v>
      </c>
      <c r="U540" s="744"/>
      <c r="V540" s="815">
        <v>155</v>
      </c>
      <c r="W540" s="734" t="s">
        <v>5693</v>
      </c>
      <c r="X540" s="732"/>
      <c r="Y540" s="733"/>
      <c r="Z540" s="733"/>
      <c r="AA540" s="733"/>
      <c r="AB540" s="733"/>
      <c r="AC540" s="733"/>
      <c r="AD540" s="733"/>
      <c r="AE540" s="733"/>
      <c r="AF540" s="733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</row>
    <row r="541" spans="1:61" ht="19.5" customHeight="1">
      <c r="A541" s="734" t="s">
        <v>707</v>
      </c>
      <c r="B541" s="734" t="s">
        <v>2698</v>
      </c>
      <c r="C541" s="735" t="s">
        <v>178</v>
      </c>
      <c r="D541" s="734" t="s">
        <v>345</v>
      </c>
      <c r="E541" s="734" t="str">
        <f>VLOOKUP(F541,plasmids!$A$2:$B$891,2)</f>
        <v>AAV9 7M8 (AA------)</v>
      </c>
      <c r="F541" s="3585">
        <v>170</v>
      </c>
      <c r="G541" s="735"/>
      <c r="H541" s="735" t="str">
        <f>VLOOKUP(I541,plasmids!$A$2:$B$891,2)</f>
        <v>Rho-eGFP</v>
      </c>
      <c r="I541" s="3585">
        <v>121</v>
      </c>
      <c r="J541" s="734" t="s">
        <v>1675</v>
      </c>
      <c r="K541" s="736" t="s">
        <v>2752</v>
      </c>
      <c r="L541" s="811"/>
      <c r="M541" s="737">
        <v>42279</v>
      </c>
      <c r="N541" s="738">
        <v>579</v>
      </c>
      <c r="O541" s="739"/>
      <c r="P541" s="740" t="s">
        <v>5747</v>
      </c>
      <c r="Q541" s="3586">
        <v>5240000000000</v>
      </c>
      <c r="R541" s="3274">
        <v>20900000000</v>
      </c>
      <c r="S541" s="742">
        <f t="shared" si="0"/>
        <v>8223540669856.459</v>
      </c>
      <c r="T541" s="2222" t="s">
        <v>2423</v>
      </c>
      <c r="U541" s="744"/>
      <c r="V541" s="815">
        <v>145</v>
      </c>
      <c r="W541" s="734" t="s">
        <v>5693</v>
      </c>
      <c r="X541" s="732"/>
      <c r="Y541" s="733"/>
      <c r="Z541" s="733"/>
      <c r="AA541" s="733"/>
      <c r="AB541" s="733"/>
      <c r="AC541" s="733"/>
      <c r="AD541" s="733"/>
      <c r="AE541" s="733"/>
      <c r="AF541" s="733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</row>
    <row r="542" spans="1:61" ht="24">
      <c r="A542" s="1594" t="s">
        <v>600</v>
      </c>
      <c r="B542" s="1594" t="s">
        <v>139</v>
      </c>
      <c r="C542" s="3549" t="s">
        <v>55</v>
      </c>
      <c r="D542" s="1594" t="s">
        <v>70</v>
      </c>
      <c r="E542" s="2058" t="str">
        <f>VLOOKUP(F542,plasmids!$A$2:$B$891,2)</f>
        <v>AAV2-7m8</v>
      </c>
      <c r="F542" s="973">
        <v>178</v>
      </c>
      <c r="G542" s="2059"/>
      <c r="H542" s="2059" t="str">
        <f>VLOOKUP(I542,plasmids!$A$2:$B$891,2)</f>
        <v>pssAAV-SNCG-ChrimsonR-tdTomato</v>
      </c>
      <c r="I542" s="1594">
        <v>573</v>
      </c>
      <c r="J542" s="978"/>
      <c r="K542" s="1614"/>
      <c r="L542" s="2183"/>
      <c r="M542" s="971">
        <v>42279</v>
      </c>
      <c r="N542" s="972">
        <v>580</v>
      </c>
      <c r="O542" s="973">
        <v>3</v>
      </c>
      <c r="P542" s="974" t="s">
        <v>5748</v>
      </c>
      <c r="Q542" s="3550">
        <v>50200000000000</v>
      </c>
      <c r="R542" s="3291">
        <v>20900000000</v>
      </c>
      <c r="S542" s="977">
        <f t="shared" si="0"/>
        <v>78782775119617.219</v>
      </c>
      <c r="T542" s="1594" t="s">
        <v>5749</v>
      </c>
      <c r="U542" s="978"/>
      <c r="V542" s="3587">
        <v>285</v>
      </c>
      <c r="W542" s="932"/>
      <c r="X542" s="932"/>
      <c r="Y542" s="932"/>
      <c r="Z542" s="932"/>
      <c r="AA542" s="932"/>
      <c r="AB542" s="932"/>
      <c r="AC542" s="932"/>
      <c r="AD542" s="932"/>
      <c r="AE542" s="932"/>
      <c r="AF542" s="932"/>
      <c r="AG542" s="932"/>
      <c r="AH542" s="932"/>
      <c r="AI542" s="932"/>
      <c r="AJ542" s="932"/>
      <c r="AK542" s="932"/>
      <c r="AL542" s="932"/>
      <c r="AM542" s="932"/>
      <c r="AN542" s="932"/>
      <c r="AO542" s="932"/>
      <c r="AP542" s="932"/>
      <c r="AQ542" s="932"/>
      <c r="AR542" s="932"/>
      <c r="AS542" s="932"/>
      <c r="AT542" s="932"/>
      <c r="AU542" s="932"/>
      <c r="AV542" s="932"/>
      <c r="AW542" s="932"/>
      <c r="AX542" s="932"/>
      <c r="AY542" s="932"/>
      <c r="AZ542" s="932"/>
      <c r="BA542" s="932"/>
      <c r="BB542" s="932"/>
      <c r="BC542" s="932"/>
      <c r="BD542" s="932"/>
      <c r="BE542" s="932"/>
      <c r="BF542" s="932"/>
      <c r="BG542" s="932"/>
      <c r="BH542" s="932"/>
      <c r="BI542" s="932"/>
    </row>
    <row r="543" spans="1:61" ht="17.25" customHeight="1">
      <c r="A543" s="2762" t="s">
        <v>600</v>
      </c>
      <c r="B543" s="2762" t="s">
        <v>139</v>
      </c>
      <c r="C543" s="3588" t="s">
        <v>55</v>
      </c>
      <c r="D543" s="2762" t="s">
        <v>70</v>
      </c>
      <c r="E543" s="3577" t="str">
        <f>VLOOKUP(F543,plasmids!$A$2:$B$891,2)</f>
        <v>AAV2-7m8</v>
      </c>
      <c r="F543" s="3578">
        <v>178</v>
      </c>
      <c r="G543" s="2767"/>
      <c r="H543" s="2767" t="str">
        <f>VLOOKUP(I543,plasmids!$A$2:$B$891,2)</f>
        <v>pssAAV-SNCG-ChrimsonR-tdTomato</v>
      </c>
      <c r="I543" s="2762">
        <v>573</v>
      </c>
      <c r="J543" s="2768"/>
      <c r="K543" s="2769"/>
      <c r="L543" s="2778"/>
      <c r="M543" s="2771">
        <v>42279</v>
      </c>
      <c r="N543" s="2772">
        <v>581</v>
      </c>
      <c r="O543" s="3578">
        <v>3</v>
      </c>
      <c r="P543" s="2776" t="s">
        <v>5750</v>
      </c>
      <c r="Q543" s="3589">
        <v>34000000000000</v>
      </c>
      <c r="R543" s="3590">
        <v>20900000000</v>
      </c>
      <c r="S543" s="2777">
        <f t="shared" si="0"/>
        <v>53358851674641.148</v>
      </c>
      <c r="T543" s="3591" t="s">
        <v>5751</v>
      </c>
      <c r="U543" s="2768"/>
      <c r="V543" s="2762">
        <v>150</v>
      </c>
      <c r="W543" s="2779"/>
      <c r="X543" s="2779"/>
      <c r="Y543" s="2779"/>
      <c r="Z543" s="2779"/>
      <c r="AA543" s="2779"/>
      <c r="AB543" s="2779"/>
      <c r="AC543" s="2779"/>
      <c r="AD543" s="2779"/>
      <c r="AE543" s="2779"/>
      <c r="AF543" s="2779"/>
      <c r="AG543" s="2779"/>
      <c r="AH543" s="2779"/>
      <c r="AI543" s="2779"/>
      <c r="AJ543" s="2779"/>
      <c r="AK543" s="2779"/>
      <c r="AL543" s="2779"/>
      <c r="AM543" s="2779"/>
      <c r="AN543" s="2779"/>
      <c r="AO543" s="2779"/>
      <c r="AP543" s="2779"/>
      <c r="AQ543" s="2779"/>
      <c r="AR543" s="2779"/>
      <c r="AS543" s="2779"/>
      <c r="AT543" s="2779"/>
      <c r="AU543" s="2779"/>
      <c r="AV543" s="2779"/>
      <c r="AW543" s="2779"/>
      <c r="AX543" s="2779"/>
      <c r="AY543" s="2779"/>
      <c r="AZ543" s="2779"/>
      <c r="BA543" s="2779"/>
      <c r="BB543" s="2779"/>
      <c r="BC543" s="2779"/>
      <c r="BD543" s="2779"/>
      <c r="BE543" s="2779"/>
      <c r="BF543" s="2779"/>
      <c r="BG543" s="2779"/>
      <c r="BH543" s="2779"/>
      <c r="BI543" s="2779"/>
    </row>
    <row r="544" spans="1:61" ht="21.75" customHeight="1">
      <c r="A544" s="1594" t="s">
        <v>600</v>
      </c>
      <c r="B544" s="1594" t="s">
        <v>139</v>
      </c>
      <c r="C544" s="3549" t="s">
        <v>55</v>
      </c>
      <c r="D544" s="1594" t="s">
        <v>70</v>
      </c>
      <c r="E544" s="2058" t="str">
        <f>VLOOKUP(F544,plasmids!$A$2:$B$891,2)</f>
        <v>AAV2-7m8</v>
      </c>
      <c r="F544" s="973">
        <v>178</v>
      </c>
      <c r="G544" s="2059"/>
      <c r="H544" s="2059" t="str">
        <f>VLOOKUP(I544,plasmids!$A$2:$B$891,2)</f>
        <v>pssAAV-CAG-ChrimsonR-FLAG</v>
      </c>
      <c r="I544" s="1594">
        <v>571</v>
      </c>
      <c r="J544" s="978"/>
      <c r="K544" s="1614"/>
      <c r="L544" s="2183"/>
      <c r="M544" s="971">
        <v>42279</v>
      </c>
      <c r="N544" s="972">
        <v>582</v>
      </c>
      <c r="O544" s="973">
        <v>6</v>
      </c>
      <c r="P544" s="974" t="s">
        <v>5693</v>
      </c>
      <c r="Q544" s="3550">
        <v>135000000000000</v>
      </c>
      <c r="R544" s="3291">
        <v>20900000000</v>
      </c>
      <c r="S544" s="977">
        <f t="shared" si="0"/>
        <v>211866028708133.97</v>
      </c>
      <c r="T544" s="966" t="s">
        <v>2423</v>
      </c>
      <c r="U544" s="978"/>
      <c r="V544" s="1594">
        <f>150-10</f>
        <v>140</v>
      </c>
      <c r="W544" s="932"/>
      <c r="X544" s="932"/>
      <c r="Y544" s="932"/>
      <c r="Z544" s="932"/>
      <c r="AA544" s="932"/>
      <c r="AB544" s="932"/>
      <c r="AC544" s="932"/>
      <c r="AD544" s="932"/>
      <c r="AE544" s="932"/>
      <c r="AF544" s="932"/>
      <c r="AG544" s="932"/>
      <c r="AH544" s="932"/>
      <c r="AI544" s="932"/>
      <c r="AJ544" s="932"/>
      <c r="AK544" s="932"/>
      <c r="AL544" s="932"/>
      <c r="AM544" s="932"/>
      <c r="AN544" s="932"/>
      <c r="AO544" s="932"/>
      <c r="AP544" s="932"/>
      <c r="AQ544" s="932"/>
      <c r="AR544" s="932"/>
      <c r="AS544" s="932"/>
      <c r="AT544" s="932"/>
      <c r="AU544" s="932"/>
      <c r="AV544" s="932"/>
      <c r="AW544" s="932"/>
      <c r="AX544" s="932"/>
      <c r="AY544" s="932"/>
      <c r="AZ544" s="932"/>
      <c r="BA544" s="932"/>
      <c r="BB544" s="932"/>
      <c r="BC544" s="932"/>
      <c r="BD544" s="932"/>
      <c r="BE544" s="932"/>
      <c r="BF544" s="932"/>
      <c r="BG544" s="932"/>
      <c r="BH544" s="932"/>
      <c r="BI544" s="932"/>
    </row>
    <row r="545" spans="1:61" ht="24">
      <c r="A545" s="3592" t="s">
        <v>2599</v>
      </c>
      <c r="B545" s="3592" t="s">
        <v>4808</v>
      </c>
      <c r="C545" s="3593" t="s">
        <v>178</v>
      </c>
      <c r="D545" s="3592" t="s">
        <v>4809</v>
      </c>
      <c r="E545" s="2058" t="str">
        <f>VLOOKUP(F545,plasmids!$A$2:$B$891,2)</f>
        <v>AAV9 2YF</v>
      </c>
      <c r="F545" s="966">
        <v>168</v>
      </c>
      <c r="G545" s="2059"/>
      <c r="H545" s="2059" t="str">
        <f>VLOOKUP(I545,plasmids!$A$2:$B$1011,2)</f>
        <v>pAAV-hRho-eNpHR-EYFP</v>
      </c>
      <c r="I545" s="966">
        <v>392</v>
      </c>
      <c r="J545" s="978"/>
      <c r="K545" s="1614"/>
      <c r="L545" s="2183"/>
      <c r="M545" s="971">
        <v>42279</v>
      </c>
      <c r="N545" s="1059">
        <v>583</v>
      </c>
      <c r="O545" s="1594">
        <v>6</v>
      </c>
      <c r="P545" s="1594" t="s">
        <v>5693</v>
      </c>
      <c r="Q545" s="3550">
        <v>450000000000000</v>
      </c>
      <c r="R545" s="3291">
        <v>20900000000</v>
      </c>
      <c r="S545" s="977">
        <f t="shared" si="0"/>
        <v>706220095693779.88</v>
      </c>
      <c r="T545" s="2183" t="s">
        <v>2423</v>
      </c>
      <c r="U545" s="978"/>
      <c r="V545" s="1594">
        <f>125-20-20-20-20</f>
        <v>45</v>
      </c>
      <c r="W545" s="978"/>
      <c r="X545" s="978"/>
      <c r="Y545" s="1594" t="s">
        <v>5721</v>
      </c>
      <c r="Z545" s="978"/>
      <c r="AA545" s="978"/>
      <c r="AB545" s="978"/>
      <c r="AC545" s="978"/>
      <c r="AD545" s="978"/>
      <c r="AE545" s="978"/>
      <c r="AF545" s="978"/>
      <c r="AG545" s="978"/>
      <c r="AH545" s="978"/>
      <c r="AI545" s="978"/>
      <c r="AJ545" s="978"/>
      <c r="AK545" s="978"/>
      <c r="AL545" s="978"/>
      <c r="AM545" s="978"/>
      <c r="AN545" s="978"/>
      <c r="AO545" s="978"/>
      <c r="AP545" s="978"/>
      <c r="AQ545" s="978"/>
      <c r="AR545" s="978"/>
      <c r="AS545" s="978"/>
      <c r="AT545" s="978"/>
      <c r="AU545" s="978"/>
      <c r="AV545" s="978"/>
      <c r="AW545" s="978"/>
      <c r="AX545" s="978"/>
      <c r="AY545" s="978"/>
      <c r="AZ545" s="978"/>
      <c r="BA545" s="978"/>
      <c r="BB545" s="978"/>
      <c r="BC545" s="978"/>
      <c r="BD545" s="978"/>
      <c r="BE545" s="978"/>
      <c r="BF545" s="978"/>
      <c r="BG545" s="978"/>
      <c r="BH545" s="978"/>
      <c r="BI545" s="978"/>
    </row>
    <row r="546" spans="1:61" ht="12">
      <c r="A546" s="3594" t="s">
        <v>5209</v>
      </c>
      <c r="B546" s="3595" t="s">
        <v>1025</v>
      </c>
      <c r="C546" s="3596" t="s">
        <v>178</v>
      </c>
      <c r="D546" s="3595" t="s">
        <v>1088</v>
      </c>
      <c r="E546" s="3597" t="str">
        <f>VLOOKUP(F546,plasmids!$A$2:$B$351,2)</f>
        <v>AAV2-7m8</v>
      </c>
      <c r="F546" s="3595">
        <v>178</v>
      </c>
      <c r="G546" s="3598"/>
      <c r="H546" s="3598" t="str">
        <f>VLOOKUP(I546,plasmids!$A$2:$B$1191,2)</f>
        <v>pscAAV-CAG-Chronos-bghpolyA</v>
      </c>
      <c r="I546" s="3599">
        <v>552</v>
      </c>
      <c r="J546" s="3600"/>
      <c r="K546" s="3601"/>
      <c r="L546" s="3602"/>
      <c r="M546" s="3603">
        <v>42286</v>
      </c>
      <c r="N546" s="3604">
        <v>584</v>
      </c>
      <c r="O546" s="3605">
        <v>5</v>
      </c>
      <c r="P546" s="3606"/>
      <c r="Q546" s="3607">
        <v>6680000000000</v>
      </c>
      <c r="R546" s="3608">
        <v>800000000000</v>
      </c>
      <c r="S546" s="3609">
        <f t="shared" si="0"/>
        <v>273880000000</v>
      </c>
      <c r="T546" s="3600"/>
      <c r="U546" s="3599"/>
      <c r="V546" s="3610">
        <f>155</f>
        <v>155</v>
      </c>
      <c r="W546" s="3599"/>
      <c r="X546" s="3611" t="s">
        <v>5752</v>
      </c>
      <c r="Y546" s="3612" t="s">
        <v>5721</v>
      </c>
      <c r="Z546" s="3613"/>
      <c r="AA546" s="3613"/>
      <c r="AB546" s="3613"/>
      <c r="AC546" s="3613"/>
      <c r="AD546" s="3613"/>
      <c r="AE546" s="3613"/>
      <c r="AF546" s="3613"/>
      <c r="AG546" s="3613"/>
      <c r="AH546" s="3613"/>
      <c r="AI546" s="3613"/>
      <c r="AJ546" s="3613"/>
      <c r="AK546" s="3613"/>
      <c r="AL546" s="3613"/>
      <c r="AM546" s="3613"/>
      <c r="AN546" s="3613"/>
      <c r="AO546" s="3613"/>
      <c r="AP546" s="3613"/>
      <c r="AQ546" s="3613"/>
      <c r="AR546" s="3613"/>
      <c r="AS546" s="3613"/>
      <c r="AT546" s="3613"/>
      <c r="AU546" s="3613"/>
      <c r="AV546" s="3613"/>
      <c r="AW546" s="3613"/>
      <c r="AX546" s="3613"/>
      <c r="AY546" s="3613"/>
      <c r="AZ546" s="3613"/>
      <c r="BA546" s="3613"/>
      <c r="BB546" s="3613"/>
      <c r="BC546" s="3613"/>
      <c r="BD546" s="3613"/>
      <c r="BE546" s="3613"/>
      <c r="BF546" s="3613"/>
      <c r="BG546" s="3613"/>
      <c r="BH546" s="3613"/>
      <c r="BI546" s="3613"/>
    </row>
    <row r="547" spans="1:61" ht="27.75" customHeight="1">
      <c r="A547" s="3594" t="s">
        <v>5209</v>
      </c>
      <c r="B547" s="3595" t="s">
        <v>1025</v>
      </c>
      <c r="C547" s="3596" t="s">
        <v>1967</v>
      </c>
      <c r="D547" s="3595" t="s">
        <v>4867</v>
      </c>
      <c r="E547" s="3597" t="str">
        <f>VLOOKUP(F547,plasmids!$A$2:$B$351,2)</f>
        <v>AAV2-7m8</v>
      </c>
      <c r="F547" s="3605">
        <v>178</v>
      </c>
      <c r="G547" s="3598"/>
      <c r="H547" s="3598" t="str">
        <f>VLOOKUP(I547,plasmids!$A$2:$B$1191,2)</f>
        <v>pscAAV-CAG-tdTomato-bghPA</v>
      </c>
      <c r="I547" s="3595">
        <v>454</v>
      </c>
      <c r="J547" s="3600"/>
      <c r="K547" s="3602">
        <v>41919</v>
      </c>
      <c r="L547" s="3602"/>
      <c r="M547" s="3603">
        <v>42286</v>
      </c>
      <c r="N547" s="3604">
        <v>585</v>
      </c>
      <c r="O547" s="3605">
        <v>5</v>
      </c>
      <c r="P547" s="3614"/>
      <c r="Q547" s="3607">
        <v>281000000000000</v>
      </c>
      <c r="R547" s="3608">
        <v>800000000000</v>
      </c>
      <c r="S547" s="3609">
        <f t="shared" si="0"/>
        <v>11521000000000</v>
      </c>
      <c r="T547" s="3615"/>
      <c r="U547" s="3600"/>
      <c r="V547" s="3616">
        <f>185</f>
        <v>185</v>
      </c>
      <c r="W547" s="3594"/>
      <c r="X547" s="3611" t="s">
        <v>5752</v>
      </c>
      <c r="Y547" s="3612" t="s">
        <v>5721</v>
      </c>
      <c r="Z547" s="3613"/>
      <c r="AA547" s="3613"/>
      <c r="AB547" s="3613"/>
      <c r="AC547" s="3613"/>
      <c r="AD547" s="3613"/>
      <c r="AE547" s="3613"/>
      <c r="AF547" s="3613"/>
      <c r="AG547" s="3613"/>
      <c r="AH547" s="3613"/>
      <c r="AI547" s="3613"/>
      <c r="AJ547" s="3613"/>
      <c r="AK547" s="3613"/>
      <c r="AL547" s="3613"/>
      <c r="AM547" s="3613"/>
      <c r="AN547" s="3613"/>
      <c r="AO547" s="3613"/>
      <c r="AP547" s="3613"/>
      <c r="AQ547" s="3613"/>
      <c r="AR547" s="3613"/>
      <c r="AS547" s="3613"/>
      <c r="AT547" s="3613"/>
      <c r="AU547" s="3613"/>
      <c r="AV547" s="3613"/>
      <c r="AW547" s="3613"/>
      <c r="AX547" s="3613"/>
      <c r="AY547" s="3613"/>
      <c r="AZ547" s="3613"/>
      <c r="BA547" s="3613"/>
      <c r="BB547" s="3613"/>
      <c r="BC547" s="3613"/>
      <c r="BD547" s="3613"/>
      <c r="BE547" s="3613"/>
      <c r="BF547" s="3613"/>
      <c r="BG547" s="3613"/>
      <c r="BH547" s="3613"/>
      <c r="BI547" s="3613"/>
    </row>
    <row r="548" spans="1:61" ht="26.25" customHeight="1">
      <c r="A548" s="2919" t="s">
        <v>707</v>
      </c>
      <c r="B548" s="3617" t="s">
        <v>5157</v>
      </c>
      <c r="C548" s="2921" t="s">
        <v>178</v>
      </c>
      <c r="D548" s="2919" t="s">
        <v>3368</v>
      </c>
      <c r="E548" s="2922" t="str">
        <f>VLOOKUP(F548,plasmids!$A$2:$B$351,2)</f>
        <v>AAV2-7m8</v>
      </c>
      <c r="F548" s="2923">
        <v>178</v>
      </c>
      <c r="G548" s="2924"/>
      <c r="H548" s="2924" t="str">
        <f>VLOOKUP(I548,plasmids!$A$2:$B$891,2)</f>
        <v xml:space="preserve">pTR-scCAG-RdCVFs </v>
      </c>
      <c r="I548" s="3617">
        <v>187</v>
      </c>
      <c r="J548" s="2925"/>
      <c r="K548" s="3618"/>
      <c r="L548" s="2927"/>
      <c r="M548" s="2928">
        <v>42286</v>
      </c>
      <c r="N548" s="3619">
        <v>586</v>
      </c>
      <c r="O548" s="2923">
        <v>5</v>
      </c>
      <c r="P548" s="2931"/>
      <c r="Q548" s="3620">
        <v>201000000000000</v>
      </c>
      <c r="R548" s="3272">
        <v>800000000000</v>
      </c>
      <c r="S548" s="2936">
        <f t="shared" si="0"/>
        <v>8241000000000</v>
      </c>
      <c r="T548" s="2919"/>
      <c r="U548" s="3621"/>
      <c r="V548" s="2919">
        <f>160-24-1</f>
        <v>135</v>
      </c>
      <c r="W548" s="2939"/>
      <c r="X548" s="3617" t="s">
        <v>5753</v>
      </c>
      <c r="Y548" s="2939"/>
      <c r="Z548" s="2939"/>
      <c r="AA548" s="2939"/>
      <c r="AB548" s="2939"/>
      <c r="AC548" s="2939"/>
      <c r="AD548" s="2939"/>
      <c r="AE548" s="2939"/>
      <c r="AF548" s="2939"/>
      <c r="AG548" s="2939"/>
      <c r="AH548" s="2939"/>
      <c r="AI548" s="2939"/>
      <c r="AJ548" s="2939"/>
      <c r="AK548" s="2939"/>
      <c r="AL548" s="2939"/>
      <c r="AM548" s="2939"/>
      <c r="AN548" s="2939"/>
      <c r="AO548" s="2939"/>
      <c r="AP548" s="2939"/>
      <c r="AQ548" s="2939"/>
      <c r="AR548" s="2939"/>
      <c r="AS548" s="2939"/>
      <c r="AT548" s="2939"/>
      <c r="AU548" s="2939"/>
      <c r="AV548" s="2939"/>
      <c r="AW548" s="2939"/>
      <c r="AX548" s="2939"/>
      <c r="AY548" s="2939"/>
      <c r="AZ548" s="2939"/>
      <c r="BA548" s="2939"/>
      <c r="BB548" s="2939"/>
      <c r="BC548" s="2939"/>
      <c r="BD548" s="2939"/>
      <c r="BE548" s="2939"/>
      <c r="BF548" s="2939"/>
      <c r="BG548" s="2939"/>
      <c r="BH548" s="2939"/>
      <c r="BI548" s="2939"/>
    </row>
    <row r="549" spans="1:61" ht="19.5" customHeight="1">
      <c r="A549" s="778" t="s">
        <v>5657</v>
      </c>
      <c r="B549" s="778" t="s">
        <v>5658</v>
      </c>
      <c r="C549" s="782" t="s">
        <v>1967</v>
      </c>
      <c r="D549" s="778" t="s">
        <v>4867</v>
      </c>
      <c r="E549" s="2584" t="str">
        <f>VLOOKUP(F549,plasmids!$A$2:$B$891,2)</f>
        <v>AAV2-7m8</v>
      </c>
      <c r="F549" s="790">
        <v>178</v>
      </c>
      <c r="G549" s="2585"/>
      <c r="H549" s="2585" t="str">
        <f>VLOOKUP(I549,plasmids!$A$2:$B$891,2)</f>
        <v>sc-CAG-GFP</v>
      </c>
      <c r="I549" s="778">
        <v>120</v>
      </c>
      <c r="J549" s="799"/>
      <c r="K549" s="3065"/>
      <c r="L549" s="784"/>
      <c r="M549" s="786">
        <v>42286</v>
      </c>
      <c r="N549" s="788">
        <v>587</v>
      </c>
      <c r="O549" s="790">
        <v>5</v>
      </c>
      <c r="P549" s="792"/>
      <c r="Q549" s="3543">
        <v>335000000000000</v>
      </c>
      <c r="R549" s="3544">
        <v>800000000000</v>
      </c>
      <c r="S549" s="797">
        <f t="shared" si="0"/>
        <v>13735000000000</v>
      </c>
      <c r="T549" s="3622" t="s">
        <v>5754</v>
      </c>
      <c r="U549" s="2587"/>
      <c r="V549" s="3545">
        <f>121-20</f>
        <v>101</v>
      </c>
      <c r="W549" s="805" t="s">
        <v>2812</v>
      </c>
      <c r="X549" s="809"/>
      <c r="Y549" s="809"/>
      <c r="Z549" s="809"/>
      <c r="AA549" s="809"/>
      <c r="AB549" s="809"/>
      <c r="AC549" s="809"/>
      <c r="AD549" s="809"/>
      <c r="AE549" s="809"/>
      <c r="AF549" s="809"/>
      <c r="AG549" s="809"/>
      <c r="AH549" s="809"/>
      <c r="AI549" s="809"/>
      <c r="AJ549" s="809"/>
      <c r="AK549" s="809"/>
      <c r="AL549" s="809"/>
      <c r="AM549" s="809"/>
      <c r="AN549" s="809"/>
      <c r="AO549" s="809"/>
      <c r="AP549" s="809"/>
      <c r="AQ549" s="809"/>
      <c r="AR549" s="809"/>
      <c r="AS549" s="809"/>
      <c r="AT549" s="809"/>
      <c r="AU549" s="809"/>
      <c r="AV549" s="809"/>
      <c r="AW549" s="809"/>
      <c r="AX549" s="809"/>
      <c r="AY549" s="809"/>
      <c r="AZ549" s="809"/>
      <c r="BA549" s="809"/>
      <c r="BB549" s="809"/>
      <c r="BC549" s="809"/>
      <c r="BD549" s="809"/>
      <c r="BE549" s="809"/>
      <c r="BF549" s="809"/>
      <c r="BG549" s="809"/>
      <c r="BH549" s="809"/>
      <c r="BI549" s="809"/>
    </row>
    <row r="550" spans="1:61" ht="27" customHeight="1">
      <c r="A550" s="3623" t="s">
        <v>600</v>
      </c>
      <c r="B550" s="3623" t="s">
        <v>1153</v>
      </c>
      <c r="C550" s="3624" t="s">
        <v>1155</v>
      </c>
      <c r="D550" s="3623" t="s">
        <v>70</v>
      </c>
      <c r="E550" s="3625" t="str">
        <f>VLOOKUP(F550,plasmids!$A$2:$B$891,2)</f>
        <v>AAV2</v>
      </c>
      <c r="F550" s="1954">
        <v>140</v>
      </c>
      <c r="G550" s="1944"/>
      <c r="H550" s="1944" t="str">
        <f>VLOOKUP(I550,plasmids!$A$2:$B$891,2)</f>
        <v>pssAAV-spacer-CMV-hCatch-WPRE</v>
      </c>
      <c r="I550" s="3623">
        <v>578</v>
      </c>
      <c r="J550" s="1945"/>
      <c r="K550" s="1946"/>
      <c r="L550" s="2485"/>
      <c r="M550" s="1948">
        <v>42299</v>
      </c>
      <c r="N550" s="2483">
        <v>588</v>
      </c>
      <c r="O550" s="1954">
        <v>5</v>
      </c>
      <c r="P550" s="1957"/>
      <c r="Q550" s="3626">
        <v>17500000000000</v>
      </c>
      <c r="R550" s="3627">
        <v>67000000000</v>
      </c>
      <c r="S550" s="1963">
        <f t="shared" si="0"/>
        <v>8567164179104.4775</v>
      </c>
      <c r="T550" s="1945"/>
      <c r="U550" s="1945"/>
      <c r="V550" s="3623">
        <v>145</v>
      </c>
      <c r="W550" s="3628" t="s">
        <v>5755</v>
      </c>
      <c r="X550" s="1970"/>
      <c r="Y550" s="1970"/>
      <c r="Z550" s="1970"/>
      <c r="AA550" s="1970"/>
      <c r="AB550" s="1970"/>
      <c r="AC550" s="1970"/>
      <c r="AD550" s="1970"/>
      <c r="AE550" s="1970"/>
      <c r="AF550" s="1970"/>
      <c r="AG550" s="1970"/>
      <c r="AH550" s="1970"/>
      <c r="AI550" s="1970"/>
      <c r="AJ550" s="1970"/>
      <c r="AK550" s="1970"/>
      <c r="AL550" s="1970"/>
      <c r="AM550" s="1970"/>
      <c r="AN550" s="1970"/>
      <c r="AO550" s="1970"/>
      <c r="AP550" s="1970"/>
      <c r="AQ550" s="1970"/>
      <c r="AR550" s="1970"/>
      <c r="AS550" s="1970"/>
      <c r="AT550" s="1970"/>
      <c r="AU550" s="1970"/>
      <c r="AV550" s="1970"/>
      <c r="AW550" s="1970"/>
      <c r="AX550" s="1970"/>
      <c r="AY550" s="1970"/>
      <c r="AZ550" s="1970"/>
      <c r="BA550" s="1970"/>
      <c r="BB550" s="1970"/>
      <c r="BC550" s="1970"/>
      <c r="BD550" s="1970"/>
      <c r="BE550" s="1970"/>
      <c r="BF550" s="1970"/>
      <c r="BG550" s="1970"/>
      <c r="BH550" s="1970"/>
      <c r="BI550" s="1970"/>
    </row>
    <row r="551" spans="1:61" ht="27" customHeight="1">
      <c r="A551" s="3623" t="s">
        <v>600</v>
      </c>
      <c r="B551" s="3623" t="s">
        <v>1153</v>
      </c>
      <c r="C551" s="3624" t="s">
        <v>1155</v>
      </c>
      <c r="D551" s="3623" t="s">
        <v>70</v>
      </c>
      <c r="E551" s="3625" t="str">
        <f>VLOOKUP(F551,plasmids!$A$2:$B$891,2)</f>
        <v>AAV2-7m8</v>
      </c>
      <c r="F551" s="1954">
        <v>178</v>
      </c>
      <c r="G551" s="1944"/>
      <c r="H551" s="1944" t="str">
        <f>VLOOKUP(I551,plasmids!$A$2:$B$891,2)</f>
        <v>pssSNCG-hCatch-WPRE</v>
      </c>
      <c r="I551" s="3623">
        <v>349</v>
      </c>
      <c r="J551" s="1945"/>
      <c r="K551" s="1946"/>
      <c r="L551" s="2485"/>
      <c r="M551" s="1948">
        <v>42299</v>
      </c>
      <c r="N551" s="2483">
        <v>589</v>
      </c>
      <c r="O551" s="1954">
        <v>5</v>
      </c>
      <c r="P551" s="1957"/>
      <c r="Q551" s="3626">
        <v>93300000000000</v>
      </c>
      <c r="R551" s="3627">
        <v>67000000000</v>
      </c>
      <c r="S551" s="1963">
        <f t="shared" si="0"/>
        <v>45675223880597.016</v>
      </c>
      <c r="T551" s="1945"/>
      <c r="U551" s="1945"/>
      <c r="V551" s="3623">
        <v>170</v>
      </c>
      <c r="W551" s="1970"/>
      <c r="X551" s="1970"/>
      <c r="Y551" s="1970"/>
      <c r="Z551" s="1970"/>
      <c r="AA551" s="1970"/>
      <c r="AB551" s="1970"/>
      <c r="AC551" s="1970"/>
      <c r="AD551" s="1970"/>
      <c r="AE551" s="1970"/>
      <c r="AF551" s="1970"/>
      <c r="AG551" s="1970"/>
      <c r="AH551" s="1970"/>
      <c r="AI551" s="1970"/>
      <c r="AJ551" s="1970"/>
      <c r="AK551" s="1970"/>
      <c r="AL551" s="1970"/>
      <c r="AM551" s="1970"/>
      <c r="AN551" s="1970"/>
      <c r="AO551" s="1970"/>
      <c r="AP551" s="1970"/>
      <c r="AQ551" s="1970"/>
      <c r="AR551" s="1970"/>
      <c r="AS551" s="1970"/>
      <c r="AT551" s="1970"/>
      <c r="AU551" s="1970"/>
      <c r="AV551" s="1970"/>
      <c r="AW551" s="1970"/>
      <c r="AX551" s="1970"/>
      <c r="AY551" s="1970"/>
      <c r="AZ551" s="1970"/>
      <c r="BA551" s="1970"/>
      <c r="BB551" s="1970"/>
      <c r="BC551" s="1970"/>
      <c r="BD551" s="1970"/>
      <c r="BE551" s="1970"/>
      <c r="BF551" s="1970"/>
      <c r="BG551" s="1970"/>
      <c r="BH551" s="1970"/>
      <c r="BI551" s="1970"/>
    </row>
    <row r="552" spans="1:61" ht="21" customHeight="1">
      <c r="A552" s="3629" t="s">
        <v>1731</v>
      </c>
      <c r="B552" s="3629" t="s">
        <v>5756</v>
      </c>
      <c r="C552" s="89" t="s">
        <v>178</v>
      </c>
      <c r="D552" s="3630" t="s">
        <v>5757</v>
      </c>
      <c r="E552" s="88" t="s">
        <v>58</v>
      </c>
      <c r="F552" s="88">
        <v>178</v>
      </c>
      <c r="G552" s="3631"/>
      <c r="H552" s="3631" t="str">
        <f>VLOOKUP(I552,plasmids!$A$2:$B$891,2)</f>
        <v>pAAV-flox-CAG-hCatCh-YFP</v>
      </c>
      <c r="I552" s="3630">
        <v>443</v>
      </c>
      <c r="J552" s="88" t="s">
        <v>1012</v>
      </c>
      <c r="K552" s="110"/>
      <c r="L552" s="1656"/>
      <c r="M552" s="96">
        <v>42299</v>
      </c>
      <c r="N552" s="1744">
        <v>590</v>
      </c>
      <c r="O552" s="90">
        <v>5</v>
      </c>
      <c r="P552" s="105"/>
      <c r="Q552" s="3632">
        <v>165000000000000</v>
      </c>
      <c r="R552" s="1591">
        <v>82200000000</v>
      </c>
      <c r="S552" s="107">
        <f t="shared" si="0"/>
        <v>65839416058394.164</v>
      </c>
      <c r="T552" s="1656" t="s">
        <v>2423</v>
      </c>
      <c r="U552" s="113"/>
      <c r="V552" s="3633">
        <f>190-15-15</f>
        <v>160</v>
      </c>
      <c r="W552" s="113"/>
      <c r="X552" s="113"/>
      <c r="Y552" s="3629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</row>
    <row r="553" spans="1:61" ht="25.5" customHeight="1">
      <c r="A553" s="1786" t="s">
        <v>3891</v>
      </c>
      <c r="B553" s="1786" t="s">
        <v>5654</v>
      </c>
      <c r="C553" s="1787" t="s">
        <v>1967</v>
      </c>
      <c r="D553" s="1786" t="s">
        <v>4867</v>
      </c>
      <c r="E553" s="1788" t="str">
        <f>VLOOKUP(F553,plasmids!$A$2:$B$891,2)</f>
        <v>pXR8 Y447 733F</v>
      </c>
      <c r="F553" s="1786">
        <v>195</v>
      </c>
      <c r="G553" s="2596"/>
      <c r="H553" s="2596" t="str">
        <f>VLOOKUP(I553,plasmids!$A$2:$B$891,2)</f>
        <v>scCAG-ReachR-GFP</v>
      </c>
      <c r="I553" s="1786">
        <v>353</v>
      </c>
      <c r="J553" s="1790"/>
      <c r="K553" s="1790"/>
      <c r="L553" s="1792"/>
      <c r="M553" s="1793">
        <v>42299</v>
      </c>
      <c r="N553" s="8">
        <v>591</v>
      </c>
      <c r="O553" s="1798">
        <v>5</v>
      </c>
      <c r="P553" s="1624"/>
      <c r="Q553" s="1437">
        <v>62600000000000</v>
      </c>
      <c r="R553" s="1438">
        <v>82200000000</v>
      </c>
      <c r="S553" s="1800">
        <f t="shared" si="0"/>
        <v>24979075425790.754</v>
      </c>
      <c r="T553" s="1802" t="s">
        <v>2423</v>
      </c>
      <c r="U553" s="1790"/>
      <c r="V553" s="1798">
        <v>210</v>
      </c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</row>
    <row r="554" spans="1:61" ht="19.5" customHeight="1">
      <c r="A554" s="3634" t="s">
        <v>5758</v>
      </c>
      <c r="B554" s="3634" t="s">
        <v>5759</v>
      </c>
      <c r="C554" s="3635" t="s">
        <v>1967</v>
      </c>
      <c r="D554" s="3634" t="s">
        <v>1088</v>
      </c>
      <c r="E554" s="3332" t="str">
        <f>VLOOKUP(F554,plasmids!$A$2:$B$891,2)</f>
        <v>AAV9 2YF</v>
      </c>
      <c r="F554" s="3636">
        <v>168</v>
      </c>
      <c r="G554" s="3264"/>
      <c r="H554" s="3264" t="str">
        <f>VLOOKUP(I554,plasmids!$A$2:$B$891,2)</f>
        <v>pAAV-DIO-vLWO-1A</v>
      </c>
      <c r="I554" s="3634">
        <v>362</v>
      </c>
      <c r="J554" s="3637"/>
      <c r="K554" s="3638"/>
      <c r="L554" s="3639"/>
      <c r="M554" s="3640">
        <v>42328</v>
      </c>
      <c r="N554" s="3641">
        <v>592</v>
      </c>
      <c r="O554" s="3636">
        <v>5</v>
      </c>
      <c r="P554" s="3324"/>
      <c r="Q554" s="3642">
        <v>214000000000000</v>
      </c>
      <c r="R554" s="3643">
        <v>67000000000</v>
      </c>
      <c r="S554" s="3644">
        <f t="shared" si="0"/>
        <v>104764179104477.61</v>
      </c>
      <c r="T554" s="3637"/>
      <c r="U554" s="3637"/>
      <c r="V554" s="3634">
        <v>150</v>
      </c>
      <c r="W554" s="3645"/>
      <c r="X554" s="3645"/>
      <c r="Y554" s="3645"/>
      <c r="Z554" s="3645"/>
      <c r="AA554" s="3645"/>
      <c r="AB554" s="3645"/>
      <c r="AC554" s="3645"/>
      <c r="AD554" s="3645"/>
      <c r="AE554" s="3645"/>
      <c r="AF554" s="3645"/>
      <c r="AG554" s="3645"/>
      <c r="AH554" s="3645"/>
      <c r="AI554" s="3645"/>
      <c r="AJ554" s="3645"/>
      <c r="AK554" s="3645"/>
      <c r="AL554" s="3645"/>
      <c r="AM554" s="3645"/>
      <c r="AN554" s="3645"/>
      <c r="AO554" s="3645"/>
      <c r="AP554" s="3645"/>
      <c r="AQ554" s="3645"/>
      <c r="AR554" s="3645"/>
      <c r="AS554" s="3645"/>
      <c r="AT554" s="3645"/>
      <c r="AU554" s="3645"/>
      <c r="AV554" s="3645"/>
      <c r="AW554" s="3645"/>
      <c r="AX554" s="3645"/>
      <c r="AY554" s="3645"/>
      <c r="AZ554" s="3645"/>
      <c r="BA554" s="3645"/>
      <c r="BB554" s="3645"/>
      <c r="BC554" s="3645"/>
      <c r="BD554" s="3645"/>
      <c r="BE554" s="3645"/>
      <c r="BF554" s="3645"/>
      <c r="BG554" s="3645"/>
      <c r="BH554" s="3645"/>
      <c r="BI554" s="3645"/>
    </row>
    <row r="555" spans="1:61" ht="21.75" customHeight="1">
      <c r="A555" s="3634" t="s">
        <v>5758</v>
      </c>
      <c r="B555" s="3634" t="s">
        <v>5759</v>
      </c>
      <c r="C555" s="3635" t="s">
        <v>1967</v>
      </c>
      <c r="D555" s="3634" t="s">
        <v>1088</v>
      </c>
      <c r="E555" s="3332" t="str">
        <f>VLOOKUP(F555,plasmids!$A$2:$B$891,2)</f>
        <v>AAV9 2YF</v>
      </c>
      <c r="F555" s="3319">
        <v>168</v>
      </c>
      <c r="G555" s="3264"/>
      <c r="H555" s="3264" t="str">
        <f>VLOOKUP(I555,plasmids!$A$2:$B$891,2)</f>
        <v>pAAV-DIO-vSWO-1B</v>
      </c>
      <c r="I555" s="3333">
        <v>363</v>
      </c>
      <c r="J555" s="3320"/>
      <c r="K555" s="3321"/>
      <c r="L555" s="3639"/>
      <c r="M555" s="3640">
        <v>42328</v>
      </c>
      <c r="N555" s="3322">
        <v>593</v>
      </c>
      <c r="O555" s="3319">
        <v>5</v>
      </c>
      <c r="P555" s="3324"/>
      <c r="Q555" s="3642">
        <v>353000000000000</v>
      </c>
      <c r="R555" s="3643">
        <v>67000000000</v>
      </c>
      <c r="S555" s="3327">
        <f t="shared" si="0"/>
        <v>172811940298507.47</v>
      </c>
      <c r="T555" s="3320"/>
      <c r="U555" s="3320"/>
      <c r="V555" s="3333">
        <v>160</v>
      </c>
      <c r="W555" s="3329"/>
      <c r="X555" s="3329"/>
      <c r="Y555" s="3329"/>
      <c r="Z555" s="3329"/>
      <c r="AA555" s="3329"/>
      <c r="AB555" s="3329"/>
      <c r="AC555" s="3329"/>
      <c r="AD555" s="3329"/>
      <c r="AE555" s="3329"/>
      <c r="AF555" s="3329"/>
      <c r="AG555" s="3329"/>
      <c r="AH555" s="3329"/>
      <c r="AI555" s="3329"/>
      <c r="AJ555" s="3329"/>
      <c r="AK555" s="3329"/>
      <c r="AL555" s="3329"/>
      <c r="AM555" s="3329"/>
      <c r="AN555" s="3329"/>
      <c r="AO555" s="3329"/>
      <c r="AP555" s="3329"/>
      <c r="AQ555" s="3329"/>
      <c r="AR555" s="3329"/>
      <c r="AS555" s="3329"/>
      <c r="AT555" s="3329"/>
      <c r="AU555" s="3329"/>
      <c r="AV555" s="3329"/>
      <c r="AW555" s="3329"/>
      <c r="AX555" s="3329"/>
      <c r="AY555" s="3329"/>
      <c r="AZ555" s="3329"/>
      <c r="BA555" s="3329"/>
      <c r="BB555" s="3329"/>
      <c r="BC555" s="3329"/>
      <c r="BD555" s="3329"/>
      <c r="BE555" s="3329"/>
      <c r="BF555" s="3329"/>
      <c r="BG555" s="3329"/>
      <c r="BH555" s="3329"/>
      <c r="BI555" s="3329"/>
    </row>
    <row r="556" spans="1:61" ht="18" customHeight="1">
      <c r="A556" s="3486" t="s">
        <v>1954</v>
      </c>
      <c r="B556" s="3486" t="s">
        <v>5734</v>
      </c>
      <c r="C556" s="2852" t="s">
        <v>1967</v>
      </c>
      <c r="D556" s="3486" t="s">
        <v>1088</v>
      </c>
      <c r="E556" s="1761" t="str">
        <f>VLOOKUP(F556,plasmids!$A$2:$B$891,2)</f>
        <v>AAV2-7m8</v>
      </c>
      <c r="F556" s="3269">
        <v>178</v>
      </c>
      <c r="G556" s="3546"/>
      <c r="H556" s="3546" t="s">
        <v>5735</v>
      </c>
      <c r="I556" s="3486">
        <v>572</v>
      </c>
      <c r="J556" s="2856"/>
      <c r="K556" s="3270"/>
      <c r="L556" s="3483"/>
      <c r="M556" s="3022">
        <v>42328</v>
      </c>
      <c r="N556" s="2798">
        <v>594</v>
      </c>
      <c r="O556" s="3269">
        <v>5</v>
      </c>
      <c r="P556" s="2859"/>
      <c r="Q556" s="3484">
        <v>66000000000000</v>
      </c>
      <c r="R556" s="3646">
        <v>67000000000</v>
      </c>
      <c r="S556" s="1779">
        <f t="shared" si="0"/>
        <v>32310447761194.031</v>
      </c>
      <c r="T556" s="2850"/>
      <c r="U556" s="3486"/>
      <c r="V556" s="3547">
        <v>150</v>
      </c>
      <c r="W556" s="2851"/>
      <c r="X556" s="2851" t="s">
        <v>5760</v>
      </c>
      <c r="Y556" s="2863"/>
      <c r="Z556" s="2863"/>
      <c r="AA556" s="2863"/>
      <c r="AB556" s="2863"/>
      <c r="AC556" s="2863"/>
      <c r="AD556" s="2863"/>
      <c r="AE556" s="2863"/>
      <c r="AF556" s="2863"/>
      <c r="AG556" s="2863"/>
      <c r="AH556" s="2863"/>
      <c r="AI556" s="2863"/>
      <c r="AJ556" s="2863"/>
      <c r="AK556" s="2863"/>
      <c r="AL556" s="2863"/>
      <c r="AM556" s="2863"/>
      <c r="AN556" s="2863"/>
      <c r="AO556" s="2863"/>
      <c r="AP556" s="2863"/>
      <c r="AQ556" s="2863"/>
      <c r="AR556" s="2863"/>
      <c r="AS556" s="2863"/>
      <c r="AT556" s="2863"/>
      <c r="AU556" s="2863"/>
      <c r="AV556" s="2863"/>
      <c r="AW556" s="2863"/>
      <c r="AX556" s="2863"/>
      <c r="AY556" s="2863"/>
      <c r="AZ556" s="2863"/>
      <c r="BA556" s="2863"/>
      <c r="BB556" s="2863"/>
      <c r="BC556" s="2863"/>
      <c r="BD556" s="2863"/>
      <c r="BE556" s="2863"/>
      <c r="BF556" s="2863"/>
      <c r="BG556" s="2863"/>
      <c r="BH556" s="2863"/>
      <c r="BI556" s="2863"/>
    </row>
    <row r="557" spans="1:61" ht="26.25" customHeight="1">
      <c r="A557" s="3466" t="s">
        <v>5761</v>
      </c>
      <c r="B557" s="3466" t="s">
        <v>5762</v>
      </c>
      <c r="C557" s="167" t="s">
        <v>178</v>
      </c>
      <c r="D557" s="165" t="s">
        <v>4261</v>
      </c>
      <c r="E557" s="3465" t="str">
        <f>VLOOKUP(F557,plasmids!$A$2:$B$891,2)</f>
        <v>pAAV2/8</v>
      </c>
      <c r="F557" s="3466">
        <v>122</v>
      </c>
      <c r="G557" s="3647"/>
      <c r="H557" s="3647" t="str">
        <f>VLOOKUP(I557,plasmids!$A$2:$B$891,2)</f>
        <v>pAAV-flox-CAG-hCatCh-YFP</v>
      </c>
      <c r="I557" s="3466">
        <v>443</v>
      </c>
      <c r="J557" s="165" t="s">
        <v>1012</v>
      </c>
      <c r="K557" s="2326"/>
      <c r="L557" s="1126"/>
      <c r="M557" s="173">
        <v>42328</v>
      </c>
      <c r="N557" s="175">
        <v>595</v>
      </c>
      <c r="O557" s="169">
        <v>5</v>
      </c>
      <c r="P557" s="326"/>
      <c r="Q557" s="179">
        <v>587000000000000</v>
      </c>
      <c r="R557" s="3648">
        <v>67000000000</v>
      </c>
      <c r="S557" s="182">
        <f t="shared" si="0"/>
        <v>287367164179104.5</v>
      </c>
      <c r="T557" s="2333" t="s">
        <v>2423</v>
      </c>
      <c r="U557" s="183"/>
      <c r="V557" s="3649" t="s">
        <v>5763</v>
      </c>
      <c r="W557" s="186"/>
      <c r="X557" s="186"/>
      <c r="Y557" s="186"/>
      <c r="Z557" s="186"/>
      <c r="AA557" s="186"/>
      <c r="AB557" s="186"/>
      <c r="AC557" s="186"/>
      <c r="AD557" s="186"/>
      <c r="AE557" s="186"/>
      <c r="AF557" s="186"/>
      <c r="AG557" s="186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</row>
    <row r="558" spans="1:61" ht="18" customHeight="1">
      <c r="A558" s="3623"/>
      <c r="B558" s="3623"/>
      <c r="C558" s="3624"/>
      <c r="D558" s="3623"/>
      <c r="E558" s="3625" t="str">
        <f>VLOOKUP(F558,plasmids!$A$2:$B$891,2)</f>
        <v>AAV2</v>
      </c>
      <c r="F558" s="1954">
        <v>140</v>
      </c>
      <c r="G558" s="3624"/>
      <c r="H558" s="3624" t="str">
        <f>VLOOKUP(I558,plasmids!$A$2:$B$891,2)</f>
        <v>pssAAV-CMV-hCatch-WPRE</v>
      </c>
      <c r="I558" s="3623">
        <v>350</v>
      </c>
      <c r="J558" s="1945"/>
      <c r="K558" s="1946"/>
      <c r="L558" s="1947"/>
      <c r="M558" s="1948">
        <v>42328</v>
      </c>
      <c r="N558" s="2483">
        <v>596</v>
      </c>
      <c r="O558" s="1954">
        <v>5</v>
      </c>
      <c r="P558" s="2212"/>
      <c r="Q558" s="3626">
        <v>8360000000000</v>
      </c>
      <c r="R558" s="3627">
        <v>67000000000</v>
      </c>
      <c r="S558" s="1963">
        <f t="shared" si="0"/>
        <v>4092656716417.9106</v>
      </c>
      <c r="T558" s="2485"/>
      <c r="U558" s="1945"/>
      <c r="V558" s="3650">
        <v>35</v>
      </c>
      <c r="W558" s="3651" t="s">
        <v>5764</v>
      </c>
      <c r="X558" s="1970"/>
      <c r="Y558" s="1970"/>
      <c r="Z558" s="1970"/>
      <c r="AA558" s="1970"/>
      <c r="AB558" s="1970"/>
      <c r="AC558" s="1970"/>
      <c r="AD558" s="1970"/>
      <c r="AE558" s="1970"/>
      <c r="AF558" s="1970"/>
      <c r="AG558" s="1970"/>
      <c r="AH558" s="1970"/>
      <c r="AI558" s="1970"/>
      <c r="AJ558" s="1970"/>
      <c r="AK558" s="1970"/>
      <c r="AL558" s="1970"/>
      <c r="AM558" s="1970"/>
      <c r="AN558" s="1970"/>
      <c r="AO558" s="1970"/>
      <c r="AP558" s="1970"/>
      <c r="AQ558" s="1970"/>
      <c r="AR558" s="1970"/>
      <c r="AS558" s="1970"/>
      <c r="AT558" s="1970"/>
      <c r="AU558" s="1970"/>
      <c r="AV558" s="1970"/>
      <c r="AW558" s="1970"/>
      <c r="AX558" s="1970"/>
      <c r="AY558" s="1970"/>
      <c r="AZ558" s="1970"/>
      <c r="BA558" s="1970"/>
      <c r="BB558" s="1970"/>
      <c r="BC558" s="1970"/>
      <c r="BD558" s="1970"/>
      <c r="BE558" s="1970"/>
      <c r="BF558" s="1970"/>
      <c r="BG558" s="1970"/>
      <c r="BH558" s="1970"/>
      <c r="BI558" s="1970"/>
    </row>
    <row r="559" spans="1:61" ht="18" customHeight="1">
      <c r="A559" s="3024" t="s">
        <v>707</v>
      </c>
      <c r="B559" s="3024" t="s">
        <v>3973</v>
      </c>
      <c r="C559" s="3026" t="s">
        <v>1967</v>
      </c>
      <c r="D559" s="3024" t="s">
        <v>4867</v>
      </c>
      <c r="E559" s="3028" t="str">
        <f>VLOOKUP(F559,plasmids!$A$2:$B$891,2)</f>
        <v>AAV9 2YF</v>
      </c>
      <c r="F559" s="3029">
        <v>168</v>
      </c>
      <c r="G559" s="3031"/>
      <c r="H559" s="3031" t="str">
        <f>VLOOKUP(I559,plasmids!$A$2:$B$891,2)</f>
        <v xml:space="preserve">pTR-scCAG-RdCVFs </v>
      </c>
      <c r="I559" s="3024">
        <v>187</v>
      </c>
      <c r="J559" s="3034"/>
      <c r="K559" s="3289"/>
      <c r="L559" s="3036"/>
      <c r="M559" s="3038">
        <v>42335</v>
      </c>
      <c r="N559" s="3040">
        <v>597</v>
      </c>
      <c r="O559" s="3029">
        <v>5</v>
      </c>
      <c r="P559" s="3044"/>
      <c r="Q559" s="3497">
        <v>150000000000000</v>
      </c>
      <c r="R559" s="3652">
        <v>82200000000</v>
      </c>
      <c r="S559" s="3050">
        <f t="shared" si="0"/>
        <v>59854014598540.148</v>
      </c>
      <c r="T559" s="3052"/>
      <c r="U559" s="3034"/>
      <c r="V559" s="3449">
        <f>130</f>
        <v>130</v>
      </c>
      <c r="W559" s="3056"/>
      <c r="X559" s="3058"/>
      <c r="Y559" s="3058"/>
      <c r="Z559" s="3058"/>
      <c r="AA559" s="3058"/>
      <c r="AB559" s="3058"/>
      <c r="AC559" s="3058"/>
      <c r="AD559" s="3058"/>
      <c r="AE559" s="3058"/>
      <c r="AF559" s="3058"/>
      <c r="AG559" s="3058"/>
      <c r="AH559" s="3058"/>
      <c r="AI559" s="3058"/>
      <c r="AJ559" s="3058"/>
      <c r="AK559" s="3058"/>
      <c r="AL559" s="3058"/>
      <c r="AM559" s="3058"/>
      <c r="AN559" s="3058"/>
      <c r="AO559" s="3058"/>
      <c r="AP559" s="3058"/>
      <c r="AQ559" s="3058"/>
      <c r="AR559" s="3058"/>
      <c r="AS559" s="3058"/>
      <c r="AT559" s="3058"/>
      <c r="AU559" s="3058"/>
      <c r="AV559" s="3058"/>
      <c r="AW559" s="3058"/>
      <c r="AX559" s="3058"/>
      <c r="AY559" s="3058"/>
      <c r="AZ559" s="3058"/>
      <c r="BA559" s="3058"/>
      <c r="BB559" s="3058"/>
      <c r="BC559" s="3058"/>
      <c r="BD559" s="3058"/>
      <c r="BE559" s="3058"/>
      <c r="BF559" s="3058"/>
      <c r="BG559" s="3058"/>
      <c r="BH559" s="3058"/>
      <c r="BI559" s="3058"/>
    </row>
    <row r="560" spans="1:61" ht="18" customHeight="1">
      <c r="A560" s="3024" t="s">
        <v>707</v>
      </c>
      <c r="B560" s="3024" t="s">
        <v>3973</v>
      </c>
      <c r="C560" s="3026" t="s">
        <v>1967</v>
      </c>
      <c r="D560" s="3024" t="s">
        <v>4867</v>
      </c>
      <c r="E560" s="3028" t="str">
        <f>VLOOKUP(F560,plasmids!$A$2:$B$891,2)</f>
        <v>AAV9 2YF</v>
      </c>
      <c r="F560" s="3029">
        <v>168</v>
      </c>
      <c r="G560" s="3031"/>
      <c r="H560" s="3031" t="str">
        <f>VLOOKUP(I560,plasmids!$A$2:$B$891,2)</f>
        <v xml:space="preserve">pTR-scCAG-RdCVFs </v>
      </c>
      <c r="I560" s="3024">
        <v>187</v>
      </c>
      <c r="J560" s="3034"/>
      <c r="K560" s="3289"/>
      <c r="L560" s="3036"/>
      <c r="M560" s="3038">
        <v>42335</v>
      </c>
      <c r="N560" s="3040">
        <v>598</v>
      </c>
      <c r="O560" s="3029">
        <v>5</v>
      </c>
      <c r="P560" s="3044"/>
      <c r="Q560" s="3497">
        <v>240000000000000</v>
      </c>
      <c r="R560" s="3652">
        <v>82200000000</v>
      </c>
      <c r="S560" s="3050">
        <f t="shared" si="0"/>
        <v>95766423357664.234</v>
      </c>
      <c r="T560" s="3052"/>
      <c r="U560" s="3034"/>
      <c r="V560" s="3449">
        <f>160</f>
        <v>160</v>
      </c>
      <c r="W560" s="3056"/>
      <c r="X560" s="3058"/>
      <c r="Y560" s="3058"/>
      <c r="Z560" s="3058"/>
      <c r="AA560" s="3058"/>
      <c r="AB560" s="3058"/>
      <c r="AC560" s="3058"/>
      <c r="AD560" s="3058"/>
      <c r="AE560" s="3058"/>
      <c r="AF560" s="3058"/>
      <c r="AG560" s="3058"/>
      <c r="AH560" s="3058"/>
      <c r="AI560" s="3058"/>
      <c r="AJ560" s="3058"/>
      <c r="AK560" s="3058"/>
      <c r="AL560" s="3058"/>
      <c r="AM560" s="3058"/>
      <c r="AN560" s="3058"/>
      <c r="AO560" s="3058"/>
      <c r="AP560" s="3058"/>
      <c r="AQ560" s="3058"/>
      <c r="AR560" s="3058"/>
      <c r="AS560" s="3058"/>
      <c r="AT560" s="3058"/>
      <c r="AU560" s="3058"/>
      <c r="AV560" s="3058"/>
      <c r="AW560" s="3058"/>
      <c r="AX560" s="3058"/>
      <c r="AY560" s="3058"/>
      <c r="AZ560" s="3058"/>
      <c r="BA560" s="3058"/>
      <c r="BB560" s="3058"/>
      <c r="BC560" s="3058"/>
      <c r="BD560" s="3058"/>
      <c r="BE560" s="3058"/>
      <c r="BF560" s="3058"/>
      <c r="BG560" s="3058"/>
      <c r="BH560" s="3058"/>
      <c r="BI560" s="3058"/>
    </row>
    <row r="561" spans="1:61" ht="22.5" customHeight="1">
      <c r="A561" s="3582" t="s">
        <v>3891</v>
      </c>
      <c r="B561" s="3582" t="s">
        <v>5765</v>
      </c>
      <c r="C561" s="3653" t="s">
        <v>567</v>
      </c>
      <c r="D561" s="3582" t="s">
        <v>5766</v>
      </c>
      <c r="E561" s="1761" t="str">
        <f>VLOOKUP(F561,plasmids!$A$2:$B$891,2)</f>
        <v>AAV2-7m8</v>
      </c>
      <c r="F561" s="3269">
        <v>178</v>
      </c>
      <c r="G561" s="1763"/>
      <c r="H561" s="1763" t="str">
        <f>VLOOKUP(I561,plasmids!$A$2:$B$891,2)</f>
        <v>pAAV-ss-hSyn-FLEX-ReaChR-Citrine</v>
      </c>
      <c r="I561" s="3582">
        <v>303</v>
      </c>
      <c r="J561" s="1766"/>
      <c r="K561" s="1767"/>
      <c r="L561" s="2801"/>
      <c r="M561" s="1770">
        <v>42335</v>
      </c>
      <c r="N561" s="3467">
        <v>599</v>
      </c>
      <c r="O561" s="1772">
        <v>5</v>
      </c>
      <c r="P561" s="1774"/>
      <c r="Q561" s="3484">
        <v>362000000000000</v>
      </c>
      <c r="R561" s="3646">
        <v>82200000000</v>
      </c>
      <c r="S561" s="1779">
        <f t="shared" si="0"/>
        <v>144447688564476.88</v>
      </c>
      <c r="T561" s="1766"/>
      <c r="U561" s="1766"/>
      <c r="V561" s="2799">
        <f>150</f>
        <v>150</v>
      </c>
      <c r="W561" s="234"/>
      <c r="X561" s="234"/>
      <c r="Y561" s="234"/>
      <c r="Z561" s="234"/>
      <c r="AA561" s="234"/>
      <c r="AB561" s="234"/>
      <c r="AC561" s="234"/>
      <c r="AD561" s="234"/>
      <c r="AE561" s="234"/>
      <c r="AF561" s="234"/>
      <c r="AG561" s="234"/>
      <c r="AH561" s="234"/>
      <c r="AI561" s="234"/>
      <c r="AJ561" s="234"/>
      <c r="AK561" s="234"/>
      <c r="AL561" s="234"/>
      <c r="AM561" s="234"/>
      <c r="AN561" s="234"/>
      <c r="AO561" s="234"/>
      <c r="AP561" s="234"/>
      <c r="AQ561" s="234"/>
      <c r="AR561" s="234"/>
      <c r="AS561" s="234"/>
      <c r="AT561" s="234"/>
      <c r="AU561" s="234"/>
      <c r="AV561" s="234"/>
      <c r="AW561" s="234"/>
      <c r="AX561" s="234"/>
      <c r="AY561" s="234"/>
      <c r="AZ561" s="234"/>
      <c r="BA561" s="234"/>
      <c r="BB561" s="234"/>
      <c r="BC561" s="234"/>
      <c r="BD561" s="234"/>
      <c r="BE561" s="234"/>
      <c r="BF561" s="234"/>
      <c r="BG561" s="234"/>
      <c r="BH561" s="234"/>
      <c r="BI561" s="234"/>
    </row>
    <row r="562" spans="1:61" ht="24" customHeight="1">
      <c r="A562" s="301" t="s">
        <v>5688</v>
      </c>
      <c r="B562" s="301" t="s">
        <v>5689</v>
      </c>
      <c r="C562" s="302" t="s">
        <v>5065</v>
      </c>
      <c r="D562" s="301" t="s">
        <v>568</v>
      </c>
      <c r="E562" s="2903" t="str">
        <f>VLOOKUP(F562,plasmids!$A$2:$B$891,2)</f>
        <v>pAAV2/8</v>
      </c>
      <c r="F562" s="305">
        <v>122</v>
      </c>
      <c r="G562" s="2904"/>
      <c r="H562" s="2904" t="str">
        <f>VLOOKUP(I562,plasmids!$A$2:$B$891,2)</f>
        <v>pssAAV-mCAR-Jaws-GFP</v>
      </c>
      <c r="I562" s="301">
        <v>89</v>
      </c>
      <c r="J562" s="318"/>
      <c r="K562" s="379">
        <v>41933</v>
      </c>
      <c r="L562" s="379"/>
      <c r="M562" s="308">
        <v>42335</v>
      </c>
      <c r="N562" s="309">
        <v>600</v>
      </c>
      <c r="O562" s="305">
        <v>5</v>
      </c>
      <c r="P562" s="315"/>
      <c r="Q562" s="3654">
        <v>771000000000000</v>
      </c>
      <c r="R562" s="3655">
        <v>82200000000</v>
      </c>
      <c r="S562" s="317">
        <f t="shared" si="0"/>
        <v>307649635036496.38</v>
      </c>
      <c r="T562" s="2905"/>
      <c r="U562" s="318"/>
      <c r="V562" s="305">
        <f>185-28-35</f>
        <v>122</v>
      </c>
      <c r="W562" s="320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319"/>
      <c r="AH562" s="319"/>
      <c r="AI562" s="319"/>
      <c r="AJ562" s="319"/>
      <c r="AK562" s="31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319"/>
      <c r="BD562" s="319"/>
      <c r="BE562" s="319"/>
      <c r="BF562" s="319"/>
      <c r="BG562" s="319"/>
      <c r="BH562" s="319"/>
      <c r="BI562" s="319"/>
    </row>
    <row r="563" spans="1:61" ht="22.5" customHeight="1">
      <c r="A563" s="3656" t="s">
        <v>600</v>
      </c>
      <c r="B563" s="3656" t="s">
        <v>139</v>
      </c>
      <c r="C563" s="3657" t="s">
        <v>55</v>
      </c>
      <c r="D563" s="3656" t="s">
        <v>70</v>
      </c>
      <c r="E563" s="3343" t="str">
        <f>VLOOKUP(F563,plasmids!$A$2:$B$891,2)</f>
        <v>AAV2-7m8</v>
      </c>
      <c r="F563" s="3658">
        <v>178</v>
      </c>
      <c r="G563" s="3657"/>
      <c r="H563" s="3657" t="s">
        <v>1963</v>
      </c>
      <c r="I563" s="3656">
        <v>575</v>
      </c>
      <c r="J563" s="3345"/>
      <c r="K563" s="3346"/>
      <c r="L563" s="3353"/>
      <c r="M563" s="3348">
        <v>42335</v>
      </c>
      <c r="N563" s="3659">
        <v>601</v>
      </c>
      <c r="O563" s="3658">
        <v>5</v>
      </c>
      <c r="P563" s="3660"/>
      <c r="Q563" s="3550">
        <v>237000000000000</v>
      </c>
      <c r="R563" s="3661">
        <v>82200000000</v>
      </c>
      <c r="S563" s="3352">
        <f t="shared" si="0"/>
        <v>94569343065693.438</v>
      </c>
      <c r="T563" s="3341" t="s">
        <v>2423</v>
      </c>
      <c r="U563" s="3345"/>
      <c r="V563" s="3345">
        <f>150</f>
        <v>150</v>
      </c>
      <c r="W563" s="3662"/>
      <c r="X563" s="932"/>
      <c r="Y563" s="932"/>
      <c r="Z563" s="932"/>
      <c r="AA563" s="932"/>
      <c r="AB563" s="932"/>
      <c r="AC563" s="932"/>
      <c r="AD563" s="932"/>
      <c r="AE563" s="932"/>
      <c r="AF563" s="932"/>
      <c r="AG563" s="932"/>
      <c r="AH563" s="932"/>
      <c r="AI563" s="932"/>
      <c r="AJ563" s="932"/>
      <c r="AK563" s="932"/>
      <c r="AL563" s="932"/>
      <c r="AM563" s="932"/>
      <c r="AN563" s="932"/>
      <c r="AO563" s="932"/>
      <c r="AP563" s="932"/>
      <c r="AQ563" s="932"/>
      <c r="AR563" s="932"/>
      <c r="AS563" s="932"/>
      <c r="AT563" s="932"/>
      <c r="AU563" s="932"/>
      <c r="AV563" s="932"/>
      <c r="AW563" s="932"/>
      <c r="AX563" s="932"/>
      <c r="AY563" s="932"/>
      <c r="AZ563" s="932"/>
      <c r="BA563" s="932"/>
      <c r="BB563" s="932"/>
      <c r="BC563" s="932"/>
      <c r="BD563" s="932"/>
      <c r="BE563" s="932"/>
      <c r="BF563" s="932"/>
      <c r="BG563" s="932"/>
      <c r="BH563" s="932"/>
      <c r="BI563" s="932"/>
    </row>
    <row r="564" spans="1:61" ht="18" customHeight="1">
      <c r="A564" s="3663" t="s">
        <v>1549</v>
      </c>
      <c r="B564" s="3663" t="s">
        <v>5767</v>
      </c>
      <c r="C564" s="3664" t="s">
        <v>178</v>
      </c>
      <c r="D564" s="3663" t="s">
        <v>4867</v>
      </c>
      <c r="E564" s="3665" t="s">
        <v>1975</v>
      </c>
      <c r="F564" s="3666">
        <v>581</v>
      </c>
      <c r="G564" s="3667"/>
      <c r="H564" s="3667" t="s">
        <v>1975</v>
      </c>
      <c r="I564" s="3663">
        <v>581</v>
      </c>
      <c r="J564" s="3668"/>
      <c r="K564" s="3669"/>
      <c r="L564" s="3670"/>
      <c r="M564" s="3671">
        <v>42335</v>
      </c>
      <c r="N564" s="3672">
        <v>602</v>
      </c>
      <c r="O564" s="3666">
        <v>6</v>
      </c>
      <c r="P564" s="3673" t="s">
        <v>5664</v>
      </c>
      <c r="Q564" s="3674">
        <v>1270000000000000</v>
      </c>
      <c r="R564" s="3675">
        <v>82200000000</v>
      </c>
      <c r="S564" s="3676">
        <f t="shared" si="0"/>
        <v>506763990267639.94</v>
      </c>
      <c r="T564" s="3677" t="s">
        <v>2423</v>
      </c>
      <c r="U564" s="3668"/>
      <c r="V564" s="3665">
        <f>200</f>
        <v>200</v>
      </c>
      <c r="W564" s="3678"/>
      <c r="X564" s="3679"/>
      <c r="Y564" s="3679"/>
      <c r="Z564" s="3679"/>
      <c r="AA564" s="3679"/>
      <c r="AB564" s="3679"/>
      <c r="AC564" s="3679"/>
      <c r="AD564" s="3679"/>
      <c r="AE564" s="3679"/>
      <c r="AF564" s="3679"/>
      <c r="AG564" s="3679"/>
      <c r="AH564" s="3679"/>
      <c r="AI564" s="3679"/>
      <c r="AJ564" s="3679"/>
      <c r="AK564" s="3679"/>
      <c r="AL564" s="3679"/>
      <c r="AM564" s="3679"/>
      <c r="AN564" s="3679"/>
      <c r="AO564" s="3679"/>
      <c r="AP564" s="3679"/>
      <c r="AQ564" s="3679"/>
      <c r="AR564" s="3679"/>
      <c r="AS564" s="3679"/>
      <c r="AT564" s="3679"/>
      <c r="AU564" s="3679"/>
      <c r="AV564" s="3679"/>
      <c r="AW564" s="3679"/>
      <c r="AX564" s="3679"/>
      <c r="AY564" s="3679"/>
      <c r="AZ564" s="3679"/>
      <c r="BA564" s="3679"/>
      <c r="BB564" s="3679"/>
      <c r="BC564" s="3679"/>
      <c r="BD564" s="3679"/>
      <c r="BE564" s="3679"/>
      <c r="BF564" s="3679"/>
      <c r="BG564" s="3679"/>
      <c r="BH564" s="3680"/>
      <c r="BI564" s="3680"/>
    </row>
    <row r="565" spans="1:61" ht="21" customHeight="1">
      <c r="A565" s="3555" t="s">
        <v>1731</v>
      </c>
      <c r="B565" s="3555" t="s">
        <v>5741</v>
      </c>
      <c r="C565" s="208" t="s">
        <v>178</v>
      </c>
      <c r="D565" s="3681" t="s">
        <v>70</v>
      </c>
      <c r="E565" s="3682" t="str">
        <f>VLOOKUP(F565,plasmids!$A$2:$B$891,2)</f>
        <v>AAV2</v>
      </c>
      <c r="F565" s="3681">
        <v>140</v>
      </c>
      <c r="G565" s="3556"/>
      <c r="H565" s="3556" t="str">
        <f>VLOOKUP(I565,plasmids!$A$2:$B$891,2)</f>
        <v>pscAAV-CMV-GCaMP6f-BGHpA</v>
      </c>
      <c r="I565" s="3681">
        <v>334</v>
      </c>
      <c r="J565" s="207" t="s">
        <v>1012</v>
      </c>
      <c r="K565" s="223"/>
      <c r="L565" s="3557"/>
      <c r="M565" s="213">
        <v>42342</v>
      </c>
      <c r="N565" s="3558">
        <v>603</v>
      </c>
      <c r="O565" s="209">
        <v>5</v>
      </c>
      <c r="P565" s="220"/>
      <c r="Q565" s="3559">
        <v>16400000000000</v>
      </c>
      <c r="R565" s="3683">
        <v>42800000000</v>
      </c>
      <c r="S565" s="222">
        <f t="shared" si="0"/>
        <v>12568224299065.42</v>
      </c>
      <c r="T565" s="3557" t="s">
        <v>2423</v>
      </c>
      <c r="U565" s="232"/>
      <c r="V565" s="3560">
        <f>125-15-5</f>
        <v>105</v>
      </c>
      <c r="W565" s="232"/>
      <c r="X565" s="232"/>
      <c r="Y565" s="3555"/>
      <c r="Z565" s="232"/>
      <c r="AA565" s="232"/>
      <c r="AB565" s="232"/>
      <c r="AC565" s="232"/>
      <c r="AD565" s="232"/>
      <c r="AE565" s="232"/>
      <c r="AF565" s="232"/>
      <c r="AG565" s="232"/>
      <c r="AH565" s="232"/>
      <c r="AI565" s="232"/>
      <c r="AJ565" s="232"/>
      <c r="AK565" s="232"/>
      <c r="AL565" s="232"/>
      <c r="AM565" s="232"/>
      <c r="AN565" s="232"/>
      <c r="AO565" s="232"/>
      <c r="AP565" s="232"/>
      <c r="AQ565" s="232"/>
      <c r="AR565" s="232"/>
      <c r="AS565" s="232"/>
      <c r="AT565" s="232"/>
      <c r="AU565" s="232"/>
      <c r="AV565" s="232"/>
      <c r="AW565" s="232"/>
      <c r="AX565" s="232"/>
      <c r="AY565" s="232"/>
      <c r="AZ565" s="232"/>
      <c r="BA565" s="232"/>
      <c r="BB565" s="232"/>
      <c r="BC565" s="232"/>
      <c r="BD565" s="232"/>
      <c r="BE565" s="232"/>
      <c r="BF565" s="232"/>
      <c r="BG565" s="232"/>
      <c r="BH565" s="232"/>
      <c r="BI565" s="232"/>
    </row>
    <row r="566" spans="1:61" ht="22.5" customHeight="1">
      <c r="A566" s="3684" t="s">
        <v>707</v>
      </c>
      <c r="B566" s="3684" t="s">
        <v>3973</v>
      </c>
      <c r="C566" s="3685" t="s">
        <v>1967</v>
      </c>
      <c r="D566" s="3684" t="s">
        <v>4867</v>
      </c>
      <c r="E566" s="3686" t="str">
        <f>VLOOKUP(F566,plasmids!$A$2:$B$891,2)</f>
        <v>AAV9 2YF</v>
      </c>
      <c r="F566" s="3687">
        <v>168</v>
      </c>
      <c r="G566" s="3688"/>
      <c r="H566" s="3688" t="str">
        <f>VLOOKUP(I566,plasmids!$A$2:$B$891,2)</f>
        <v>pAAV-CMV-RdCVFs-bghpA-CMV-RdCVFL-bghpA</v>
      </c>
      <c r="I566" s="3689">
        <v>584</v>
      </c>
      <c r="J566" s="3684"/>
      <c r="K566" s="3690"/>
      <c r="L566" s="3691"/>
      <c r="M566" s="3692">
        <v>42342</v>
      </c>
      <c r="N566" s="3693">
        <v>604</v>
      </c>
      <c r="O566" s="3694">
        <v>5</v>
      </c>
      <c r="P566" s="3695"/>
      <c r="Q566" s="3491">
        <v>12100000000000</v>
      </c>
      <c r="R566" s="3696">
        <v>42800000000</v>
      </c>
      <c r="S566" s="3697">
        <f t="shared" si="0"/>
        <v>9272897196261.6816</v>
      </c>
      <c r="T566" s="3698"/>
      <c r="U566" s="3684"/>
      <c r="V566" s="3699">
        <v>42</v>
      </c>
      <c r="W566" s="3250" t="s">
        <v>5638</v>
      </c>
      <c r="X566" s="3684"/>
      <c r="Y566" s="3684"/>
      <c r="Z566" s="3684"/>
      <c r="AA566" s="3684"/>
      <c r="AB566" s="3684"/>
      <c r="AC566" s="3684"/>
      <c r="AD566" s="3684"/>
      <c r="AE566" s="3684"/>
      <c r="AF566" s="3684"/>
      <c r="AG566" s="3684"/>
      <c r="AH566" s="3684"/>
      <c r="AI566" s="3684"/>
      <c r="AJ566" s="3684"/>
      <c r="AK566" s="3684"/>
      <c r="AL566" s="3684"/>
      <c r="AM566" s="3684"/>
      <c r="AN566" s="3684"/>
      <c r="AO566" s="3684"/>
      <c r="AP566" s="3684"/>
      <c r="AQ566" s="3684"/>
      <c r="AR566" s="3684"/>
      <c r="AS566" s="3684"/>
      <c r="AT566" s="3684"/>
      <c r="AU566" s="3684"/>
      <c r="AV566" s="3684"/>
      <c r="AW566" s="3684"/>
      <c r="AX566" s="3684"/>
      <c r="AY566" s="3684"/>
      <c r="AZ566" s="3684"/>
      <c r="BA566" s="3684"/>
      <c r="BB566" s="3684"/>
      <c r="BC566" s="3684"/>
      <c r="BD566" s="3684"/>
      <c r="BE566" s="3684"/>
      <c r="BF566" s="3684"/>
      <c r="BG566" s="3684"/>
      <c r="BH566" s="3684"/>
      <c r="BI566" s="3684"/>
    </row>
    <row r="567" spans="1:61" ht="22.5" customHeight="1">
      <c r="A567" s="3684" t="s">
        <v>707</v>
      </c>
      <c r="B567" s="3684" t="s">
        <v>3973</v>
      </c>
      <c r="C567" s="3685" t="s">
        <v>1967</v>
      </c>
      <c r="D567" s="3684" t="s">
        <v>4867</v>
      </c>
      <c r="E567" s="3686" t="str">
        <f>VLOOKUP(F567,plasmids!$A$2:$B$891,2)</f>
        <v>AAV9 2YF</v>
      </c>
      <c r="F567" s="3687">
        <v>168</v>
      </c>
      <c r="G567" s="3688"/>
      <c r="H567" s="3688" t="str">
        <f>VLOOKUP(I567,plasmids!$A$2:$B$891,2)</f>
        <v>pAAV-CMV-hRdCVFs-bghpA-CMV-hRdCVFs-bghpA</v>
      </c>
      <c r="I567" s="3689">
        <v>585</v>
      </c>
      <c r="J567" s="3684"/>
      <c r="K567" s="3690"/>
      <c r="L567" s="3691"/>
      <c r="M567" s="3692">
        <v>42342</v>
      </c>
      <c r="N567" s="3693">
        <v>605</v>
      </c>
      <c r="O567" s="3694">
        <v>5</v>
      </c>
      <c r="P567" s="3695"/>
      <c r="Q567" s="3491">
        <v>200000000000000</v>
      </c>
      <c r="R567" s="3696">
        <v>42800000000</v>
      </c>
      <c r="S567" s="3697">
        <f t="shared" si="0"/>
        <v>153271028037383.19</v>
      </c>
      <c r="T567" s="3698"/>
      <c r="U567" s="3684"/>
      <c r="V567" s="3699">
        <v>160</v>
      </c>
      <c r="W567" s="3250" t="s">
        <v>5638</v>
      </c>
      <c r="X567" s="3684"/>
      <c r="Y567" s="3684"/>
      <c r="Z567" s="3684"/>
      <c r="AA567" s="3684"/>
      <c r="AB567" s="3684"/>
      <c r="AC567" s="3684"/>
      <c r="AD567" s="3684"/>
      <c r="AE567" s="3684"/>
      <c r="AF567" s="3684"/>
      <c r="AG567" s="3684"/>
      <c r="AH567" s="3684"/>
      <c r="AI567" s="3684"/>
      <c r="AJ567" s="3684"/>
      <c r="AK567" s="3684"/>
      <c r="AL567" s="3684"/>
      <c r="AM567" s="3684"/>
      <c r="AN567" s="3684"/>
      <c r="AO567" s="3684"/>
      <c r="AP567" s="3684"/>
      <c r="AQ567" s="3684"/>
      <c r="AR567" s="3684"/>
      <c r="AS567" s="3684"/>
      <c r="AT567" s="3684"/>
      <c r="AU567" s="3684"/>
      <c r="AV567" s="3684"/>
      <c r="AW567" s="3684"/>
      <c r="AX567" s="3684"/>
      <c r="AY567" s="3684"/>
      <c r="AZ567" s="3684"/>
      <c r="BA567" s="3684"/>
      <c r="BB567" s="3684"/>
      <c r="BC567" s="3684"/>
      <c r="BD567" s="3684"/>
      <c r="BE567" s="3684"/>
      <c r="BF567" s="3684"/>
      <c r="BG567" s="3684"/>
      <c r="BH567" s="3684"/>
      <c r="BI567" s="3684"/>
    </row>
    <row r="568" spans="1:61" ht="27" customHeight="1">
      <c r="A568" s="834" t="s">
        <v>600</v>
      </c>
      <c r="B568" s="834" t="s">
        <v>1153</v>
      </c>
      <c r="C568" s="3473" t="s">
        <v>1155</v>
      </c>
      <c r="D568" s="834" t="s">
        <v>70</v>
      </c>
      <c r="E568" s="3474" t="str">
        <f>VLOOKUP(F568,plasmids!$A$2:$B$891,2)</f>
        <v>AAV2</v>
      </c>
      <c r="F568" s="634">
        <v>140</v>
      </c>
      <c r="G568" s="2258"/>
      <c r="H568" s="2258" t="str">
        <f>VLOOKUP(I568,plasmids!$A$2:$B$891,2)</f>
        <v>pssAAV-spacer-CMV-hCatch-WPRE</v>
      </c>
      <c r="I568" s="834">
        <v>578</v>
      </c>
      <c r="J568" s="642"/>
      <c r="K568" s="2263"/>
      <c r="L568" s="1605"/>
      <c r="M568" s="631">
        <v>42342</v>
      </c>
      <c r="N568" s="633">
        <v>606</v>
      </c>
      <c r="O568" s="634">
        <v>5</v>
      </c>
      <c r="P568" s="638"/>
      <c r="Q568" s="3481">
        <v>15600000000000</v>
      </c>
      <c r="R568" s="3700">
        <v>42800000000</v>
      </c>
      <c r="S568" s="640">
        <f t="shared" si="0"/>
        <v>11955140186915.887</v>
      </c>
      <c r="T568" s="642"/>
      <c r="U568" s="642"/>
      <c r="V568" s="834">
        <v>145</v>
      </c>
      <c r="W568" s="645"/>
      <c r="X568" s="645"/>
      <c r="Y568" s="645"/>
      <c r="Z568" s="645"/>
      <c r="AA568" s="645"/>
      <c r="AB568" s="645"/>
      <c r="AC568" s="645"/>
      <c r="AD568" s="645"/>
      <c r="AE568" s="645"/>
      <c r="AF568" s="645"/>
      <c r="AG568" s="645"/>
      <c r="AH568" s="645"/>
      <c r="AI568" s="645"/>
      <c r="AJ568" s="645"/>
      <c r="AK568" s="645"/>
      <c r="AL568" s="645"/>
      <c r="AM568" s="645"/>
      <c r="AN568" s="645"/>
      <c r="AO568" s="645"/>
      <c r="AP568" s="645"/>
      <c r="AQ568" s="645"/>
      <c r="AR568" s="645"/>
      <c r="AS568" s="645"/>
      <c r="AT568" s="645"/>
      <c r="AU568" s="645"/>
      <c r="AV568" s="645"/>
      <c r="AW568" s="645"/>
      <c r="AX568" s="645"/>
      <c r="AY568" s="645"/>
      <c r="AZ568" s="645"/>
      <c r="BA568" s="645"/>
      <c r="BB568" s="645"/>
      <c r="BC568" s="645"/>
      <c r="BD568" s="645"/>
      <c r="BE568" s="645"/>
      <c r="BF568" s="645"/>
      <c r="BG568" s="645"/>
      <c r="BH568" s="645"/>
      <c r="BI568" s="645"/>
    </row>
    <row r="569" spans="1:61" ht="27" customHeight="1">
      <c r="A569" s="834" t="s">
        <v>600</v>
      </c>
      <c r="B569" s="834" t="s">
        <v>1153</v>
      </c>
      <c r="C569" s="3473" t="s">
        <v>1155</v>
      </c>
      <c r="D569" s="834" t="s">
        <v>70</v>
      </c>
      <c r="E569" s="3474" t="str">
        <f>VLOOKUP(F569,plasmids!$A$2:$B$891,2)</f>
        <v>AAV2</v>
      </c>
      <c r="F569" s="634">
        <v>140</v>
      </c>
      <c r="G569" s="2258"/>
      <c r="H569" s="2258" t="str">
        <f>VLOOKUP(I569,plasmids!$A$2:$B$891,2)</f>
        <v>pssAAV-spacer-CMV-hCatch-WPRE</v>
      </c>
      <c r="I569" s="834">
        <v>578</v>
      </c>
      <c r="J569" s="642"/>
      <c r="K569" s="2263"/>
      <c r="L569" s="1605"/>
      <c r="M569" s="631">
        <v>42353</v>
      </c>
      <c r="N569" s="633">
        <v>607</v>
      </c>
      <c r="O569" s="634">
        <v>5</v>
      </c>
      <c r="P569" s="638"/>
      <c r="Q569" s="3481">
        <v>500000000000</v>
      </c>
      <c r="R569" s="3700">
        <v>12400000000</v>
      </c>
      <c r="S569" s="640">
        <f t="shared" si="0"/>
        <v>1322580645161.2903</v>
      </c>
      <c r="T569" s="642"/>
      <c r="U569" s="642"/>
      <c r="V569" s="834">
        <v>135</v>
      </c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5"/>
      <c r="AH569" s="645"/>
      <c r="AI569" s="645"/>
      <c r="AJ569" s="645"/>
      <c r="AK569" s="645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645"/>
      <c r="BD569" s="645"/>
      <c r="BE569" s="645"/>
      <c r="BF569" s="645"/>
      <c r="BG569" s="645"/>
      <c r="BH569" s="645"/>
      <c r="BI569" s="645"/>
    </row>
    <row r="570" spans="1:61" ht="27" customHeight="1">
      <c r="A570" s="834" t="s">
        <v>600</v>
      </c>
      <c r="B570" s="834" t="s">
        <v>1153</v>
      </c>
      <c r="C570" s="3473" t="s">
        <v>1155</v>
      </c>
      <c r="D570" s="834" t="s">
        <v>70</v>
      </c>
      <c r="E570" s="3474" t="str">
        <f>VLOOKUP(F570,plasmids!$A$2:$B$891,2)</f>
        <v>AAV2</v>
      </c>
      <c r="F570" s="634">
        <v>140</v>
      </c>
      <c r="G570" s="2258"/>
      <c r="H570" s="2258" t="str">
        <f>VLOOKUP(I570,plasmids!$A$2:$B$891,2)</f>
        <v>pssAAV-spacer-CMV-hCatch-WPRE</v>
      </c>
      <c r="I570" s="834">
        <v>578</v>
      </c>
      <c r="J570" s="642"/>
      <c r="K570" s="2263"/>
      <c r="L570" s="1605"/>
      <c r="M570" s="631">
        <v>42353</v>
      </c>
      <c r="N570" s="633">
        <v>608</v>
      </c>
      <c r="O570" s="634">
        <v>5</v>
      </c>
      <c r="P570" s="638"/>
      <c r="Q570" s="3481">
        <v>1730000000000</v>
      </c>
      <c r="R570" s="3700">
        <v>12400000000</v>
      </c>
      <c r="S570" s="640">
        <f t="shared" si="0"/>
        <v>4576129032258.0645</v>
      </c>
      <c r="T570" s="642"/>
      <c r="U570" s="642"/>
      <c r="V570" s="834">
        <v>135</v>
      </c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5"/>
      <c r="AH570" s="645"/>
      <c r="AI570" s="645"/>
      <c r="AJ570" s="645"/>
      <c r="AK570" s="645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645"/>
      <c r="BD570" s="645"/>
      <c r="BE570" s="645"/>
      <c r="BF570" s="645"/>
      <c r="BG570" s="645"/>
      <c r="BH570" s="645"/>
      <c r="BI570" s="645"/>
    </row>
    <row r="571" spans="1:61" ht="26.25" customHeight="1">
      <c r="A571" s="3701" t="s">
        <v>5768</v>
      </c>
      <c r="B571" s="3701" t="s">
        <v>3367</v>
      </c>
      <c r="C571" s="3702" t="s">
        <v>178</v>
      </c>
      <c r="D571" s="981" t="s">
        <v>3368</v>
      </c>
      <c r="E571" s="3703" t="str">
        <f>VLOOKUP(F571,plasmids!$A$2:$B$351,2)</f>
        <v>AAV9 2YF</v>
      </c>
      <c r="F571" s="984">
        <v>168</v>
      </c>
      <c r="G571" s="3704"/>
      <c r="H571" s="3704" t="s">
        <v>5769</v>
      </c>
      <c r="I571" s="3701">
        <v>589</v>
      </c>
      <c r="J571" s="995"/>
      <c r="K571" s="3705"/>
      <c r="L571" s="986"/>
      <c r="M571" s="988">
        <v>42377</v>
      </c>
      <c r="N571" s="3706">
        <v>609</v>
      </c>
      <c r="O571" s="984"/>
      <c r="P571" s="992"/>
      <c r="Q571" s="3707">
        <v>121000000000000</v>
      </c>
      <c r="R571" s="3708">
        <v>55600000000</v>
      </c>
      <c r="S571" s="994">
        <f t="shared" si="0"/>
        <v>71381294964028.781</v>
      </c>
      <c r="T571" s="981"/>
      <c r="U571" s="995"/>
      <c r="V571" s="981">
        <f>235</f>
        <v>235</v>
      </c>
      <c r="W571" s="2643" t="s">
        <v>2934</v>
      </c>
      <c r="X571" s="998"/>
      <c r="Y571" s="998"/>
      <c r="Z571" s="998"/>
      <c r="AA571" s="998"/>
      <c r="AB571" s="998"/>
      <c r="AC571" s="998"/>
      <c r="AD571" s="998"/>
      <c r="AE571" s="998"/>
      <c r="AF571" s="998"/>
      <c r="AG571" s="998"/>
      <c r="AH571" s="998"/>
      <c r="AI571" s="998"/>
      <c r="AJ571" s="998"/>
      <c r="AK571" s="998"/>
      <c r="AL571" s="998"/>
      <c r="AM571" s="998"/>
      <c r="AN571" s="998"/>
      <c r="AO571" s="998"/>
      <c r="AP571" s="998"/>
      <c r="AQ571" s="998"/>
      <c r="AR571" s="998"/>
      <c r="AS571" s="998"/>
      <c r="AT571" s="998"/>
      <c r="AU571" s="998"/>
      <c r="AV571" s="998"/>
      <c r="AW571" s="998"/>
      <c r="AX571" s="998"/>
      <c r="AY571" s="998"/>
      <c r="AZ571" s="998"/>
      <c r="BA571" s="998"/>
      <c r="BB571" s="998"/>
      <c r="BC571" s="998"/>
      <c r="BD571" s="998"/>
      <c r="BE571" s="998"/>
      <c r="BF571" s="998"/>
      <c r="BG571" s="998"/>
      <c r="BH571" s="998"/>
      <c r="BI571" s="998"/>
    </row>
    <row r="572" spans="1:61" ht="26.25" customHeight="1">
      <c r="A572" s="3701" t="s">
        <v>5768</v>
      </c>
      <c r="B572" s="3701" t="s">
        <v>3367</v>
      </c>
      <c r="C572" s="3702" t="s">
        <v>178</v>
      </c>
      <c r="D572" s="981" t="s">
        <v>3368</v>
      </c>
      <c r="E572" s="3703" t="str">
        <f>VLOOKUP(F572,plasmids!$A$2:$B$351,2)</f>
        <v>AAV9 2YF</v>
      </c>
      <c r="F572" s="984">
        <v>168</v>
      </c>
      <c r="G572" s="3709"/>
      <c r="H572" s="3710" t="s">
        <v>5770</v>
      </c>
      <c r="I572" s="3701">
        <v>590</v>
      </c>
      <c r="J572" s="995"/>
      <c r="K572" s="3705"/>
      <c r="L572" s="986"/>
      <c r="M572" s="988">
        <v>42377</v>
      </c>
      <c r="N572" s="3706">
        <v>610</v>
      </c>
      <c r="O572" s="984"/>
      <c r="P572" s="992"/>
      <c r="Q572" s="3707">
        <v>139000000000</v>
      </c>
      <c r="R572" s="3708">
        <v>55600000000</v>
      </c>
      <c r="S572" s="994">
        <f t="shared" si="0"/>
        <v>82000000000</v>
      </c>
      <c r="T572" s="981"/>
      <c r="U572" s="995"/>
      <c r="V572" s="981">
        <f>145</f>
        <v>145</v>
      </c>
      <c r="W572" s="2643" t="s">
        <v>2934</v>
      </c>
      <c r="X572" s="998"/>
      <c r="Y572" s="998"/>
      <c r="Z572" s="998"/>
      <c r="AA572" s="998"/>
      <c r="AB572" s="998"/>
      <c r="AC572" s="998"/>
      <c r="AD572" s="998"/>
      <c r="AE572" s="998"/>
      <c r="AF572" s="998"/>
      <c r="AG572" s="998"/>
      <c r="AH572" s="998"/>
      <c r="AI572" s="998"/>
      <c r="AJ572" s="998"/>
      <c r="AK572" s="998"/>
      <c r="AL572" s="998"/>
      <c r="AM572" s="998"/>
      <c r="AN572" s="998"/>
      <c r="AO572" s="998"/>
      <c r="AP572" s="998"/>
      <c r="AQ572" s="998"/>
      <c r="AR572" s="998"/>
      <c r="AS572" s="998"/>
      <c r="AT572" s="998"/>
      <c r="AU572" s="998"/>
      <c r="AV572" s="998"/>
      <c r="AW572" s="998"/>
      <c r="AX572" s="998"/>
      <c r="AY572" s="998"/>
      <c r="AZ572" s="998"/>
      <c r="BA572" s="998"/>
      <c r="BB572" s="998"/>
      <c r="BC572" s="998"/>
      <c r="BD572" s="998"/>
      <c r="BE572" s="998"/>
      <c r="BF572" s="998"/>
      <c r="BG572" s="998"/>
      <c r="BH572" s="998"/>
      <c r="BI572" s="998"/>
    </row>
    <row r="573" spans="1:61" ht="24">
      <c r="A573" s="966" t="s">
        <v>2599</v>
      </c>
      <c r="B573" s="966" t="s">
        <v>4808</v>
      </c>
      <c r="C573" s="967" t="s">
        <v>178</v>
      </c>
      <c r="D573" s="966" t="s">
        <v>4809</v>
      </c>
      <c r="E573" s="2058" t="str">
        <f>VLOOKUP(F573,plasmids!$A$2:$B$891,2)</f>
        <v>AAV9 2YF</v>
      </c>
      <c r="F573" s="966">
        <v>168</v>
      </c>
      <c r="G573" s="2059"/>
      <c r="H573" s="2059" t="str">
        <f>VLOOKUP(I573,plasmids!$A$2:$B$1011,2)</f>
        <v>pAAV-hRho-eNpHR-EYFP</v>
      </c>
      <c r="I573" s="966">
        <v>392</v>
      </c>
      <c r="J573" s="978"/>
      <c r="K573" s="1614"/>
      <c r="L573" s="2183"/>
      <c r="M573" s="971">
        <v>42377</v>
      </c>
      <c r="N573" s="1059">
        <v>611</v>
      </c>
      <c r="O573" s="1594"/>
      <c r="P573" s="1594"/>
      <c r="Q573" s="3550">
        <v>289000000000000</v>
      </c>
      <c r="R573" s="3661">
        <v>55600000000</v>
      </c>
      <c r="S573" s="977">
        <f t="shared" si="0"/>
        <v>170489208633093.53</v>
      </c>
      <c r="T573" s="2183"/>
      <c r="U573" s="978"/>
      <c r="V573" s="1594">
        <f>260-20-20-30-20-1</f>
        <v>169</v>
      </c>
      <c r="W573" s="978"/>
      <c r="X573" s="978"/>
      <c r="Y573" s="1594"/>
      <c r="Z573" s="978"/>
      <c r="AA573" s="978"/>
      <c r="AB573" s="978"/>
      <c r="AC573" s="978"/>
      <c r="AD573" s="978"/>
      <c r="AE573" s="978"/>
      <c r="AF573" s="978"/>
      <c r="AG573" s="978"/>
      <c r="AH573" s="978"/>
      <c r="AI573" s="978"/>
      <c r="AJ573" s="978"/>
      <c r="AK573" s="978"/>
      <c r="AL573" s="978"/>
      <c r="AM573" s="978"/>
      <c r="AN573" s="978"/>
      <c r="AO573" s="978"/>
      <c r="AP573" s="978"/>
      <c r="AQ573" s="978"/>
      <c r="AR573" s="978"/>
      <c r="AS573" s="978"/>
      <c r="AT573" s="978"/>
      <c r="AU573" s="978"/>
      <c r="AV573" s="978"/>
      <c r="AW573" s="978"/>
      <c r="AX573" s="978"/>
      <c r="AY573" s="978"/>
      <c r="AZ573" s="978"/>
      <c r="BA573" s="978"/>
      <c r="BB573" s="978"/>
      <c r="BC573" s="978"/>
      <c r="BD573" s="978"/>
      <c r="BE573" s="978"/>
      <c r="BF573" s="978"/>
      <c r="BG573" s="978"/>
      <c r="BH573" s="978"/>
      <c r="BI573" s="978"/>
    </row>
    <row r="574" spans="1:61" ht="22.5" customHeight="1">
      <c r="A574" s="3582" t="s">
        <v>5771</v>
      </c>
      <c r="B574" s="3582" t="s">
        <v>5772</v>
      </c>
      <c r="C574" s="3653" t="s">
        <v>1967</v>
      </c>
      <c r="D574" s="3582" t="s">
        <v>5773</v>
      </c>
      <c r="E574" s="1761" t="str">
        <f>VLOOKUP(F574,plasmids!$A$2:$B$891,2)</f>
        <v>pXR5</v>
      </c>
      <c r="F574" s="1772">
        <v>154</v>
      </c>
      <c r="G574" s="3711"/>
      <c r="H574" s="3712" t="str">
        <f>VLOOKUP(I574,plasmids!$A$2:$B$891,2)</f>
        <v>pAAV-CMV-DIO-vSWO-mCherry</v>
      </c>
      <c r="I574" s="3582">
        <v>580</v>
      </c>
      <c r="J574" s="1766"/>
      <c r="K574" s="1767"/>
      <c r="L574" s="2801"/>
      <c r="M574" s="1770">
        <v>42377</v>
      </c>
      <c r="N574" s="3467">
        <v>612</v>
      </c>
      <c r="O574" s="1772"/>
      <c r="P574" s="1774"/>
      <c r="Q574" s="3484">
        <v>146000000000000</v>
      </c>
      <c r="R574" s="3646">
        <v>55600000000</v>
      </c>
      <c r="S574" s="1779">
        <f t="shared" si="0"/>
        <v>86129496402877.703</v>
      </c>
      <c r="T574" s="1766"/>
      <c r="U574" s="1766"/>
      <c r="V574" s="2799">
        <f>200</f>
        <v>200</v>
      </c>
      <c r="W574" s="234"/>
      <c r="X574" s="234"/>
      <c r="Y574" s="234"/>
      <c r="Z574" s="234"/>
      <c r="AA574" s="234"/>
      <c r="AB574" s="234"/>
      <c r="AC574" s="234"/>
      <c r="AD574" s="234"/>
      <c r="AE574" s="234"/>
      <c r="AF574" s="234"/>
      <c r="AG574" s="234"/>
      <c r="AH574" s="234"/>
      <c r="AI574" s="234"/>
      <c r="AJ574" s="234"/>
      <c r="AK574" s="234"/>
      <c r="AL574" s="234"/>
      <c r="AM574" s="234"/>
      <c r="AN574" s="234"/>
      <c r="AO574" s="234"/>
      <c r="AP574" s="234"/>
      <c r="AQ574" s="234"/>
      <c r="AR574" s="234"/>
      <c r="AS574" s="234"/>
      <c r="AT574" s="234"/>
      <c r="AU574" s="234"/>
      <c r="AV574" s="234"/>
      <c r="AW574" s="234"/>
      <c r="AX574" s="234"/>
      <c r="AY574" s="234"/>
      <c r="AZ574" s="234"/>
      <c r="BA574" s="234"/>
      <c r="BB574" s="234"/>
      <c r="BC574" s="234"/>
      <c r="BD574" s="234"/>
      <c r="BE574" s="234"/>
      <c r="BF574" s="234"/>
      <c r="BG574" s="234"/>
      <c r="BH574" s="234"/>
      <c r="BI574" s="234"/>
    </row>
    <row r="575" spans="1:61" ht="26.25" customHeight="1">
      <c r="A575" s="834" t="s">
        <v>600</v>
      </c>
      <c r="B575" s="834" t="s">
        <v>1153</v>
      </c>
      <c r="C575" s="3473" t="s">
        <v>1155</v>
      </c>
      <c r="D575" s="834" t="s">
        <v>70</v>
      </c>
      <c r="E575" s="3474" t="str">
        <f>VLOOKUP(F575,plasmids!$A$2:$B$891,2)</f>
        <v>AAV2</v>
      </c>
      <c r="F575" s="634">
        <v>140</v>
      </c>
      <c r="G575" s="2258"/>
      <c r="H575" s="2258" t="str">
        <f>VLOOKUP(I575,plasmids!$A$2:$B$891,2)</f>
        <v>pssAAV-spacer-CMV-hCatch-WPRE</v>
      </c>
      <c r="I575" s="834">
        <v>578</v>
      </c>
      <c r="J575" s="628"/>
      <c r="K575" s="2263"/>
      <c r="L575" s="834"/>
      <c r="M575" s="631" t="s">
        <v>5774</v>
      </c>
      <c r="N575" s="633">
        <v>613</v>
      </c>
      <c r="O575" s="634"/>
      <c r="P575" s="3481" t="s">
        <v>5775</v>
      </c>
      <c r="Q575" s="3481">
        <v>6110000000000</v>
      </c>
      <c r="R575" s="3700">
        <v>55600000000</v>
      </c>
      <c r="S575" s="640">
        <f t="shared" si="0"/>
        <v>3604460431654.6763</v>
      </c>
      <c r="T575" s="1605"/>
      <c r="U575" s="642"/>
      <c r="V575" s="832">
        <f>145+145</f>
        <v>290</v>
      </c>
      <c r="W575" s="645"/>
      <c r="X575" s="3700" t="s">
        <v>5776</v>
      </c>
      <c r="Y575" s="645"/>
      <c r="Z575" s="645"/>
      <c r="AA575" s="645"/>
      <c r="AB575" s="645"/>
      <c r="AC575" s="645"/>
      <c r="AD575" s="645"/>
      <c r="AE575" s="645"/>
      <c r="AF575" s="645"/>
      <c r="AG575" s="645"/>
      <c r="AH575" s="645"/>
      <c r="AI575" s="645"/>
      <c r="AJ575" s="645"/>
      <c r="AK575" s="645"/>
      <c r="AL575" s="645"/>
      <c r="AM575" s="645"/>
      <c r="AN575" s="645"/>
      <c r="AO575" s="645"/>
      <c r="AP575" s="645"/>
      <c r="AQ575" s="645"/>
      <c r="AR575" s="645"/>
      <c r="AS575" s="645"/>
      <c r="AT575" s="645"/>
      <c r="AU575" s="645"/>
      <c r="AV575" s="645"/>
      <c r="AW575" s="645"/>
      <c r="AX575" s="645"/>
      <c r="AY575" s="645"/>
      <c r="AZ575" s="645"/>
      <c r="BA575" s="645"/>
      <c r="BB575" s="645"/>
      <c r="BC575" s="645"/>
      <c r="BD575" s="645"/>
      <c r="BE575" s="645"/>
      <c r="BF575" s="645"/>
      <c r="BG575" s="645"/>
      <c r="BH575" s="645"/>
      <c r="BI575" s="645"/>
    </row>
    <row r="576" spans="1:61" ht="26.25" customHeight="1">
      <c r="A576" s="834" t="s">
        <v>600</v>
      </c>
      <c r="B576" s="834" t="s">
        <v>1153</v>
      </c>
      <c r="C576" s="3473" t="s">
        <v>1155</v>
      </c>
      <c r="D576" s="834" t="s">
        <v>70</v>
      </c>
      <c r="E576" s="3474" t="str">
        <f>VLOOKUP(F576,plasmids!$A$2:$B$891,2)</f>
        <v>AAV2</v>
      </c>
      <c r="F576" s="634">
        <v>140</v>
      </c>
      <c r="G576" s="2258"/>
      <c r="H576" s="2258" t="str">
        <f>VLOOKUP(I576,plasmids!$A$2:$B$891,2)</f>
        <v>pssAAV-spacer-CMV-hCatch-WPRE</v>
      </c>
      <c r="I576" s="834">
        <v>578</v>
      </c>
      <c r="J576" s="628"/>
      <c r="K576" s="2263"/>
      <c r="L576" s="834"/>
      <c r="M576" s="631" t="s">
        <v>5777</v>
      </c>
      <c r="N576" s="633">
        <v>614</v>
      </c>
      <c r="O576" s="634"/>
      <c r="P576" s="3481" t="s">
        <v>5778</v>
      </c>
      <c r="Q576" s="3481">
        <v>2460000000000</v>
      </c>
      <c r="R576" s="3700">
        <v>55600000000</v>
      </c>
      <c r="S576" s="640">
        <f t="shared" si="0"/>
        <v>1451223021582.7339</v>
      </c>
      <c r="T576" s="1605"/>
      <c r="U576" s="642"/>
      <c r="V576" s="832"/>
      <c r="W576" s="645"/>
      <c r="X576" s="645"/>
      <c r="Y576" s="645"/>
      <c r="Z576" s="645"/>
      <c r="AA576" s="645"/>
      <c r="AB576" s="645"/>
      <c r="AC576" s="645"/>
      <c r="AD576" s="645"/>
      <c r="AE576" s="645"/>
      <c r="AF576" s="645"/>
      <c r="AG576" s="645"/>
      <c r="AH576" s="645"/>
      <c r="AI576" s="645"/>
      <c r="AJ576" s="645"/>
      <c r="AK576" s="645"/>
      <c r="AL576" s="645"/>
      <c r="AM576" s="645"/>
      <c r="AN576" s="645"/>
      <c r="AO576" s="645"/>
      <c r="AP576" s="645"/>
      <c r="AQ576" s="645"/>
      <c r="AR576" s="645"/>
      <c r="AS576" s="645"/>
      <c r="AT576" s="645"/>
      <c r="AU576" s="645"/>
      <c r="AV576" s="645"/>
      <c r="AW576" s="645"/>
      <c r="AX576" s="645"/>
      <c r="AY576" s="645"/>
      <c r="AZ576" s="645"/>
      <c r="BA576" s="645"/>
      <c r="BB576" s="645"/>
      <c r="BC576" s="645"/>
      <c r="BD576" s="645"/>
      <c r="BE576" s="645"/>
      <c r="BF576" s="645"/>
      <c r="BG576" s="645"/>
      <c r="BH576" s="645"/>
      <c r="BI576" s="645"/>
    </row>
    <row r="577" spans="1:61" ht="26.25" customHeight="1">
      <c r="A577" s="3713" t="s">
        <v>5761</v>
      </c>
      <c r="B577" s="3713" t="s">
        <v>5762</v>
      </c>
      <c r="C577" s="3714" t="s">
        <v>178</v>
      </c>
      <c r="D577" s="3715" t="s">
        <v>4261</v>
      </c>
      <c r="E577" s="3716" t="str">
        <f>VLOOKUP(F577,plasmids!$A$2:$B$891,2)</f>
        <v>pAAV2/8</v>
      </c>
      <c r="F577" s="3716">
        <v>122</v>
      </c>
      <c r="G577" s="3717"/>
      <c r="H577" s="3717" t="str">
        <f>VLOOKUP(I577,plasmids!$A$2:$B$891,2)</f>
        <v>pscAAV-CAG-RPE65</v>
      </c>
      <c r="I577" s="3713">
        <v>482</v>
      </c>
      <c r="J577" s="3715" t="s">
        <v>1012</v>
      </c>
      <c r="K577" s="3718"/>
      <c r="L577" s="3719"/>
      <c r="M577" s="3720">
        <v>42384</v>
      </c>
      <c r="N577" s="3721">
        <v>615</v>
      </c>
      <c r="O577" s="3722"/>
      <c r="P577" s="3723"/>
      <c r="Q577" s="3724">
        <v>99200000000000</v>
      </c>
      <c r="R577" s="3725">
        <v>47700000000</v>
      </c>
      <c r="S577" s="3723">
        <f t="shared" si="0"/>
        <v>68212997903563.938</v>
      </c>
      <c r="T577" s="3726"/>
      <c r="U577" s="3727"/>
      <c r="V577" s="3728">
        <f>165-30</f>
        <v>135</v>
      </c>
      <c r="W577" s="3729"/>
      <c r="X577" s="3729"/>
      <c r="Y577" s="3729"/>
      <c r="Z577" s="3729"/>
      <c r="AA577" s="3729"/>
      <c r="AB577" s="3729"/>
      <c r="AC577" s="3729"/>
      <c r="AD577" s="3729"/>
      <c r="AE577" s="3729"/>
      <c r="AF577" s="3729"/>
      <c r="AG577" s="3729"/>
      <c r="AH577" s="234"/>
      <c r="AI577" s="234"/>
      <c r="AJ577" s="234"/>
      <c r="AK577" s="234"/>
      <c r="AL577" s="234"/>
      <c r="AM577" s="234"/>
      <c r="AN577" s="234"/>
      <c r="AO577" s="234"/>
      <c r="AP577" s="234"/>
      <c r="AQ577" s="234"/>
      <c r="AR577" s="234"/>
      <c r="AS577" s="234"/>
      <c r="AT577" s="234"/>
      <c r="AU577" s="234"/>
      <c r="AV577" s="234"/>
      <c r="AW577" s="234"/>
      <c r="AX577" s="234"/>
      <c r="AY577" s="234"/>
      <c r="AZ577" s="234"/>
      <c r="BA577" s="234"/>
      <c r="BB577" s="234"/>
      <c r="BC577" s="234"/>
      <c r="BD577" s="234"/>
      <c r="BE577" s="234"/>
      <c r="BF577" s="234"/>
      <c r="BG577" s="234"/>
      <c r="BH577" s="234"/>
      <c r="BI577" s="234"/>
    </row>
    <row r="578" spans="1:61" ht="26.25" customHeight="1">
      <c r="A578" s="3466" t="s">
        <v>5761</v>
      </c>
      <c r="B578" s="3466" t="s">
        <v>5762</v>
      </c>
      <c r="C578" s="167" t="s">
        <v>178</v>
      </c>
      <c r="D578" s="165" t="s">
        <v>4261</v>
      </c>
      <c r="E578" s="3465" t="str">
        <f>VLOOKUP(F578,plasmids!$A$2:$B$891,2)</f>
        <v>pAAV2/8</v>
      </c>
      <c r="F578" s="3466">
        <v>122</v>
      </c>
      <c r="G578" s="3730"/>
      <c r="H578" s="3731" t="str">
        <f>VLOOKUP(I578,plasmids!$A$2:$B$891,2)</f>
        <v>pscAAV-flox-CAG-hCatCh-YFP</v>
      </c>
      <c r="I578" s="3466">
        <v>594</v>
      </c>
      <c r="J578" s="165" t="s">
        <v>1012</v>
      </c>
      <c r="K578" s="2326"/>
      <c r="L578" s="1126"/>
      <c r="M578" s="173">
        <v>42384</v>
      </c>
      <c r="N578" s="175">
        <v>616</v>
      </c>
      <c r="O578" s="169"/>
      <c r="P578" s="326"/>
      <c r="Q578" s="179">
        <v>173000000000000</v>
      </c>
      <c r="R578" s="3648">
        <v>47700000000</v>
      </c>
      <c r="S578" s="326">
        <f t="shared" si="0"/>
        <v>118960167714884.69</v>
      </c>
      <c r="T578" s="2333" t="s">
        <v>2423</v>
      </c>
      <c r="U578" s="183"/>
      <c r="V578" s="3732" t="s">
        <v>5779</v>
      </c>
      <c r="W578" s="186"/>
      <c r="X578" s="186"/>
      <c r="Y578" s="186"/>
      <c r="Z578" s="186"/>
      <c r="AA578" s="186"/>
      <c r="AB578" s="186"/>
      <c r="AC578" s="186"/>
      <c r="AD578" s="186"/>
      <c r="AE578" s="186"/>
      <c r="AF578" s="186"/>
      <c r="AG578" s="186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</row>
    <row r="579" spans="1:61" ht="26.25" customHeight="1">
      <c r="A579" s="3466" t="s">
        <v>5761</v>
      </c>
      <c r="B579" s="3466" t="s">
        <v>5762</v>
      </c>
      <c r="C579" s="167" t="s">
        <v>178</v>
      </c>
      <c r="D579" s="165" t="s">
        <v>4261</v>
      </c>
      <c r="E579" s="3465" t="str">
        <f>VLOOKUP(F579,plasmids!$A$2:$B$891,2)</f>
        <v>pAAV2/8</v>
      </c>
      <c r="F579" s="3466">
        <v>122</v>
      </c>
      <c r="G579" s="3647"/>
      <c r="H579" s="3647" t="str">
        <f>VLOOKUP(I579,plasmids!$A$2:$B$891,2)</f>
        <v>pscAAV-hRho-GFP</v>
      </c>
      <c r="I579" s="3466">
        <v>588</v>
      </c>
      <c r="J579" s="165" t="s">
        <v>1012</v>
      </c>
      <c r="K579" s="2326"/>
      <c r="L579" s="1126"/>
      <c r="M579" s="173">
        <v>42384</v>
      </c>
      <c r="N579" s="175">
        <v>617</v>
      </c>
      <c r="O579" s="169"/>
      <c r="P579" s="326"/>
      <c r="Q579" s="179">
        <v>294000000000000</v>
      </c>
      <c r="R579" s="3648">
        <v>47700000000</v>
      </c>
      <c r="S579" s="326">
        <f t="shared" si="0"/>
        <v>202163522012578.62</v>
      </c>
      <c r="T579" s="2333" t="s">
        <v>2423</v>
      </c>
      <c r="U579" s="183"/>
      <c r="V579" s="3732">
        <v>100</v>
      </c>
      <c r="W579" s="186"/>
      <c r="X579" s="186"/>
      <c r="Y579" s="186"/>
      <c r="Z579" s="186"/>
      <c r="AA579" s="186"/>
      <c r="AB579" s="186"/>
      <c r="AC579" s="186"/>
      <c r="AD579" s="186"/>
      <c r="AE579" s="186"/>
      <c r="AF579" s="186"/>
      <c r="AG579" s="186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</row>
    <row r="580" spans="1:61" ht="26.25" customHeight="1">
      <c r="A580" s="3733" t="s">
        <v>5761</v>
      </c>
      <c r="B580" s="3733" t="s">
        <v>5762</v>
      </c>
      <c r="C580" s="3734" t="s">
        <v>178</v>
      </c>
      <c r="D580" s="3735" t="s">
        <v>4261</v>
      </c>
      <c r="E580" s="3736" t="str">
        <f>VLOOKUP(F580,plasmids!$A$2:$B$891,2)</f>
        <v>pAAV2/8</v>
      </c>
      <c r="F580" s="3733">
        <v>122</v>
      </c>
      <c r="G580" s="3737"/>
      <c r="H580" s="3738" t="str">
        <f>VLOOKUP(I580,plasmids!$A$2:$B$891,2)</f>
        <v>sc-CAG-GFP</v>
      </c>
      <c r="I580" s="3713">
        <v>120</v>
      </c>
      <c r="J580" s="3735" t="s">
        <v>1012</v>
      </c>
      <c r="K580" s="3739"/>
      <c r="L580" s="3719"/>
      <c r="M580" s="3720">
        <v>42384</v>
      </c>
      <c r="N580" s="3740">
        <v>618</v>
      </c>
      <c r="O580" s="3741"/>
      <c r="P580" s="3742"/>
      <c r="Q580" s="3724">
        <v>446000000000000</v>
      </c>
      <c r="R580" s="3725">
        <v>47700000000</v>
      </c>
      <c r="S580" s="3742">
        <f t="shared" si="0"/>
        <v>306683438155136.25</v>
      </c>
      <c r="T580" s="3743"/>
      <c r="U580" s="3744"/>
      <c r="V580" s="3741">
        <f>2</f>
        <v>2</v>
      </c>
      <c r="W580" s="3744"/>
      <c r="X580" s="3744"/>
      <c r="Y580" s="3744"/>
      <c r="Z580" s="3744"/>
      <c r="AA580" s="3744"/>
      <c r="AB580" s="3744"/>
      <c r="AC580" s="3744"/>
      <c r="AD580" s="3744"/>
      <c r="AE580" s="3744"/>
      <c r="AF580" s="3744"/>
      <c r="AG580" s="3744"/>
      <c r="AH580" s="3745"/>
      <c r="AI580" s="3745"/>
      <c r="AJ580" s="3745"/>
      <c r="AK580" s="3745"/>
      <c r="AL580" s="3745"/>
      <c r="AM580" s="3745"/>
      <c r="AN580" s="3745"/>
      <c r="AO580" s="3745"/>
      <c r="AP580" s="3745"/>
      <c r="AQ580" s="3745"/>
      <c r="AR580" s="3745"/>
      <c r="AS580" s="3745"/>
      <c r="AT580" s="3745"/>
      <c r="AU580" s="3745"/>
      <c r="AV580" s="3745"/>
      <c r="AW580" s="3745"/>
      <c r="AX580" s="3745"/>
      <c r="AY580" s="3745"/>
      <c r="AZ580" s="3745"/>
      <c r="BA580" s="3745"/>
      <c r="BB580" s="3745"/>
      <c r="BC580" s="3745"/>
      <c r="BD580" s="3745"/>
      <c r="BE580" s="3745"/>
      <c r="BF580" s="3745"/>
      <c r="BG580" s="3745"/>
      <c r="BH580" s="3745"/>
      <c r="BI580" s="3745"/>
    </row>
    <row r="581" spans="1:61" ht="22.5" customHeight="1">
      <c r="A581" s="2255" t="s">
        <v>5780</v>
      </c>
      <c r="B581" s="2255" t="s">
        <v>1226</v>
      </c>
      <c r="C581" s="3746" t="s">
        <v>2510</v>
      </c>
      <c r="D581" s="2255" t="s">
        <v>1029</v>
      </c>
      <c r="E581" s="1788" t="str">
        <f>VLOOKUP(F581,plasmids!$A$2:$B$891,2)</f>
        <v>AAV2-7m8</v>
      </c>
      <c r="F581" s="1798">
        <v>178</v>
      </c>
      <c r="G581" s="3747"/>
      <c r="H581" s="3748" t="str">
        <f>VLOOKUP(I581,plasmids!$A$2:$B$891,2)</f>
        <v>pssAAV-SNCG-JRGECO1a</v>
      </c>
      <c r="I581" s="3746">
        <v>595</v>
      </c>
      <c r="J581" s="1790"/>
      <c r="K581" s="1791"/>
      <c r="L581" s="1483"/>
      <c r="M581" s="3749">
        <v>42391</v>
      </c>
      <c r="N581" s="8">
        <v>619</v>
      </c>
      <c r="O581" s="1798"/>
      <c r="P581" s="2651"/>
      <c r="Q581" s="3750">
        <v>429000000000</v>
      </c>
      <c r="R581" s="1853">
        <v>68300000000</v>
      </c>
      <c r="S581" s="3751">
        <f t="shared" si="0"/>
        <v>206020497803.80673</v>
      </c>
      <c r="T581" s="1786" t="s">
        <v>2423</v>
      </c>
      <c r="U581" s="1790"/>
      <c r="V581" s="2632">
        <f>120</f>
        <v>120</v>
      </c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</row>
    <row r="582" spans="1:61" ht="21" customHeight="1">
      <c r="A582" s="3526" t="s">
        <v>1343</v>
      </c>
      <c r="B582" s="3526" t="s">
        <v>5732</v>
      </c>
      <c r="C582" s="3527" t="s">
        <v>5708</v>
      </c>
      <c r="D582" s="3526" t="s">
        <v>3782</v>
      </c>
      <c r="E582" s="3528" t="str">
        <f>VLOOKUP(F582,plasmids!$A$2:$B$891,2)</f>
        <v>AAV2-7m8</v>
      </c>
      <c r="F582" s="3529">
        <v>178</v>
      </c>
      <c r="G582" s="3530"/>
      <c r="H582" s="3530" t="str">
        <f>VLOOKUP(I582,plasmids!$A$2:$B$891,2)</f>
        <v>pssAAV-mCAR-Jaws-GFP</v>
      </c>
      <c r="I582" s="3526">
        <v>89</v>
      </c>
      <c r="J582" s="3531"/>
      <c r="K582" s="3532"/>
      <c r="L582" s="3752"/>
      <c r="M582" s="3534">
        <v>42026</v>
      </c>
      <c r="N582" s="3535">
        <v>620</v>
      </c>
      <c r="O582" s="3529"/>
      <c r="P582" s="3536"/>
      <c r="Q582" s="3753">
        <v>232000000000</v>
      </c>
      <c r="R582" s="3754">
        <v>68300000000</v>
      </c>
      <c r="S582" s="3755">
        <f t="shared" si="0"/>
        <v>111414348462.66472</v>
      </c>
      <c r="T582" s="3540"/>
      <c r="U582" s="3531"/>
      <c r="V582" s="3526">
        <f>125</f>
        <v>125</v>
      </c>
      <c r="W582" s="3541"/>
      <c r="X582" s="3756"/>
      <c r="Y582" s="3541"/>
      <c r="Z582" s="3541"/>
      <c r="AA582" s="3541"/>
      <c r="AB582" s="3541"/>
      <c r="AC582" s="3541"/>
      <c r="AD582" s="3541"/>
      <c r="AE582" s="3541"/>
      <c r="AF582" s="3541"/>
      <c r="AG582" s="3541"/>
      <c r="AH582" s="3541"/>
      <c r="AI582" s="3541"/>
      <c r="AJ582" s="3541"/>
      <c r="AK582" s="3541"/>
      <c r="AL582" s="3541"/>
      <c r="AM582" s="3541"/>
      <c r="AN582" s="3541"/>
      <c r="AO582" s="3541"/>
      <c r="AP582" s="3541"/>
      <c r="AQ582" s="3541"/>
      <c r="AR582" s="3541"/>
      <c r="AS582" s="3541"/>
      <c r="AT582" s="3541"/>
      <c r="AU582" s="3541"/>
      <c r="AV582" s="3541"/>
      <c r="AW582" s="3541"/>
      <c r="AX582" s="3541"/>
      <c r="AY582" s="3541"/>
      <c r="AZ582" s="3541"/>
      <c r="BA582" s="3541"/>
      <c r="BB582" s="3541"/>
      <c r="BC582" s="3541"/>
      <c r="BD582" s="3541"/>
      <c r="BE582" s="3541"/>
      <c r="BF582" s="3541"/>
      <c r="BG582" s="3541"/>
      <c r="BH582" s="3541"/>
      <c r="BI582" s="3541"/>
    </row>
    <row r="583" spans="1:61" ht="18" customHeight="1">
      <c r="A583" s="3024" t="s">
        <v>707</v>
      </c>
      <c r="B583" s="3024" t="s">
        <v>3973</v>
      </c>
      <c r="C583" s="3026" t="s">
        <v>1967</v>
      </c>
      <c r="D583" s="3024" t="s">
        <v>4867</v>
      </c>
      <c r="E583" s="3028" t="str">
        <f>VLOOKUP(F583,plasmids!$A$2:$B$891,2)</f>
        <v>AAV9 2YF</v>
      </c>
      <c r="F583" s="3029">
        <v>168</v>
      </c>
      <c r="G583" s="3031"/>
      <c r="H583" s="3031" t="str">
        <f>VLOOKUP(I583,plasmids!$A$2:$B$891,2)</f>
        <v xml:space="preserve">pTR-scCAG-RdCVFs </v>
      </c>
      <c r="I583" s="3024">
        <v>187</v>
      </c>
      <c r="J583" s="3757"/>
      <c r="K583" s="3289"/>
      <c r="L583" s="3036"/>
      <c r="M583" s="3038">
        <v>42391</v>
      </c>
      <c r="N583" s="3040">
        <v>621</v>
      </c>
      <c r="O583" s="3334" t="s">
        <v>5781</v>
      </c>
      <c r="P583" s="3047" t="s">
        <v>5782</v>
      </c>
      <c r="Q583" s="3447">
        <v>3440000000000</v>
      </c>
      <c r="R583" s="3758">
        <v>68300000000</v>
      </c>
      <c r="S583" s="3050">
        <f t="shared" si="0"/>
        <v>1652005856515.3733</v>
      </c>
      <c r="T583" s="3052"/>
      <c r="U583" s="3034"/>
      <c r="V583" s="3449">
        <f>240</f>
        <v>240</v>
      </c>
      <c r="W583" s="3335" t="s">
        <v>2812</v>
      </c>
      <c r="X583" s="3058"/>
      <c r="Y583" s="3058"/>
      <c r="Z583" s="3058"/>
      <c r="AA583" s="3058"/>
      <c r="AB583" s="3058"/>
      <c r="AC583" s="3058"/>
      <c r="AD583" s="3058"/>
      <c r="AE583" s="3058"/>
      <c r="AF583" s="3058"/>
      <c r="AG583" s="3058"/>
      <c r="AH583" s="3058"/>
      <c r="AI583" s="3058"/>
      <c r="AJ583" s="3058"/>
      <c r="AK583" s="3058"/>
      <c r="AL583" s="3058"/>
      <c r="AM583" s="3058"/>
      <c r="AN583" s="3058"/>
      <c r="AO583" s="3058"/>
      <c r="AP583" s="3058"/>
      <c r="AQ583" s="3058"/>
      <c r="AR583" s="3058"/>
      <c r="AS583" s="3058"/>
      <c r="AT583" s="3058"/>
      <c r="AU583" s="3058"/>
      <c r="AV583" s="3058"/>
      <c r="AW583" s="3058"/>
      <c r="AX583" s="3058"/>
      <c r="AY583" s="3058"/>
      <c r="AZ583" s="3058"/>
      <c r="BA583" s="3058"/>
      <c r="BB583" s="3058"/>
      <c r="BC583" s="3058"/>
      <c r="BD583" s="3058"/>
      <c r="BE583" s="3058"/>
      <c r="BF583" s="3058"/>
      <c r="BG583" s="3058"/>
      <c r="BH583" s="3058"/>
      <c r="BI583" s="3058"/>
    </row>
    <row r="584" spans="1:61" ht="18" customHeight="1">
      <c r="A584" s="3024" t="s">
        <v>707</v>
      </c>
      <c r="B584" s="3024" t="s">
        <v>3973</v>
      </c>
      <c r="C584" s="3026" t="s">
        <v>1967</v>
      </c>
      <c r="D584" s="3024" t="s">
        <v>4867</v>
      </c>
      <c r="E584" s="3028" t="str">
        <f>VLOOKUP(F584,plasmids!$A$2:$B$891,2)</f>
        <v>AAV9 2YF</v>
      </c>
      <c r="F584" s="3029">
        <v>168</v>
      </c>
      <c r="G584" s="3031"/>
      <c r="H584" s="3031" t="str">
        <f>VLOOKUP(I584,plasmids!$A$2:$B$891,2)</f>
        <v xml:space="preserve">pTR-scCAG-RdCVFs </v>
      </c>
      <c r="I584" s="3024">
        <v>187</v>
      </c>
      <c r="J584" s="3034"/>
      <c r="K584" s="3289"/>
      <c r="L584" s="3036"/>
      <c r="M584" s="3038">
        <v>42391</v>
      </c>
      <c r="N584" s="3040">
        <v>622</v>
      </c>
      <c r="O584" s="3334" t="s">
        <v>5781</v>
      </c>
      <c r="P584" s="3047" t="s">
        <v>5782</v>
      </c>
      <c r="Q584" s="3447">
        <v>1300000000000</v>
      </c>
      <c r="R584" s="3758">
        <v>68300000000</v>
      </c>
      <c r="S584" s="3050">
        <f t="shared" si="0"/>
        <v>624304538799.41431</v>
      </c>
      <c r="T584" s="3052" t="s">
        <v>2423</v>
      </c>
      <c r="U584" s="3034"/>
      <c r="V584" s="3449">
        <f>160</f>
        <v>160</v>
      </c>
      <c r="W584" s="3056" t="s">
        <v>2812</v>
      </c>
      <c r="X584" s="3058"/>
      <c r="Y584" s="3058"/>
      <c r="Z584" s="3058"/>
      <c r="AA584" s="3058"/>
      <c r="AB584" s="3058"/>
      <c r="AC584" s="3058"/>
      <c r="AD584" s="3058"/>
      <c r="AE584" s="3058"/>
      <c r="AF584" s="3058"/>
      <c r="AG584" s="3058"/>
      <c r="AH584" s="3058"/>
      <c r="AI584" s="3058"/>
      <c r="AJ584" s="3058"/>
      <c r="AK584" s="3058"/>
      <c r="AL584" s="3058"/>
      <c r="AM584" s="3058"/>
      <c r="AN584" s="3058"/>
      <c r="AO584" s="3058"/>
      <c r="AP584" s="3058"/>
      <c r="AQ584" s="3058"/>
      <c r="AR584" s="3058"/>
      <c r="AS584" s="3058"/>
      <c r="AT584" s="3058"/>
      <c r="AU584" s="3058"/>
      <c r="AV584" s="3058"/>
      <c r="AW584" s="3058"/>
      <c r="AX584" s="3058"/>
      <c r="AY584" s="3058"/>
      <c r="AZ584" s="3058"/>
      <c r="BA584" s="3058"/>
      <c r="BB584" s="3058"/>
      <c r="BC584" s="3058"/>
      <c r="BD584" s="3058"/>
      <c r="BE584" s="3058"/>
      <c r="BF584" s="3058"/>
      <c r="BG584" s="3058"/>
      <c r="BH584" s="3058"/>
      <c r="BI584" s="3058"/>
    </row>
    <row r="585" spans="1:61" ht="22.5" customHeight="1">
      <c r="A585" s="3759" t="s">
        <v>707</v>
      </c>
      <c r="B585" s="3759" t="s">
        <v>5704</v>
      </c>
      <c r="C585" s="3760" t="s">
        <v>5783</v>
      </c>
      <c r="D585" s="3759" t="s">
        <v>5655</v>
      </c>
      <c r="E585" s="3761" t="str">
        <f>VLOOKUP(F585,plasmids!$A$2:$B$891,2)</f>
        <v>AAV2-7m8</v>
      </c>
      <c r="F585" s="3762">
        <v>178</v>
      </c>
      <c r="G585" s="3763"/>
      <c r="H585" s="3764" t="str">
        <f>VLOOKUP(I585,plasmids!$A$2:$B$891,2)</f>
        <v>pssAAV-pR1.7-GFP</v>
      </c>
      <c r="I585" s="3759">
        <v>566</v>
      </c>
      <c r="J585" s="3765"/>
      <c r="K585" s="3766"/>
      <c r="L585" s="3411"/>
      <c r="M585" s="3412">
        <v>42398</v>
      </c>
      <c r="N585" s="3767">
        <v>623</v>
      </c>
      <c r="O585" s="3762"/>
      <c r="P585" s="3768"/>
      <c r="Q585" s="3769">
        <v>25900000000000</v>
      </c>
      <c r="R585" s="3770">
        <v>24200000000</v>
      </c>
      <c r="S585" s="3417">
        <f t="shared" si="0"/>
        <v>35104132231404.957</v>
      </c>
      <c r="T585" s="3771"/>
      <c r="U585" s="3765"/>
      <c r="V585" s="3772">
        <f>175-10-26-18-12</f>
        <v>109</v>
      </c>
      <c r="W585" s="3765"/>
      <c r="X585" s="3765"/>
      <c r="Y585" s="3765"/>
      <c r="Z585" s="3765"/>
      <c r="AA585" s="3765"/>
      <c r="AB585" s="3765"/>
      <c r="AC585" s="3765"/>
      <c r="AD585" s="3765"/>
      <c r="AE585" s="3765"/>
      <c r="AF585" s="3765"/>
      <c r="AG585" s="3765"/>
      <c r="AH585" s="3765"/>
      <c r="AI585" s="3765"/>
      <c r="AJ585" s="3765"/>
      <c r="AK585" s="3765"/>
      <c r="AL585" s="3765"/>
      <c r="AM585" s="3765"/>
      <c r="AN585" s="3765"/>
      <c r="AO585" s="3765"/>
      <c r="AP585" s="3765"/>
      <c r="AQ585" s="3765"/>
      <c r="AR585" s="3765"/>
      <c r="AS585" s="3765"/>
      <c r="AT585" s="3765"/>
      <c r="AU585" s="3765"/>
      <c r="AV585" s="3765"/>
      <c r="AW585" s="3765"/>
      <c r="AX585" s="3765"/>
      <c r="AY585" s="3765"/>
      <c r="AZ585" s="3765"/>
      <c r="BA585" s="3765"/>
      <c r="BB585" s="3765"/>
      <c r="BC585" s="3765"/>
      <c r="BD585" s="3765"/>
      <c r="BE585" s="3765"/>
      <c r="BF585" s="3765"/>
      <c r="BG585" s="3765"/>
      <c r="BH585" s="3765"/>
      <c r="BI585" s="3765"/>
    </row>
    <row r="586" spans="1:61" ht="24">
      <c r="A586" s="3422" t="s">
        <v>707</v>
      </c>
      <c r="B586" s="3422" t="s">
        <v>5704</v>
      </c>
      <c r="C586" s="3773" t="s">
        <v>5783</v>
      </c>
      <c r="D586" s="3422" t="s">
        <v>5655</v>
      </c>
      <c r="E586" s="3424" t="str">
        <f>VLOOKUP(F586,plasmids!$A$2:$B$891,2)</f>
        <v>AAV9</v>
      </c>
      <c r="F586" s="3424">
        <v>166</v>
      </c>
      <c r="G586" s="3500"/>
      <c r="H586" s="3500" t="str">
        <f>VLOOKUP(I586,plasmids!$A$2:$B$891,2)</f>
        <v>pssAAV-pR1.7-GFP</v>
      </c>
      <c r="I586" s="3436">
        <v>566</v>
      </c>
      <c r="J586" s="3255"/>
      <c r="K586" s="3427"/>
      <c r="L586" s="3428"/>
      <c r="M586" s="3429">
        <v>42398</v>
      </c>
      <c r="N586" s="3430">
        <v>624</v>
      </c>
      <c r="O586" s="3425"/>
      <c r="P586" s="3431"/>
      <c r="Q586" s="3774">
        <v>339000000000000</v>
      </c>
      <c r="R586" s="3775">
        <v>24200000000</v>
      </c>
      <c r="S586" s="3434">
        <f t="shared" si="0"/>
        <v>459471074380165.25</v>
      </c>
      <c r="T586" s="3435" t="s">
        <v>2423</v>
      </c>
      <c r="U586" s="3255"/>
      <c r="V586" s="3436">
        <f>160</f>
        <v>160</v>
      </c>
      <c r="W586" s="3437"/>
      <c r="X586" s="3437"/>
      <c r="Y586" s="3437"/>
      <c r="Z586" s="3437"/>
      <c r="AA586" s="3437"/>
      <c r="AB586" s="3437"/>
      <c r="AC586" s="3437"/>
      <c r="AD586" s="3437"/>
      <c r="AE586" s="3437"/>
      <c r="AF586" s="3437"/>
      <c r="AG586" s="3437"/>
      <c r="AH586" s="3437"/>
      <c r="AI586" s="3437"/>
      <c r="AJ586" s="3437"/>
      <c r="AK586" s="3437"/>
      <c r="AL586" s="3437"/>
      <c r="AM586" s="3437"/>
      <c r="AN586" s="3437"/>
      <c r="AO586" s="3437"/>
      <c r="AP586" s="3437"/>
      <c r="AQ586" s="3437"/>
      <c r="AR586" s="3437"/>
      <c r="AS586" s="3437"/>
      <c r="AT586" s="3437"/>
      <c r="AU586" s="3437"/>
      <c r="AV586" s="3437"/>
      <c r="AW586" s="3437"/>
      <c r="AX586" s="3437"/>
      <c r="AY586" s="3437"/>
      <c r="AZ586" s="3437"/>
      <c r="BA586" s="3437"/>
      <c r="BB586" s="3437"/>
      <c r="BC586" s="3437"/>
      <c r="BD586" s="3437"/>
      <c r="BE586" s="3437"/>
      <c r="BF586" s="3437"/>
      <c r="BG586" s="3437"/>
      <c r="BH586" s="3437"/>
      <c r="BI586" s="3437"/>
    </row>
    <row r="587" spans="1:61" ht="22.5" customHeight="1">
      <c r="A587" s="3776" t="s">
        <v>707</v>
      </c>
      <c r="B587" s="3776" t="s">
        <v>5704</v>
      </c>
      <c r="C587" s="3773" t="s">
        <v>5783</v>
      </c>
      <c r="D587" s="3776" t="s">
        <v>5655</v>
      </c>
      <c r="E587" s="3777" t="str">
        <f>VLOOKUP(F587,plasmids!$A$2:$B$891,2)</f>
        <v>AAV9 7M8 (AA------)</v>
      </c>
      <c r="F587" s="3778">
        <v>170</v>
      </c>
      <c r="G587" s="3779"/>
      <c r="H587" s="3780" t="str">
        <f>VLOOKUP(I587,plasmids!$A$2:$B$891,2)</f>
        <v>pssAAV-pR1.7-GFP</v>
      </c>
      <c r="I587" s="3776">
        <v>566</v>
      </c>
      <c r="J587" s="3781"/>
      <c r="K587" s="3782"/>
      <c r="L587" s="3428"/>
      <c r="M587" s="3429">
        <v>42398</v>
      </c>
      <c r="N587" s="3783">
        <v>625</v>
      </c>
      <c r="O587" s="3784"/>
      <c r="P587" s="3785"/>
      <c r="Q587" s="3774">
        <v>18600000000000</v>
      </c>
      <c r="R587" s="3775">
        <v>24200000000</v>
      </c>
      <c r="S587" s="3434">
        <f t="shared" si="0"/>
        <v>25209917355371.898</v>
      </c>
      <c r="T587" s="3786" t="s">
        <v>2423</v>
      </c>
      <c r="U587" s="3781"/>
      <c r="V587" s="3787">
        <f>180</f>
        <v>180</v>
      </c>
      <c r="W587" s="3781"/>
      <c r="X587" s="3781"/>
      <c r="Y587" s="3781"/>
      <c r="Z587" s="3781"/>
      <c r="AA587" s="3781"/>
      <c r="AB587" s="3781"/>
      <c r="AC587" s="3781"/>
      <c r="AD587" s="3781"/>
      <c r="AE587" s="3781"/>
      <c r="AF587" s="3781"/>
      <c r="AG587" s="3781"/>
      <c r="AH587" s="3781"/>
      <c r="AI587" s="3781"/>
      <c r="AJ587" s="3781"/>
      <c r="AK587" s="3781"/>
      <c r="AL587" s="3781"/>
      <c r="AM587" s="3781"/>
      <c r="AN587" s="3781"/>
      <c r="AO587" s="3781"/>
      <c r="AP587" s="3781"/>
      <c r="AQ587" s="3781"/>
      <c r="AR587" s="3781"/>
      <c r="AS587" s="3781"/>
      <c r="AT587" s="3781"/>
      <c r="AU587" s="3781"/>
      <c r="AV587" s="3781"/>
      <c r="AW587" s="3781"/>
      <c r="AX587" s="3781"/>
      <c r="AY587" s="3781"/>
      <c r="AZ587" s="3781"/>
      <c r="BA587" s="3781"/>
      <c r="BB587" s="3781"/>
      <c r="BC587" s="3781"/>
      <c r="BD587" s="3781"/>
      <c r="BE587" s="3781"/>
      <c r="BF587" s="3781"/>
      <c r="BG587" s="3781"/>
      <c r="BH587" s="3781"/>
      <c r="BI587" s="3781"/>
    </row>
    <row r="588" spans="1:61" ht="21" customHeight="1">
      <c r="A588" s="1807" t="s">
        <v>707</v>
      </c>
      <c r="B588" s="1807" t="s">
        <v>5157</v>
      </c>
      <c r="C588" s="1808" t="s">
        <v>1967</v>
      </c>
      <c r="D588" s="1807" t="s">
        <v>4867</v>
      </c>
      <c r="E588" s="1810" t="str">
        <f>VLOOKUP(F588,plasmids!$A$2:$B$891,2)</f>
        <v>AAV2-7m8</v>
      </c>
      <c r="F588" s="1812">
        <v>178</v>
      </c>
      <c r="G588" s="1814"/>
      <c r="H588" s="1814" t="str">
        <f>VLOOKUP(I588,plasmids!$A$2:$B$891,2)</f>
        <v xml:space="preserve">pTR-scCAG-RdCVFs </v>
      </c>
      <c r="I588" s="1807">
        <v>187</v>
      </c>
      <c r="J588" s="1815"/>
      <c r="K588" s="1818">
        <v>41919</v>
      </c>
      <c r="L588" s="1818"/>
      <c r="M588" s="1820">
        <v>42398</v>
      </c>
      <c r="N588" s="2023">
        <v>626</v>
      </c>
      <c r="O588" s="1812"/>
      <c r="P588" s="1823"/>
      <c r="Q588" s="3788">
        <v>443000000000</v>
      </c>
      <c r="R588" s="3789">
        <v>24200000000</v>
      </c>
      <c r="S588" s="1825">
        <f t="shared" si="0"/>
        <v>600429752066.11572</v>
      </c>
      <c r="T588" s="3155" t="s">
        <v>2423</v>
      </c>
      <c r="U588" s="1815"/>
      <c r="V588" s="3400">
        <f>95</f>
        <v>95</v>
      </c>
      <c r="W588" s="3338"/>
      <c r="X588" s="1826"/>
      <c r="Y588" s="1826"/>
      <c r="Z588" s="1826"/>
      <c r="AA588" s="1826"/>
      <c r="AB588" s="1826"/>
      <c r="AC588" s="1826"/>
      <c r="AD588" s="1826"/>
      <c r="AE588" s="1826"/>
      <c r="AF588" s="1826"/>
      <c r="AG588" s="1826"/>
      <c r="AH588" s="1826"/>
      <c r="AI588" s="1826"/>
      <c r="AJ588" s="1826"/>
      <c r="AK588" s="1826"/>
      <c r="AL588" s="1826"/>
      <c r="AM588" s="1826"/>
      <c r="AN588" s="1826"/>
      <c r="AO588" s="1826"/>
      <c r="AP588" s="1826"/>
      <c r="AQ588" s="1826"/>
      <c r="AR588" s="1826"/>
      <c r="AS588" s="1826"/>
      <c r="AT588" s="1826"/>
      <c r="AU588" s="1826"/>
      <c r="AV588" s="1826"/>
      <c r="AW588" s="1826"/>
      <c r="AX588" s="1826"/>
      <c r="AY588" s="1826"/>
      <c r="AZ588" s="1826"/>
      <c r="BA588" s="1826"/>
      <c r="BB588" s="1826"/>
      <c r="BC588" s="1826"/>
      <c r="BD588" s="1826"/>
      <c r="BE588" s="1826"/>
      <c r="BF588" s="1826"/>
      <c r="BG588" s="1826"/>
      <c r="BH588" s="1826"/>
      <c r="BI588" s="1826"/>
    </row>
    <row r="589" spans="1:61" ht="24">
      <c r="A589" s="3404" t="s">
        <v>707</v>
      </c>
      <c r="B589" s="3404" t="s">
        <v>5704</v>
      </c>
      <c r="C589" s="3790" t="s">
        <v>1967</v>
      </c>
      <c r="D589" s="3404" t="s">
        <v>5655</v>
      </c>
      <c r="E589" s="3406" t="str">
        <f>VLOOKUP(F589,plasmids!$A$2:$B$891,2)</f>
        <v>AAV2-7m8</v>
      </c>
      <c r="F589" s="3407">
        <v>178</v>
      </c>
      <c r="G589" s="3499"/>
      <c r="H589" s="3499" t="s">
        <v>5784</v>
      </c>
      <c r="I589" s="3419">
        <v>596</v>
      </c>
      <c r="J589" s="3409"/>
      <c r="K589" s="3410"/>
      <c r="L589" s="3411"/>
      <c r="M589" s="3412">
        <v>42405</v>
      </c>
      <c r="N589" s="3413">
        <v>627</v>
      </c>
      <c r="O589" s="3407"/>
      <c r="P589" s="3414"/>
      <c r="Q589" s="3498">
        <v>89300000000000</v>
      </c>
      <c r="R589" s="3768">
        <v>56000000000</v>
      </c>
      <c r="S589" s="3768">
        <f t="shared" si="0"/>
        <v>52304285714285.719</v>
      </c>
      <c r="T589" s="3418"/>
      <c r="U589" s="3409"/>
      <c r="V589" s="3419">
        <f>135-38-38-34</f>
        <v>25</v>
      </c>
      <c r="W589" s="3421"/>
      <c r="X589" s="3421"/>
      <c r="Y589" s="3421"/>
      <c r="Z589" s="3421"/>
      <c r="AA589" s="3421"/>
      <c r="AB589" s="3421"/>
      <c r="AC589" s="3421"/>
      <c r="AD589" s="3421"/>
      <c r="AE589" s="3421"/>
      <c r="AF589" s="3421"/>
      <c r="AG589" s="3421"/>
      <c r="AH589" s="3421"/>
      <c r="AI589" s="3421"/>
      <c r="AJ589" s="3421"/>
      <c r="AK589" s="3421"/>
      <c r="AL589" s="3421"/>
      <c r="AM589" s="3421"/>
      <c r="AN589" s="3421"/>
      <c r="AO589" s="3421"/>
      <c r="AP589" s="3421"/>
      <c r="AQ589" s="3421"/>
      <c r="AR589" s="3421"/>
      <c r="AS589" s="3421"/>
      <c r="AT589" s="3421"/>
      <c r="AU589" s="3421"/>
      <c r="AV589" s="3421"/>
      <c r="AW589" s="3421"/>
      <c r="AX589" s="3421"/>
      <c r="AY589" s="3421"/>
      <c r="AZ589" s="3421"/>
      <c r="BA589" s="3421"/>
      <c r="BB589" s="3421"/>
      <c r="BC589" s="3421"/>
      <c r="BD589" s="3421"/>
      <c r="BE589" s="3421"/>
      <c r="BF589" s="3421"/>
      <c r="BG589" s="3421"/>
      <c r="BH589" s="3421"/>
      <c r="BI589" s="3421"/>
    </row>
    <row r="590" spans="1:61" ht="12">
      <c r="A590" s="3791" t="s">
        <v>5209</v>
      </c>
      <c r="B590" s="3596" t="s">
        <v>1025</v>
      </c>
      <c r="C590" s="3596" t="s">
        <v>178</v>
      </c>
      <c r="D590" s="3596" t="s">
        <v>1088</v>
      </c>
      <c r="E590" s="3598" t="str">
        <f>VLOOKUP(F590,plasmids!$A$2:$B$351,2)</f>
        <v>AAV2-7m8</v>
      </c>
      <c r="F590" s="3596">
        <v>178</v>
      </c>
      <c r="G590" s="3598"/>
      <c r="H590" s="3598" t="str">
        <f>VLOOKUP(I590,plasmids!$A$2:$B$1191,2)</f>
        <v>pscAAV-CAG-Chronos-bghpolyA</v>
      </c>
      <c r="I590" s="3792">
        <v>552</v>
      </c>
      <c r="J590" s="3793"/>
      <c r="K590" s="3794"/>
      <c r="L590" s="3795"/>
      <c r="M590" s="3796">
        <v>42405</v>
      </c>
      <c r="N590" s="3797">
        <v>628</v>
      </c>
      <c r="O590" s="3798"/>
      <c r="P590" s="3799"/>
      <c r="Q590" s="3800">
        <v>8780000000000</v>
      </c>
      <c r="R590" s="3801">
        <v>56000000000</v>
      </c>
      <c r="S590" s="3801">
        <f t="shared" si="0"/>
        <v>5142571428571.4287</v>
      </c>
      <c r="T590" s="3793"/>
      <c r="U590" s="3792"/>
      <c r="V590" s="3802">
        <f>90</f>
        <v>90</v>
      </c>
      <c r="W590" s="3792"/>
      <c r="X590" s="3803"/>
      <c r="Y590" s="3804">
        <v>42524</v>
      </c>
      <c r="Z590" s="3805"/>
      <c r="AA590" s="3805"/>
      <c r="AB590" s="3805"/>
      <c r="AC590" s="3805"/>
      <c r="AD590" s="3805"/>
      <c r="AE590" s="3805"/>
      <c r="AF590" s="3805"/>
      <c r="AG590" s="3805"/>
      <c r="AH590" s="3805"/>
      <c r="AI590" s="3805"/>
      <c r="AJ590" s="3805"/>
      <c r="AK590" s="3805"/>
      <c r="AL590" s="3805"/>
      <c r="AM590" s="3805"/>
      <c r="AN590" s="3805"/>
      <c r="AO590" s="3805"/>
      <c r="AP590" s="3805"/>
      <c r="AQ590" s="3805"/>
      <c r="AR590" s="3805"/>
      <c r="AS590" s="3805"/>
      <c r="AT590" s="3805"/>
      <c r="AU590" s="3805"/>
      <c r="AV590" s="3805"/>
      <c r="AW590" s="3805"/>
      <c r="AX590" s="3805"/>
      <c r="AY590" s="3805"/>
      <c r="AZ590" s="3805"/>
      <c r="BA590" s="3805"/>
      <c r="BB590" s="3805"/>
      <c r="BC590" s="3805"/>
      <c r="BD590" s="3805"/>
      <c r="BE590" s="3805"/>
      <c r="BF590" s="3805"/>
      <c r="BG590" s="3805"/>
      <c r="BH590" s="3805"/>
      <c r="BI590" s="3805"/>
    </row>
    <row r="591" spans="1:61" ht="12">
      <c r="A591" s="3791" t="s">
        <v>5209</v>
      </c>
      <c r="B591" s="3596" t="s">
        <v>1025</v>
      </c>
      <c r="C591" s="3596" t="s">
        <v>178</v>
      </c>
      <c r="D591" s="3596" t="s">
        <v>1088</v>
      </c>
      <c r="E591" s="3598" t="str">
        <f>VLOOKUP(F591,plasmids!$A$2:$B$351,2)</f>
        <v>AAV9 2YF</v>
      </c>
      <c r="F591" s="3792">
        <v>168</v>
      </c>
      <c r="G591" s="3598"/>
      <c r="H591" s="3598" t="str">
        <f>VLOOKUP(I591,plasmids!$A$2:$B$1191,2)</f>
        <v>pscAAV-CAG-Chronos-bghpolyA</v>
      </c>
      <c r="I591" s="3792">
        <v>552</v>
      </c>
      <c r="J591" s="3793"/>
      <c r="K591" s="3794"/>
      <c r="L591" s="3795"/>
      <c r="M591" s="3796">
        <v>42405</v>
      </c>
      <c r="N591" s="3797">
        <v>629</v>
      </c>
      <c r="O591" s="3798"/>
      <c r="P591" s="3799"/>
      <c r="Q591" s="3800">
        <v>72300000000000</v>
      </c>
      <c r="R591" s="3801">
        <v>56000000000</v>
      </c>
      <c r="S591" s="3801">
        <f t="shared" si="0"/>
        <v>42347142857142.859</v>
      </c>
      <c r="T591" s="3793"/>
      <c r="U591" s="3792"/>
      <c r="V591" s="3802">
        <f>180</f>
        <v>180</v>
      </c>
      <c r="W591" s="3792"/>
      <c r="X591" s="3803"/>
      <c r="Y591" s="3804">
        <v>42524</v>
      </c>
      <c r="Z591" s="3805"/>
      <c r="AA591" s="3805"/>
      <c r="AB591" s="3805"/>
      <c r="AC591" s="3805"/>
      <c r="AD591" s="3805"/>
      <c r="AE591" s="3805"/>
      <c r="AF591" s="3805"/>
      <c r="AG591" s="3805"/>
      <c r="AH591" s="3805"/>
      <c r="AI591" s="3805"/>
      <c r="AJ591" s="3805"/>
      <c r="AK591" s="3805"/>
      <c r="AL591" s="3805"/>
      <c r="AM591" s="3805"/>
      <c r="AN591" s="3805"/>
      <c r="AO591" s="3805"/>
      <c r="AP591" s="3805"/>
      <c r="AQ591" s="3805"/>
      <c r="AR591" s="3805"/>
      <c r="AS591" s="3805"/>
      <c r="AT591" s="3805"/>
      <c r="AU591" s="3805"/>
      <c r="AV591" s="3805"/>
      <c r="AW591" s="3805"/>
      <c r="AX591" s="3805"/>
      <c r="AY591" s="3805"/>
      <c r="AZ591" s="3805"/>
      <c r="BA591" s="3805"/>
      <c r="BB591" s="3805"/>
      <c r="BC591" s="3805"/>
      <c r="BD591" s="3805"/>
      <c r="BE591" s="3805"/>
      <c r="BF591" s="3805"/>
      <c r="BG591" s="3805"/>
      <c r="BH591" s="3805"/>
      <c r="BI591" s="3805"/>
    </row>
    <row r="592" spans="1:61" ht="22.5" customHeight="1">
      <c r="A592" s="3582" t="s">
        <v>5780</v>
      </c>
      <c r="B592" s="3582" t="s">
        <v>1226</v>
      </c>
      <c r="C592" s="3653" t="s">
        <v>2510</v>
      </c>
      <c r="D592" s="3582" t="s">
        <v>1029</v>
      </c>
      <c r="E592" s="1761" t="str">
        <f>VLOOKUP(F592,plasmids!$A$2:$B$891,2)</f>
        <v>AAV2-7m8</v>
      </c>
      <c r="F592" s="1772">
        <v>178</v>
      </c>
      <c r="G592" s="3806"/>
      <c r="H592" s="3806" t="str">
        <f>VLOOKUP(I592,plasmids!$A$2:$B$891,2)</f>
        <v>pssAAV-SNCG-JRGECO1a</v>
      </c>
      <c r="I592" s="3653">
        <v>595</v>
      </c>
      <c r="J592" s="1766"/>
      <c r="K592" s="1767"/>
      <c r="L592" s="3485"/>
      <c r="M592" s="3807">
        <v>42405</v>
      </c>
      <c r="N592" s="3467">
        <v>630</v>
      </c>
      <c r="O592" s="1772"/>
      <c r="P592" s="1774"/>
      <c r="Q592" s="3808">
        <v>404000000000000</v>
      </c>
      <c r="R592" s="3809">
        <v>56000000000</v>
      </c>
      <c r="S592" s="3810">
        <f t="shared" si="0"/>
        <v>236628571428571.44</v>
      </c>
      <c r="T592" s="1766"/>
      <c r="U592" s="1766"/>
      <c r="V592" s="2799">
        <f>100</f>
        <v>100</v>
      </c>
      <c r="W592" s="234"/>
      <c r="X592" s="3487" t="s">
        <v>5785</v>
      </c>
      <c r="Y592" s="234"/>
      <c r="Z592" s="234"/>
      <c r="AA592" s="234"/>
      <c r="AB592" s="234"/>
      <c r="AC592" s="234"/>
      <c r="AD592" s="234"/>
      <c r="AE592" s="234"/>
      <c r="AF592" s="234"/>
      <c r="AG592" s="234"/>
      <c r="AH592" s="234"/>
      <c r="AI592" s="234"/>
      <c r="AJ592" s="234"/>
      <c r="AK592" s="234"/>
      <c r="AL592" s="234"/>
      <c r="AM592" s="234"/>
      <c r="AN592" s="234"/>
      <c r="AO592" s="234"/>
      <c r="AP592" s="234"/>
      <c r="AQ592" s="234"/>
      <c r="AR592" s="234"/>
      <c r="AS592" s="234"/>
      <c r="AT592" s="234"/>
      <c r="AU592" s="234"/>
      <c r="AV592" s="234"/>
      <c r="AW592" s="234"/>
      <c r="AX592" s="234"/>
      <c r="AY592" s="234"/>
      <c r="AZ592" s="234"/>
      <c r="BA592" s="234"/>
      <c r="BB592" s="234"/>
      <c r="BC592" s="234"/>
      <c r="BD592" s="234"/>
      <c r="BE592" s="234"/>
      <c r="BF592" s="234"/>
      <c r="BG592" s="234"/>
      <c r="BH592" s="234"/>
      <c r="BI592" s="234"/>
    </row>
    <row r="593" spans="1:61" ht="22.5" customHeight="1">
      <c r="A593" s="3582" t="s">
        <v>5786</v>
      </c>
      <c r="B593" s="3582" t="s">
        <v>5787</v>
      </c>
      <c r="C593" s="3653" t="s">
        <v>1967</v>
      </c>
      <c r="D593" s="3582" t="s">
        <v>1088</v>
      </c>
      <c r="E593" s="3811" t="str">
        <f>VLOOKUP(F593,plasmids!$A$2:$B$891,2)</f>
        <v>AAV9 2YF</v>
      </c>
      <c r="F593" s="1772">
        <v>168</v>
      </c>
      <c r="G593" s="3711"/>
      <c r="H593" s="3712" t="str">
        <f>VLOOKUP(I593,plasmids!$A$2:$B$891,2)</f>
        <v>pAAV-Ef1a-DIO-vMo-eGFP-CT2A</v>
      </c>
      <c r="I593" s="3582">
        <v>591</v>
      </c>
      <c r="J593" s="1766"/>
      <c r="K593" s="1767"/>
      <c r="L593" s="2801"/>
      <c r="M593" s="1770">
        <v>42412</v>
      </c>
      <c r="N593" s="3467">
        <v>631</v>
      </c>
      <c r="O593" s="1772"/>
      <c r="P593" s="1774"/>
      <c r="Q593" s="3812">
        <v>16000000000000</v>
      </c>
      <c r="R593" s="3809">
        <v>7410000000</v>
      </c>
      <c r="S593" s="3813">
        <f t="shared" si="0"/>
        <v>70823211875843.453</v>
      </c>
      <c r="T593" s="2856"/>
      <c r="U593" s="1766"/>
      <c r="V593" s="2799">
        <f>110</f>
        <v>110</v>
      </c>
      <c r="W593" s="234"/>
      <c r="X593" s="3487" t="s">
        <v>5788</v>
      </c>
      <c r="Y593" s="234"/>
      <c r="Z593" s="234"/>
      <c r="AA593" s="234"/>
      <c r="AB593" s="234"/>
      <c r="AC593" s="234"/>
      <c r="AD593" s="234"/>
      <c r="AE593" s="234"/>
      <c r="AF593" s="234"/>
      <c r="AG593" s="234"/>
      <c r="AH593" s="234"/>
      <c r="AI593" s="234"/>
      <c r="AJ593" s="234"/>
      <c r="AK593" s="234"/>
      <c r="AL593" s="234"/>
      <c r="AM593" s="234"/>
      <c r="AN593" s="234"/>
      <c r="AO593" s="234"/>
      <c r="AP593" s="234"/>
      <c r="AQ593" s="234"/>
      <c r="AR593" s="234"/>
      <c r="AS593" s="234"/>
      <c r="AT593" s="234"/>
      <c r="AU593" s="234"/>
      <c r="AV593" s="234"/>
      <c r="AW593" s="234"/>
      <c r="AX593" s="234"/>
      <c r="AY593" s="234"/>
      <c r="AZ593" s="234"/>
      <c r="BA593" s="234"/>
      <c r="BB593" s="234"/>
      <c r="BC593" s="234"/>
      <c r="BD593" s="234"/>
      <c r="BE593" s="234"/>
      <c r="BF593" s="234"/>
      <c r="BG593" s="234"/>
      <c r="BH593" s="234"/>
      <c r="BI593" s="234"/>
    </row>
    <row r="594" spans="1:61" ht="22.5" customHeight="1">
      <c r="A594" s="3582" t="s">
        <v>5786</v>
      </c>
      <c r="B594" s="3582" t="s">
        <v>5787</v>
      </c>
      <c r="C594" s="3653" t="s">
        <v>1967</v>
      </c>
      <c r="D594" s="3582" t="s">
        <v>1088</v>
      </c>
      <c r="E594" s="3811" t="str">
        <f>VLOOKUP(F594,plasmids!$A$2:$B$891,2)</f>
        <v>AAV9 2YF</v>
      </c>
      <c r="F594" s="1772">
        <v>168</v>
      </c>
      <c r="G594" s="3711"/>
      <c r="H594" s="3712" t="str">
        <f>VLOOKUP(I594,plasmids!$A$2:$B$891,2)</f>
        <v>pAAV-Ef1a-DIO-vMo-eGFP-CT2C</v>
      </c>
      <c r="I594" s="3582">
        <v>592</v>
      </c>
      <c r="J594" s="1766"/>
      <c r="K594" s="1767"/>
      <c r="L594" s="2801"/>
      <c r="M594" s="1770">
        <v>42412</v>
      </c>
      <c r="N594" s="3467">
        <v>632</v>
      </c>
      <c r="O594" s="1772"/>
      <c r="P594" s="1774"/>
      <c r="Q594" s="3812">
        <v>72000000000000</v>
      </c>
      <c r="R594" s="3809">
        <v>7410000000</v>
      </c>
      <c r="S594" s="3813">
        <f t="shared" si="0"/>
        <v>318704453441295.56</v>
      </c>
      <c r="T594" s="2856"/>
      <c r="U594" s="1766"/>
      <c r="V594" s="2799">
        <f>130</f>
        <v>130</v>
      </c>
      <c r="W594" s="234"/>
      <c r="X594" s="3487" t="s">
        <v>5788</v>
      </c>
      <c r="Y594" s="234"/>
      <c r="Z594" s="234"/>
      <c r="AA594" s="234"/>
      <c r="AB594" s="234"/>
      <c r="AC594" s="234"/>
      <c r="AD594" s="234"/>
      <c r="AE594" s="234"/>
      <c r="AF594" s="234"/>
      <c r="AG594" s="234"/>
      <c r="AH594" s="234"/>
      <c r="AI594" s="234"/>
      <c r="AJ594" s="234"/>
      <c r="AK594" s="234"/>
      <c r="AL594" s="234"/>
      <c r="AM594" s="234"/>
      <c r="AN594" s="234"/>
      <c r="AO594" s="234"/>
      <c r="AP594" s="234"/>
      <c r="AQ594" s="234"/>
      <c r="AR594" s="234"/>
      <c r="AS594" s="234"/>
      <c r="AT594" s="234"/>
      <c r="AU594" s="234"/>
      <c r="AV594" s="234"/>
      <c r="AW594" s="234"/>
      <c r="AX594" s="234"/>
      <c r="AY594" s="234"/>
      <c r="AZ594" s="234"/>
      <c r="BA594" s="234"/>
      <c r="BB594" s="234"/>
      <c r="BC594" s="234"/>
      <c r="BD594" s="234"/>
      <c r="BE594" s="234"/>
      <c r="BF594" s="234"/>
      <c r="BG594" s="234"/>
      <c r="BH594" s="234"/>
      <c r="BI594" s="234"/>
    </row>
    <row r="595" spans="1:61" ht="22.5" customHeight="1">
      <c r="A595" s="3582" t="s">
        <v>5786</v>
      </c>
      <c r="B595" s="3582" t="s">
        <v>5787</v>
      </c>
      <c r="C595" s="3653" t="s">
        <v>1967</v>
      </c>
      <c r="D595" s="3582" t="s">
        <v>1088</v>
      </c>
      <c r="E595" s="3811" t="str">
        <f>VLOOKUP(F595,plasmids!$A$2:$B$891,2)</f>
        <v>AAV9 2YF</v>
      </c>
      <c r="F595" s="1772">
        <v>168</v>
      </c>
      <c r="G595" s="3711"/>
      <c r="H595" s="3712" t="str">
        <f>VLOOKUP(I595,plasmids!$A$2:$B$891,2)</f>
        <v>pAAV-CMV-vMo-eGFP-CT2A</v>
      </c>
      <c r="I595" s="3582">
        <v>593</v>
      </c>
      <c r="J595" s="1766"/>
      <c r="K595" s="1767"/>
      <c r="L595" s="2801"/>
      <c r="M595" s="1770">
        <v>42412</v>
      </c>
      <c r="N595" s="3467">
        <v>633</v>
      </c>
      <c r="O595" s="1772"/>
      <c r="P595" s="1774"/>
      <c r="Q595" s="3812">
        <v>45700000000000</v>
      </c>
      <c r="R595" s="3809">
        <v>7410000000</v>
      </c>
      <c r="S595" s="3813">
        <f t="shared" si="0"/>
        <v>202288798920377.88</v>
      </c>
      <c r="T595" s="2856"/>
      <c r="U595" s="1766"/>
      <c r="V595" s="2799">
        <f>125</f>
        <v>125</v>
      </c>
      <c r="W595" s="234"/>
      <c r="X595" s="3487" t="s">
        <v>5788</v>
      </c>
      <c r="Y595" s="234"/>
      <c r="Z595" s="234"/>
      <c r="AA595" s="234"/>
      <c r="AB595" s="234"/>
      <c r="AC595" s="234"/>
      <c r="AD595" s="234"/>
      <c r="AE595" s="234"/>
      <c r="AF595" s="234"/>
      <c r="AG595" s="234"/>
      <c r="AH595" s="234"/>
      <c r="AI595" s="234"/>
      <c r="AJ595" s="234"/>
      <c r="AK595" s="234"/>
      <c r="AL595" s="234"/>
      <c r="AM595" s="234"/>
      <c r="AN595" s="234"/>
      <c r="AO595" s="234"/>
      <c r="AP595" s="234"/>
      <c r="AQ595" s="234"/>
      <c r="AR595" s="234"/>
      <c r="AS595" s="234"/>
      <c r="AT595" s="234"/>
      <c r="AU595" s="234"/>
      <c r="AV595" s="234"/>
      <c r="AW595" s="234"/>
      <c r="AX595" s="234"/>
      <c r="AY595" s="234"/>
      <c r="AZ595" s="234"/>
      <c r="BA595" s="234"/>
      <c r="BB595" s="234"/>
      <c r="BC595" s="234"/>
      <c r="BD595" s="234"/>
      <c r="BE595" s="234"/>
      <c r="BF595" s="234"/>
      <c r="BG595" s="234"/>
      <c r="BH595" s="234"/>
      <c r="BI595" s="234"/>
    </row>
    <row r="596" spans="1:61" ht="18" customHeight="1">
      <c r="A596" s="2872" t="s">
        <v>707</v>
      </c>
      <c r="B596" s="2872" t="s">
        <v>3973</v>
      </c>
      <c r="C596" s="2873" t="s">
        <v>1967</v>
      </c>
      <c r="D596" s="2872" t="s">
        <v>4867</v>
      </c>
      <c r="E596" s="2874" t="str">
        <f>VLOOKUP(F596,plasmids!$A$2:$B$891,2)</f>
        <v>AAV9 2YF</v>
      </c>
      <c r="F596" s="2875">
        <v>168</v>
      </c>
      <c r="G596" s="2876"/>
      <c r="H596" s="2876" t="str">
        <f>VLOOKUP(I596,plasmids!$A$2:$B$891,2)</f>
        <v xml:space="preserve">pTR-scCAG-RdCVFs </v>
      </c>
      <c r="I596" s="2872">
        <v>187</v>
      </c>
      <c r="J596" s="2877"/>
      <c r="K596" s="3265"/>
      <c r="L596" s="2878"/>
      <c r="M596" s="2879">
        <v>42412</v>
      </c>
      <c r="N596" s="2880">
        <v>634</v>
      </c>
      <c r="O596" s="2875"/>
      <c r="P596" s="2875"/>
      <c r="Q596" s="3814">
        <v>105000000000000</v>
      </c>
      <c r="R596" s="3815">
        <v>7410000000</v>
      </c>
      <c r="S596" s="2889">
        <f t="shared" si="0"/>
        <v>464777327935222.69</v>
      </c>
      <c r="T596" s="2891"/>
      <c r="U596" s="2877"/>
      <c r="V596" s="3452">
        <f>115-70</f>
        <v>45</v>
      </c>
      <c r="W596" s="3373"/>
      <c r="X596" s="2894"/>
      <c r="Y596" s="2894"/>
      <c r="Z596" s="2894"/>
      <c r="AA596" s="2894"/>
      <c r="AB596" s="2894"/>
      <c r="AC596" s="2894"/>
      <c r="AD596" s="2894"/>
      <c r="AE596" s="2894"/>
      <c r="AF596" s="2894"/>
      <c r="AG596" s="2894"/>
      <c r="AH596" s="2894"/>
      <c r="AI596" s="2894"/>
      <c r="AJ596" s="2894"/>
      <c r="AK596" s="2894"/>
      <c r="AL596" s="2894"/>
      <c r="AM596" s="2894"/>
      <c r="AN596" s="2894"/>
      <c r="AO596" s="2894"/>
      <c r="AP596" s="2894"/>
      <c r="AQ596" s="2894"/>
      <c r="AR596" s="2894"/>
      <c r="AS596" s="2894"/>
      <c r="AT596" s="2894"/>
      <c r="AU596" s="2894"/>
      <c r="AV596" s="2894"/>
      <c r="AW596" s="2894"/>
      <c r="AX596" s="2894"/>
      <c r="AY596" s="2894"/>
      <c r="AZ596" s="2894"/>
      <c r="BA596" s="2894"/>
      <c r="BB596" s="2894"/>
      <c r="BC596" s="2894"/>
      <c r="BD596" s="2894"/>
      <c r="BE596" s="2894"/>
      <c r="BF596" s="2894"/>
      <c r="BG596" s="2894"/>
      <c r="BH596" s="2894"/>
      <c r="BI596" s="2894"/>
    </row>
    <row r="597" spans="1:61" ht="18" customHeight="1">
      <c r="A597" s="2872" t="s">
        <v>707</v>
      </c>
      <c r="B597" s="2872" t="s">
        <v>3973</v>
      </c>
      <c r="C597" s="2873" t="s">
        <v>1967</v>
      </c>
      <c r="D597" s="2872" t="s">
        <v>4867</v>
      </c>
      <c r="E597" s="2874" t="str">
        <f>VLOOKUP(F597,plasmids!$A$2:$B$891,2)</f>
        <v>AAV9 2YF</v>
      </c>
      <c r="F597" s="2875">
        <v>168</v>
      </c>
      <c r="G597" s="2876"/>
      <c r="H597" s="2876" t="str">
        <f>VLOOKUP(I597,plasmids!$A$2:$B$891,2)</f>
        <v>sc-CAG-GFP</v>
      </c>
      <c r="I597" s="3369">
        <v>120</v>
      </c>
      <c r="J597" s="2877"/>
      <c r="K597" s="3265"/>
      <c r="L597" s="2878"/>
      <c r="M597" s="2879">
        <v>42419</v>
      </c>
      <c r="N597" s="2880">
        <v>635</v>
      </c>
      <c r="O597" s="2875"/>
      <c r="P597" s="2887"/>
      <c r="Q597" s="3450">
        <v>400000000000000</v>
      </c>
      <c r="R597" s="3451">
        <v>68900000000</v>
      </c>
      <c r="S597" s="2889">
        <f t="shared" si="0"/>
        <v>190420899854862.12</v>
      </c>
      <c r="T597" s="3369" t="s">
        <v>5789</v>
      </c>
      <c r="U597" s="2877"/>
      <c r="V597" s="3452">
        <f>175-1.63</f>
        <v>173.37</v>
      </c>
      <c r="W597" s="3373"/>
      <c r="X597" s="2894"/>
      <c r="Y597" s="2894"/>
      <c r="Z597" s="2894"/>
      <c r="AA597" s="2894"/>
      <c r="AB597" s="2894"/>
      <c r="AC597" s="2894"/>
      <c r="AD597" s="2894"/>
      <c r="AE597" s="2894"/>
      <c r="AF597" s="2894"/>
      <c r="AG597" s="2894"/>
      <c r="AH597" s="2894"/>
      <c r="AI597" s="2894"/>
      <c r="AJ597" s="2894"/>
      <c r="AK597" s="2894"/>
      <c r="AL597" s="2894"/>
      <c r="AM597" s="2894"/>
      <c r="AN597" s="2894"/>
      <c r="AO597" s="2894"/>
      <c r="AP597" s="2894"/>
      <c r="AQ597" s="2894"/>
      <c r="AR597" s="2894"/>
      <c r="AS597" s="2894"/>
      <c r="AT597" s="2894"/>
      <c r="AU597" s="2894"/>
      <c r="AV597" s="2894"/>
      <c r="AW597" s="2894"/>
      <c r="AX597" s="2894"/>
      <c r="AY597" s="2894"/>
      <c r="AZ597" s="2894"/>
      <c r="BA597" s="2894"/>
      <c r="BB597" s="2894"/>
      <c r="BC597" s="2894"/>
      <c r="BD597" s="2894"/>
      <c r="BE597" s="2894"/>
      <c r="BF597" s="2894"/>
      <c r="BG597" s="2894"/>
      <c r="BH597" s="2894"/>
      <c r="BI597" s="2894"/>
    </row>
    <row r="598" spans="1:61" ht="24">
      <c r="A598" s="164" t="s">
        <v>734</v>
      </c>
      <c r="B598" s="135" t="s">
        <v>625</v>
      </c>
      <c r="C598" s="137" t="s">
        <v>626</v>
      </c>
      <c r="D598" s="135" t="s">
        <v>655</v>
      </c>
      <c r="E598" s="3816" t="str">
        <f>VLOOKUP(F598,plasmids!$A$2:$B$891,2)</f>
        <v>AAV9 2YF</v>
      </c>
      <c r="F598" s="139">
        <v>168</v>
      </c>
      <c r="G598" s="2334"/>
      <c r="H598" s="2334" t="str">
        <f>VLOOKUP(I598,plasmids!$A$2:$B$393,2)</f>
        <v>pAAV-CMV-TGFbeta-muté</v>
      </c>
      <c r="I598" s="135">
        <v>219</v>
      </c>
      <c r="J598" s="135" t="s">
        <v>60</v>
      </c>
      <c r="K598" s="1086">
        <v>41943</v>
      </c>
      <c r="L598" s="1086"/>
      <c r="M598" s="1087">
        <v>42419</v>
      </c>
      <c r="N598" s="145">
        <v>636</v>
      </c>
      <c r="O598" s="139"/>
      <c r="P598" s="1090"/>
      <c r="Q598" s="150">
        <v>659000000000000</v>
      </c>
      <c r="R598" s="149">
        <v>68900000000</v>
      </c>
      <c r="S598" s="3817">
        <f t="shared" si="0"/>
        <v>313718432510885.38</v>
      </c>
      <c r="T598" s="2337"/>
      <c r="U598" s="156"/>
      <c r="V598" s="1474">
        <f>170-60</f>
        <v>110</v>
      </c>
      <c r="W598" s="162"/>
      <c r="X598" s="158"/>
      <c r="Y598" s="3818">
        <v>42524</v>
      </c>
      <c r="Z598" s="158"/>
      <c r="AA598" s="158"/>
      <c r="AB598" s="158"/>
      <c r="AC598" s="158"/>
      <c r="AD598" s="158"/>
      <c r="AE598" s="158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</row>
    <row r="599" spans="1:61" ht="24">
      <c r="A599" s="164" t="s">
        <v>5790</v>
      </c>
      <c r="B599" s="135" t="s">
        <v>625</v>
      </c>
      <c r="C599" s="137" t="s">
        <v>626</v>
      </c>
      <c r="D599" s="135" t="s">
        <v>655</v>
      </c>
      <c r="E599" s="3816" t="str">
        <f>VLOOKUP(F599,plasmids!$A$2:$B$891,2)</f>
        <v>AAV9 2YF</v>
      </c>
      <c r="F599" s="139">
        <v>168</v>
      </c>
      <c r="G599" s="2334"/>
      <c r="H599" s="2334" t="str">
        <f>VLOOKUP(I599,plasmids!$A$2:$B$393,2)</f>
        <v>pAAV-CMV-TGFbeta-muté</v>
      </c>
      <c r="I599" s="135">
        <v>219</v>
      </c>
      <c r="J599" s="135" t="s">
        <v>60</v>
      </c>
      <c r="K599" s="1086">
        <v>41943</v>
      </c>
      <c r="L599" s="1086"/>
      <c r="M599" s="1087">
        <v>42419</v>
      </c>
      <c r="N599" s="145">
        <v>637</v>
      </c>
      <c r="O599" s="139"/>
      <c r="P599" s="1090"/>
      <c r="Q599" s="150">
        <v>980000000000000</v>
      </c>
      <c r="R599" s="149">
        <v>68900000000</v>
      </c>
      <c r="S599" s="3817">
        <f t="shared" si="0"/>
        <v>466531204644412.19</v>
      </c>
      <c r="T599" s="2337"/>
      <c r="U599" s="156"/>
      <c r="V599" s="1474">
        <f>200</f>
        <v>200</v>
      </c>
      <c r="W599" s="162"/>
      <c r="X599" s="158"/>
      <c r="Y599" s="3818">
        <v>42524</v>
      </c>
      <c r="Z599" s="158"/>
      <c r="AA599" s="158"/>
      <c r="AB599" s="158"/>
      <c r="AC599" s="158"/>
      <c r="AD599" s="158"/>
      <c r="AE599" s="158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</row>
    <row r="600" spans="1:61" ht="26.25" customHeight="1">
      <c r="A600" s="3466" t="s">
        <v>5791</v>
      </c>
      <c r="B600" s="3466" t="s">
        <v>5792</v>
      </c>
      <c r="C600" s="3647" t="s">
        <v>626</v>
      </c>
      <c r="D600" s="3466" t="s">
        <v>5793</v>
      </c>
      <c r="E600" s="165" t="s">
        <v>516</v>
      </c>
      <c r="F600" s="165">
        <v>140</v>
      </c>
      <c r="G600" s="2321"/>
      <c r="H600" s="2321" t="str">
        <f>VLOOKUP(I600,plasmids!$A$2:$B$391,2)</f>
        <v>AAV-Ef1a-flox-hChR2-YFP</v>
      </c>
      <c r="I600" s="165">
        <v>244</v>
      </c>
      <c r="J600" s="165" t="s">
        <v>1012</v>
      </c>
      <c r="K600" s="2326"/>
      <c r="L600" s="1126"/>
      <c r="M600" s="173">
        <v>42419</v>
      </c>
      <c r="N600" s="175">
        <v>638</v>
      </c>
      <c r="O600" s="169"/>
      <c r="P600" s="326"/>
      <c r="Q600" s="2332">
        <v>119000000000000</v>
      </c>
      <c r="R600" s="178">
        <v>68900000000</v>
      </c>
      <c r="S600" s="182">
        <f t="shared" si="0"/>
        <v>56650217706821.484</v>
      </c>
      <c r="T600" s="2333"/>
      <c r="U600" s="183"/>
      <c r="V600" s="3732">
        <v>120</v>
      </c>
      <c r="W600" s="186"/>
      <c r="X600" s="186"/>
      <c r="Y600" s="3819">
        <v>42524</v>
      </c>
      <c r="Z600" s="186"/>
      <c r="AA600" s="186"/>
      <c r="AB600" s="186"/>
      <c r="AC600" s="186"/>
      <c r="AD600" s="186"/>
      <c r="AE600" s="186"/>
      <c r="AF600" s="186"/>
      <c r="AG600" s="186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</row>
    <row r="601" spans="1:61" ht="22.5" customHeight="1">
      <c r="A601" s="3820" t="s">
        <v>1549</v>
      </c>
      <c r="B601" s="3820" t="s">
        <v>5767</v>
      </c>
      <c r="C601" s="3821" t="s">
        <v>178</v>
      </c>
      <c r="D601" s="3820" t="s">
        <v>5794</v>
      </c>
      <c r="E601" s="3821" t="s">
        <v>5795</v>
      </c>
      <c r="F601" s="3822">
        <v>599</v>
      </c>
      <c r="G601" s="3821" t="s">
        <v>5115</v>
      </c>
      <c r="H601" s="3823" t="s">
        <v>197</v>
      </c>
      <c r="I601" s="3824">
        <v>120</v>
      </c>
      <c r="J601" s="3825"/>
      <c r="K601" s="3826"/>
      <c r="L601" s="3826"/>
      <c r="M601" s="3827">
        <v>42419</v>
      </c>
      <c r="N601" s="3828">
        <v>639</v>
      </c>
      <c r="O601" s="3822"/>
      <c r="P601" s="3829"/>
      <c r="Q601" s="3830">
        <f>(252000000000000+276000000000000)/2</f>
        <v>264000000000000</v>
      </c>
      <c r="R601" s="3831">
        <f>(15200000000+26800000000)/2</f>
        <v>21000000000</v>
      </c>
      <c r="S601" s="3832">
        <f t="shared" si="0"/>
        <v>412342857142857.12</v>
      </c>
      <c r="T601" s="3824" t="s">
        <v>2423</v>
      </c>
      <c r="U601" s="3825"/>
      <c r="V601" s="3833">
        <f>130-15</f>
        <v>115</v>
      </c>
      <c r="W601" s="3834"/>
      <c r="X601" s="3834"/>
      <c r="Y601" s="3834"/>
      <c r="Z601" s="3834"/>
      <c r="AA601" s="3834"/>
      <c r="AB601" s="3834"/>
      <c r="AC601" s="3834"/>
      <c r="AD601" s="3834"/>
      <c r="AE601" s="3834"/>
      <c r="AF601" s="3834"/>
      <c r="AG601" s="3834"/>
      <c r="AH601" s="3834"/>
      <c r="AI601" s="3834"/>
      <c r="AJ601" s="3834"/>
      <c r="AK601" s="3834"/>
      <c r="AL601" s="3834"/>
      <c r="AM601" s="3834"/>
      <c r="AN601" s="3834"/>
      <c r="AO601" s="3834"/>
      <c r="AP601" s="3834"/>
      <c r="AQ601" s="3834"/>
      <c r="AR601" s="3834"/>
      <c r="AS601" s="3834"/>
      <c r="AT601" s="3834"/>
      <c r="AU601" s="3834"/>
      <c r="AV601" s="3834"/>
      <c r="AW601" s="3834"/>
      <c r="AX601" s="3834"/>
      <c r="AY601" s="3834"/>
      <c r="AZ601" s="3834"/>
      <c r="BA601" s="3834"/>
      <c r="BB601" s="3834"/>
      <c r="BC601" s="3834"/>
      <c r="BD601" s="3834"/>
      <c r="BE601" s="3834"/>
      <c r="BF601" s="3834"/>
      <c r="BG601" s="3834"/>
      <c r="BH601" s="3834"/>
      <c r="BI601" s="3834"/>
    </row>
    <row r="602" spans="1:61" ht="22.5" customHeight="1">
      <c r="A602" s="3820" t="s">
        <v>1549</v>
      </c>
      <c r="B602" s="3820" t="s">
        <v>5767</v>
      </c>
      <c r="C602" s="3821" t="s">
        <v>178</v>
      </c>
      <c r="D602" s="3820" t="s">
        <v>5794</v>
      </c>
      <c r="E602" s="3821" t="s">
        <v>5796</v>
      </c>
      <c r="F602" s="3822">
        <v>600</v>
      </c>
      <c r="G602" s="3821" t="s">
        <v>5797</v>
      </c>
      <c r="H602" s="3823" t="s">
        <v>197</v>
      </c>
      <c r="I602" s="3824">
        <v>120</v>
      </c>
      <c r="J602" s="3825"/>
      <c r="K602" s="3826"/>
      <c r="L602" s="3826"/>
      <c r="M602" s="3827">
        <v>42419</v>
      </c>
      <c r="N602" s="3828">
        <v>640</v>
      </c>
      <c r="O602" s="3822"/>
      <c r="P602" s="3829"/>
      <c r="Q602" s="3830">
        <v>436000000000</v>
      </c>
      <c r="R602" s="3831">
        <v>68900000000</v>
      </c>
      <c r="S602" s="3832">
        <f t="shared" si="0"/>
        <v>207558780841.79971</v>
      </c>
      <c r="T602" s="3824" t="s">
        <v>2423</v>
      </c>
      <c r="U602" s="3825"/>
      <c r="V602" s="3833">
        <f>165-15</f>
        <v>150</v>
      </c>
      <c r="W602" s="3834"/>
      <c r="X602" s="3834"/>
      <c r="Y602" s="3834"/>
      <c r="Z602" s="3834"/>
      <c r="AA602" s="3834"/>
      <c r="AB602" s="3834"/>
      <c r="AC602" s="3834"/>
      <c r="AD602" s="3834"/>
      <c r="AE602" s="3834"/>
      <c r="AF602" s="3834"/>
      <c r="AG602" s="3834"/>
      <c r="AH602" s="3834"/>
      <c r="AI602" s="3834"/>
      <c r="AJ602" s="3834"/>
      <c r="AK602" s="3834"/>
      <c r="AL602" s="3834"/>
      <c r="AM602" s="3834"/>
      <c r="AN602" s="3834"/>
      <c r="AO602" s="3834"/>
      <c r="AP602" s="3834"/>
      <c r="AQ602" s="3834"/>
      <c r="AR602" s="3834"/>
      <c r="AS602" s="3834"/>
      <c r="AT602" s="3834"/>
      <c r="AU602" s="3834"/>
      <c r="AV602" s="3834"/>
      <c r="AW602" s="3834"/>
      <c r="AX602" s="3834"/>
      <c r="AY602" s="3834"/>
      <c r="AZ602" s="3834"/>
      <c r="BA602" s="3834"/>
      <c r="BB602" s="3834"/>
      <c r="BC602" s="3834"/>
      <c r="BD602" s="3834"/>
      <c r="BE602" s="3834"/>
      <c r="BF602" s="3834"/>
      <c r="BG602" s="3834"/>
      <c r="BH602" s="3834"/>
      <c r="BI602" s="3834"/>
    </row>
    <row r="603" spans="1:61" ht="25.5" customHeight="1">
      <c r="A603" s="3526" t="s">
        <v>1343</v>
      </c>
      <c r="B603" s="3526" t="s">
        <v>5732</v>
      </c>
      <c r="C603" s="3527" t="s">
        <v>5708</v>
      </c>
      <c r="D603" s="3526" t="s">
        <v>3782</v>
      </c>
      <c r="E603" s="3528" t="str">
        <f>VLOOKUP(F603,plasmids!$A$2:$B$891,2)</f>
        <v>AAV2-7m8</v>
      </c>
      <c r="F603" s="3529">
        <v>178</v>
      </c>
      <c r="G603" s="3530"/>
      <c r="H603" s="3530" t="str">
        <f>VLOOKUP(I603,plasmids!$A$2:$B$891,2)</f>
        <v>pssAAV-mCAR-Jaws-GFP</v>
      </c>
      <c r="I603" s="3526">
        <v>89</v>
      </c>
      <c r="J603" s="3531"/>
      <c r="K603" s="3532"/>
      <c r="L603" s="3752"/>
      <c r="M603" s="3534">
        <v>42426</v>
      </c>
      <c r="N603" s="3535">
        <v>641</v>
      </c>
      <c r="O603" s="3529"/>
      <c r="P603" s="3536"/>
      <c r="Q603" s="3753">
        <v>241000000000000</v>
      </c>
      <c r="R603" s="3754">
        <v>113000000000</v>
      </c>
      <c r="S603" s="3755">
        <f t="shared" si="0"/>
        <v>69953982300884.953</v>
      </c>
      <c r="T603" s="3540"/>
      <c r="U603" s="3531"/>
      <c r="V603" s="3526">
        <f>185</f>
        <v>185</v>
      </c>
      <c r="W603" s="3541"/>
      <c r="X603" s="3756"/>
      <c r="Y603" s="3541"/>
      <c r="Z603" s="3541"/>
      <c r="AA603" s="3541"/>
      <c r="AB603" s="3541"/>
      <c r="AC603" s="3541"/>
      <c r="AD603" s="3541"/>
      <c r="AE603" s="3541"/>
      <c r="AF603" s="3541"/>
      <c r="AG603" s="3541"/>
      <c r="AH603" s="3541"/>
      <c r="AI603" s="3541"/>
      <c r="AJ603" s="3541"/>
      <c r="AK603" s="3541"/>
      <c r="AL603" s="3541"/>
      <c r="AM603" s="3541"/>
      <c r="AN603" s="3541"/>
      <c r="AO603" s="3541"/>
      <c r="AP603" s="3541"/>
      <c r="AQ603" s="3541"/>
      <c r="AR603" s="3541"/>
      <c r="AS603" s="3541"/>
      <c r="AT603" s="3541"/>
      <c r="AU603" s="3541"/>
      <c r="AV603" s="3541"/>
      <c r="AW603" s="3541"/>
      <c r="AX603" s="3541"/>
      <c r="AY603" s="3541"/>
      <c r="AZ603" s="3541"/>
      <c r="BA603" s="3541"/>
      <c r="BB603" s="3541"/>
      <c r="BC603" s="3541"/>
      <c r="BD603" s="3541"/>
      <c r="BE603" s="3541"/>
      <c r="BF603" s="3541"/>
      <c r="BG603" s="3541"/>
      <c r="BH603" s="3541"/>
      <c r="BI603" s="3541"/>
    </row>
    <row r="604" spans="1:61" ht="24">
      <c r="A604" s="3404" t="s">
        <v>707</v>
      </c>
      <c r="B604" s="3404" t="s">
        <v>5704</v>
      </c>
      <c r="C604" s="3790" t="s">
        <v>1967</v>
      </c>
      <c r="D604" s="3404" t="s">
        <v>5655</v>
      </c>
      <c r="E604" s="3406" t="str">
        <f>VLOOKUP(F604,plasmids!$A$2:$B$891,2)</f>
        <v>AAV2-7m8</v>
      </c>
      <c r="F604" s="3407">
        <v>178</v>
      </c>
      <c r="G604" s="3499"/>
      <c r="H604" s="3499" t="s">
        <v>5784</v>
      </c>
      <c r="I604" s="3419">
        <v>596</v>
      </c>
      <c r="J604" s="3409"/>
      <c r="K604" s="3410"/>
      <c r="L604" s="3411"/>
      <c r="M604" s="3412">
        <v>42426</v>
      </c>
      <c r="N604" s="3413">
        <v>642</v>
      </c>
      <c r="O604" s="3407"/>
      <c r="P604" s="3414"/>
      <c r="Q604" s="3498">
        <v>273000000000000</v>
      </c>
      <c r="R604" s="3835">
        <v>113000000000</v>
      </c>
      <c r="S604" s="3768">
        <f t="shared" si="0"/>
        <v>79242477876106.188</v>
      </c>
      <c r="T604" s="3418"/>
      <c r="U604" s="3409"/>
      <c r="V604" s="3419">
        <f>13</f>
        <v>13</v>
      </c>
      <c r="W604" s="3421"/>
      <c r="X604" s="3421"/>
      <c r="Y604" s="3421"/>
      <c r="Z604" s="3421"/>
      <c r="AA604" s="3421"/>
      <c r="AB604" s="3421"/>
      <c r="AC604" s="3421"/>
      <c r="AD604" s="3421"/>
      <c r="AE604" s="3421"/>
      <c r="AF604" s="3421"/>
      <c r="AG604" s="3421"/>
      <c r="AH604" s="3421"/>
      <c r="AI604" s="3421"/>
      <c r="AJ604" s="3421"/>
      <c r="AK604" s="3421"/>
      <c r="AL604" s="3421"/>
      <c r="AM604" s="3421"/>
      <c r="AN604" s="3421"/>
      <c r="AO604" s="3421"/>
      <c r="AP604" s="3421"/>
      <c r="AQ604" s="3421"/>
      <c r="AR604" s="3421"/>
      <c r="AS604" s="3421"/>
      <c r="AT604" s="3421"/>
      <c r="AU604" s="3421"/>
      <c r="AV604" s="3421"/>
      <c r="AW604" s="3421"/>
      <c r="AX604" s="3421"/>
      <c r="AY604" s="3421"/>
      <c r="AZ604" s="3421"/>
      <c r="BA604" s="3421"/>
      <c r="BB604" s="3421"/>
      <c r="BC604" s="3421"/>
      <c r="BD604" s="3421"/>
      <c r="BE604" s="3421"/>
      <c r="BF604" s="3421"/>
      <c r="BG604" s="3421"/>
      <c r="BH604" s="3421"/>
      <c r="BI604" s="3421"/>
    </row>
    <row r="605" spans="1:61" ht="26.25" customHeight="1">
      <c r="A605" s="3836" t="s">
        <v>5768</v>
      </c>
      <c r="B605" s="3836" t="s">
        <v>3367</v>
      </c>
      <c r="C605" s="3837" t="s">
        <v>178</v>
      </c>
      <c r="D605" s="3838" t="s">
        <v>3368</v>
      </c>
      <c r="E605" s="3839" t="str">
        <f>VLOOKUP(F605,plasmids!$A$2:$B$351,2)</f>
        <v>AAV9 2YF</v>
      </c>
      <c r="F605" s="3840">
        <v>168</v>
      </c>
      <c r="G605" s="3841"/>
      <c r="H605" s="3842" t="str">
        <f>VLOOKUP(I605,plasmids!$A$2:$B$891,2)</f>
        <v xml:space="preserve">pscAAV-CAG-GFP-2A-mRdCVF2L </v>
      </c>
      <c r="I605" s="3836">
        <v>590</v>
      </c>
      <c r="J605" s="3843"/>
      <c r="K605" s="3844"/>
      <c r="L605" s="3845"/>
      <c r="M605" s="3846">
        <v>42426</v>
      </c>
      <c r="N605" s="862">
        <v>643</v>
      </c>
      <c r="O605" s="3840"/>
      <c r="P605" s="3847"/>
      <c r="Q605" s="3848">
        <v>57400000000</v>
      </c>
      <c r="R605" s="3849">
        <v>113000000000</v>
      </c>
      <c r="S605" s="3850">
        <f t="shared" si="0"/>
        <v>16661238938.053097</v>
      </c>
      <c r="T605" s="3838" t="s">
        <v>2423</v>
      </c>
      <c r="U605" s="3843"/>
      <c r="V605" s="3838">
        <f>90</f>
        <v>90</v>
      </c>
      <c r="W605" s="961"/>
      <c r="X605" s="961"/>
      <c r="Y605" s="3851">
        <v>42524</v>
      </c>
      <c r="Z605" s="961"/>
      <c r="AA605" s="961"/>
      <c r="AB605" s="961"/>
      <c r="AC605" s="961"/>
      <c r="AD605" s="961"/>
      <c r="AE605" s="961"/>
      <c r="AF605" s="961"/>
      <c r="AG605" s="961"/>
      <c r="AH605" s="961"/>
      <c r="AI605" s="961"/>
      <c r="AJ605" s="961"/>
      <c r="AK605" s="961"/>
      <c r="AL605" s="961"/>
      <c r="AM605" s="961"/>
      <c r="AN605" s="961"/>
      <c r="AO605" s="961"/>
      <c r="AP605" s="961"/>
      <c r="AQ605" s="961"/>
      <c r="AR605" s="961"/>
      <c r="AS605" s="961"/>
      <c r="AT605" s="961"/>
      <c r="AU605" s="961"/>
      <c r="AV605" s="961"/>
      <c r="AW605" s="961"/>
      <c r="AX605" s="961"/>
      <c r="AY605" s="961"/>
      <c r="AZ605" s="961"/>
      <c r="BA605" s="961"/>
      <c r="BB605" s="961"/>
      <c r="BC605" s="961"/>
      <c r="BD605" s="961"/>
      <c r="BE605" s="961"/>
      <c r="BF605" s="961"/>
      <c r="BG605" s="961"/>
      <c r="BH605" s="961"/>
      <c r="BI605" s="961"/>
    </row>
    <row r="606" spans="1:61" ht="26.25" customHeight="1">
      <c r="A606" s="3852" t="s">
        <v>5768</v>
      </c>
      <c r="B606" s="3852" t="s">
        <v>3367</v>
      </c>
      <c r="C606" s="3853" t="s">
        <v>178</v>
      </c>
      <c r="D606" s="3854" t="s">
        <v>3368</v>
      </c>
      <c r="E606" s="3855" t="str">
        <f>VLOOKUP(F606,plasmids!$A$2:$B$351,2)</f>
        <v>AAV9 2YF</v>
      </c>
      <c r="F606" s="3856">
        <v>168</v>
      </c>
      <c r="G606" s="3857"/>
      <c r="H606" s="3858" t="str">
        <f>VLOOKUP(I606,plasmids!$A$2:$B$891,2)</f>
        <v>sc-CAG-GFP</v>
      </c>
      <c r="I606" s="3852">
        <v>120</v>
      </c>
      <c r="J606" s="3859"/>
      <c r="K606" s="3860"/>
      <c r="L606" s="3861"/>
      <c r="M606" s="3862">
        <v>42426</v>
      </c>
      <c r="N606" s="3863">
        <v>644</v>
      </c>
      <c r="O606" s="3856"/>
      <c r="P606" s="3864"/>
      <c r="Q606" s="3865">
        <v>476000000000000</v>
      </c>
      <c r="R606" s="3866">
        <v>113000000000</v>
      </c>
      <c r="S606" s="3867">
        <f t="shared" si="0"/>
        <v>138166371681415.92</v>
      </c>
      <c r="T606" s="3854" t="s">
        <v>2423</v>
      </c>
      <c r="U606" s="3859"/>
      <c r="V606" s="3854">
        <f>115</f>
        <v>115</v>
      </c>
      <c r="W606" s="3868"/>
      <c r="X606" s="3868"/>
      <c r="Y606" s="3869">
        <v>42524</v>
      </c>
      <c r="Z606" s="3868"/>
      <c r="AA606" s="3868"/>
      <c r="AB606" s="3868"/>
      <c r="AC606" s="3868"/>
      <c r="AD606" s="3868"/>
      <c r="AE606" s="3868"/>
      <c r="AF606" s="3868"/>
      <c r="AG606" s="3868"/>
      <c r="AH606" s="3868"/>
      <c r="AI606" s="3868"/>
      <c r="AJ606" s="3868"/>
      <c r="AK606" s="3868"/>
      <c r="AL606" s="3868"/>
      <c r="AM606" s="3868"/>
      <c r="AN606" s="3868"/>
      <c r="AO606" s="3868"/>
      <c r="AP606" s="3868"/>
      <c r="AQ606" s="3868"/>
      <c r="AR606" s="3868"/>
      <c r="AS606" s="3868"/>
      <c r="AT606" s="3868"/>
      <c r="AU606" s="3868"/>
      <c r="AV606" s="3868"/>
      <c r="AW606" s="3868"/>
      <c r="AX606" s="3868"/>
      <c r="AY606" s="3868"/>
      <c r="AZ606" s="3868"/>
      <c r="BA606" s="3868"/>
      <c r="BB606" s="3868"/>
      <c r="BC606" s="3868"/>
      <c r="BD606" s="3868"/>
      <c r="BE606" s="3868"/>
      <c r="BF606" s="3868"/>
      <c r="BG606" s="3868"/>
      <c r="BH606" s="961"/>
      <c r="BI606" s="961"/>
    </row>
    <row r="607" spans="1:61" ht="22.5" customHeight="1">
      <c r="A607" s="3870" t="s">
        <v>1549</v>
      </c>
      <c r="B607" s="3870" t="s">
        <v>5767</v>
      </c>
      <c r="C607" s="3871" t="s">
        <v>178</v>
      </c>
      <c r="D607" s="3870" t="s">
        <v>5794</v>
      </c>
      <c r="E607" s="3872" t="s">
        <v>5798</v>
      </c>
      <c r="F607" s="3873">
        <v>601</v>
      </c>
      <c r="G607" s="3874" t="s">
        <v>5120</v>
      </c>
      <c r="H607" s="3874" t="s">
        <v>2019</v>
      </c>
      <c r="I607" s="3870">
        <v>601</v>
      </c>
      <c r="J607" s="3875"/>
      <c r="K607" s="3876"/>
      <c r="L607" s="3874" t="s">
        <v>5120</v>
      </c>
      <c r="M607" s="3877">
        <v>42426</v>
      </c>
      <c r="N607" s="3878">
        <v>645</v>
      </c>
      <c r="O607" s="3873"/>
      <c r="P607" s="3879" t="s">
        <v>5799</v>
      </c>
      <c r="Q607" s="3880">
        <v>1740000000000000</v>
      </c>
      <c r="R607" s="3879">
        <v>113000000000</v>
      </c>
      <c r="S607" s="3881">
        <f t="shared" si="0"/>
        <v>505061946902654.88</v>
      </c>
      <c r="T607" s="3882" t="s">
        <v>2423</v>
      </c>
      <c r="U607" s="3875"/>
      <c r="V607" s="3873">
        <f>180-9</f>
        <v>171</v>
      </c>
      <c r="W607" s="3680"/>
      <c r="X607" s="3883" t="s">
        <v>5799</v>
      </c>
      <c r="Y607" s="3680"/>
      <c r="Z607" s="3680"/>
      <c r="AA607" s="3680"/>
      <c r="AB607" s="3680"/>
      <c r="AC607" s="3680"/>
      <c r="AD607" s="3680"/>
      <c r="AE607" s="3680"/>
      <c r="AF607" s="3680"/>
      <c r="AG607" s="3680"/>
      <c r="AH607" s="3680"/>
      <c r="AI607" s="3680"/>
      <c r="AJ607" s="3680"/>
      <c r="AK607" s="3680"/>
      <c r="AL607" s="3680"/>
      <c r="AM607" s="3680"/>
      <c r="AN607" s="3680"/>
      <c r="AO607" s="3680"/>
      <c r="AP607" s="3680"/>
      <c r="AQ607" s="3680"/>
      <c r="AR607" s="3680"/>
      <c r="AS607" s="3680"/>
      <c r="AT607" s="3680"/>
      <c r="AU607" s="3680"/>
      <c r="AV607" s="3680"/>
      <c r="AW607" s="3680"/>
      <c r="AX607" s="3680"/>
      <c r="AY607" s="3680"/>
      <c r="AZ607" s="3680"/>
      <c r="BA607" s="3680"/>
      <c r="BB607" s="3680"/>
      <c r="BC607" s="3680"/>
      <c r="BD607" s="3680"/>
      <c r="BE607" s="3680"/>
      <c r="BF607" s="3680"/>
      <c r="BG607" s="3680"/>
      <c r="BH607" s="3680"/>
      <c r="BI607" s="3680"/>
    </row>
    <row r="608" spans="1:61" ht="22.5" customHeight="1">
      <c r="A608" s="3870" t="s">
        <v>1549</v>
      </c>
      <c r="B608" s="3870" t="s">
        <v>5767</v>
      </c>
      <c r="C608" s="3871" t="s">
        <v>178</v>
      </c>
      <c r="D608" s="3870" t="s">
        <v>5794</v>
      </c>
      <c r="E608" s="3872" t="s">
        <v>5798</v>
      </c>
      <c r="F608" s="3873">
        <v>602</v>
      </c>
      <c r="G608" s="3874" t="s">
        <v>5124</v>
      </c>
      <c r="H608" s="3874" t="s">
        <v>2021</v>
      </c>
      <c r="I608" s="3870">
        <v>602</v>
      </c>
      <c r="J608" s="3875"/>
      <c r="K608" s="3876"/>
      <c r="L608" s="3874" t="s">
        <v>5124</v>
      </c>
      <c r="M608" s="3877">
        <v>42426</v>
      </c>
      <c r="N608" s="3878">
        <v>646</v>
      </c>
      <c r="O608" s="3873"/>
      <c r="P608" s="3879" t="s">
        <v>5799</v>
      </c>
      <c r="Q608" s="3880">
        <v>1390000000000000</v>
      </c>
      <c r="R608" s="3879">
        <v>113000000000</v>
      </c>
      <c r="S608" s="3881">
        <f t="shared" si="0"/>
        <v>403469026548672.56</v>
      </c>
      <c r="T608" s="3882" t="s">
        <v>2423</v>
      </c>
      <c r="U608" s="3875"/>
      <c r="V608" s="3873">
        <f>170-11.2</f>
        <v>158.80000000000001</v>
      </c>
      <c r="W608" s="3680"/>
      <c r="X608" s="3883" t="s">
        <v>5799</v>
      </c>
      <c r="Y608" s="3680"/>
      <c r="Z608" s="3680"/>
      <c r="AA608" s="3680"/>
      <c r="AB608" s="3680"/>
      <c r="AC608" s="3680"/>
      <c r="AD608" s="3680"/>
      <c r="AE608" s="3680"/>
      <c r="AF608" s="3680"/>
      <c r="AG608" s="3680"/>
      <c r="AH608" s="3680"/>
      <c r="AI608" s="3680"/>
      <c r="AJ608" s="3680"/>
      <c r="AK608" s="3680"/>
      <c r="AL608" s="3680"/>
      <c r="AM608" s="3680"/>
      <c r="AN608" s="3680"/>
      <c r="AO608" s="3680"/>
      <c r="AP608" s="3680"/>
      <c r="AQ608" s="3680"/>
      <c r="AR608" s="3680"/>
      <c r="AS608" s="3680"/>
      <c r="AT608" s="3680"/>
      <c r="AU608" s="3680"/>
      <c r="AV608" s="3680"/>
      <c r="AW608" s="3680"/>
      <c r="AX608" s="3680"/>
      <c r="AY608" s="3680"/>
      <c r="AZ608" s="3680"/>
      <c r="BA608" s="3680"/>
      <c r="BB608" s="3680"/>
      <c r="BC608" s="3680"/>
      <c r="BD608" s="3680"/>
      <c r="BE608" s="3680"/>
      <c r="BF608" s="3680"/>
      <c r="BG608" s="3680"/>
      <c r="BH608" s="3680"/>
      <c r="BI608" s="3680"/>
    </row>
    <row r="609" spans="1:61" ht="22.5" customHeight="1">
      <c r="A609" s="3884" t="s">
        <v>1549</v>
      </c>
      <c r="B609" s="3884" t="s">
        <v>5800</v>
      </c>
      <c r="C609" s="3885" t="s">
        <v>5801</v>
      </c>
      <c r="D609" s="3884" t="s">
        <v>5794</v>
      </c>
      <c r="E609" s="3885" t="s">
        <v>2022</v>
      </c>
      <c r="F609" s="3886">
        <v>603</v>
      </c>
      <c r="G609" s="3885" t="s">
        <v>5127</v>
      </c>
      <c r="H609" s="3885" t="s">
        <v>2022</v>
      </c>
      <c r="I609" s="3884">
        <v>603</v>
      </c>
      <c r="J609" s="3887"/>
      <c r="K609" s="3888"/>
      <c r="L609" s="3885" t="s">
        <v>5127</v>
      </c>
      <c r="M609" s="3889">
        <v>42426</v>
      </c>
      <c r="N609" s="3890">
        <v>647</v>
      </c>
      <c r="O609" s="3886"/>
      <c r="P609" s="3891" t="s">
        <v>5799</v>
      </c>
      <c r="Q609" s="3892">
        <v>4440000000000000</v>
      </c>
      <c r="R609" s="3891">
        <v>113000000000</v>
      </c>
      <c r="S609" s="3893">
        <f t="shared" si="0"/>
        <v>1288778761061947</v>
      </c>
      <c r="T609" s="3894" t="s">
        <v>2423</v>
      </c>
      <c r="U609" s="3887"/>
      <c r="V609" s="3886">
        <f>190-6-1-1</f>
        <v>182</v>
      </c>
      <c r="W609" s="3895"/>
      <c r="X609" s="3896" t="s">
        <v>5799</v>
      </c>
      <c r="Y609" s="3895"/>
      <c r="Z609" s="3895"/>
      <c r="AA609" s="3895"/>
      <c r="AB609" s="3895"/>
      <c r="AC609" s="3895"/>
      <c r="AD609" s="3895"/>
      <c r="AE609" s="3895"/>
      <c r="AF609" s="3895"/>
      <c r="AG609" s="3895"/>
      <c r="AH609" s="3895"/>
      <c r="AI609" s="3895"/>
      <c r="AJ609" s="3895"/>
      <c r="AK609" s="3895"/>
      <c r="AL609" s="3895"/>
      <c r="AM609" s="3895"/>
      <c r="AN609" s="3895"/>
      <c r="AO609" s="3895"/>
      <c r="AP609" s="3895"/>
      <c r="AQ609" s="3895"/>
      <c r="AR609" s="3895"/>
      <c r="AS609" s="3895"/>
      <c r="AT609" s="3895"/>
      <c r="AU609" s="3895"/>
      <c r="AV609" s="3895"/>
      <c r="AW609" s="3895"/>
      <c r="AX609" s="3895"/>
      <c r="AY609" s="3895"/>
      <c r="AZ609" s="3895"/>
      <c r="BA609" s="3895"/>
      <c r="BB609" s="3895"/>
      <c r="BC609" s="3895"/>
      <c r="BD609" s="3895"/>
      <c r="BE609" s="3895"/>
      <c r="BF609" s="3895"/>
      <c r="BG609" s="3895"/>
      <c r="BH609" s="3897"/>
      <c r="BI609" s="3897"/>
    </row>
    <row r="610" spans="1:61" ht="22.5" customHeight="1">
      <c r="A610" s="3526" t="s">
        <v>1343</v>
      </c>
      <c r="B610" s="3526" t="s">
        <v>5732</v>
      </c>
      <c r="C610" s="3527" t="s">
        <v>5708</v>
      </c>
      <c r="D610" s="3526" t="s">
        <v>1088</v>
      </c>
      <c r="E610" s="3528" t="str">
        <f>VLOOKUP(F610,plasmids!$A$2:$B$891,2)</f>
        <v>AAV2-7m8</v>
      </c>
      <c r="F610" s="3529">
        <v>178</v>
      </c>
      <c r="G610" s="3530"/>
      <c r="H610" s="3530" t="str">
        <f>VLOOKUP(I610,plasmids!$A$2:$B$891,2)</f>
        <v>pscAAV-CAG-eNpHR-eYFP</v>
      </c>
      <c r="I610" s="3526">
        <v>295</v>
      </c>
      <c r="J610" s="3531"/>
      <c r="K610" s="3532"/>
      <c r="L610" s="3532"/>
      <c r="M610" s="3534">
        <v>42430</v>
      </c>
      <c r="N610" s="3535">
        <v>648</v>
      </c>
      <c r="O610" s="3529"/>
      <c r="P610" s="3536"/>
      <c r="Q610" s="3898">
        <v>7830000000000</v>
      </c>
      <c r="R610" s="3539">
        <v>17000000000</v>
      </c>
      <c r="S610" s="3899">
        <f t="shared" si="0"/>
        <v>15107294117647.059</v>
      </c>
      <c r="T610" s="3531"/>
      <c r="U610" s="3531"/>
      <c r="V610" s="3900">
        <f>131</f>
        <v>131</v>
      </c>
      <c r="W610" s="3541"/>
      <c r="X610" s="3541"/>
      <c r="Y610" s="3541"/>
      <c r="Z610" s="3541"/>
      <c r="AA610" s="3541"/>
      <c r="AB610" s="3541"/>
      <c r="AC610" s="3541"/>
      <c r="AD610" s="3541"/>
      <c r="AE610" s="3541"/>
      <c r="AF610" s="3541"/>
      <c r="AG610" s="3541"/>
      <c r="AH610" s="3541"/>
      <c r="AI610" s="3541"/>
      <c r="AJ610" s="3541"/>
      <c r="AK610" s="3541"/>
      <c r="AL610" s="3541"/>
      <c r="AM610" s="3541"/>
      <c r="AN610" s="3541"/>
      <c r="AO610" s="3541"/>
      <c r="AP610" s="3541"/>
      <c r="AQ610" s="3541"/>
      <c r="AR610" s="3541"/>
      <c r="AS610" s="3541"/>
      <c r="AT610" s="3541"/>
      <c r="AU610" s="3541"/>
      <c r="AV610" s="3541"/>
      <c r="AW610" s="3541"/>
      <c r="AX610" s="3541"/>
      <c r="AY610" s="3541"/>
      <c r="AZ610" s="3541"/>
      <c r="BA610" s="3541"/>
      <c r="BB610" s="3541"/>
      <c r="BC610" s="3541"/>
      <c r="BD610" s="3541"/>
      <c r="BE610" s="3541"/>
      <c r="BF610" s="3541"/>
      <c r="BG610" s="3541"/>
      <c r="BH610" s="3541"/>
      <c r="BI610" s="3541"/>
    </row>
    <row r="611" spans="1:61" ht="22.5" customHeight="1">
      <c r="A611" s="3526" t="s">
        <v>1343</v>
      </c>
      <c r="B611" s="3526" t="s">
        <v>5732</v>
      </c>
      <c r="C611" s="3527" t="s">
        <v>5708</v>
      </c>
      <c r="D611" s="3526" t="s">
        <v>1088</v>
      </c>
      <c r="E611" s="3528" t="str">
        <f>VLOOKUP(F611,plasmids!$A$2:$B$891,2)</f>
        <v>AAV2-7m8</v>
      </c>
      <c r="F611" s="3529">
        <v>178</v>
      </c>
      <c r="G611" s="3530"/>
      <c r="H611" s="3530" t="str">
        <f>VLOOKUP(I611,plasmids!$A$2:$B$891,2)</f>
        <v>pscAAV-CAG-hCatCh-GFP</v>
      </c>
      <c r="I611" s="3526">
        <v>358</v>
      </c>
      <c r="J611" s="3531"/>
      <c r="K611" s="3532"/>
      <c r="L611" s="3532"/>
      <c r="M611" s="3534">
        <v>42430</v>
      </c>
      <c r="N611" s="3535">
        <v>649</v>
      </c>
      <c r="O611" s="3529"/>
      <c r="P611" s="3536"/>
      <c r="Q611" s="3898">
        <v>57500000000000</v>
      </c>
      <c r="R611" s="3539">
        <v>17000000000</v>
      </c>
      <c r="S611" s="3899">
        <f t="shared" si="0"/>
        <v>110941176470588.23</v>
      </c>
      <c r="T611" s="3531"/>
      <c r="U611" s="3531"/>
      <c r="V611" s="3900">
        <f>175</f>
        <v>175</v>
      </c>
      <c r="W611" s="3541"/>
      <c r="X611" s="3541"/>
      <c r="Y611" s="3541"/>
      <c r="Z611" s="3541"/>
      <c r="AA611" s="3541"/>
      <c r="AB611" s="3541"/>
      <c r="AC611" s="3541"/>
      <c r="AD611" s="3541"/>
      <c r="AE611" s="3541"/>
      <c r="AF611" s="3541"/>
      <c r="AG611" s="3541"/>
      <c r="AH611" s="3541"/>
      <c r="AI611" s="3541"/>
      <c r="AJ611" s="3541"/>
      <c r="AK611" s="3541"/>
      <c r="AL611" s="3541"/>
      <c r="AM611" s="3541"/>
      <c r="AN611" s="3541"/>
      <c r="AO611" s="3541"/>
      <c r="AP611" s="3541"/>
      <c r="AQ611" s="3541"/>
      <c r="AR611" s="3541"/>
      <c r="AS611" s="3541"/>
      <c r="AT611" s="3541"/>
      <c r="AU611" s="3541"/>
      <c r="AV611" s="3541"/>
      <c r="AW611" s="3541"/>
      <c r="AX611" s="3541"/>
      <c r="AY611" s="3541"/>
      <c r="AZ611" s="3541"/>
      <c r="BA611" s="3541"/>
      <c r="BB611" s="3541"/>
      <c r="BC611" s="3541"/>
      <c r="BD611" s="3541"/>
      <c r="BE611" s="3541"/>
      <c r="BF611" s="3541"/>
      <c r="BG611" s="3541"/>
      <c r="BH611" s="3541"/>
      <c r="BI611" s="3541"/>
    </row>
    <row r="612" spans="1:61" ht="22.5" customHeight="1">
      <c r="A612" s="3526" t="s">
        <v>1343</v>
      </c>
      <c r="B612" s="3526" t="s">
        <v>5732</v>
      </c>
      <c r="C612" s="3527" t="s">
        <v>5708</v>
      </c>
      <c r="D612" s="3526" t="s">
        <v>1088</v>
      </c>
      <c r="E612" s="3528" t="str">
        <f>VLOOKUP(F612,plasmids!$A$2:$B$891,2)</f>
        <v>AAV2-7m8</v>
      </c>
      <c r="F612" s="3529">
        <v>178</v>
      </c>
      <c r="G612" s="3530"/>
      <c r="H612" s="3530" t="str">
        <f>VLOOKUP(I612,plasmids!$A$2:$B$891,2)</f>
        <v>pssAAV-CAG-ChrimsonR-GFP</v>
      </c>
      <c r="I612" s="3526">
        <v>472</v>
      </c>
      <c r="J612" s="3531"/>
      <c r="K612" s="3532"/>
      <c r="L612" s="3532"/>
      <c r="M612" s="3534">
        <v>42430</v>
      </c>
      <c r="N612" s="3535">
        <v>650</v>
      </c>
      <c r="O612" s="3529"/>
      <c r="P612" s="3536"/>
      <c r="Q612" s="3898">
        <v>38300000000000</v>
      </c>
      <c r="R612" s="3539">
        <v>17000000000</v>
      </c>
      <c r="S612" s="3899">
        <f t="shared" si="0"/>
        <v>73896470588235.297</v>
      </c>
      <c r="T612" s="3531"/>
      <c r="U612" s="3531"/>
      <c r="V612" s="3900">
        <f>114</f>
        <v>114</v>
      </c>
      <c r="W612" s="3541"/>
      <c r="X612" s="3541"/>
      <c r="Y612" s="3541"/>
      <c r="Z612" s="3541"/>
      <c r="AA612" s="3541"/>
      <c r="AB612" s="3541"/>
      <c r="AC612" s="3541"/>
      <c r="AD612" s="3541"/>
      <c r="AE612" s="3541"/>
      <c r="AF612" s="3541"/>
      <c r="AG612" s="3541"/>
      <c r="AH612" s="3541"/>
      <c r="AI612" s="3541"/>
      <c r="AJ612" s="3541"/>
      <c r="AK612" s="3541"/>
      <c r="AL612" s="3541"/>
      <c r="AM612" s="3541"/>
      <c r="AN612" s="3541"/>
      <c r="AO612" s="3541"/>
      <c r="AP612" s="3541"/>
      <c r="AQ612" s="3541"/>
      <c r="AR612" s="3541"/>
      <c r="AS612" s="3541"/>
      <c r="AT612" s="3541"/>
      <c r="AU612" s="3541"/>
      <c r="AV612" s="3541"/>
      <c r="AW612" s="3541"/>
      <c r="AX612" s="3541"/>
      <c r="AY612" s="3541"/>
      <c r="AZ612" s="3541"/>
      <c r="BA612" s="3541"/>
      <c r="BB612" s="3541"/>
      <c r="BC612" s="3541"/>
      <c r="BD612" s="3541"/>
      <c r="BE612" s="3541"/>
      <c r="BF612" s="3541"/>
      <c r="BG612" s="3541"/>
      <c r="BH612" s="3541"/>
      <c r="BI612" s="3541"/>
    </row>
    <row r="613" spans="1:61" ht="22.5" customHeight="1">
      <c r="A613" s="3901" t="s">
        <v>707</v>
      </c>
      <c r="B613" s="3901" t="s">
        <v>5802</v>
      </c>
      <c r="C613" s="3902" t="s">
        <v>1967</v>
      </c>
      <c r="D613" s="3901" t="s">
        <v>4867</v>
      </c>
      <c r="E613" s="3903" t="s">
        <v>5803</v>
      </c>
      <c r="F613" s="3904">
        <v>607</v>
      </c>
      <c r="G613" s="3126"/>
      <c r="H613" s="3126" t="str">
        <f>VLOOKUP(I613,plasmids!$A$2:$B$891,2)</f>
        <v>sc-CAG-GFP</v>
      </c>
      <c r="I613" s="3901">
        <v>120</v>
      </c>
      <c r="J613" s="3905"/>
      <c r="K613" s="3906"/>
      <c r="L613" s="3906"/>
      <c r="M613" s="3907">
        <v>42433</v>
      </c>
      <c r="N613" s="3908">
        <v>651</v>
      </c>
      <c r="O613" s="3904"/>
      <c r="P613" s="3909"/>
      <c r="Q613" s="3910">
        <v>1770000000000</v>
      </c>
      <c r="R613" s="3911">
        <v>17000000000</v>
      </c>
      <c r="S613" s="3912">
        <f t="shared" si="0"/>
        <v>3415058823529.4116</v>
      </c>
      <c r="T613" s="3901" t="s">
        <v>5754</v>
      </c>
      <c r="U613" s="3905"/>
      <c r="V613" s="3913">
        <f>112-5</f>
        <v>107</v>
      </c>
      <c r="W613" s="3914" t="s">
        <v>2812</v>
      </c>
      <c r="X613" s="3915"/>
      <c r="Y613" s="3915"/>
      <c r="Z613" s="3915"/>
      <c r="AA613" s="3915"/>
      <c r="AB613" s="3915"/>
      <c r="AC613" s="3915"/>
      <c r="AD613" s="3915"/>
      <c r="AE613" s="3915"/>
      <c r="AF613" s="3915"/>
      <c r="AG613" s="3915"/>
      <c r="AH613" s="3915"/>
      <c r="AI613" s="3915"/>
      <c r="AJ613" s="3915"/>
      <c r="AK613" s="3915"/>
      <c r="AL613" s="3915"/>
      <c r="AM613" s="3915"/>
      <c r="AN613" s="3915"/>
      <c r="AO613" s="3915"/>
      <c r="AP613" s="3915"/>
      <c r="AQ613" s="3915"/>
      <c r="AR613" s="3915"/>
      <c r="AS613" s="3915"/>
      <c r="AT613" s="3915"/>
      <c r="AU613" s="3915"/>
      <c r="AV613" s="3915"/>
      <c r="AW613" s="3915"/>
      <c r="AX613" s="3915"/>
      <c r="AY613" s="3915"/>
      <c r="AZ613" s="3915"/>
      <c r="BA613" s="3915"/>
      <c r="BB613" s="3915"/>
      <c r="BC613" s="3915"/>
      <c r="BD613" s="3915"/>
      <c r="BE613" s="3915"/>
      <c r="BF613" s="3915"/>
      <c r="BG613" s="3915"/>
      <c r="BH613" s="3915"/>
      <c r="BI613" s="3915"/>
    </row>
    <row r="614" spans="1:61" ht="22.5" customHeight="1">
      <c r="A614" s="3901" t="s">
        <v>707</v>
      </c>
      <c r="B614" s="3901" t="s">
        <v>5802</v>
      </c>
      <c r="C614" s="3902" t="s">
        <v>1967</v>
      </c>
      <c r="D614" s="3901" t="s">
        <v>4867</v>
      </c>
      <c r="E614" s="3903" t="s">
        <v>5804</v>
      </c>
      <c r="F614" s="3904">
        <v>608</v>
      </c>
      <c r="G614" s="3126"/>
      <c r="H614" s="3126" t="str">
        <f>VLOOKUP(I614,plasmids!$A$2:$B$891,2)</f>
        <v>sc-CAG-GFP</v>
      </c>
      <c r="I614" s="3901">
        <v>120</v>
      </c>
      <c r="J614" s="3905"/>
      <c r="K614" s="3906"/>
      <c r="L614" s="3906"/>
      <c r="M614" s="3907">
        <v>42433</v>
      </c>
      <c r="N614" s="3908">
        <v>652</v>
      </c>
      <c r="O614" s="3904"/>
      <c r="P614" s="3909"/>
      <c r="Q614" s="3910">
        <v>14700000000</v>
      </c>
      <c r="R614" s="3911">
        <v>17000000000</v>
      </c>
      <c r="S614" s="3912">
        <f t="shared" si="0"/>
        <v>28362352941.176472</v>
      </c>
      <c r="T614" s="3916" t="s">
        <v>5789</v>
      </c>
      <c r="U614" s="3905"/>
      <c r="V614" s="3913">
        <f>92</f>
        <v>92</v>
      </c>
      <c r="W614" s="3915"/>
      <c r="X614" s="3915"/>
      <c r="Y614" s="3915"/>
      <c r="Z614" s="3915"/>
      <c r="AA614" s="3915"/>
      <c r="AB614" s="3915"/>
      <c r="AC614" s="3915"/>
      <c r="AD614" s="3915"/>
      <c r="AE614" s="3915"/>
      <c r="AF614" s="3915"/>
      <c r="AG614" s="3915"/>
      <c r="AH614" s="3915"/>
      <c r="AI614" s="3915"/>
      <c r="AJ614" s="3915"/>
      <c r="AK614" s="3915"/>
      <c r="AL614" s="3915"/>
      <c r="AM614" s="3915"/>
      <c r="AN614" s="3915"/>
      <c r="AO614" s="3915"/>
      <c r="AP614" s="3915"/>
      <c r="AQ614" s="3915"/>
      <c r="AR614" s="3915"/>
      <c r="AS614" s="3915"/>
      <c r="AT614" s="3915"/>
      <c r="AU614" s="3915"/>
      <c r="AV614" s="3915"/>
      <c r="AW614" s="3915"/>
      <c r="AX614" s="3915"/>
      <c r="AY614" s="3915"/>
      <c r="AZ614" s="3915"/>
      <c r="BA614" s="3915"/>
      <c r="BB614" s="3915"/>
      <c r="BC614" s="3915"/>
      <c r="BD614" s="3915"/>
      <c r="BE614" s="3915"/>
      <c r="BF614" s="3915"/>
      <c r="BG614" s="3915"/>
      <c r="BH614" s="3915"/>
      <c r="BI614" s="3915"/>
    </row>
    <row r="615" spans="1:61" ht="22.5" customHeight="1">
      <c r="A615" s="3585" t="s">
        <v>707</v>
      </c>
      <c r="B615" s="3585" t="s">
        <v>5802</v>
      </c>
      <c r="C615" s="3917" t="s">
        <v>1967</v>
      </c>
      <c r="D615" s="3585" t="s">
        <v>4867</v>
      </c>
      <c r="E615" s="3918" t="str">
        <f>VLOOKUP(F615,plasmids!$A$2:$B$891,2)</f>
        <v>AAV9</v>
      </c>
      <c r="F615" s="739">
        <v>166</v>
      </c>
      <c r="G615" s="1667"/>
      <c r="H615" s="1667" t="str">
        <f>VLOOKUP(I615,plasmids!$A$2:$B$891,2)</f>
        <v>sc-CAG-GFP</v>
      </c>
      <c r="I615" s="3585">
        <v>120</v>
      </c>
      <c r="J615" s="744"/>
      <c r="K615" s="1668"/>
      <c r="L615" s="1668"/>
      <c r="M615" s="737">
        <v>42433</v>
      </c>
      <c r="N615" s="738">
        <v>653</v>
      </c>
      <c r="O615" s="739"/>
      <c r="P615" s="742"/>
      <c r="Q615" s="3919">
        <v>206000000000000</v>
      </c>
      <c r="R615" s="743">
        <v>17000000000</v>
      </c>
      <c r="S615" s="3920">
        <f t="shared" si="0"/>
        <v>397458823529411.75</v>
      </c>
      <c r="T615" s="734" t="s">
        <v>5754</v>
      </c>
      <c r="U615" s="744"/>
      <c r="V615" s="739" t="s">
        <v>5805</v>
      </c>
      <c r="W615" s="2224" t="s">
        <v>2812</v>
      </c>
      <c r="X615" s="733"/>
      <c r="Y615" s="733"/>
      <c r="Z615" s="733"/>
      <c r="AA615" s="733"/>
      <c r="AB615" s="733"/>
      <c r="AC615" s="733"/>
      <c r="AD615" s="733"/>
      <c r="AE615" s="733"/>
      <c r="AF615" s="733"/>
      <c r="AG615" s="733"/>
      <c r="AH615" s="733"/>
      <c r="AI615" s="733"/>
      <c r="AJ615" s="733"/>
      <c r="AK615" s="733"/>
      <c r="AL615" s="733"/>
      <c r="AM615" s="733"/>
      <c r="AN615" s="733"/>
      <c r="AO615" s="733"/>
      <c r="AP615" s="733"/>
      <c r="AQ615" s="733"/>
      <c r="AR615" s="733"/>
      <c r="AS615" s="733"/>
      <c r="AT615" s="733"/>
      <c r="AU615" s="733"/>
      <c r="AV615" s="733"/>
      <c r="AW615" s="733"/>
      <c r="AX615" s="733"/>
      <c r="AY615" s="733"/>
      <c r="AZ615" s="733"/>
      <c r="BA615" s="733"/>
      <c r="BB615" s="733"/>
      <c r="BC615" s="733"/>
      <c r="BD615" s="733"/>
      <c r="BE615" s="733"/>
      <c r="BF615" s="733"/>
      <c r="BG615" s="733"/>
      <c r="BH615" s="733"/>
      <c r="BI615" s="733"/>
    </row>
    <row r="616" spans="1:61" ht="22.5" customHeight="1">
      <c r="A616" s="3585" t="s">
        <v>707</v>
      </c>
      <c r="B616" s="3585" t="s">
        <v>5802</v>
      </c>
      <c r="C616" s="3917" t="s">
        <v>1967</v>
      </c>
      <c r="D616" s="3585" t="s">
        <v>4867</v>
      </c>
      <c r="E616" s="3918" t="str">
        <f>VLOOKUP(F616,plasmids!$A$2:$B$891,2)</f>
        <v>AAV2</v>
      </c>
      <c r="F616" s="739">
        <v>140</v>
      </c>
      <c r="G616" s="1667"/>
      <c r="H616" s="1667" t="str">
        <f>VLOOKUP(I616,plasmids!$A$2:$B$891,2)</f>
        <v>sc-CAG-GFP</v>
      </c>
      <c r="I616" s="3585">
        <v>120</v>
      </c>
      <c r="J616" s="744"/>
      <c r="K616" s="1668"/>
      <c r="L616" s="1668"/>
      <c r="M616" s="737">
        <v>42433</v>
      </c>
      <c r="N616" s="738">
        <v>654</v>
      </c>
      <c r="O616" s="739" t="s">
        <v>5357</v>
      </c>
      <c r="P616" s="742"/>
      <c r="Q616" s="3919">
        <v>53200000000000</v>
      </c>
      <c r="R616" s="743">
        <v>17000000000</v>
      </c>
      <c r="S616" s="3920">
        <f t="shared" si="0"/>
        <v>102644705882352.94</v>
      </c>
      <c r="T616" s="734" t="s">
        <v>5754</v>
      </c>
      <c r="U616" s="744"/>
      <c r="V616" s="739" t="s">
        <v>5806</v>
      </c>
      <c r="W616" s="2224" t="s">
        <v>2812</v>
      </c>
      <c r="X616" s="733"/>
      <c r="Y616" s="733"/>
      <c r="Z616" s="733"/>
      <c r="AA616" s="733"/>
      <c r="AB616" s="733"/>
      <c r="AC616" s="733"/>
      <c r="AD616" s="733"/>
      <c r="AE616" s="733"/>
      <c r="AF616" s="733"/>
      <c r="AG616" s="733"/>
      <c r="AH616" s="733"/>
      <c r="AI616" s="733"/>
      <c r="AJ616" s="733"/>
      <c r="AK616" s="733"/>
      <c r="AL616" s="733"/>
      <c r="AM616" s="733"/>
      <c r="AN616" s="733"/>
      <c r="AO616" s="733"/>
      <c r="AP616" s="733"/>
      <c r="AQ616" s="733"/>
      <c r="AR616" s="733"/>
      <c r="AS616" s="733"/>
      <c r="AT616" s="733"/>
      <c r="AU616" s="733"/>
      <c r="AV616" s="733"/>
      <c r="AW616" s="733"/>
      <c r="AX616" s="733"/>
      <c r="AY616" s="733"/>
      <c r="AZ616" s="733"/>
      <c r="BA616" s="733"/>
      <c r="BB616" s="733"/>
      <c r="BC616" s="733"/>
      <c r="BD616" s="733"/>
      <c r="BE616" s="733"/>
      <c r="BF616" s="733"/>
      <c r="BG616" s="733"/>
      <c r="BH616" s="733"/>
      <c r="BI616" s="733"/>
    </row>
    <row r="617" spans="1:61" ht="22.5" customHeight="1">
      <c r="A617" s="3526" t="s">
        <v>1343</v>
      </c>
      <c r="B617" s="3526" t="s">
        <v>5732</v>
      </c>
      <c r="C617" s="3527" t="s">
        <v>5708</v>
      </c>
      <c r="D617" s="3526" t="s">
        <v>1088</v>
      </c>
      <c r="E617" s="3528" t="str">
        <f>VLOOKUP(F617,plasmids!$A$2:$B$891,2)</f>
        <v>AAV2-7m8</v>
      </c>
      <c r="F617" s="3529">
        <v>178</v>
      </c>
      <c r="G617" s="3530"/>
      <c r="H617" s="3530" t="str">
        <f>VLOOKUP(I617,plasmids!$A$2:$B$891,2)</f>
        <v>scCAG-ReachR-GFP</v>
      </c>
      <c r="I617" s="3526">
        <v>353</v>
      </c>
      <c r="J617" s="3531"/>
      <c r="K617" s="3532"/>
      <c r="L617" s="3532"/>
      <c r="M617" s="3534">
        <v>42436</v>
      </c>
      <c r="N617" s="3535">
        <v>655</v>
      </c>
      <c r="O617" s="3529"/>
      <c r="P617" s="3536"/>
      <c r="Q617" s="3921">
        <v>14000000000000</v>
      </c>
      <c r="R617" s="3922">
        <v>19100000000</v>
      </c>
      <c r="S617" s="3755">
        <f t="shared" si="0"/>
        <v>24041884816753.926</v>
      </c>
      <c r="T617" s="3531"/>
      <c r="U617" s="3531"/>
      <c r="V617" s="3900">
        <f>151</f>
        <v>151</v>
      </c>
      <c r="W617" s="3541"/>
      <c r="X617" s="3541"/>
      <c r="Y617" s="3541"/>
      <c r="Z617" s="3541"/>
      <c r="AA617" s="3541"/>
      <c r="AB617" s="3541"/>
      <c r="AC617" s="3541"/>
      <c r="AD617" s="3541"/>
      <c r="AE617" s="3541"/>
      <c r="AF617" s="3541"/>
      <c r="AG617" s="3541"/>
      <c r="AH617" s="3541"/>
      <c r="AI617" s="3541"/>
      <c r="AJ617" s="3541"/>
      <c r="AK617" s="3541"/>
      <c r="AL617" s="3541"/>
      <c r="AM617" s="3541"/>
      <c r="AN617" s="3541"/>
      <c r="AO617" s="3541"/>
      <c r="AP617" s="3541"/>
      <c r="AQ617" s="3541"/>
      <c r="AR617" s="3541"/>
      <c r="AS617" s="3541"/>
      <c r="AT617" s="3541"/>
      <c r="AU617" s="3541"/>
      <c r="AV617" s="3541"/>
      <c r="AW617" s="3541"/>
      <c r="AX617" s="3541"/>
      <c r="AY617" s="3541"/>
      <c r="AZ617" s="3541"/>
      <c r="BA617" s="3541"/>
      <c r="BB617" s="3541"/>
      <c r="BC617" s="3541"/>
      <c r="BD617" s="3541"/>
      <c r="BE617" s="3541"/>
      <c r="BF617" s="3541"/>
      <c r="BG617" s="3541"/>
      <c r="BH617" s="3541"/>
      <c r="BI617" s="3541"/>
    </row>
    <row r="618" spans="1:61" ht="22.5" customHeight="1">
      <c r="A618" s="3526" t="s">
        <v>1343</v>
      </c>
      <c r="B618" s="3526" t="s">
        <v>5732</v>
      </c>
      <c r="C618" s="3527" t="s">
        <v>5708</v>
      </c>
      <c r="D618" s="3526" t="s">
        <v>1088</v>
      </c>
      <c r="E618" s="3528" t="str">
        <f>VLOOKUP(F618,plasmids!$A$2:$B$891,2)</f>
        <v>AAV2-7m8</v>
      </c>
      <c r="F618" s="3529">
        <v>178</v>
      </c>
      <c r="G618" s="3530"/>
      <c r="H618" s="3530" t="str">
        <f>VLOOKUP(I618,plasmids!$A$2:$B$891,2)</f>
        <v>pscAAV-CAG-Lwo-GFP</v>
      </c>
      <c r="I618" s="3526">
        <v>538</v>
      </c>
      <c r="J618" s="3531"/>
      <c r="K618" s="3532"/>
      <c r="L618" s="3532"/>
      <c r="M618" s="3534">
        <v>42436</v>
      </c>
      <c r="N618" s="3535">
        <v>656</v>
      </c>
      <c r="O618" s="3529"/>
      <c r="P618" s="3536"/>
      <c r="Q618" s="3921">
        <v>44100000000000</v>
      </c>
      <c r="R618" s="3922">
        <v>19100000000</v>
      </c>
      <c r="S618" s="3755">
        <f t="shared" si="0"/>
        <v>75731937172774.875</v>
      </c>
      <c r="T618" s="3531"/>
      <c r="U618" s="3531"/>
      <c r="V618" s="3900">
        <f>84</f>
        <v>84</v>
      </c>
      <c r="W618" s="3541"/>
      <c r="X618" s="3541"/>
      <c r="Y618" s="3541"/>
      <c r="Z618" s="3541"/>
      <c r="AA618" s="3541"/>
      <c r="AB618" s="3541"/>
      <c r="AC618" s="3541"/>
      <c r="AD618" s="3541"/>
      <c r="AE618" s="3541"/>
      <c r="AF618" s="3541"/>
      <c r="AG618" s="3541"/>
      <c r="AH618" s="3541"/>
      <c r="AI618" s="3541"/>
      <c r="AJ618" s="3541"/>
      <c r="AK618" s="3541"/>
      <c r="AL618" s="3541"/>
      <c r="AM618" s="3541"/>
      <c r="AN618" s="3541"/>
      <c r="AO618" s="3541"/>
      <c r="AP618" s="3541"/>
      <c r="AQ618" s="3541"/>
      <c r="AR618" s="3541"/>
      <c r="AS618" s="3541"/>
      <c r="AT618" s="3541"/>
      <c r="AU618" s="3541"/>
      <c r="AV618" s="3541"/>
      <c r="AW618" s="3541"/>
      <c r="AX618" s="3541"/>
      <c r="AY618" s="3541"/>
      <c r="AZ618" s="3541"/>
      <c r="BA618" s="3541"/>
      <c r="BB618" s="3541"/>
      <c r="BC618" s="3541"/>
      <c r="BD618" s="3541"/>
      <c r="BE618" s="3541"/>
      <c r="BF618" s="3541"/>
      <c r="BG618" s="3541"/>
      <c r="BH618" s="3541"/>
      <c r="BI618" s="3541"/>
    </row>
    <row r="619" spans="1:61" ht="24" customHeight="1">
      <c r="A619" s="3923" t="s">
        <v>2091</v>
      </c>
      <c r="B619" s="3923" t="s">
        <v>5807</v>
      </c>
      <c r="C619" s="1833" t="s">
        <v>4457</v>
      </c>
      <c r="D619" s="3923" t="s">
        <v>4460</v>
      </c>
      <c r="E619" s="1832" t="s">
        <v>58</v>
      </c>
      <c r="F619" s="1898">
        <v>178</v>
      </c>
      <c r="G619" s="1834"/>
      <c r="H619" s="1834" t="str">
        <f>VLOOKUP(I619,plasmids!$A$2:$B$391,2)</f>
        <v>pssAAV-1xGrm6-GFP_x000D_</v>
      </c>
      <c r="I619" s="1832">
        <v>359</v>
      </c>
      <c r="J619" s="1854"/>
      <c r="K619" s="1832" t="s">
        <v>4428</v>
      </c>
      <c r="L619" s="1856"/>
      <c r="M619" s="1857">
        <v>42467</v>
      </c>
      <c r="N619" s="1897">
        <v>657</v>
      </c>
      <c r="O619" s="1898"/>
      <c r="P619" s="1899"/>
      <c r="Q619" s="1900">
        <v>11300000000000</v>
      </c>
      <c r="R619" s="2450">
        <v>19100000000</v>
      </c>
      <c r="S619" s="3924">
        <f t="shared" si="0"/>
        <v>19405235602094.242</v>
      </c>
      <c r="T619" s="2452"/>
      <c r="U619" s="2452"/>
      <c r="V619" s="2453">
        <f>113</f>
        <v>113</v>
      </c>
      <c r="W619" s="1898" t="s">
        <v>5808</v>
      </c>
      <c r="X619" s="1854"/>
      <c r="Y619" s="2452">
        <v>42524</v>
      </c>
      <c r="Z619" s="1854"/>
      <c r="AA619" s="1854"/>
      <c r="AB619" s="1854"/>
      <c r="AC619" s="1854"/>
      <c r="AD619" s="1854"/>
      <c r="AE619" s="1854"/>
      <c r="AF619" s="1854"/>
      <c r="AG619" s="1854"/>
      <c r="AH619" s="1854"/>
      <c r="AI619" s="1854"/>
      <c r="AJ619" s="1854"/>
      <c r="AK619" s="1854"/>
      <c r="AL619" s="1854"/>
      <c r="AM619" s="1854"/>
      <c r="AN619" s="1854"/>
      <c r="AO619" s="1854"/>
      <c r="AP619" s="1854"/>
      <c r="AQ619" s="1854"/>
      <c r="AR619" s="1854"/>
      <c r="AS619" s="1854"/>
      <c r="AT619" s="1854"/>
      <c r="AU619" s="1854"/>
      <c r="AV619" s="1854"/>
      <c r="AW619" s="1854"/>
      <c r="AX619" s="1854"/>
      <c r="AY619" s="1766"/>
      <c r="AZ619" s="1766"/>
      <c r="BA619" s="1766"/>
      <c r="BB619" s="1766"/>
      <c r="BC619" s="1766"/>
      <c r="BD619" s="1766"/>
      <c r="BE619" s="1766"/>
      <c r="BF619" s="1766"/>
      <c r="BG619" s="1766"/>
      <c r="BH619" s="1766"/>
      <c r="BI619" s="1766"/>
    </row>
    <row r="620" spans="1:61" ht="26.25" customHeight="1">
      <c r="A620" s="3925" t="s">
        <v>600</v>
      </c>
      <c r="B620" s="3925" t="s">
        <v>5809</v>
      </c>
      <c r="C620" s="3926" t="s">
        <v>301</v>
      </c>
      <c r="D620" s="3927" t="s">
        <v>3368</v>
      </c>
      <c r="E620" s="3928" t="str">
        <f>VLOOKUP(F620,plasmids!$A$2:$B$351,2)</f>
        <v>AAV9</v>
      </c>
      <c r="F620" s="3929">
        <v>166</v>
      </c>
      <c r="G620" s="3930"/>
      <c r="H620" s="3931" t="str">
        <f>VLOOKUP(I620,plasmids!$A$2:$B$891,2)</f>
        <v>pTR-scCMV-luciférase</v>
      </c>
      <c r="I620" s="3925">
        <v>131</v>
      </c>
      <c r="J620" s="3932"/>
      <c r="K620" s="3933"/>
      <c r="L620" s="3934"/>
      <c r="M620" s="3935">
        <v>42436</v>
      </c>
      <c r="N620" s="3936">
        <v>658</v>
      </c>
      <c r="O620" s="3929"/>
      <c r="P620" s="3937"/>
      <c r="Q620" s="3938">
        <v>49600000000000</v>
      </c>
      <c r="R620" s="3939">
        <v>19100000000</v>
      </c>
      <c r="S620" s="3940">
        <f t="shared" si="0"/>
        <v>85176963350785.344</v>
      </c>
      <c r="T620" s="3927"/>
      <c r="U620" s="3932"/>
      <c r="V620" s="3927">
        <f>84</f>
        <v>84</v>
      </c>
      <c r="W620" s="3941" t="s">
        <v>5810</v>
      </c>
      <c r="X620" s="3942"/>
      <c r="Y620" s="3942"/>
      <c r="Z620" s="3942"/>
      <c r="AA620" s="3942"/>
      <c r="AB620" s="3942"/>
      <c r="AC620" s="3942"/>
      <c r="AD620" s="3942"/>
      <c r="AE620" s="3942"/>
      <c r="AF620" s="3942"/>
      <c r="AG620" s="3942"/>
      <c r="AH620" s="3942"/>
      <c r="AI620" s="3942"/>
      <c r="AJ620" s="3942"/>
      <c r="AK620" s="3942"/>
      <c r="AL620" s="3942"/>
      <c r="AM620" s="3942"/>
      <c r="AN620" s="3942"/>
      <c r="AO620" s="3942"/>
      <c r="AP620" s="3942"/>
      <c r="AQ620" s="3942"/>
      <c r="AR620" s="3942"/>
      <c r="AS620" s="3942"/>
      <c r="AT620" s="3942"/>
      <c r="AU620" s="3942"/>
      <c r="AV620" s="3942"/>
      <c r="AW620" s="3942"/>
      <c r="AX620" s="3942"/>
      <c r="AY620" s="3942"/>
      <c r="AZ620" s="3942"/>
      <c r="BA620" s="3942"/>
      <c r="BB620" s="3942"/>
      <c r="BC620" s="3942"/>
      <c r="BD620" s="3942"/>
      <c r="BE620" s="3942"/>
      <c r="BF620" s="3942"/>
      <c r="BG620" s="3942"/>
      <c r="BH620" s="3942"/>
      <c r="BI620" s="3942"/>
    </row>
    <row r="621" spans="1:61" ht="22.5" customHeight="1">
      <c r="A621" s="3901" t="s">
        <v>707</v>
      </c>
      <c r="B621" s="3901" t="s">
        <v>5802</v>
      </c>
      <c r="C621" s="3902" t="s">
        <v>1967</v>
      </c>
      <c r="D621" s="3901" t="s">
        <v>4867</v>
      </c>
      <c r="E621" s="3903" t="str">
        <f>VLOOKUP(F621,plasmids!$A$2:$B$891,2)</f>
        <v>pAAV2/5(M569A,Y585A,L587A)</v>
      </c>
      <c r="F621" s="3904">
        <v>610</v>
      </c>
      <c r="G621" s="3126"/>
      <c r="H621" s="3943" t="str">
        <f>VLOOKUP(I621,plasmids!$A$2:$B$891,2)</f>
        <v>sc-CAG-GFP</v>
      </c>
      <c r="I621" s="3901">
        <v>120</v>
      </c>
      <c r="J621" s="3905"/>
      <c r="K621" s="3906"/>
      <c r="L621" s="3906"/>
      <c r="M621" s="3907">
        <v>42443</v>
      </c>
      <c r="N621" s="3908">
        <v>659</v>
      </c>
      <c r="O621" s="3944">
        <v>3</v>
      </c>
      <c r="P621" s="3909"/>
      <c r="Q621" s="3945">
        <v>39000000000000</v>
      </c>
      <c r="R621" s="3946">
        <v>185000000000</v>
      </c>
      <c r="S621" s="3912">
        <f t="shared" si="0"/>
        <v>6914594594594.5947</v>
      </c>
      <c r="T621" s="3916" t="s">
        <v>5754</v>
      </c>
      <c r="U621" s="3905"/>
      <c r="V621" s="3913">
        <f>147</f>
        <v>147</v>
      </c>
      <c r="W621" s="3914" t="s">
        <v>2812</v>
      </c>
      <c r="X621" s="3915"/>
      <c r="Y621" s="3915"/>
      <c r="Z621" s="3915"/>
      <c r="AA621" s="3915"/>
      <c r="AB621" s="3915"/>
      <c r="AC621" s="3915"/>
      <c r="AD621" s="3915"/>
      <c r="AE621" s="3915"/>
      <c r="AF621" s="3915"/>
      <c r="AG621" s="3915"/>
      <c r="AH621" s="3915"/>
      <c r="AI621" s="3915"/>
      <c r="AJ621" s="3915"/>
      <c r="AK621" s="3915"/>
      <c r="AL621" s="3915"/>
      <c r="AM621" s="3915"/>
      <c r="AN621" s="3915"/>
      <c r="AO621" s="3915"/>
      <c r="AP621" s="3915"/>
      <c r="AQ621" s="3915"/>
      <c r="AR621" s="3915"/>
      <c r="AS621" s="3915"/>
      <c r="AT621" s="3915"/>
      <c r="AU621" s="3915"/>
      <c r="AV621" s="3915"/>
      <c r="AW621" s="3915"/>
      <c r="AX621" s="3915"/>
      <c r="AY621" s="3915"/>
      <c r="AZ621" s="3915"/>
      <c r="BA621" s="3915"/>
      <c r="BB621" s="3915"/>
      <c r="BC621" s="3915"/>
      <c r="BD621" s="3915"/>
      <c r="BE621" s="3915"/>
      <c r="BF621" s="3915"/>
      <c r="BG621" s="3915"/>
      <c r="BH621" s="3915"/>
      <c r="BI621" s="3915"/>
    </row>
    <row r="622" spans="1:61" ht="22.5" customHeight="1">
      <c r="A622" s="3901" t="s">
        <v>707</v>
      </c>
      <c r="B622" s="3901" t="s">
        <v>5802</v>
      </c>
      <c r="C622" s="3902" t="s">
        <v>1967</v>
      </c>
      <c r="D622" s="3901" t="s">
        <v>4867</v>
      </c>
      <c r="E622" s="3903" t="str">
        <f>VLOOKUP(F622,plasmids!$A$2:$B$891,2)</f>
        <v>pAAV2/5-7m8 (M569A,Y595A,L597A)</v>
      </c>
      <c r="F622" s="3904">
        <v>611</v>
      </c>
      <c r="G622" s="3126"/>
      <c r="H622" s="3943" t="str">
        <f>VLOOKUP(I622,plasmids!$A$2:$B$891,2)</f>
        <v>sc-CAG-GFP</v>
      </c>
      <c r="I622" s="3901">
        <v>120</v>
      </c>
      <c r="J622" s="3905"/>
      <c r="K622" s="3906"/>
      <c r="L622" s="3906"/>
      <c r="M622" s="3907">
        <v>42443</v>
      </c>
      <c r="N622" s="3908">
        <v>660</v>
      </c>
      <c r="O622" s="3944">
        <v>3</v>
      </c>
      <c r="P622" s="3909"/>
      <c r="Q622" s="3945">
        <v>2780000000000</v>
      </c>
      <c r="R622" s="3946">
        <v>185000000000</v>
      </c>
      <c r="S622" s="3912">
        <f t="shared" si="0"/>
        <v>492886486486.48645</v>
      </c>
      <c r="T622" s="3905"/>
      <c r="U622" s="3905"/>
      <c r="V622" s="3913">
        <f>166</f>
        <v>166</v>
      </c>
      <c r="W622" s="3914" t="s">
        <v>2812</v>
      </c>
      <c r="X622" s="3915"/>
      <c r="Y622" s="3915"/>
      <c r="Z622" s="3915"/>
      <c r="AA622" s="3915"/>
      <c r="AB622" s="3915"/>
      <c r="AC622" s="3915"/>
      <c r="AD622" s="3915"/>
      <c r="AE622" s="3915"/>
      <c r="AF622" s="3915"/>
      <c r="AG622" s="3915"/>
      <c r="AH622" s="3915"/>
      <c r="AI622" s="3915"/>
      <c r="AJ622" s="3915"/>
      <c r="AK622" s="3915"/>
      <c r="AL622" s="3915"/>
      <c r="AM622" s="3915"/>
      <c r="AN622" s="3915"/>
      <c r="AO622" s="3915"/>
      <c r="AP622" s="3915"/>
      <c r="AQ622" s="3915"/>
      <c r="AR622" s="3915"/>
      <c r="AS622" s="3915"/>
      <c r="AT622" s="3915"/>
      <c r="AU622" s="3915"/>
      <c r="AV622" s="3915"/>
      <c r="AW622" s="3915"/>
      <c r="AX622" s="3915"/>
      <c r="AY622" s="3915"/>
      <c r="AZ622" s="3915"/>
      <c r="BA622" s="3915"/>
      <c r="BB622" s="3915"/>
      <c r="BC622" s="3915"/>
      <c r="BD622" s="3915"/>
      <c r="BE622" s="3915"/>
      <c r="BF622" s="3915"/>
      <c r="BG622" s="3915"/>
      <c r="BH622" s="3915"/>
      <c r="BI622" s="3915"/>
    </row>
    <row r="623" spans="1:61" ht="22.5" customHeight="1">
      <c r="A623" s="3901" t="s">
        <v>707</v>
      </c>
      <c r="B623" s="3901" t="s">
        <v>5802</v>
      </c>
      <c r="C623" s="3902" t="s">
        <v>1967</v>
      </c>
      <c r="D623" s="3901" t="s">
        <v>4867</v>
      </c>
      <c r="E623" s="3903" t="str">
        <f>VLOOKUP(F623,plasmids!$A$2:$B$891,2)</f>
        <v>pAAV2/2 (R475A, R484A,K532A)</v>
      </c>
      <c r="F623" s="3904">
        <v>612</v>
      </c>
      <c r="G623" s="3126"/>
      <c r="H623" s="3943" t="str">
        <f>VLOOKUP(I623,plasmids!$A$2:$B$891,2)</f>
        <v>sc-CAG-GFP</v>
      </c>
      <c r="I623" s="3901">
        <v>120</v>
      </c>
      <c r="J623" s="3905"/>
      <c r="K623" s="3906"/>
      <c r="L623" s="3906"/>
      <c r="M623" s="3907">
        <v>42443</v>
      </c>
      <c r="N623" s="3908">
        <v>661</v>
      </c>
      <c r="O623" s="3944">
        <v>5</v>
      </c>
      <c r="P623" s="3909"/>
      <c r="Q623" s="3945">
        <v>4310000000000</v>
      </c>
      <c r="R623" s="3946">
        <v>185000000000</v>
      </c>
      <c r="S623" s="3912">
        <f t="shared" si="0"/>
        <v>764151351351.35132</v>
      </c>
      <c r="T623" s="3916" t="s">
        <v>5754</v>
      </c>
      <c r="U623" s="3905"/>
      <c r="V623" s="3913">
        <f>146</f>
        <v>146</v>
      </c>
      <c r="W623" s="3914" t="s">
        <v>2812</v>
      </c>
      <c r="X623" s="3915"/>
      <c r="Y623" s="3915"/>
      <c r="Z623" s="3915"/>
      <c r="AA623" s="3915"/>
      <c r="AB623" s="3915"/>
      <c r="AC623" s="3915"/>
      <c r="AD623" s="3915"/>
      <c r="AE623" s="3915"/>
      <c r="AF623" s="3915"/>
      <c r="AG623" s="3915"/>
      <c r="AH623" s="3915"/>
      <c r="AI623" s="3915"/>
      <c r="AJ623" s="3915"/>
      <c r="AK623" s="3915"/>
      <c r="AL623" s="3915"/>
      <c r="AM623" s="3915"/>
      <c r="AN623" s="3915"/>
      <c r="AO623" s="3915"/>
      <c r="AP623" s="3915"/>
      <c r="AQ623" s="3915"/>
      <c r="AR623" s="3915"/>
      <c r="AS623" s="3915"/>
      <c r="AT623" s="3915"/>
      <c r="AU623" s="3915"/>
      <c r="AV623" s="3915"/>
      <c r="AW623" s="3915"/>
      <c r="AX623" s="3915"/>
      <c r="AY623" s="3915"/>
      <c r="AZ623" s="3915"/>
      <c r="BA623" s="3915"/>
      <c r="BB623" s="3915"/>
      <c r="BC623" s="3915"/>
      <c r="BD623" s="3915"/>
      <c r="BE623" s="3915"/>
      <c r="BF623" s="3915"/>
      <c r="BG623" s="3915"/>
      <c r="BH623" s="3915"/>
      <c r="BI623" s="3915"/>
    </row>
    <row r="624" spans="1:61" ht="22.5" customHeight="1">
      <c r="A624" s="3901" t="s">
        <v>707</v>
      </c>
      <c r="B624" s="3901" t="s">
        <v>5802</v>
      </c>
      <c r="C624" s="3902" t="s">
        <v>1967</v>
      </c>
      <c r="D624" s="3901" t="s">
        <v>4867</v>
      </c>
      <c r="E624" s="3903" t="str">
        <f>VLOOKUP(F624,plasmids!$A$2:$B$891,2)</f>
        <v>pAAV2/2-7m8 (R475A, R484A,K532A)</v>
      </c>
      <c r="F624" s="3904">
        <v>613</v>
      </c>
      <c r="G624" s="3126"/>
      <c r="H624" s="3943" t="str">
        <f>VLOOKUP(I624,plasmids!$A$2:$B$891,2)</f>
        <v>sc-CAG-GFP</v>
      </c>
      <c r="I624" s="3901">
        <v>120</v>
      </c>
      <c r="J624" s="3905"/>
      <c r="K624" s="3906"/>
      <c r="L624" s="3906"/>
      <c r="M624" s="3907">
        <v>42443</v>
      </c>
      <c r="N624" s="3908">
        <v>662</v>
      </c>
      <c r="O624" s="3944">
        <v>5</v>
      </c>
      <c r="P624" s="3909"/>
      <c r="Q624" s="3945">
        <v>1370000000000</v>
      </c>
      <c r="R624" s="3946">
        <v>185000000000</v>
      </c>
      <c r="S624" s="3912">
        <f t="shared" si="0"/>
        <v>242897297297.2973</v>
      </c>
      <c r="T624" s="3916" t="s">
        <v>5754</v>
      </c>
      <c r="U624" s="3905"/>
      <c r="V624" s="3913">
        <f>195</f>
        <v>195</v>
      </c>
      <c r="W624" s="3914" t="s">
        <v>2812</v>
      </c>
      <c r="X624" s="3915"/>
      <c r="Y624" s="3915"/>
      <c r="Z624" s="3915"/>
      <c r="AA624" s="3915"/>
      <c r="AB624" s="3915"/>
      <c r="AC624" s="3915"/>
      <c r="AD624" s="3915"/>
      <c r="AE624" s="3915"/>
      <c r="AF624" s="3915"/>
      <c r="AG624" s="3915"/>
      <c r="AH624" s="3915"/>
      <c r="AI624" s="3915"/>
      <c r="AJ624" s="3915"/>
      <c r="AK624" s="3915"/>
      <c r="AL624" s="3915"/>
      <c r="AM624" s="3915"/>
      <c r="AN624" s="3915"/>
      <c r="AO624" s="3915"/>
      <c r="AP624" s="3915"/>
      <c r="AQ624" s="3915"/>
      <c r="AR624" s="3915"/>
      <c r="AS624" s="3915"/>
      <c r="AT624" s="3915"/>
      <c r="AU624" s="3915"/>
      <c r="AV624" s="3915"/>
      <c r="AW624" s="3915"/>
      <c r="AX624" s="3915"/>
      <c r="AY624" s="3915"/>
      <c r="AZ624" s="3915"/>
      <c r="BA624" s="3915"/>
      <c r="BB624" s="3915"/>
      <c r="BC624" s="3915"/>
      <c r="BD624" s="3915"/>
      <c r="BE624" s="3915"/>
      <c r="BF624" s="3915"/>
      <c r="BG624" s="3915"/>
      <c r="BH624" s="3915"/>
      <c r="BI624" s="3915"/>
    </row>
    <row r="625" spans="1:61" ht="22.5" customHeight="1">
      <c r="A625" s="3901" t="s">
        <v>707</v>
      </c>
      <c r="B625" s="3901" t="s">
        <v>5802</v>
      </c>
      <c r="C625" s="3902" t="s">
        <v>1967</v>
      </c>
      <c r="D625" s="3901" t="s">
        <v>4867</v>
      </c>
      <c r="E625" s="3903" t="str">
        <f>VLOOKUP(F625,plasmids!$A$2:$B$891,2)</f>
        <v>pAAV2/9 (D271A,N272A)</v>
      </c>
      <c r="F625" s="3904">
        <v>615</v>
      </c>
      <c r="G625" s="3126"/>
      <c r="H625" s="3943" t="str">
        <f>VLOOKUP(I625,plasmids!$A$2:$B$891,2)</f>
        <v>sc-CAG-GFP</v>
      </c>
      <c r="I625" s="3901">
        <v>120</v>
      </c>
      <c r="J625" s="3905"/>
      <c r="K625" s="3906"/>
      <c r="L625" s="3906"/>
      <c r="M625" s="3907">
        <v>42443</v>
      </c>
      <c r="N625" s="3908">
        <v>663</v>
      </c>
      <c r="O625" s="3944">
        <v>3</v>
      </c>
      <c r="P625" s="3909"/>
      <c r="Q625" s="3945">
        <v>13200000000000</v>
      </c>
      <c r="R625" s="3946">
        <v>185000000000</v>
      </c>
      <c r="S625" s="3912">
        <f t="shared" si="0"/>
        <v>2340324324324.3242</v>
      </c>
      <c r="T625" s="3916" t="s">
        <v>5754</v>
      </c>
      <c r="U625" s="3905"/>
      <c r="V625" s="3913">
        <f>127</f>
        <v>127</v>
      </c>
      <c r="W625" s="3914" t="s">
        <v>2812</v>
      </c>
      <c r="X625" s="3915"/>
      <c r="Y625" s="3915"/>
      <c r="Z625" s="3915"/>
      <c r="AA625" s="3915"/>
      <c r="AB625" s="3915"/>
      <c r="AC625" s="3915"/>
      <c r="AD625" s="3915"/>
      <c r="AE625" s="3915"/>
      <c r="AF625" s="3915"/>
      <c r="AG625" s="3915"/>
      <c r="AH625" s="3915"/>
      <c r="AI625" s="3915"/>
      <c r="AJ625" s="3915"/>
      <c r="AK625" s="3915"/>
      <c r="AL625" s="3915"/>
      <c r="AM625" s="3915"/>
      <c r="AN625" s="3915"/>
      <c r="AO625" s="3915"/>
      <c r="AP625" s="3915"/>
      <c r="AQ625" s="3915"/>
      <c r="AR625" s="3915"/>
      <c r="AS625" s="3915"/>
      <c r="AT625" s="3915"/>
      <c r="AU625" s="3915"/>
      <c r="AV625" s="3915"/>
      <c r="AW625" s="3915"/>
      <c r="AX625" s="3915"/>
      <c r="AY625" s="3915"/>
      <c r="AZ625" s="3915"/>
      <c r="BA625" s="3915"/>
      <c r="BB625" s="3915"/>
      <c r="BC625" s="3915"/>
      <c r="BD625" s="3915"/>
      <c r="BE625" s="3915"/>
      <c r="BF625" s="3915"/>
      <c r="BG625" s="3915"/>
      <c r="BH625" s="3915"/>
      <c r="BI625" s="3915"/>
    </row>
    <row r="626" spans="1:61" ht="22.5" customHeight="1">
      <c r="A626" s="3901" t="s">
        <v>707</v>
      </c>
      <c r="B626" s="3901" t="s">
        <v>5802</v>
      </c>
      <c r="C626" s="3902" t="s">
        <v>1967</v>
      </c>
      <c r="D626" s="3901" t="s">
        <v>4867</v>
      </c>
      <c r="E626" s="3903" t="str">
        <f>VLOOKUP(F626,plasmids!$A$2:$B$891,2)</f>
        <v>pAAV2/9-7m8 (D271A,N272A)</v>
      </c>
      <c r="F626" s="3904">
        <v>616</v>
      </c>
      <c r="G626" s="3126"/>
      <c r="H626" s="3943" t="str">
        <f>VLOOKUP(I626,plasmids!$A$2:$B$891,2)</f>
        <v>sc-CAG-GFP</v>
      </c>
      <c r="I626" s="3901">
        <v>120</v>
      </c>
      <c r="J626" s="3905"/>
      <c r="K626" s="3906"/>
      <c r="L626" s="3906"/>
      <c r="M626" s="3907">
        <v>42443</v>
      </c>
      <c r="N626" s="3908">
        <v>664</v>
      </c>
      <c r="O626" s="3944">
        <v>3</v>
      </c>
      <c r="P626" s="3909"/>
      <c r="Q626" s="3945">
        <v>799000000000</v>
      </c>
      <c r="R626" s="3946">
        <v>185000000000</v>
      </c>
      <c r="S626" s="3912">
        <f t="shared" si="0"/>
        <v>141660540540.54053</v>
      </c>
      <c r="T626" s="3916" t="s">
        <v>5754</v>
      </c>
      <c r="U626" s="3905"/>
      <c r="V626" s="3913">
        <f>129</f>
        <v>129</v>
      </c>
      <c r="W626" s="3914" t="s">
        <v>2812</v>
      </c>
      <c r="X626" s="3915"/>
      <c r="Y626" s="3915"/>
      <c r="Z626" s="3915"/>
      <c r="AA626" s="3915"/>
      <c r="AB626" s="3915"/>
      <c r="AC626" s="3915"/>
      <c r="AD626" s="3915"/>
      <c r="AE626" s="3915"/>
      <c r="AF626" s="3915"/>
      <c r="AG626" s="3915"/>
      <c r="AH626" s="3915"/>
      <c r="AI626" s="3915"/>
      <c r="AJ626" s="3915"/>
      <c r="AK626" s="3915"/>
      <c r="AL626" s="3915"/>
      <c r="AM626" s="3915"/>
      <c r="AN626" s="3915"/>
      <c r="AO626" s="3915"/>
      <c r="AP626" s="3915"/>
      <c r="AQ626" s="3915"/>
      <c r="AR626" s="3915"/>
      <c r="AS626" s="3915"/>
      <c r="AT626" s="3915"/>
      <c r="AU626" s="3915"/>
      <c r="AV626" s="3915"/>
      <c r="AW626" s="3915"/>
      <c r="AX626" s="3915"/>
      <c r="AY626" s="3915"/>
      <c r="AZ626" s="3915"/>
      <c r="BA626" s="3915"/>
      <c r="BB626" s="3915"/>
      <c r="BC626" s="3915"/>
      <c r="BD626" s="3915"/>
      <c r="BE626" s="3915"/>
      <c r="BF626" s="3915"/>
      <c r="BG626" s="3915"/>
      <c r="BH626" s="3915"/>
      <c r="BI626" s="3915"/>
    </row>
    <row r="627" spans="1:61" ht="24">
      <c r="A627" s="164" t="s">
        <v>734</v>
      </c>
      <c r="B627" s="135" t="s">
        <v>625</v>
      </c>
      <c r="C627" s="137" t="s">
        <v>626</v>
      </c>
      <c r="D627" s="137" t="s">
        <v>655</v>
      </c>
      <c r="E627" s="3816" t="str">
        <f>VLOOKUP(F627,plasmids!$A$2:$B$891,2)</f>
        <v>AAV2 3YF</v>
      </c>
      <c r="F627" s="139">
        <v>142</v>
      </c>
      <c r="G627" s="2334"/>
      <c r="H627" s="2334" t="str">
        <f>VLOOKUP(I627,plasmids!$A$2:$B$393,2)</f>
        <v>pAAV-CMV-TGFbeta-muté</v>
      </c>
      <c r="I627" s="135">
        <v>219</v>
      </c>
      <c r="J627" s="135" t="s">
        <v>60</v>
      </c>
      <c r="K627" s="1086">
        <v>41943</v>
      </c>
      <c r="L627" s="1086"/>
      <c r="M627" s="1087">
        <v>42447</v>
      </c>
      <c r="N627" s="145">
        <v>665</v>
      </c>
      <c r="O627" s="139"/>
      <c r="P627" s="1090"/>
      <c r="Q627" s="150">
        <v>410000000000000</v>
      </c>
      <c r="R627" s="149">
        <v>38200000000</v>
      </c>
      <c r="S627" s="3817">
        <f t="shared" si="0"/>
        <v>352041884816753.94</v>
      </c>
      <c r="T627" s="2337"/>
      <c r="U627" s="156"/>
      <c r="V627" s="139">
        <f>176</f>
        <v>176</v>
      </c>
      <c r="W627" s="162"/>
      <c r="X627" s="158"/>
      <c r="Y627" s="3818">
        <v>42524</v>
      </c>
      <c r="Z627" s="158"/>
      <c r="AA627" s="158"/>
      <c r="AB627" s="158"/>
      <c r="AC627" s="158"/>
      <c r="AD627" s="158"/>
      <c r="AE627" s="158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</row>
    <row r="628" spans="1:61" ht="21.75" customHeight="1">
      <c r="A628" s="1927" t="s">
        <v>1731</v>
      </c>
      <c r="B628" s="1786" t="s">
        <v>200</v>
      </c>
      <c r="C628" s="3746" t="s">
        <v>1967</v>
      </c>
      <c r="D628" s="2255" t="s">
        <v>70</v>
      </c>
      <c r="E628" s="1788" t="str">
        <f>VLOOKUP(F628,plasmids!$A$2:$B$351,2)</f>
        <v>AAV2-7m8</v>
      </c>
      <c r="F628" s="2255">
        <v>178</v>
      </c>
      <c r="G628" s="1789"/>
      <c r="H628" s="1789" t="str">
        <f>VLOOKUP(I628,plasmids!$A$2:$B$891,2)</f>
        <v>pscAAV-1xgrm6-ReachR-GFP</v>
      </c>
      <c r="I628" s="2255">
        <v>605</v>
      </c>
      <c r="J628" s="1790"/>
      <c r="K628" s="1791"/>
      <c r="L628" s="2654"/>
      <c r="M628" s="3640">
        <v>42447</v>
      </c>
      <c r="N628" s="1">
        <v>666</v>
      </c>
      <c r="O628" s="2632"/>
      <c r="P628" s="1624"/>
      <c r="Q628" s="15">
        <v>38000000000000</v>
      </c>
      <c r="R628" s="1589">
        <v>38200000000</v>
      </c>
      <c r="S628" s="3751">
        <f t="shared" si="0"/>
        <v>32628272251308.902</v>
      </c>
      <c r="T628" s="1802" t="s">
        <v>5789</v>
      </c>
      <c r="U628" s="1802"/>
      <c r="V628" s="3947">
        <f>5</f>
        <v>5</v>
      </c>
      <c r="W628" s="27"/>
      <c r="X628" s="27"/>
      <c r="Y628" s="1850">
        <v>42524</v>
      </c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</row>
    <row r="629" spans="1:61" ht="26.25" customHeight="1">
      <c r="A629" s="3375" t="s">
        <v>600</v>
      </c>
      <c r="B629" s="3375" t="s">
        <v>3367</v>
      </c>
      <c r="C629" s="3551" t="s">
        <v>178</v>
      </c>
      <c r="D629" s="2646" t="s">
        <v>3368</v>
      </c>
      <c r="E629" s="3013" t="str">
        <f>VLOOKUP(F629,plasmids!$A$2:$B$351,2)</f>
        <v>AAV9 7M8 (AA------)</v>
      </c>
      <c r="F629" s="2655">
        <v>170</v>
      </c>
      <c r="G629" s="3948"/>
      <c r="H629" s="3949" t="str">
        <f>VLOOKUP(I629,plasmids!$A$2:$B$891,2)</f>
        <v>pTR-scCMV-luciférase</v>
      </c>
      <c r="I629" s="3375">
        <v>131</v>
      </c>
      <c r="J629" s="2648"/>
      <c r="K629" s="3147"/>
      <c r="L629" s="2785"/>
      <c r="M629" s="2695">
        <v>42447</v>
      </c>
      <c r="N629" s="1">
        <v>667</v>
      </c>
      <c r="O629" s="2655"/>
      <c r="P629" s="2651"/>
      <c r="Q629" s="3950">
        <v>95300000000</v>
      </c>
      <c r="R629" s="3951">
        <v>38200000000</v>
      </c>
      <c r="S629" s="3751">
        <f t="shared" si="0"/>
        <v>81828272251.308899</v>
      </c>
      <c r="T629" s="2646" t="s">
        <v>5789</v>
      </c>
      <c r="U629" s="2648"/>
      <c r="V629" s="2646">
        <f>134</f>
        <v>134</v>
      </c>
      <c r="W629" s="2656"/>
      <c r="X629" s="2656"/>
      <c r="Y629" s="2656"/>
      <c r="Z629" s="2656"/>
      <c r="AA629" s="2656"/>
      <c r="AB629" s="2656"/>
      <c r="AC629" s="2656"/>
      <c r="AD629" s="2656"/>
      <c r="AE629" s="2656"/>
      <c r="AF629" s="2656"/>
      <c r="AG629" s="2656"/>
      <c r="AH629" s="2656"/>
      <c r="AI629" s="2656"/>
      <c r="AJ629" s="2656"/>
      <c r="AK629" s="2656"/>
      <c r="AL629" s="2656"/>
      <c r="AM629" s="2656"/>
      <c r="AN629" s="2656"/>
      <c r="AO629" s="2656"/>
      <c r="AP629" s="2656"/>
      <c r="AQ629" s="2656"/>
      <c r="AR629" s="2656"/>
      <c r="AS629" s="2656"/>
      <c r="AT629" s="2656"/>
      <c r="AU629" s="2656"/>
      <c r="AV629" s="2656"/>
      <c r="AW629" s="2656"/>
      <c r="AX629" s="2656"/>
      <c r="AY629" s="2656"/>
      <c r="AZ629" s="2656"/>
      <c r="BA629" s="2656"/>
      <c r="BB629" s="2656"/>
      <c r="BC629" s="2656"/>
      <c r="BD629" s="2656"/>
      <c r="BE629" s="2656"/>
      <c r="BF629" s="2656"/>
      <c r="BG629" s="2656"/>
      <c r="BH629" s="2656"/>
      <c r="BI629" s="2656"/>
    </row>
    <row r="630" spans="1:61" ht="22.5" customHeight="1">
      <c r="A630" s="3526" t="s">
        <v>1343</v>
      </c>
      <c r="B630" s="3526" t="s">
        <v>5732</v>
      </c>
      <c r="C630" s="3527" t="s">
        <v>5708</v>
      </c>
      <c r="D630" s="3526" t="s">
        <v>1088</v>
      </c>
      <c r="E630" s="3528" t="str">
        <f>VLOOKUP(F630,plasmids!$A$2:$B$891,2)</f>
        <v>AAV2-7m8</v>
      </c>
      <c r="F630" s="3529">
        <v>178</v>
      </c>
      <c r="G630" s="3530"/>
      <c r="H630" s="3530" t="str">
        <f>VLOOKUP(I630,plasmids!$A$2:$B$891,2)</f>
        <v>pscAAV-CAG-JAWS-KGC-GFP-ER2</v>
      </c>
      <c r="I630" s="3526">
        <v>510</v>
      </c>
      <c r="J630" s="3531"/>
      <c r="K630" s="3532"/>
      <c r="L630" s="3532"/>
      <c r="M630" s="3534">
        <v>42447</v>
      </c>
      <c r="N630" s="3535">
        <v>668</v>
      </c>
      <c r="O630" s="3529"/>
      <c r="P630" s="3536"/>
      <c r="Q630" s="3921">
        <v>4620000000000</v>
      </c>
      <c r="R630" s="3922">
        <v>38200000000</v>
      </c>
      <c r="S630" s="3755">
        <f t="shared" si="0"/>
        <v>3966910994764.3979</v>
      </c>
      <c r="T630" s="3531"/>
      <c r="U630" s="3531"/>
      <c r="V630" s="3900">
        <f>137</f>
        <v>137</v>
      </c>
      <c r="W630" s="3541"/>
      <c r="X630" s="3541"/>
      <c r="Y630" s="3541"/>
      <c r="Z630" s="3541"/>
      <c r="AA630" s="3541"/>
      <c r="AB630" s="3541"/>
      <c r="AC630" s="3541"/>
      <c r="AD630" s="3541"/>
      <c r="AE630" s="3541"/>
      <c r="AF630" s="3541"/>
      <c r="AG630" s="3541"/>
      <c r="AH630" s="3541"/>
      <c r="AI630" s="3541"/>
      <c r="AJ630" s="3541"/>
      <c r="AK630" s="3541"/>
      <c r="AL630" s="3541"/>
      <c r="AM630" s="3541"/>
      <c r="AN630" s="3541"/>
      <c r="AO630" s="3541"/>
      <c r="AP630" s="3541"/>
      <c r="AQ630" s="3541"/>
      <c r="AR630" s="3541"/>
      <c r="AS630" s="3541"/>
      <c r="AT630" s="3541"/>
      <c r="AU630" s="3541"/>
      <c r="AV630" s="3541"/>
      <c r="AW630" s="3541"/>
      <c r="AX630" s="3541"/>
      <c r="AY630" s="3541"/>
      <c r="AZ630" s="3541"/>
      <c r="BA630" s="3541"/>
      <c r="BB630" s="3541"/>
      <c r="BC630" s="3541"/>
      <c r="BD630" s="3541"/>
      <c r="BE630" s="3541"/>
      <c r="BF630" s="3541"/>
      <c r="BG630" s="3541"/>
      <c r="BH630" s="3541"/>
      <c r="BI630" s="3541"/>
    </row>
    <row r="631" spans="1:61" ht="24.75" customHeight="1">
      <c r="A631" s="3024" t="s">
        <v>707</v>
      </c>
      <c r="B631" s="3024" t="s">
        <v>3973</v>
      </c>
      <c r="C631" s="3026" t="s">
        <v>1967</v>
      </c>
      <c r="D631" s="3024" t="s">
        <v>4867</v>
      </c>
      <c r="E631" s="3028" t="str">
        <f>VLOOKUP(F631,plasmids!$A$2:$B$891,2)</f>
        <v>AAV9 2YF</v>
      </c>
      <c r="F631" s="3029">
        <v>168</v>
      </c>
      <c r="G631" s="3031"/>
      <c r="H631" s="3952" t="str">
        <f>VLOOKUP(I631,plasmids!$A$2:$B$891,2)</f>
        <v xml:space="preserve">pTR-scCAG-RdCVFs </v>
      </c>
      <c r="I631" s="3334">
        <v>187</v>
      </c>
      <c r="J631" s="3034"/>
      <c r="K631" s="3289"/>
      <c r="L631" s="3036"/>
      <c r="M631" s="3038">
        <v>42454</v>
      </c>
      <c r="N631" s="3040">
        <v>669</v>
      </c>
      <c r="O631" s="3029">
        <v>160000000000</v>
      </c>
      <c r="P631" s="3047">
        <v>160000000000</v>
      </c>
      <c r="Q631" s="3497">
        <v>7430000000000000</v>
      </c>
      <c r="R631" s="3448">
        <v>160000000000</v>
      </c>
      <c r="S631" s="3953">
        <f t="shared" si="0"/>
        <v>1523150000000000</v>
      </c>
      <c r="T631" s="3334"/>
      <c r="U631" s="3034"/>
      <c r="V631" s="3449">
        <f>121</f>
        <v>121</v>
      </c>
      <c r="W631" s="3056"/>
      <c r="X631" s="3058"/>
      <c r="Y631" s="3058"/>
      <c r="Z631" s="3058"/>
      <c r="AA631" s="3058"/>
      <c r="AB631" s="3058"/>
      <c r="AC631" s="3058"/>
      <c r="AD631" s="3058"/>
      <c r="AE631" s="3058"/>
      <c r="AF631" s="3058"/>
      <c r="AG631" s="3058"/>
      <c r="AH631" s="3058"/>
      <c r="AI631" s="3058"/>
      <c r="AJ631" s="3058"/>
      <c r="AK631" s="3058"/>
      <c r="AL631" s="3058"/>
      <c r="AM631" s="3058"/>
      <c r="AN631" s="3058"/>
      <c r="AO631" s="3058"/>
      <c r="AP631" s="3058"/>
      <c r="AQ631" s="3058"/>
      <c r="AR631" s="3058"/>
      <c r="AS631" s="3058"/>
      <c r="AT631" s="3058"/>
      <c r="AU631" s="3058"/>
      <c r="AV631" s="3058"/>
      <c r="AW631" s="3058"/>
      <c r="AX631" s="3058"/>
      <c r="AY631" s="3058"/>
      <c r="AZ631" s="3058"/>
      <c r="BA631" s="3058"/>
      <c r="BB631" s="3058"/>
      <c r="BC631" s="3058"/>
      <c r="BD631" s="3058"/>
      <c r="BE631" s="3058"/>
      <c r="BF631" s="3058"/>
      <c r="BG631" s="3058"/>
      <c r="BH631" s="3058"/>
      <c r="BI631" s="3058"/>
    </row>
    <row r="632" spans="1:61" ht="18" customHeight="1">
      <c r="A632" s="734" t="s">
        <v>707</v>
      </c>
      <c r="B632" s="3585" t="s">
        <v>491</v>
      </c>
      <c r="C632" s="735" t="s">
        <v>1967</v>
      </c>
      <c r="D632" s="734" t="s">
        <v>4867</v>
      </c>
      <c r="E632" s="1666" t="str">
        <f>VLOOKUP(F632,plasmids!$A$2:$B$891,2)</f>
        <v>AAV 5-7m8</v>
      </c>
      <c r="F632" s="739">
        <v>206</v>
      </c>
      <c r="G632" s="1667"/>
      <c r="H632" s="3954" t="str">
        <f>VLOOKUP(I632,plasmids!$A$2:$B$891,2)</f>
        <v>sc-CAG-GFP</v>
      </c>
      <c r="I632" s="3585">
        <v>120</v>
      </c>
      <c r="J632" s="744"/>
      <c r="K632" s="1668"/>
      <c r="L632" s="811"/>
      <c r="M632" s="737">
        <v>42454</v>
      </c>
      <c r="N632" s="738">
        <v>670</v>
      </c>
      <c r="O632" s="739"/>
      <c r="P632" s="742"/>
      <c r="Q632" s="3586">
        <v>4550000000000000</v>
      </c>
      <c r="R632" s="3955">
        <v>160000000000</v>
      </c>
      <c r="S632" s="3920">
        <f t="shared" si="0"/>
        <v>932750000000000</v>
      </c>
      <c r="T632" s="3585" t="s">
        <v>5789</v>
      </c>
      <c r="U632" s="744"/>
      <c r="V632" s="3918">
        <f>169</f>
        <v>169</v>
      </c>
      <c r="W632" s="2224"/>
      <c r="X632" s="733"/>
      <c r="Y632" s="733"/>
      <c r="Z632" s="733"/>
      <c r="AA632" s="733"/>
      <c r="AB632" s="733"/>
      <c r="AC632" s="733"/>
      <c r="AD632" s="733"/>
      <c r="AE632" s="733"/>
      <c r="AF632" s="733"/>
      <c r="AG632" s="733"/>
      <c r="AH632" s="733"/>
      <c r="AI632" s="733"/>
      <c r="AJ632" s="733"/>
      <c r="AK632" s="733"/>
      <c r="AL632" s="733"/>
      <c r="AM632" s="733"/>
      <c r="AN632" s="733"/>
      <c r="AO632" s="733"/>
      <c r="AP632" s="733"/>
      <c r="AQ632" s="733"/>
      <c r="AR632" s="733"/>
      <c r="AS632" s="733"/>
      <c r="AT632" s="733"/>
      <c r="AU632" s="733"/>
      <c r="AV632" s="733"/>
      <c r="AW632" s="733"/>
      <c r="AX632" s="733"/>
      <c r="AY632" s="733"/>
      <c r="AZ632" s="733"/>
      <c r="BA632" s="733"/>
      <c r="BB632" s="733"/>
      <c r="BC632" s="733"/>
      <c r="BD632" s="733"/>
      <c r="BE632" s="733"/>
      <c r="BF632" s="733"/>
      <c r="BG632" s="733"/>
      <c r="BH632" s="733"/>
      <c r="BI632" s="733"/>
    </row>
    <row r="633" spans="1:61" ht="18" customHeight="1">
      <c r="A633" s="734" t="s">
        <v>707</v>
      </c>
      <c r="B633" s="3585" t="s">
        <v>491</v>
      </c>
      <c r="C633" s="735" t="s">
        <v>1967</v>
      </c>
      <c r="D633" s="734" t="s">
        <v>4867</v>
      </c>
      <c r="E633" s="1666" t="str">
        <f>VLOOKUP(F633,plasmids!$A$2:$B$891,2)</f>
        <v>pXR5</v>
      </c>
      <c r="F633" s="739">
        <v>154</v>
      </c>
      <c r="G633" s="1667"/>
      <c r="H633" s="3954" t="str">
        <f>VLOOKUP(I633,plasmids!$A$2:$B$891,2)</f>
        <v>sc-CAG-GFP</v>
      </c>
      <c r="I633" s="3585">
        <v>120</v>
      </c>
      <c r="J633" s="744"/>
      <c r="K633" s="1668"/>
      <c r="L633" s="811"/>
      <c r="M633" s="737">
        <v>42454</v>
      </c>
      <c r="N633" s="738">
        <v>671</v>
      </c>
      <c r="O633" s="739"/>
      <c r="P633" s="742"/>
      <c r="Q633" s="3586">
        <v>1.47E+16</v>
      </c>
      <c r="R633" s="3955">
        <v>160000000000</v>
      </c>
      <c r="S633" s="3920">
        <f t="shared" si="0"/>
        <v>3013500000000000</v>
      </c>
      <c r="T633" s="3585" t="s">
        <v>5789</v>
      </c>
      <c r="U633" s="744"/>
      <c r="V633" s="3918" t="s">
        <v>5811</v>
      </c>
      <c r="W633" s="2224"/>
      <c r="X633" s="733"/>
      <c r="Y633" s="733"/>
      <c r="Z633" s="733"/>
      <c r="AA633" s="733"/>
      <c r="AB633" s="733"/>
      <c r="AC633" s="733"/>
      <c r="AD633" s="733"/>
      <c r="AE633" s="733"/>
      <c r="AF633" s="733"/>
      <c r="AG633" s="733"/>
      <c r="AH633" s="733"/>
      <c r="AI633" s="733"/>
      <c r="AJ633" s="733"/>
      <c r="AK633" s="733"/>
      <c r="AL633" s="733"/>
      <c r="AM633" s="733"/>
      <c r="AN633" s="733"/>
      <c r="AO633" s="733"/>
      <c r="AP633" s="733"/>
      <c r="AQ633" s="733"/>
      <c r="AR633" s="733"/>
      <c r="AS633" s="733"/>
      <c r="AT633" s="733"/>
      <c r="AU633" s="733"/>
      <c r="AV633" s="733"/>
      <c r="AW633" s="733"/>
      <c r="AX633" s="733"/>
      <c r="AY633" s="733"/>
      <c r="AZ633" s="733"/>
      <c r="BA633" s="733"/>
      <c r="BB633" s="733"/>
      <c r="BC633" s="733"/>
      <c r="BD633" s="733"/>
      <c r="BE633" s="733"/>
      <c r="BF633" s="733"/>
      <c r="BG633" s="733"/>
      <c r="BH633" s="733"/>
      <c r="BI633" s="733"/>
    </row>
    <row r="634" spans="1:61" ht="21" customHeight="1">
      <c r="A634" s="1179" t="s">
        <v>5768</v>
      </c>
      <c r="B634" s="3956" t="s">
        <v>5812</v>
      </c>
      <c r="C634" s="1177" t="s">
        <v>1967</v>
      </c>
      <c r="D634" s="1175" t="s">
        <v>4867</v>
      </c>
      <c r="E634" s="3957" t="str">
        <f>VLOOKUP(F634,plasmids!$A$2:$B$891,2)</f>
        <v>AAV2</v>
      </c>
      <c r="F634" s="1223">
        <v>140</v>
      </c>
      <c r="G634" s="3958"/>
      <c r="H634" s="1223" t="s">
        <v>2058</v>
      </c>
      <c r="I634" s="1223">
        <v>620</v>
      </c>
      <c r="J634" s="1253"/>
      <c r="K634" s="1183">
        <v>41919</v>
      </c>
      <c r="L634" s="1183"/>
      <c r="M634" s="1220">
        <v>42454</v>
      </c>
      <c r="N634" s="1328">
        <v>672</v>
      </c>
      <c r="O634" s="1223"/>
      <c r="P634" s="1242"/>
      <c r="Q634" s="3959">
        <v>351000000000</v>
      </c>
      <c r="R634" s="3960">
        <v>160000000000</v>
      </c>
      <c r="S634" s="3961">
        <f t="shared" si="0"/>
        <v>71955000000</v>
      </c>
      <c r="T634" s="3962" t="s">
        <v>5789</v>
      </c>
      <c r="U634" s="1253"/>
      <c r="V634" s="1179" t="s">
        <v>5813</v>
      </c>
      <c r="W634" s="3963"/>
      <c r="X634" s="1259"/>
      <c r="Y634" s="3964">
        <v>42524</v>
      </c>
      <c r="Z634" s="1259"/>
      <c r="AA634" s="1259"/>
      <c r="AB634" s="1259"/>
      <c r="AC634" s="1259"/>
      <c r="AD634" s="1259"/>
      <c r="AE634" s="1259"/>
      <c r="AF634" s="1259"/>
      <c r="AG634" s="1259"/>
      <c r="AH634" s="1259"/>
      <c r="AI634" s="1259"/>
      <c r="AJ634" s="1259"/>
      <c r="AK634" s="1259"/>
      <c r="AL634" s="1259"/>
      <c r="AM634" s="1259"/>
      <c r="AN634" s="1259"/>
      <c r="AO634" s="1259"/>
      <c r="AP634" s="1259"/>
      <c r="AQ634" s="1259"/>
      <c r="AR634" s="1259"/>
      <c r="AS634" s="1259"/>
      <c r="AT634" s="1259"/>
      <c r="AU634" s="1259"/>
      <c r="AV634" s="1259"/>
      <c r="AW634" s="1259"/>
      <c r="AX634" s="1259"/>
      <c r="AY634" s="1259"/>
      <c r="AZ634" s="1259"/>
      <c r="BA634" s="1259"/>
      <c r="BB634" s="1259"/>
      <c r="BC634" s="1259"/>
      <c r="BD634" s="1259"/>
      <c r="BE634" s="1259"/>
      <c r="BF634" s="1259"/>
      <c r="BG634" s="1259"/>
      <c r="BH634" s="1259"/>
      <c r="BI634" s="1259"/>
    </row>
    <row r="635" spans="1:61" ht="18" customHeight="1">
      <c r="A635" s="3024" t="s">
        <v>707</v>
      </c>
      <c r="B635" s="3024" t="s">
        <v>3973</v>
      </c>
      <c r="C635" s="3026" t="s">
        <v>1967</v>
      </c>
      <c r="D635" s="3024" t="s">
        <v>4867</v>
      </c>
      <c r="E635" s="3028" t="str">
        <f>VLOOKUP(F635,plasmids!$A$2:$B$891,2)</f>
        <v>AAV9 2YF</v>
      </c>
      <c r="F635" s="3029">
        <v>168</v>
      </c>
      <c r="G635" s="3031"/>
      <c r="H635" s="3952" t="str">
        <f>VLOOKUP(I635,plasmids!$A$2:$B$891,2)</f>
        <v xml:space="preserve">pTR-scCAG-RdCVFs </v>
      </c>
      <c r="I635" s="3334">
        <v>187</v>
      </c>
      <c r="J635" s="3034"/>
      <c r="K635" s="3289"/>
      <c r="L635" s="3036"/>
      <c r="M635" s="3038">
        <v>42461</v>
      </c>
      <c r="N635" s="3040">
        <v>673</v>
      </c>
      <c r="O635" s="3029"/>
      <c r="P635" s="3044"/>
      <c r="Q635" s="3447">
        <v>109000000000000</v>
      </c>
      <c r="R635" s="3448">
        <v>31900000000</v>
      </c>
      <c r="S635" s="3953">
        <f t="shared" si="0"/>
        <v>112075235109717.88</v>
      </c>
      <c r="T635" s="3334"/>
      <c r="U635" s="3034"/>
      <c r="V635" s="3449">
        <f>101</f>
        <v>101</v>
      </c>
      <c r="W635" s="3056"/>
      <c r="X635" s="3058"/>
      <c r="Y635" s="3058"/>
      <c r="Z635" s="3058"/>
      <c r="AA635" s="3058"/>
      <c r="AB635" s="3058"/>
      <c r="AC635" s="3058"/>
      <c r="AD635" s="3058"/>
      <c r="AE635" s="3058"/>
      <c r="AF635" s="3058"/>
      <c r="AG635" s="3058"/>
      <c r="AH635" s="3058"/>
      <c r="AI635" s="3058"/>
      <c r="AJ635" s="3058"/>
      <c r="AK635" s="3058"/>
      <c r="AL635" s="3058"/>
      <c r="AM635" s="3058"/>
      <c r="AN635" s="3058"/>
      <c r="AO635" s="3058"/>
      <c r="AP635" s="3058"/>
      <c r="AQ635" s="3058"/>
      <c r="AR635" s="3058"/>
      <c r="AS635" s="3058"/>
      <c r="AT635" s="3058"/>
      <c r="AU635" s="3058"/>
      <c r="AV635" s="3058"/>
      <c r="AW635" s="3058"/>
      <c r="AX635" s="3058"/>
      <c r="AY635" s="3058"/>
      <c r="AZ635" s="3058"/>
      <c r="BA635" s="3058"/>
      <c r="BB635" s="3058"/>
      <c r="BC635" s="3058"/>
      <c r="BD635" s="3058"/>
      <c r="BE635" s="3058"/>
      <c r="BF635" s="3058"/>
      <c r="BG635" s="3058"/>
      <c r="BH635" s="3058"/>
      <c r="BI635" s="3058"/>
    </row>
    <row r="636" spans="1:61" ht="21" customHeight="1">
      <c r="A636" s="1807" t="s">
        <v>707</v>
      </c>
      <c r="B636" s="1807" t="s">
        <v>5157</v>
      </c>
      <c r="C636" s="1808" t="s">
        <v>1967</v>
      </c>
      <c r="D636" s="1807" t="s">
        <v>4867</v>
      </c>
      <c r="E636" s="1810" t="str">
        <f>VLOOKUP(F636,plasmids!$A$2:$B$891,2)</f>
        <v>AAV2</v>
      </c>
      <c r="F636" s="1812">
        <v>140</v>
      </c>
      <c r="G636" s="1814"/>
      <c r="H636" s="1814" t="str">
        <f>VLOOKUP(I636,plasmids!$A$2:$B$891,2)</f>
        <v>pscAAV-CAG-RPE65</v>
      </c>
      <c r="I636" s="3400">
        <v>482</v>
      </c>
      <c r="J636" s="1815"/>
      <c r="K636" s="1818">
        <v>41919</v>
      </c>
      <c r="L636" s="1818"/>
      <c r="M636" s="1820">
        <v>42461</v>
      </c>
      <c r="N636" s="2023">
        <v>674</v>
      </c>
      <c r="O636" s="1812"/>
      <c r="P636" s="1823"/>
      <c r="Q636" s="3788">
        <v>18900000000000</v>
      </c>
      <c r="R636" s="3789">
        <v>31900000000</v>
      </c>
      <c r="S636" s="3965">
        <f t="shared" si="0"/>
        <v>19433228840125.391</v>
      </c>
      <c r="T636" s="3155" t="s">
        <v>5789</v>
      </c>
      <c r="U636" s="1815"/>
      <c r="V636" s="3400">
        <v>69</v>
      </c>
      <c r="W636" s="3338"/>
      <c r="X636" s="1826"/>
      <c r="Y636" s="1826"/>
      <c r="Z636" s="1826"/>
      <c r="AA636" s="1826"/>
      <c r="AB636" s="1826"/>
      <c r="AC636" s="1826"/>
      <c r="AD636" s="1826"/>
      <c r="AE636" s="1826"/>
      <c r="AF636" s="1826"/>
      <c r="AG636" s="1826"/>
      <c r="AH636" s="1826"/>
      <c r="AI636" s="1826"/>
      <c r="AJ636" s="1826"/>
      <c r="AK636" s="1826"/>
      <c r="AL636" s="1826"/>
      <c r="AM636" s="1826"/>
      <c r="AN636" s="1826"/>
      <c r="AO636" s="1826"/>
      <c r="AP636" s="1826"/>
      <c r="AQ636" s="1826"/>
      <c r="AR636" s="1826"/>
      <c r="AS636" s="1826"/>
      <c r="AT636" s="1826"/>
      <c r="AU636" s="1826"/>
      <c r="AV636" s="1826"/>
      <c r="AW636" s="1826"/>
      <c r="AX636" s="1826"/>
      <c r="AY636" s="1826"/>
      <c r="AZ636" s="1826"/>
      <c r="BA636" s="1826"/>
      <c r="BB636" s="1826"/>
      <c r="BC636" s="1826"/>
      <c r="BD636" s="1826"/>
      <c r="BE636" s="1826"/>
      <c r="BF636" s="1826"/>
      <c r="BG636" s="1826"/>
      <c r="BH636" s="1826"/>
      <c r="BI636" s="1826"/>
    </row>
    <row r="637" spans="1:61" ht="22.5" customHeight="1">
      <c r="A637" s="3901" t="s">
        <v>707</v>
      </c>
      <c r="B637" s="3901" t="s">
        <v>5802</v>
      </c>
      <c r="C637" s="3902" t="s">
        <v>1967</v>
      </c>
      <c r="D637" s="3901" t="s">
        <v>4867</v>
      </c>
      <c r="E637" s="3903" t="str">
        <f>VLOOKUP(F637,plasmids!$A$2:$B$891,2)</f>
        <v>pAAV2/9-7m8 (D271A,N272A)</v>
      </c>
      <c r="F637" s="3904">
        <v>616</v>
      </c>
      <c r="G637" s="3126"/>
      <c r="H637" s="3943" t="str">
        <f>VLOOKUP(I637,plasmids!$A$2:$B$891,2)</f>
        <v>sc-CAG-GFP</v>
      </c>
      <c r="I637" s="3901">
        <v>120</v>
      </c>
      <c r="J637" s="3905"/>
      <c r="K637" s="3906"/>
      <c r="L637" s="3906"/>
      <c r="M637" s="3907">
        <v>42461</v>
      </c>
      <c r="N637" s="3908">
        <v>675</v>
      </c>
      <c r="O637" s="3944"/>
      <c r="P637" s="3909"/>
      <c r="Q637" s="3945">
        <v>579000000000</v>
      </c>
      <c r="R637" s="3946">
        <v>31900000000</v>
      </c>
      <c r="S637" s="3911">
        <f t="shared" si="0"/>
        <v>595335423197.49219</v>
      </c>
      <c r="T637" s="3916"/>
      <c r="U637" s="3905"/>
      <c r="V637" s="3913">
        <f>144</f>
        <v>144</v>
      </c>
      <c r="W637" s="3914" t="s">
        <v>2812</v>
      </c>
      <c r="X637" s="3915"/>
      <c r="Y637" s="3915"/>
      <c r="Z637" s="3915"/>
      <c r="AA637" s="3915"/>
      <c r="AB637" s="3915"/>
      <c r="AC637" s="3915"/>
      <c r="AD637" s="3915"/>
      <c r="AE637" s="3915"/>
      <c r="AF637" s="3915"/>
      <c r="AG637" s="3915"/>
      <c r="AH637" s="3915"/>
      <c r="AI637" s="3915"/>
      <c r="AJ637" s="3915"/>
      <c r="AK637" s="3915"/>
      <c r="AL637" s="3915"/>
      <c r="AM637" s="3915"/>
      <c r="AN637" s="3915"/>
      <c r="AO637" s="3915"/>
      <c r="AP637" s="3915"/>
      <c r="AQ637" s="3915"/>
      <c r="AR637" s="3915"/>
      <c r="AS637" s="3915"/>
      <c r="AT637" s="3915"/>
      <c r="AU637" s="3915"/>
      <c r="AV637" s="3915"/>
      <c r="AW637" s="3915"/>
      <c r="AX637" s="3915"/>
      <c r="AY637" s="3915"/>
      <c r="AZ637" s="3915"/>
      <c r="BA637" s="3915"/>
      <c r="BB637" s="3915"/>
      <c r="BC637" s="3915"/>
      <c r="BD637" s="3915"/>
      <c r="BE637" s="3915"/>
      <c r="BF637" s="3915"/>
      <c r="BG637" s="3915"/>
      <c r="BH637" s="3915"/>
      <c r="BI637" s="3915"/>
    </row>
    <row r="638" spans="1:61" ht="22.5" customHeight="1">
      <c r="A638" s="1927" t="s">
        <v>1731</v>
      </c>
      <c r="B638" s="1786" t="s">
        <v>200</v>
      </c>
      <c r="C638" s="3746" t="s">
        <v>1967</v>
      </c>
      <c r="D638" s="2255" t="s">
        <v>70</v>
      </c>
      <c r="E638" s="1788" t="str">
        <f>VLOOKUP(F638,plasmids!$A$2:$B$351,2)</f>
        <v>AAV2</v>
      </c>
      <c r="F638" s="2655">
        <v>140</v>
      </c>
      <c r="G638" s="2596"/>
      <c r="H638" s="1789" t="str">
        <f>VLOOKUP(I638,plasmids!$A$2:$B$891,2)</f>
        <v>pscAAV-SNCG-GCAmp6s-pA</v>
      </c>
      <c r="I638" s="3375">
        <v>533</v>
      </c>
      <c r="J638" s="2648"/>
      <c r="K638" s="3147"/>
      <c r="L638" s="3147"/>
      <c r="M638" s="2695">
        <v>42461</v>
      </c>
      <c r="N638" s="2649">
        <v>676</v>
      </c>
      <c r="O638" s="2655"/>
      <c r="P638" s="2651"/>
      <c r="Q638" s="2652">
        <v>102000000000000</v>
      </c>
      <c r="R638" s="3011">
        <v>31900000000</v>
      </c>
      <c r="S638" s="2653">
        <f t="shared" si="0"/>
        <v>104877742946708.47</v>
      </c>
      <c r="T638" s="2646" t="s">
        <v>5789</v>
      </c>
      <c r="U638" s="2648"/>
      <c r="V638" s="2650">
        <f>5</f>
        <v>5</v>
      </c>
      <c r="W638" s="2656"/>
      <c r="X638" s="2656"/>
      <c r="Y638" s="3966">
        <v>42524</v>
      </c>
      <c r="Z638" s="2656"/>
      <c r="AA638" s="2656"/>
      <c r="AB638" s="2656"/>
      <c r="AC638" s="2656"/>
      <c r="AD638" s="2656"/>
      <c r="AE638" s="2656"/>
      <c r="AF638" s="2656"/>
      <c r="AG638" s="2656"/>
      <c r="AH638" s="2656"/>
      <c r="AI638" s="2656"/>
      <c r="AJ638" s="2656"/>
      <c r="AK638" s="2656"/>
      <c r="AL638" s="2656"/>
      <c r="AM638" s="2656"/>
      <c r="AN638" s="2656"/>
      <c r="AO638" s="2656"/>
      <c r="AP638" s="2656"/>
      <c r="AQ638" s="2656"/>
      <c r="AR638" s="2656"/>
      <c r="AS638" s="2656"/>
      <c r="AT638" s="2656"/>
      <c r="AU638" s="2656"/>
      <c r="AV638" s="2656"/>
      <c r="AW638" s="2656"/>
      <c r="AX638" s="2656"/>
      <c r="AY638" s="2656"/>
      <c r="AZ638" s="2656"/>
      <c r="BA638" s="2656"/>
      <c r="BB638" s="2656"/>
      <c r="BC638" s="2656"/>
      <c r="BD638" s="2656"/>
      <c r="BE638" s="2656"/>
      <c r="BF638" s="2656"/>
      <c r="BG638" s="2656"/>
      <c r="BH638" s="2656"/>
      <c r="BI638" s="2656"/>
    </row>
    <row r="639" spans="1:61" ht="22.5" customHeight="1">
      <c r="A639" s="3967" t="s">
        <v>5814</v>
      </c>
      <c r="B639" s="3967" t="s">
        <v>5815</v>
      </c>
      <c r="C639" s="3968" t="s">
        <v>1967</v>
      </c>
      <c r="D639" s="3967" t="s">
        <v>5816</v>
      </c>
      <c r="E639" s="3969" t="s">
        <v>5817</v>
      </c>
      <c r="F639" s="3970">
        <v>622</v>
      </c>
      <c r="G639" s="3971"/>
      <c r="H639" s="3971" t="str">
        <f>VLOOKUP(I639,plasmids!$A$2:$B$891,2)</f>
        <v>p1045/SANS</v>
      </c>
      <c r="I639" s="3967">
        <v>623</v>
      </c>
      <c r="J639" s="3972"/>
      <c r="K639" s="3973"/>
      <c r="L639" s="3973"/>
      <c r="M639" s="3974">
        <v>42468</v>
      </c>
      <c r="N639" s="3975">
        <v>677</v>
      </c>
      <c r="O639" s="3970"/>
      <c r="P639" s="3976"/>
      <c r="Q639" s="3977">
        <v>166000000000</v>
      </c>
      <c r="R639" s="3978">
        <v>13100000000</v>
      </c>
      <c r="S639" s="3979">
        <f t="shared" si="0"/>
        <v>415633587786.25958</v>
      </c>
      <c r="T639" s="3972"/>
      <c r="U639" s="3972"/>
      <c r="V639" s="3980">
        <f>128</f>
        <v>128</v>
      </c>
      <c r="W639" s="3981"/>
      <c r="X639" s="3981"/>
      <c r="Y639" s="3982">
        <v>42524</v>
      </c>
      <c r="Z639" s="3981"/>
      <c r="AA639" s="3981"/>
      <c r="AB639" s="3981"/>
      <c r="AC639" s="3981"/>
      <c r="AD639" s="3981"/>
      <c r="AE639" s="3981"/>
      <c r="AF639" s="3981"/>
      <c r="AG639" s="3981"/>
      <c r="AH639" s="3981"/>
      <c r="AI639" s="3981"/>
      <c r="AJ639" s="3981"/>
      <c r="AK639" s="3981"/>
      <c r="AL639" s="3981"/>
      <c r="AM639" s="3981"/>
      <c r="AN639" s="3981"/>
      <c r="AO639" s="3981"/>
      <c r="AP639" s="3981"/>
      <c r="AQ639" s="3981"/>
      <c r="AR639" s="3981"/>
      <c r="AS639" s="3981"/>
      <c r="AT639" s="3981"/>
      <c r="AU639" s="3981"/>
      <c r="AV639" s="3981"/>
      <c r="AW639" s="3981"/>
      <c r="AX639" s="3981"/>
      <c r="AY639" s="3981"/>
      <c r="AZ639" s="3981"/>
      <c r="BA639" s="3981"/>
      <c r="BB639" s="3981"/>
      <c r="BC639" s="3981"/>
      <c r="BD639" s="3981"/>
      <c r="BE639" s="3981"/>
      <c r="BF639" s="3981"/>
      <c r="BG639" s="3981"/>
      <c r="BH639" s="3981"/>
      <c r="BI639" s="3981"/>
    </row>
    <row r="640" spans="1:61" ht="22.5" customHeight="1">
      <c r="A640" s="3967" t="s">
        <v>5814</v>
      </c>
      <c r="B640" s="3967" t="s">
        <v>5815</v>
      </c>
      <c r="C640" s="3968" t="s">
        <v>1967</v>
      </c>
      <c r="D640" s="3967" t="s">
        <v>5816</v>
      </c>
      <c r="E640" s="3983" t="str">
        <f>VLOOKUP(F640,plasmids!$A$2:$B$351,2)</f>
        <v>AAV2-7m8</v>
      </c>
      <c r="F640" s="3970">
        <v>178</v>
      </c>
      <c r="G640" s="3971"/>
      <c r="H640" s="3971" t="str">
        <f>VLOOKUP(I640,plasmids!$A$2:$B$891,2)</f>
        <v>p1045/SANS</v>
      </c>
      <c r="I640" s="3967">
        <v>623</v>
      </c>
      <c r="J640" s="3972"/>
      <c r="K640" s="3973"/>
      <c r="L640" s="3973"/>
      <c r="M640" s="3974">
        <v>42468</v>
      </c>
      <c r="N640" s="3975">
        <v>678</v>
      </c>
      <c r="O640" s="3970"/>
      <c r="P640" s="3976"/>
      <c r="Q640" s="3977">
        <v>17600000000000</v>
      </c>
      <c r="R640" s="3978">
        <v>13100000000</v>
      </c>
      <c r="S640" s="3979">
        <f t="shared" si="0"/>
        <v>44067175572519.086</v>
      </c>
      <c r="T640" s="3972"/>
      <c r="U640" s="3972"/>
      <c r="V640" s="3980">
        <f>145</f>
        <v>145</v>
      </c>
      <c r="W640" s="3981"/>
      <c r="X640" s="3981"/>
      <c r="Y640" s="3982">
        <v>42524</v>
      </c>
      <c r="Z640" s="3981"/>
      <c r="AA640" s="3981"/>
      <c r="AB640" s="3981"/>
      <c r="AC640" s="3981"/>
      <c r="AD640" s="3981"/>
      <c r="AE640" s="3981"/>
      <c r="AF640" s="3981"/>
      <c r="AG640" s="3981"/>
      <c r="AH640" s="3981"/>
      <c r="AI640" s="3981"/>
      <c r="AJ640" s="3981"/>
      <c r="AK640" s="3981"/>
      <c r="AL640" s="3981"/>
      <c r="AM640" s="3981"/>
      <c r="AN640" s="3981"/>
      <c r="AO640" s="3981"/>
      <c r="AP640" s="3981"/>
      <c r="AQ640" s="3981"/>
      <c r="AR640" s="3981"/>
      <c r="AS640" s="3981"/>
      <c r="AT640" s="3981"/>
      <c r="AU640" s="3981"/>
      <c r="AV640" s="3981"/>
      <c r="AW640" s="3981"/>
      <c r="AX640" s="3981"/>
      <c r="AY640" s="3981"/>
      <c r="AZ640" s="3981"/>
      <c r="BA640" s="3981"/>
      <c r="BB640" s="3981"/>
      <c r="BC640" s="3981"/>
      <c r="BD640" s="3981"/>
      <c r="BE640" s="3981"/>
      <c r="BF640" s="3981"/>
      <c r="BG640" s="3981"/>
      <c r="BH640" s="3981"/>
      <c r="BI640" s="3981"/>
    </row>
    <row r="641" spans="1:61" ht="24.75" customHeight="1">
      <c r="A641" s="3024" t="s">
        <v>707</v>
      </c>
      <c r="B641" s="3024" t="s">
        <v>3973</v>
      </c>
      <c r="C641" s="3026" t="s">
        <v>1967</v>
      </c>
      <c r="D641" s="3024" t="s">
        <v>4867</v>
      </c>
      <c r="E641" s="3028" t="str">
        <f>VLOOKUP(F641,plasmids!$A$2:$B$891,2)</f>
        <v>AAV9 2YF</v>
      </c>
      <c r="F641" s="3029">
        <v>168</v>
      </c>
      <c r="G641" s="3031"/>
      <c r="H641" s="3952" t="str">
        <f>VLOOKUP(I641,plasmids!$A$2:$B$891,2)</f>
        <v xml:space="preserve">pTR-scCAG-RdCVFs </v>
      </c>
      <c r="I641" s="3334">
        <v>187</v>
      </c>
      <c r="J641" s="3034"/>
      <c r="K641" s="3289"/>
      <c r="L641" s="3036"/>
      <c r="M641" s="3038">
        <v>42468</v>
      </c>
      <c r="N641" s="3040">
        <v>679</v>
      </c>
      <c r="O641" s="3334" t="s">
        <v>5781</v>
      </c>
      <c r="P641" s="3044"/>
      <c r="Q641" s="3447">
        <v>1270000000000</v>
      </c>
      <c r="R641" s="3448">
        <v>13100000000</v>
      </c>
      <c r="S641" s="3050">
        <f t="shared" si="0"/>
        <v>3179847328244.2749</v>
      </c>
      <c r="T641" s="3334"/>
      <c r="U641" s="3034"/>
      <c r="V641" s="3449">
        <f>109</f>
        <v>109</v>
      </c>
      <c r="W641" s="3335" t="s">
        <v>2812</v>
      </c>
      <c r="X641" s="3058"/>
      <c r="Y641" s="3058"/>
      <c r="Z641" s="3058"/>
      <c r="AA641" s="3058"/>
      <c r="AB641" s="3058"/>
      <c r="AC641" s="3058"/>
      <c r="AD641" s="3058"/>
      <c r="AE641" s="3058"/>
      <c r="AF641" s="3058"/>
      <c r="AG641" s="3058"/>
      <c r="AH641" s="3058"/>
      <c r="AI641" s="3058"/>
      <c r="AJ641" s="3058"/>
      <c r="AK641" s="3058"/>
      <c r="AL641" s="3058"/>
      <c r="AM641" s="3058"/>
      <c r="AN641" s="3058"/>
      <c r="AO641" s="3058"/>
      <c r="AP641" s="3058"/>
      <c r="AQ641" s="3058"/>
      <c r="AR641" s="3058"/>
      <c r="AS641" s="3058"/>
      <c r="AT641" s="3058"/>
      <c r="AU641" s="3058"/>
      <c r="AV641" s="3058"/>
      <c r="AW641" s="3058"/>
      <c r="AX641" s="3058"/>
      <c r="AY641" s="3058"/>
      <c r="AZ641" s="3058"/>
      <c r="BA641" s="3058"/>
      <c r="BB641" s="3058"/>
      <c r="BC641" s="3058"/>
      <c r="BD641" s="3058"/>
      <c r="BE641" s="3058"/>
      <c r="BF641" s="3058"/>
      <c r="BG641" s="3058"/>
      <c r="BH641" s="3058"/>
      <c r="BI641" s="3058"/>
    </row>
    <row r="642" spans="1:61" ht="24.75" customHeight="1">
      <c r="A642" s="3024" t="s">
        <v>707</v>
      </c>
      <c r="B642" s="3024" t="s">
        <v>3973</v>
      </c>
      <c r="C642" s="3026" t="s">
        <v>1967</v>
      </c>
      <c r="D642" s="3024" t="s">
        <v>4867</v>
      </c>
      <c r="E642" s="3028" t="str">
        <f>VLOOKUP(F642,plasmids!$A$2:$B$891,2)</f>
        <v>AAV9 2YF</v>
      </c>
      <c r="F642" s="3029">
        <v>168</v>
      </c>
      <c r="G642" s="3031"/>
      <c r="H642" s="3952" t="str">
        <f>VLOOKUP(I642,plasmids!$A$2:$B$891,2)</f>
        <v xml:space="preserve">pTR-scCAG-RdCVFs </v>
      </c>
      <c r="I642" s="3334">
        <v>187</v>
      </c>
      <c r="J642" s="3034"/>
      <c r="K642" s="3289"/>
      <c r="L642" s="3036"/>
      <c r="M642" s="3038">
        <v>42468</v>
      </c>
      <c r="N642" s="3040">
        <v>680</v>
      </c>
      <c r="O642" s="3029"/>
      <c r="P642" s="3044"/>
      <c r="Q642" s="3447">
        <v>49000000000000</v>
      </c>
      <c r="R642" s="3448">
        <v>13100000000</v>
      </c>
      <c r="S642" s="3050">
        <f t="shared" si="0"/>
        <v>122687022900763.38</v>
      </c>
      <c r="T642" s="3334"/>
      <c r="U642" s="3034"/>
      <c r="V642" s="3449">
        <f>145</f>
        <v>145</v>
      </c>
      <c r="W642" s="3056"/>
      <c r="X642" s="3058"/>
      <c r="Y642" s="3058"/>
      <c r="Z642" s="3058"/>
      <c r="AA642" s="3058"/>
      <c r="AB642" s="3058"/>
      <c r="AC642" s="3058"/>
      <c r="AD642" s="3058"/>
      <c r="AE642" s="3058"/>
      <c r="AF642" s="3058"/>
      <c r="AG642" s="3058"/>
      <c r="AH642" s="3058"/>
      <c r="AI642" s="3058"/>
      <c r="AJ642" s="3058"/>
      <c r="AK642" s="3058"/>
      <c r="AL642" s="3058"/>
      <c r="AM642" s="3058"/>
      <c r="AN642" s="3058"/>
      <c r="AO642" s="3058"/>
      <c r="AP642" s="3058"/>
      <c r="AQ642" s="3058"/>
      <c r="AR642" s="3058"/>
      <c r="AS642" s="3058"/>
      <c r="AT642" s="3058"/>
      <c r="AU642" s="3058"/>
      <c r="AV642" s="3058"/>
      <c r="AW642" s="3058"/>
      <c r="AX642" s="3058"/>
      <c r="AY642" s="3058"/>
      <c r="AZ642" s="3058"/>
      <c r="BA642" s="3058"/>
      <c r="BB642" s="3058"/>
      <c r="BC642" s="3058"/>
      <c r="BD642" s="3058"/>
      <c r="BE642" s="3058"/>
      <c r="BF642" s="3058"/>
      <c r="BG642" s="3058"/>
      <c r="BH642" s="3058"/>
      <c r="BI642" s="3058"/>
    </row>
    <row r="643" spans="1:61" ht="33" customHeight="1">
      <c r="A643" s="3984" t="s">
        <v>5761</v>
      </c>
      <c r="B643" s="3984" t="s">
        <v>5762</v>
      </c>
      <c r="C643" s="3985" t="s">
        <v>178</v>
      </c>
      <c r="D643" s="3986" t="s">
        <v>4261</v>
      </c>
      <c r="E643" s="3987" t="str">
        <f>VLOOKUP(F643,plasmids!$A$2:$B$891,2)</f>
        <v>pAAV2/8</v>
      </c>
      <c r="F643" s="3984">
        <v>122</v>
      </c>
      <c r="G643" s="3730"/>
      <c r="H643" s="3731" t="str">
        <f>VLOOKUP(I643,plasmids!$A$2:$B$891,2)</f>
        <v>sc-CAG-GFP</v>
      </c>
      <c r="I643" s="3466">
        <v>120</v>
      </c>
      <c r="J643" s="3986" t="s">
        <v>1012</v>
      </c>
      <c r="K643" s="3988"/>
      <c r="L643" s="1126"/>
      <c r="M643" s="173">
        <v>42475</v>
      </c>
      <c r="N643" s="3989">
        <v>681</v>
      </c>
      <c r="O643" s="3990"/>
      <c r="P643" s="3991"/>
      <c r="Q643" s="179">
        <v>237000000000000</v>
      </c>
      <c r="R643" s="3648">
        <v>15200000000</v>
      </c>
      <c r="S643" s="182">
        <f t="shared" si="0"/>
        <v>511421052631578.94</v>
      </c>
      <c r="T643" s="3992" t="s">
        <v>5789</v>
      </c>
      <c r="U643" s="3993"/>
      <c r="V643" s="3994">
        <f>100-35</f>
        <v>65</v>
      </c>
      <c r="W643" s="3250" t="s">
        <v>5638</v>
      </c>
      <c r="X643" s="3993"/>
      <c r="Y643" s="3993"/>
      <c r="Z643" s="3993"/>
      <c r="AA643" s="3993"/>
      <c r="AB643" s="3993"/>
      <c r="AC643" s="3993"/>
      <c r="AD643" s="3993"/>
      <c r="AE643" s="3993"/>
      <c r="AF643" s="3993"/>
      <c r="AG643" s="3993"/>
      <c r="AH643" s="1880"/>
      <c r="AI643" s="1880"/>
      <c r="AJ643" s="1880"/>
      <c r="AK643" s="1880"/>
      <c r="AL643" s="1880"/>
      <c r="AM643" s="1880"/>
      <c r="AN643" s="1880"/>
      <c r="AO643" s="1880"/>
      <c r="AP643" s="1880"/>
      <c r="AQ643" s="1880"/>
      <c r="AR643" s="1880"/>
      <c r="AS643" s="1880"/>
      <c r="AT643" s="1880"/>
      <c r="AU643" s="1880"/>
      <c r="AV643" s="1880"/>
      <c r="AW643" s="1880"/>
      <c r="AX643" s="1880"/>
      <c r="AY643" s="1880"/>
      <c r="AZ643" s="1880"/>
      <c r="BA643" s="1880"/>
      <c r="BB643" s="1880"/>
      <c r="BC643" s="1880"/>
      <c r="BD643" s="1880"/>
      <c r="BE643" s="1880"/>
      <c r="BF643" s="1880"/>
      <c r="BG643" s="1880"/>
      <c r="BH643" s="1880"/>
      <c r="BI643" s="1880"/>
    </row>
    <row r="644" spans="1:61" ht="25.5" customHeight="1">
      <c r="A644" s="3967" t="s">
        <v>5814</v>
      </c>
      <c r="B644" s="3967" t="s">
        <v>5818</v>
      </c>
      <c r="C644" s="3968" t="s">
        <v>5819</v>
      </c>
      <c r="D644" s="3967" t="s">
        <v>3782</v>
      </c>
      <c r="E644" s="3983" t="str">
        <f>VLOOKUP(F644,plasmids!$A$2:$B$891,2)</f>
        <v>AAV2-7m8</v>
      </c>
      <c r="F644" s="3970">
        <v>178</v>
      </c>
      <c r="G644" s="3971"/>
      <c r="H644" s="3971" t="str">
        <f>VLOOKUP(I644,plasmids!$A$2:$B$891,2)</f>
        <v>pssAAV-CMV-GFP (GW)</v>
      </c>
      <c r="I644" s="3967">
        <v>212</v>
      </c>
      <c r="J644" s="3972"/>
      <c r="K644" s="3973"/>
      <c r="L644" s="3973"/>
      <c r="M644" s="3974">
        <v>42475</v>
      </c>
      <c r="N644" s="3975">
        <v>682</v>
      </c>
      <c r="O644" s="3970"/>
      <c r="P644" s="3976"/>
      <c r="Q644" s="3977">
        <v>32600000000000</v>
      </c>
      <c r="R644" s="3978">
        <v>15200000000</v>
      </c>
      <c r="S644" s="3979">
        <f t="shared" si="0"/>
        <v>70347368421052.633</v>
      </c>
      <c r="T644" s="3972"/>
      <c r="U644" s="3972"/>
      <c r="V644" s="3980">
        <f>122</f>
        <v>122</v>
      </c>
      <c r="W644" s="3981"/>
      <c r="X644" s="3981"/>
      <c r="Y644" s="3982">
        <v>42524</v>
      </c>
      <c r="Z644" s="3981"/>
      <c r="AA644" s="3981"/>
      <c r="AB644" s="3981"/>
      <c r="AC644" s="3981"/>
      <c r="AD644" s="3981"/>
      <c r="AE644" s="3981"/>
      <c r="AF644" s="3981"/>
      <c r="AG644" s="3981"/>
      <c r="AH644" s="3981"/>
      <c r="AI644" s="3981"/>
      <c r="AJ644" s="3981"/>
      <c r="AK644" s="3981"/>
      <c r="AL644" s="3981"/>
      <c r="AM644" s="3981"/>
      <c r="AN644" s="3981"/>
      <c r="AO644" s="3981"/>
      <c r="AP644" s="3981"/>
      <c r="AQ644" s="3981"/>
      <c r="AR644" s="3981"/>
      <c r="AS644" s="3981"/>
      <c r="AT644" s="3981"/>
      <c r="AU644" s="3981"/>
      <c r="AV644" s="3981"/>
      <c r="AW644" s="3981"/>
      <c r="AX644" s="3981"/>
      <c r="AY644" s="3981"/>
      <c r="AZ644" s="3981"/>
      <c r="BA644" s="3981"/>
      <c r="BB644" s="3981"/>
      <c r="BC644" s="3981"/>
      <c r="BD644" s="3981"/>
      <c r="BE644" s="3981"/>
      <c r="BF644" s="3981"/>
      <c r="BG644" s="3981"/>
      <c r="BH644" s="3981"/>
      <c r="BI644" s="3981"/>
    </row>
    <row r="645" spans="1:61" ht="25.5" customHeight="1">
      <c r="A645" s="3967" t="s">
        <v>5814</v>
      </c>
      <c r="B645" s="3967" t="s">
        <v>5818</v>
      </c>
      <c r="C645" s="3968" t="s">
        <v>5819</v>
      </c>
      <c r="D645" s="3967" t="s">
        <v>3782</v>
      </c>
      <c r="E645" s="3983" t="str">
        <f>VLOOKUP(F645,plasmids!$A$2:$B$891,2)</f>
        <v>AAV2-7m8</v>
      </c>
      <c r="F645" s="3970">
        <v>178</v>
      </c>
      <c r="G645" s="3971"/>
      <c r="H645" s="3971" t="str">
        <f>VLOOKUP(I645,plasmids!$A$2:$B$891,2)</f>
        <v>pssAAV-U6-sh454-MfUSH1C-CMV-GFP_x000D_</v>
      </c>
      <c r="I645" s="3967">
        <v>630</v>
      </c>
      <c r="J645" s="3972"/>
      <c r="K645" s="3973"/>
      <c r="L645" s="3973"/>
      <c r="M645" s="3974">
        <v>42475</v>
      </c>
      <c r="N645" s="3975">
        <v>683</v>
      </c>
      <c r="O645" s="3970"/>
      <c r="P645" s="3976"/>
      <c r="Q645" s="3977">
        <v>8740000000000</v>
      </c>
      <c r="R645" s="3978">
        <v>15200000000</v>
      </c>
      <c r="S645" s="3979">
        <f t="shared" si="0"/>
        <v>18860000000000</v>
      </c>
      <c r="T645" s="3972"/>
      <c r="U645" s="3972"/>
      <c r="V645" s="3980">
        <f>137</f>
        <v>137</v>
      </c>
      <c r="W645" s="3981"/>
      <c r="X645" s="3981"/>
      <c r="Y645" s="3982">
        <v>42524</v>
      </c>
      <c r="Z645" s="3981"/>
      <c r="AA645" s="3981"/>
      <c r="AB645" s="3981"/>
      <c r="AC645" s="3981"/>
      <c r="AD645" s="3981"/>
      <c r="AE645" s="3981"/>
      <c r="AF645" s="3981"/>
      <c r="AG645" s="3981"/>
      <c r="AH645" s="3981"/>
      <c r="AI645" s="3981"/>
      <c r="AJ645" s="3981"/>
      <c r="AK645" s="3981"/>
      <c r="AL645" s="3981"/>
      <c r="AM645" s="3981"/>
      <c r="AN645" s="3981"/>
      <c r="AO645" s="3981"/>
      <c r="AP645" s="3981"/>
      <c r="AQ645" s="3981"/>
      <c r="AR645" s="3981"/>
      <c r="AS645" s="3981"/>
      <c r="AT645" s="3981"/>
      <c r="AU645" s="3981"/>
      <c r="AV645" s="3981"/>
      <c r="AW645" s="3981"/>
      <c r="AX645" s="3981"/>
      <c r="AY645" s="3981"/>
      <c r="AZ645" s="3981"/>
      <c r="BA645" s="3981"/>
      <c r="BB645" s="3981"/>
      <c r="BC645" s="3981"/>
      <c r="BD645" s="3981"/>
      <c r="BE645" s="3981"/>
      <c r="BF645" s="3981"/>
      <c r="BG645" s="3981"/>
      <c r="BH645" s="3981"/>
      <c r="BI645" s="3981"/>
    </row>
    <row r="646" spans="1:61" ht="25.5" customHeight="1">
      <c r="A646" s="3995" t="s">
        <v>5814</v>
      </c>
      <c r="B646" s="3995" t="s">
        <v>5818</v>
      </c>
      <c r="C646" s="3996" t="s">
        <v>5819</v>
      </c>
      <c r="D646" s="3995" t="s">
        <v>3782</v>
      </c>
      <c r="E646" s="3997" t="str">
        <f>VLOOKUP(F646,plasmids!$A$2:$B$891,2)</f>
        <v>AAV2-7m8</v>
      </c>
      <c r="F646" s="3998">
        <v>178</v>
      </c>
      <c r="G646" s="3999"/>
      <c r="H646" s="3999" t="str">
        <f>VLOOKUP(I646,plasmids!$A$2:$B$891,2)</f>
        <v>pssAAV-U6-sh1082-MfUSH1C-CMV-GFP</v>
      </c>
      <c r="I646" s="3995">
        <v>631</v>
      </c>
      <c r="J646" s="4000"/>
      <c r="K646" s="4001"/>
      <c r="L646" s="4001"/>
      <c r="M646" s="4002">
        <v>42475</v>
      </c>
      <c r="N646" s="4003">
        <v>684</v>
      </c>
      <c r="O646" s="3998"/>
      <c r="P646" s="4004"/>
      <c r="Q646" s="4005">
        <v>3940000000000</v>
      </c>
      <c r="R646" s="4006">
        <v>15200000000</v>
      </c>
      <c r="S646" s="4007">
        <f t="shared" si="0"/>
        <v>8502105263157.8945</v>
      </c>
      <c r="T646" s="4000"/>
      <c r="U646" s="4000"/>
      <c r="V646" s="4008">
        <f>96</f>
        <v>96</v>
      </c>
      <c r="W646" s="4009"/>
      <c r="X646" s="4009"/>
      <c r="Y646" s="4010">
        <v>42524</v>
      </c>
      <c r="Z646" s="4009"/>
      <c r="AA646" s="4009"/>
      <c r="AB646" s="4009"/>
      <c r="AC646" s="4009"/>
      <c r="AD646" s="4009"/>
      <c r="AE646" s="4009"/>
      <c r="AF646" s="4009"/>
      <c r="AG646" s="4009"/>
      <c r="AH646" s="4009"/>
      <c r="AI646" s="4009"/>
      <c r="AJ646" s="4009"/>
      <c r="AK646" s="4009"/>
      <c r="AL646" s="4009"/>
      <c r="AM646" s="4009"/>
      <c r="AN646" s="4009"/>
      <c r="AO646" s="4009"/>
      <c r="AP646" s="4009"/>
      <c r="AQ646" s="4009"/>
      <c r="AR646" s="4009"/>
      <c r="AS646" s="4009"/>
      <c r="AT646" s="4009"/>
      <c r="AU646" s="4009"/>
      <c r="AV646" s="4009"/>
      <c r="AW646" s="4009"/>
      <c r="AX646" s="4009"/>
      <c r="AY646" s="4009"/>
      <c r="AZ646" s="4009"/>
      <c r="BA646" s="4009"/>
      <c r="BB646" s="4009"/>
      <c r="BC646" s="4009"/>
      <c r="BD646" s="4009"/>
      <c r="BE646" s="4009"/>
      <c r="BF646" s="4009"/>
      <c r="BG646" s="4009"/>
      <c r="BH646" s="3981"/>
      <c r="BI646" s="3981"/>
    </row>
    <row r="647" spans="1:61" ht="25.5" customHeight="1">
      <c r="A647" s="4011" t="s">
        <v>5814</v>
      </c>
      <c r="B647" s="4011" t="s">
        <v>5818</v>
      </c>
      <c r="C647" s="4012" t="s">
        <v>5819</v>
      </c>
      <c r="D647" s="4011" t="s">
        <v>3782</v>
      </c>
      <c r="E647" s="4013" t="str">
        <f>VLOOKUP(F647,plasmids!$A$2:$B$891,2)</f>
        <v>AAV2-7m8</v>
      </c>
      <c r="F647" s="4014">
        <v>178</v>
      </c>
      <c r="G647" s="4015"/>
      <c r="H647" s="3971" t="str">
        <f>VLOOKUP(I647,plasmids!$A$2:$B$891,2)</f>
        <v>pssAAV-U6-shLife7-MfHsUSH1C-CMV-GFP</v>
      </c>
      <c r="I647" s="4011">
        <v>632</v>
      </c>
      <c r="J647" s="4016"/>
      <c r="K647" s="4017"/>
      <c r="L647" s="4017"/>
      <c r="M647" s="4018">
        <v>42482</v>
      </c>
      <c r="N647" s="4019">
        <v>685</v>
      </c>
      <c r="O647" s="4014"/>
      <c r="P647" s="4020"/>
      <c r="Q647" s="4021">
        <v>14800000000000</v>
      </c>
      <c r="R647" s="4022">
        <v>15200000000</v>
      </c>
      <c r="S647" s="4023">
        <f t="shared" si="0"/>
        <v>31936842105263.16</v>
      </c>
      <c r="T647" s="4016"/>
      <c r="U647" s="4016"/>
      <c r="V647" s="4024">
        <f>112</f>
        <v>112</v>
      </c>
      <c r="W647" s="4025"/>
      <c r="X647" s="4025"/>
      <c r="Y647" s="4026">
        <v>42524</v>
      </c>
      <c r="Z647" s="4025"/>
      <c r="AA647" s="4025"/>
      <c r="AB647" s="4025"/>
      <c r="AC647" s="4025"/>
      <c r="AD647" s="4025"/>
      <c r="AE647" s="4025"/>
      <c r="AF647" s="4025"/>
      <c r="AG647" s="4025"/>
      <c r="AH647" s="4025"/>
      <c r="AI647" s="4025"/>
      <c r="AJ647" s="4025"/>
      <c r="AK647" s="4025"/>
      <c r="AL647" s="4025"/>
      <c r="AM647" s="4025"/>
      <c r="AN647" s="4025"/>
      <c r="AO647" s="4025"/>
      <c r="AP647" s="4025"/>
      <c r="AQ647" s="4025"/>
      <c r="AR647" s="4025"/>
      <c r="AS647" s="4025"/>
      <c r="AT647" s="4025"/>
      <c r="AU647" s="4025"/>
      <c r="AV647" s="4025"/>
      <c r="AW647" s="4025"/>
      <c r="AX647" s="4025"/>
      <c r="AY647" s="4025"/>
      <c r="AZ647" s="4025"/>
      <c r="BA647" s="4025"/>
      <c r="BB647" s="4025"/>
      <c r="BC647" s="4025"/>
      <c r="BD647" s="4025"/>
      <c r="BE647" s="4025"/>
      <c r="BF647" s="4025"/>
      <c r="BG647" s="4025"/>
      <c r="BH647" s="3981"/>
      <c r="BI647" s="3981"/>
    </row>
    <row r="648" spans="1:61" ht="25.5" customHeight="1">
      <c r="A648" s="3967" t="s">
        <v>5814</v>
      </c>
      <c r="B648" s="3967" t="s">
        <v>5818</v>
      </c>
      <c r="C648" s="3968" t="s">
        <v>5819</v>
      </c>
      <c r="D648" s="3967" t="s">
        <v>3782</v>
      </c>
      <c r="E648" s="3983" t="str">
        <f>VLOOKUP(F648,plasmids!$A$2:$B$891,2)</f>
        <v>AAV2-7m8</v>
      </c>
      <c r="F648" s="3970">
        <v>178</v>
      </c>
      <c r="G648" s="3971"/>
      <c r="H648" s="3971" t="str">
        <f>VLOOKUP(I648,plasmids!$A$2:$B$891,2)</f>
        <v>pssAAV-U6-shLife10-MfHsUSH1C-CMV-GFP</v>
      </c>
      <c r="I648" s="3967">
        <v>633</v>
      </c>
      <c r="J648" s="3972"/>
      <c r="K648" s="3973"/>
      <c r="L648" s="3973"/>
      <c r="M648" s="3974">
        <v>42482</v>
      </c>
      <c r="N648" s="3975">
        <v>686</v>
      </c>
      <c r="O648" s="3970"/>
      <c r="P648" s="3976"/>
      <c r="Q648" s="3977">
        <v>7500000000000</v>
      </c>
      <c r="R648" s="3978">
        <v>15200000000</v>
      </c>
      <c r="S648" s="3979">
        <f t="shared" si="0"/>
        <v>16184210526315.789</v>
      </c>
      <c r="T648" s="3972"/>
      <c r="U648" s="3972"/>
      <c r="V648" s="3980">
        <f>129</f>
        <v>129</v>
      </c>
      <c r="W648" s="3981"/>
      <c r="X648" s="3981"/>
      <c r="Y648" s="3982">
        <v>42524</v>
      </c>
      <c r="Z648" s="3981"/>
      <c r="AA648" s="3981"/>
      <c r="AB648" s="3981"/>
      <c r="AC648" s="3981"/>
      <c r="AD648" s="3981"/>
      <c r="AE648" s="3981"/>
      <c r="AF648" s="3981"/>
      <c r="AG648" s="3981"/>
      <c r="AH648" s="3981"/>
      <c r="AI648" s="3981"/>
      <c r="AJ648" s="3981"/>
      <c r="AK648" s="3981"/>
      <c r="AL648" s="3981"/>
      <c r="AM648" s="3981"/>
      <c r="AN648" s="3981"/>
      <c r="AO648" s="3981"/>
      <c r="AP648" s="3981"/>
      <c r="AQ648" s="3981"/>
      <c r="AR648" s="3981"/>
      <c r="AS648" s="3981"/>
      <c r="AT648" s="3981"/>
      <c r="AU648" s="3981"/>
      <c r="AV648" s="3981"/>
      <c r="AW648" s="3981"/>
      <c r="AX648" s="3981"/>
      <c r="AY648" s="3981"/>
      <c r="AZ648" s="3981"/>
      <c r="BA648" s="3981"/>
      <c r="BB648" s="3981"/>
      <c r="BC648" s="3981"/>
      <c r="BD648" s="3981"/>
      <c r="BE648" s="3981"/>
      <c r="BF648" s="3981"/>
      <c r="BG648" s="3981"/>
      <c r="BH648" s="3981"/>
      <c r="BI648" s="3981"/>
    </row>
    <row r="649" spans="1:61" ht="22.5" customHeight="1">
      <c r="A649" s="4027" t="s">
        <v>5820</v>
      </c>
      <c r="B649" s="4027" t="s">
        <v>5821</v>
      </c>
      <c r="C649" s="4028" t="s">
        <v>1967</v>
      </c>
      <c r="D649" s="4027" t="s">
        <v>288</v>
      </c>
      <c r="E649" s="4029" t="str">
        <f>VLOOKUP(F649,plasmids!$A$2:$B$891,2)</f>
        <v>AAV2-7m8</v>
      </c>
      <c r="F649" s="4030">
        <v>178</v>
      </c>
      <c r="G649" s="4031"/>
      <c r="H649" s="4032" t="str">
        <f>VLOOKUP(I649,plasmids!$A$2:$B$891,2)</f>
        <v>pAAV-1xGrm6-Lrit3-GFP</v>
      </c>
      <c r="I649" s="4027">
        <v>618</v>
      </c>
      <c r="J649" s="4033"/>
      <c r="K649" s="4034"/>
      <c r="L649" s="4034"/>
      <c r="M649" s="4035">
        <v>42482</v>
      </c>
      <c r="N649" s="4036">
        <v>687</v>
      </c>
      <c r="O649" s="4030"/>
      <c r="P649" s="4037"/>
      <c r="Q649" s="4038">
        <v>63200000000000</v>
      </c>
      <c r="R649" s="4039">
        <v>15200000000</v>
      </c>
      <c r="S649" s="4040">
        <f t="shared" si="0"/>
        <v>136378947368421.06</v>
      </c>
      <c r="T649" s="4033"/>
      <c r="U649" s="4033"/>
      <c r="V649" s="4041">
        <f>118</f>
        <v>118</v>
      </c>
      <c r="W649" s="4042"/>
      <c r="X649" s="4042"/>
      <c r="Y649" s="4043">
        <v>42524</v>
      </c>
      <c r="Z649" s="4042"/>
      <c r="AA649" s="4042"/>
      <c r="AB649" s="4042"/>
      <c r="AC649" s="4042"/>
      <c r="AD649" s="4042"/>
      <c r="AE649" s="4042"/>
      <c r="AF649" s="4042"/>
      <c r="AG649" s="4042"/>
      <c r="AH649" s="4042"/>
      <c r="AI649" s="4042"/>
      <c r="AJ649" s="4042"/>
      <c r="AK649" s="4042"/>
      <c r="AL649" s="4042"/>
      <c r="AM649" s="4042"/>
      <c r="AN649" s="4042"/>
      <c r="AO649" s="4042"/>
      <c r="AP649" s="4042"/>
      <c r="AQ649" s="4042"/>
      <c r="AR649" s="4042"/>
      <c r="AS649" s="4042"/>
      <c r="AT649" s="4042"/>
      <c r="AU649" s="4042"/>
      <c r="AV649" s="4042"/>
      <c r="AW649" s="4042"/>
      <c r="AX649" s="4042"/>
      <c r="AY649" s="4042"/>
      <c r="AZ649" s="4042"/>
      <c r="BA649" s="4042"/>
      <c r="BB649" s="4042"/>
      <c r="BC649" s="4042"/>
      <c r="BD649" s="4042"/>
      <c r="BE649" s="4042"/>
      <c r="BF649" s="4042"/>
      <c r="BG649" s="4042"/>
      <c r="BH649" s="4042"/>
      <c r="BI649" s="4042"/>
    </row>
    <row r="650" spans="1:61" ht="22.5" customHeight="1">
      <c r="A650" s="4044" t="s">
        <v>5820</v>
      </c>
      <c r="B650" s="4044" t="s">
        <v>5821</v>
      </c>
      <c r="C650" s="4045" t="s">
        <v>1967</v>
      </c>
      <c r="D650" s="4044" t="s">
        <v>288</v>
      </c>
      <c r="E650" s="4046" t="str">
        <f>VLOOKUP(F650,plasmids!$A$2:$B$891,2)</f>
        <v>AAV2-7m8</v>
      </c>
      <c r="F650" s="4047">
        <v>178</v>
      </c>
      <c r="G650" s="4048"/>
      <c r="H650" s="4049" t="str">
        <f>VLOOKUP(I650,plasmids!$A$2:$B$891,2)</f>
        <v>pAAV-1xGrm6-Lrit3-STOP-GFP</v>
      </c>
      <c r="I650" s="4044">
        <v>617</v>
      </c>
      <c r="J650" s="4050"/>
      <c r="K650" s="4051"/>
      <c r="L650" s="4051"/>
      <c r="M650" s="4052">
        <v>42482</v>
      </c>
      <c r="N650" s="4053">
        <v>688</v>
      </c>
      <c r="O650" s="4054"/>
      <c r="P650" s="4055"/>
      <c r="Q650" s="4056">
        <v>48900000000000</v>
      </c>
      <c r="R650" s="4057">
        <v>15200000000</v>
      </c>
      <c r="S650" s="4058">
        <f t="shared" si="0"/>
        <v>105521052631578.95</v>
      </c>
      <c r="T650" s="4050"/>
      <c r="U650" s="4050"/>
      <c r="V650" s="4059">
        <f>144</f>
        <v>144</v>
      </c>
      <c r="W650" s="4060"/>
      <c r="X650" s="4060"/>
      <c r="Y650" s="4061">
        <v>42524</v>
      </c>
      <c r="Z650" s="4060"/>
      <c r="AA650" s="4060"/>
      <c r="AB650" s="4060"/>
      <c r="AC650" s="4060"/>
      <c r="AD650" s="4060"/>
      <c r="AE650" s="4060"/>
      <c r="AF650" s="4060"/>
      <c r="AG650" s="4060"/>
      <c r="AH650" s="4060"/>
      <c r="AI650" s="4060"/>
      <c r="AJ650" s="4060"/>
      <c r="AK650" s="4060"/>
      <c r="AL650" s="4060"/>
      <c r="AM650" s="4060"/>
      <c r="AN650" s="4060"/>
      <c r="AO650" s="4060"/>
      <c r="AP650" s="4060"/>
      <c r="AQ650" s="4060"/>
      <c r="AR650" s="4060"/>
      <c r="AS650" s="4060"/>
      <c r="AT650" s="4060"/>
      <c r="AU650" s="4060"/>
      <c r="AV650" s="4060"/>
      <c r="AW650" s="4060"/>
      <c r="AX650" s="4060"/>
      <c r="AY650" s="4060"/>
      <c r="AZ650" s="4060"/>
      <c r="BA650" s="4060"/>
      <c r="BB650" s="4060"/>
      <c r="BC650" s="4060"/>
      <c r="BD650" s="4060"/>
      <c r="BE650" s="4060"/>
      <c r="BF650" s="4060"/>
      <c r="BG650" s="4060"/>
      <c r="BH650" s="4042"/>
      <c r="BI650" s="4042"/>
    </row>
    <row r="651" spans="1:61" ht="22.5" customHeight="1">
      <c r="A651" s="3791" t="s">
        <v>5209</v>
      </c>
      <c r="B651" s="3596" t="s">
        <v>1025</v>
      </c>
      <c r="C651" s="3596" t="s">
        <v>178</v>
      </c>
      <c r="D651" s="3596" t="s">
        <v>1088</v>
      </c>
      <c r="E651" s="3598" t="str">
        <f>VLOOKUP(F651,plasmids!$A$2:$B$351,2)</f>
        <v>AAV9 2YF</v>
      </c>
      <c r="F651" s="3792">
        <v>168</v>
      </c>
      <c r="G651" s="3598"/>
      <c r="H651" s="4062" t="s">
        <v>1298</v>
      </c>
      <c r="I651" s="3792">
        <v>636</v>
      </c>
      <c r="J651" s="3793"/>
      <c r="K651" s="3794"/>
      <c r="L651" s="3794"/>
      <c r="M651" s="3796">
        <v>42489</v>
      </c>
      <c r="N651" s="4063">
        <v>689</v>
      </c>
      <c r="O651" s="4064"/>
      <c r="P651" s="3799"/>
      <c r="Q651" s="4065">
        <v>75900000000000</v>
      </c>
      <c r="R651" s="4066">
        <v>8180000000</v>
      </c>
      <c r="S651" s="3609">
        <f t="shared" si="0"/>
        <v>304342298288508.56</v>
      </c>
      <c r="T651" s="3793"/>
      <c r="U651" s="3793"/>
      <c r="V651" s="4067">
        <f>195</f>
        <v>195</v>
      </c>
      <c r="W651" s="3805"/>
      <c r="X651" s="3805"/>
      <c r="Y651" s="3804">
        <v>42524</v>
      </c>
      <c r="Z651" s="3805"/>
      <c r="AA651" s="3805"/>
      <c r="AB651" s="3805"/>
      <c r="AC651" s="3805"/>
      <c r="AD651" s="3805"/>
      <c r="AE651" s="3805"/>
      <c r="AF651" s="3805"/>
      <c r="AG651" s="3805"/>
      <c r="AH651" s="3805"/>
      <c r="AI651" s="3805"/>
      <c r="AJ651" s="3805"/>
      <c r="AK651" s="3805"/>
      <c r="AL651" s="3805"/>
      <c r="AM651" s="3805"/>
      <c r="AN651" s="3805"/>
      <c r="AO651" s="3805"/>
      <c r="AP651" s="3805"/>
      <c r="AQ651" s="3805"/>
      <c r="AR651" s="3805"/>
      <c r="AS651" s="3805"/>
      <c r="AT651" s="3805"/>
      <c r="AU651" s="3805"/>
      <c r="AV651" s="3805"/>
      <c r="AW651" s="3805"/>
      <c r="AX651" s="3805"/>
      <c r="AY651" s="3805"/>
      <c r="AZ651" s="3805"/>
      <c r="BA651" s="3805"/>
      <c r="BB651" s="3805"/>
      <c r="BC651" s="3805"/>
      <c r="BD651" s="3805"/>
      <c r="BE651" s="3805"/>
      <c r="BF651" s="3805"/>
      <c r="BG651" s="3805"/>
      <c r="BH651" s="3805"/>
      <c r="BI651" s="3805"/>
    </row>
    <row r="652" spans="1:61" ht="22.5" customHeight="1">
      <c r="A652" s="3791" t="s">
        <v>5209</v>
      </c>
      <c r="B652" s="3596" t="s">
        <v>1025</v>
      </c>
      <c r="C652" s="3596" t="s">
        <v>178</v>
      </c>
      <c r="D652" s="3596" t="s">
        <v>1088</v>
      </c>
      <c r="E652" s="3598" t="str">
        <f>VLOOKUP(F652,plasmids!$A$2:$B$351,2)</f>
        <v>AAV9 2YF</v>
      </c>
      <c r="F652" s="3792">
        <v>168</v>
      </c>
      <c r="G652" s="3598"/>
      <c r="H652" s="3611" t="s">
        <v>1301</v>
      </c>
      <c r="I652" s="3792">
        <v>637</v>
      </c>
      <c r="J652" s="3793"/>
      <c r="K652" s="3794"/>
      <c r="L652" s="3794"/>
      <c r="M652" s="3796">
        <v>42489</v>
      </c>
      <c r="N652" s="4063">
        <v>690</v>
      </c>
      <c r="O652" s="4064"/>
      <c r="P652" s="3799"/>
      <c r="Q652" s="4065">
        <v>153000000000000</v>
      </c>
      <c r="R652" s="4066">
        <v>8180000000</v>
      </c>
      <c r="S652" s="3609">
        <f t="shared" si="0"/>
        <v>613496332518337.5</v>
      </c>
      <c r="T652" s="3793"/>
      <c r="U652" s="3793"/>
      <c r="V652" s="4067">
        <f>206</f>
        <v>206</v>
      </c>
      <c r="W652" s="3805"/>
      <c r="X652" s="3805"/>
      <c r="Y652" s="3804">
        <v>42524</v>
      </c>
      <c r="Z652" s="3805"/>
      <c r="AA652" s="3805"/>
      <c r="AB652" s="3805"/>
      <c r="AC652" s="3805"/>
      <c r="AD652" s="3805"/>
      <c r="AE652" s="3805"/>
      <c r="AF652" s="3805"/>
      <c r="AG652" s="3805"/>
      <c r="AH652" s="3805"/>
      <c r="AI652" s="3805"/>
      <c r="AJ652" s="3805"/>
      <c r="AK652" s="3805"/>
      <c r="AL652" s="3805"/>
      <c r="AM652" s="3805"/>
      <c r="AN652" s="3805"/>
      <c r="AO652" s="3805"/>
      <c r="AP652" s="3805"/>
      <c r="AQ652" s="3805"/>
      <c r="AR652" s="3805"/>
      <c r="AS652" s="3805"/>
      <c r="AT652" s="3805"/>
      <c r="AU652" s="3805"/>
      <c r="AV652" s="3805"/>
      <c r="AW652" s="3805"/>
      <c r="AX652" s="3805"/>
      <c r="AY652" s="3805"/>
      <c r="AZ652" s="3805"/>
      <c r="BA652" s="3805"/>
      <c r="BB652" s="3805"/>
      <c r="BC652" s="3805"/>
      <c r="BD652" s="3805"/>
      <c r="BE652" s="3805"/>
      <c r="BF652" s="3805"/>
      <c r="BG652" s="3805"/>
      <c r="BH652" s="3805"/>
      <c r="BI652" s="3805"/>
    </row>
    <row r="653" spans="1:61" ht="22.5" customHeight="1">
      <c r="A653" s="3791" t="s">
        <v>5209</v>
      </c>
      <c r="B653" s="3596" t="s">
        <v>1025</v>
      </c>
      <c r="C653" s="3596" t="s">
        <v>178</v>
      </c>
      <c r="D653" s="3596" t="s">
        <v>1088</v>
      </c>
      <c r="E653" s="3598" t="str">
        <f>VLOOKUP(F653,plasmids!$A$2:$B$351,2)</f>
        <v>AAV9 2YF</v>
      </c>
      <c r="F653" s="3792">
        <v>168</v>
      </c>
      <c r="G653" s="3598"/>
      <c r="H653" s="3611" t="s">
        <v>1304</v>
      </c>
      <c r="I653" s="3792">
        <v>638</v>
      </c>
      <c r="J653" s="3793"/>
      <c r="K653" s="3794"/>
      <c r="L653" s="3794"/>
      <c r="M653" s="3796">
        <v>42489</v>
      </c>
      <c r="N653" s="4063">
        <v>691</v>
      </c>
      <c r="O653" s="4064"/>
      <c r="P653" s="3799"/>
      <c r="Q653" s="4065">
        <v>191000000000000</v>
      </c>
      <c r="R653" s="4066">
        <v>8180000000</v>
      </c>
      <c r="S653" s="3609">
        <f t="shared" si="0"/>
        <v>765867970660146.75</v>
      </c>
      <c r="T653" s="3793"/>
      <c r="U653" s="3793"/>
      <c r="V653" s="4067">
        <f>200</f>
        <v>200</v>
      </c>
      <c r="W653" s="3805"/>
      <c r="X653" s="3805"/>
      <c r="Y653" s="3804">
        <v>42524</v>
      </c>
      <c r="Z653" s="3805"/>
      <c r="AA653" s="3805"/>
      <c r="AB653" s="3805"/>
      <c r="AC653" s="3805"/>
      <c r="AD653" s="3805"/>
      <c r="AE653" s="3805"/>
      <c r="AF653" s="3805"/>
      <c r="AG653" s="3805"/>
      <c r="AH653" s="3805"/>
      <c r="AI653" s="3805"/>
      <c r="AJ653" s="3805"/>
      <c r="AK653" s="3805"/>
      <c r="AL653" s="3805"/>
      <c r="AM653" s="3805"/>
      <c r="AN653" s="3805"/>
      <c r="AO653" s="3805"/>
      <c r="AP653" s="3805"/>
      <c r="AQ653" s="3805"/>
      <c r="AR653" s="3805"/>
      <c r="AS653" s="3805"/>
      <c r="AT653" s="3805"/>
      <c r="AU653" s="3805"/>
      <c r="AV653" s="3805"/>
      <c r="AW653" s="3805"/>
      <c r="AX653" s="3805"/>
      <c r="AY653" s="3805"/>
      <c r="AZ653" s="3805"/>
      <c r="BA653" s="3805"/>
      <c r="BB653" s="3805"/>
      <c r="BC653" s="3805"/>
      <c r="BD653" s="3805"/>
      <c r="BE653" s="3805"/>
      <c r="BF653" s="3805"/>
      <c r="BG653" s="3805"/>
      <c r="BH653" s="3805"/>
      <c r="BI653" s="3805"/>
    </row>
    <row r="654" spans="1:61" ht="22.5" customHeight="1">
      <c r="A654" s="3995" t="s">
        <v>5814</v>
      </c>
      <c r="B654" s="3995" t="s">
        <v>5818</v>
      </c>
      <c r="C654" s="3996" t="s">
        <v>5819</v>
      </c>
      <c r="D654" s="3995" t="s">
        <v>3782</v>
      </c>
      <c r="E654" s="3997" t="str">
        <f>VLOOKUP(F654,plasmids!$A$2:$B$891,2)</f>
        <v>AAV2-7m8</v>
      </c>
      <c r="F654" s="3998">
        <v>178</v>
      </c>
      <c r="G654" s="3999"/>
      <c r="H654" s="3999" t="str">
        <f>VLOOKUP(I654,plasmids!$A$2:$B$891,2)</f>
        <v>pssAAV-U6-shLife10scr-MfHsUSH1C-CMV-GFP</v>
      </c>
      <c r="I654" s="3995">
        <v>634</v>
      </c>
      <c r="J654" s="4000"/>
      <c r="K654" s="4001"/>
      <c r="L654" s="4001"/>
      <c r="M654" s="4002">
        <v>42489</v>
      </c>
      <c r="N654" s="4003">
        <v>692</v>
      </c>
      <c r="O654" s="3998"/>
      <c r="P654" s="4004"/>
      <c r="Q654" s="4068">
        <v>14000000000000</v>
      </c>
      <c r="R654" s="4069">
        <v>8180000000</v>
      </c>
      <c r="S654" s="3979">
        <f t="shared" si="0"/>
        <v>56136919315403.43</v>
      </c>
      <c r="T654" s="4000"/>
      <c r="U654" s="4000"/>
      <c r="V654" s="4008">
        <f>199</f>
        <v>199</v>
      </c>
      <c r="W654" s="4009"/>
      <c r="X654" s="4009"/>
      <c r="Y654" s="4010">
        <v>42524</v>
      </c>
      <c r="Z654" s="4009"/>
      <c r="AA654" s="4009"/>
      <c r="AB654" s="4009"/>
      <c r="AC654" s="4009"/>
      <c r="AD654" s="4009"/>
      <c r="AE654" s="4009"/>
      <c r="AF654" s="4009"/>
      <c r="AG654" s="4009"/>
      <c r="AH654" s="4009"/>
      <c r="AI654" s="4009"/>
      <c r="AJ654" s="4009"/>
      <c r="AK654" s="4009"/>
      <c r="AL654" s="4009"/>
      <c r="AM654" s="4009"/>
      <c r="AN654" s="4009"/>
      <c r="AO654" s="4009"/>
      <c r="AP654" s="4009"/>
      <c r="AQ654" s="4009"/>
      <c r="AR654" s="4009"/>
      <c r="AS654" s="4009"/>
      <c r="AT654" s="4009"/>
      <c r="AU654" s="4009"/>
      <c r="AV654" s="4009"/>
      <c r="AW654" s="4009"/>
      <c r="AX654" s="4009"/>
      <c r="AY654" s="4009"/>
      <c r="AZ654" s="4009"/>
      <c r="BA654" s="4009"/>
      <c r="BB654" s="4009"/>
      <c r="BC654" s="4009"/>
      <c r="BD654" s="4009"/>
      <c r="BE654" s="4009"/>
      <c r="BF654" s="4009"/>
      <c r="BG654" s="4009"/>
      <c r="BH654" s="3981"/>
      <c r="BI654" s="3981"/>
    </row>
    <row r="655" spans="1:61" ht="24.75" customHeight="1">
      <c r="A655" s="3024" t="s">
        <v>707</v>
      </c>
      <c r="B655" s="3024" t="s">
        <v>3973</v>
      </c>
      <c r="C655" s="3026" t="s">
        <v>1967</v>
      </c>
      <c r="D655" s="3024" t="s">
        <v>4867</v>
      </c>
      <c r="E655" s="3028" t="str">
        <f>VLOOKUP(F655,plasmids!$A$2:$B$891,2)</f>
        <v>AAV9 2YF</v>
      </c>
      <c r="F655" s="3029">
        <v>168</v>
      </c>
      <c r="G655" s="3031"/>
      <c r="H655" s="3952" t="str">
        <f>VLOOKUP(I655,plasmids!$A$2:$B$891,2)</f>
        <v xml:space="preserve">pTR-scCAG-RdCVFs </v>
      </c>
      <c r="I655" s="3334">
        <v>187</v>
      </c>
      <c r="J655" s="3034"/>
      <c r="K655" s="3289"/>
      <c r="L655" s="3036"/>
      <c r="M655" s="3038">
        <v>42489</v>
      </c>
      <c r="N655" s="3040">
        <v>693</v>
      </c>
      <c r="O655" s="4070">
        <v>3</v>
      </c>
      <c r="P655" s="3044"/>
      <c r="Q655" s="4071">
        <v>135000000000000</v>
      </c>
      <c r="R655" s="4072">
        <v>8180000000</v>
      </c>
      <c r="S655" s="4073">
        <f t="shared" si="0"/>
        <v>541320293398533.06</v>
      </c>
      <c r="T655" s="3334"/>
      <c r="U655" s="3034"/>
      <c r="V655" s="3449">
        <f>205-80</f>
        <v>125</v>
      </c>
      <c r="W655" s="3056"/>
      <c r="X655" s="3058"/>
      <c r="Y655" s="3058"/>
      <c r="Z655" s="3058"/>
      <c r="AA655" s="3058"/>
      <c r="AB655" s="3058"/>
      <c r="AC655" s="3058"/>
      <c r="AD655" s="3058"/>
      <c r="AE655" s="3058"/>
      <c r="AF655" s="3058"/>
      <c r="AG655" s="3058"/>
      <c r="AH655" s="3058"/>
      <c r="AI655" s="3058"/>
      <c r="AJ655" s="3058"/>
      <c r="AK655" s="3058"/>
      <c r="AL655" s="3058"/>
      <c r="AM655" s="3058"/>
      <c r="AN655" s="3058"/>
      <c r="AO655" s="3058"/>
      <c r="AP655" s="3058"/>
      <c r="AQ655" s="3058"/>
      <c r="AR655" s="3058"/>
      <c r="AS655" s="3058"/>
      <c r="AT655" s="3058"/>
      <c r="AU655" s="3058"/>
      <c r="AV655" s="3058"/>
      <c r="AW655" s="3058"/>
      <c r="AX655" s="3058"/>
      <c r="AY655" s="3058"/>
      <c r="AZ655" s="3058"/>
      <c r="BA655" s="3058"/>
      <c r="BB655" s="3058"/>
      <c r="BC655" s="3058"/>
      <c r="BD655" s="3058"/>
      <c r="BE655" s="3058"/>
      <c r="BF655" s="3058"/>
      <c r="BG655" s="3058"/>
      <c r="BH655" s="3058"/>
      <c r="BI655" s="3058"/>
    </row>
    <row r="656" spans="1:61" ht="24.75" customHeight="1">
      <c r="A656" s="3526" t="s">
        <v>1343</v>
      </c>
      <c r="B656" s="3526" t="s">
        <v>5707</v>
      </c>
      <c r="C656" s="3527" t="s">
        <v>5708</v>
      </c>
      <c r="D656" s="3526" t="s">
        <v>3782</v>
      </c>
      <c r="E656" s="3528" t="str">
        <f>VLOOKUP(F656,plasmids!$A$2:$B$891,2)</f>
        <v>AAV2-7m8</v>
      </c>
      <c r="F656" s="3529">
        <v>178</v>
      </c>
      <c r="G656" s="3530"/>
      <c r="H656" s="3530" t="str">
        <f>VLOOKUP(I656,plasmids!$A$2:$B$891,2)</f>
        <v>sc-CAG-GFP</v>
      </c>
      <c r="I656" s="3526">
        <v>120</v>
      </c>
      <c r="J656" s="3531"/>
      <c r="K656" s="3532"/>
      <c r="L656" s="3533"/>
      <c r="M656" s="3534">
        <v>42500</v>
      </c>
      <c r="N656" s="3535">
        <v>694</v>
      </c>
      <c r="O656" s="4074"/>
      <c r="P656" s="3536"/>
      <c r="Q656" s="4075">
        <v>1960000000000</v>
      </c>
      <c r="R656" s="4076">
        <v>10100000000</v>
      </c>
      <c r="S656" s="3539">
        <f t="shared" si="0"/>
        <v>6365148514851.4854</v>
      </c>
      <c r="T656" s="3540"/>
      <c r="U656" s="3526"/>
      <c r="V656" s="3526">
        <f>127</f>
        <v>127</v>
      </c>
      <c r="W656" s="4077" t="s">
        <v>2812</v>
      </c>
      <c r="X656" s="3541"/>
      <c r="Y656" s="3541"/>
      <c r="Z656" s="3541"/>
      <c r="AA656" s="3541"/>
      <c r="AB656" s="3541"/>
      <c r="AC656" s="3541"/>
      <c r="AD656" s="3541"/>
      <c r="AE656" s="3541"/>
      <c r="AF656" s="3541"/>
      <c r="AG656" s="3541"/>
      <c r="AH656" s="3541"/>
      <c r="AI656" s="3541"/>
      <c r="AJ656" s="3541"/>
      <c r="AK656" s="3541"/>
      <c r="AL656" s="3541"/>
      <c r="AM656" s="3541"/>
      <c r="AN656" s="3541"/>
      <c r="AO656" s="3541"/>
      <c r="AP656" s="3541"/>
      <c r="AQ656" s="3541"/>
      <c r="AR656" s="3541"/>
      <c r="AS656" s="3541"/>
      <c r="AT656" s="3541"/>
      <c r="AU656" s="3541"/>
      <c r="AV656" s="3541"/>
      <c r="AW656" s="3541"/>
      <c r="AX656" s="3541"/>
      <c r="AY656" s="3541"/>
      <c r="AZ656" s="3541"/>
      <c r="BA656" s="3541"/>
      <c r="BB656" s="3541"/>
      <c r="BC656" s="3541"/>
      <c r="BD656" s="3541"/>
      <c r="BE656" s="3541"/>
      <c r="BF656" s="3541"/>
      <c r="BG656" s="3541"/>
      <c r="BH656" s="3541"/>
      <c r="BI656" s="3541"/>
    </row>
    <row r="657" spans="1:61" ht="26">
      <c r="A657" s="3436" t="s">
        <v>5822</v>
      </c>
      <c r="B657" s="3422" t="s">
        <v>5704</v>
      </c>
      <c r="C657" s="4078" t="s">
        <v>1967</v>
      </c>
      <c r="D657" s="3422" t="s">
        <v>5655</v>
      </c>
      <c r="E657" s="3424" t="str">
        <f>VLOOKUP(F657,plasmids!$A$2:$B$891,2)</f>
        <v>AAV2 3YF</v>
      </c>
      <c r="F657" s="3425">
        <v>142</v>
      </c>
      <c r="G657" s="3500"/>
      <c r="H657" s="3780" t="str">
        <f>VLOOKUP(I657,plasmids!$A$2:$B$891,2)</f>
        <v>pssAAV-pR1.7-GFP</v>
      </c>
      <c r="I657" s="3436">
        <v>566</v>
      </c>
      <c r="J657" s="3255"/>
      <c r="K657" s="3427"/>
      <c r="L657" s="3428"/>
      <c r="M657" s="3429">
        <v>42500</v>
      </c>
      <c r="N657" s="3430">
        <v>695</v>
      </c>
      <c r="O657" s="3425"/>
      <c r="P657" s="3431"/>
      <c r="Q657" s="4079">
        <v>14300000000000</v>
      </c>
      <c r="R657" s="3775">
        <v>10100000000</v>
      </c>
      <c r="S657" s="3434">
        <f t="shared" si="0"/>
        <v>46439603960396.039</v>
      </c>
      <c r="T657" s="3435"/>
      <c r="U657" s="3255"/>
      <c r="V657" s="3436">
        <v>100</v>
      </c>
      <c r="W657" s="3250" t="s">
        <v>5638</v>
      </c>
      <c r="X657" s="3437"/>
      <c r="Y657" s="3437"/>
      <c r="Z657" s="3437"/>
      <c r="AA657" s="3437"/>
      <c r="AB657" s="3437"/>
      <c r="AC657" s="3437"/>
      <c r="AD657" s="3437"/>
      <c r="AE657" s="3437"/>
      <c r="AF657" s="3437"/>
      <c r="AG657" s="3437"/>
      <c r="AH657" s="3437"/>
      <c r="AI657" s="3437"/>
      <c r="AJ657" s="3437"/>
      <c r="AK657" s="3437"/>
      <c r="AL657" s="3437"/>
      <c r="AM657" s="3437"/>
      <c r="AN657" s="3437"/>
      <c r="AO657" s="3437"/>
      <c r="AP657" s="3437"/>
      <c r="AQ657" s="3437"/>
      <c r="AR657" s="3437"/>
      <c r="AS657" s="3437"/>
      <c r="AT657" s="3437"/>
      <c r="AU657" s="3437"/>
      <c r="AV657" s="3437"/>
      <c r="AW657" s="3437"/>
      <c r="AX657" s="3437"/>
      <c r="AY657" s="3437"/>
      <c r="AZ657" s="3437"/>
      <c r="BA657" s="3437"/>
      <c r="BB657" s="3437"/>
      <c r="BC657" s="3437"/>
      <c r="BD657" s="3437"/>
      <c r="BE657" s="3437"/>
      <c r="BF657" s="3437"/>
      <c r="BG657" s="3437"/>
      <c r="BH657" s="3437"/>
      <c r="BI657" s="3437"/>
    </row>
    <row r="658" spans="1:61" ht="24.75" customHeight="1">
      <c r="A658" s="3024" t="s">
        <v>707</v>
      </c>
      <c r="B658" s="3024" t="s">
        <v>3973</v>
      </c>
      <c r="C658" s="3026" t="s">
        <v>1967</v>
      </c>
      <c r="D658" s="3024" t="s">
        <v>4867</v>
      </c>
      <c r="E658" s="3028" t="str">
        <f>VLOOKUP(F658,plasmids!$A$2:$B$891,2)</f>
        <v>AAV9 2YF</v>
      </c>
      <c r="F658" s="3029">
        <v>168</v>
      </c>
      <c r="G658" s="3031"/>
      <c r="H658" s="3952" t="str">
        <f>VLOOKUP(I658,plasmids!$A$2:$B$891,2)</f>
        <v xml:space="preserve">pTR-scCAG-RdCVFs </v>
      </c>
      <c r="I658" s="3334">
        <v>187</v>
      </c>
      <c r="J658" s="3034"/>
      <c r="K658" s="3289"/>
      <c r="L658" s="3036"/>
      <c r="M658" s="3038">
        <v>42500</v>
      </c>
      <c r="N658" s="3040">
        <v>696</v>
      </c>
      <c r="O658" s="3029"/>
      <c r="P658" s="3044"/>
      <c r="Q658" s="4080">
        <v>55000000000000</v>
      </c>
      <c r="R658" s="4081">
        <v>10100000000</v>
      </c>
      <c r="S658" s="3050">
        <f t="shared" si="0"/>
        <v>178613861386138.62</v>
      </c>
      <c r="T658" s="3334"/>
      <c r="U658" s="3034"/>
      <c r="V658" s="3449">
        <f>115</f>
        <v>115</v>
      </c>
      <c r="W658" s="3056"/>
      <c r="X658" s="3058"/>
      <c r="Y658" s="3058"/>
      <c r="Z658" s="3058"/>
      <c r="AA658" s="3058"/>
      <c r="AB658" s="3058"/>
      <c r="AC658" s="3058"/>
      <c r="AD658" s="3058"/>
      <c r="AE658" s="3058"/>
      <c r="AF658" s="3058"/>
      <c r="AG658" s="3058"/>
      <c r="AH658" s="3058"/>
      <c r="AI658" s="3058"/>
      <c r="AJ658" s="3058"/>
      <c r="AK658" s="3058"/>
      <c r="AL658" s="3058"/>
      <c r="AM658" s="3058"/>
      <c r="AN658" s="3058"/>
      <c r="AO658" s="3058"/>
      <c r="AP658" s="3058"/>
      <c r="AQ658" s="3058"/>
      <c r="AR658" s="3058"/>
      <c r="AS658" s="3058"/>
      <c r="AT658" s="3058"/>
      <c r="AU658" s="3058"/>
      <c r="AV658" s="3058"/>
      <c r="AW658" s="3058"/>
      <c r="AX658" s="3058"/>
      <c r="AY658" s="3058"/>
      <c r="AZ658" s="3058"/>
      <c r="BA658" s="3058"/>
      <c r="BB658" s="3058"/>
      <c r="BC658" s="3058"/>
      <c r="BD658" s="3058"/>
      <c r="BE658" s="3058"/>
      <c r="BF658" s="3058"/>
      <c r="BG658" s="3058"/>
      <c r="BH658" s="3058"/>
      <c r="BI658" s="3058"/>
    </row>
    <row r="659" spans="1:61" ht="24.75" customHeight="1">
      <c r="A659" s="2872" t="s">
        <v>707</v>
      </c>
      <c r="B659" s="2872" t="s">
        <v>3973</v>
      </c>
      <c r="C659" s="2873" t="s">
        <v>1967</v>
      </c>
      <c r="D659" s="2872" t="s">
        <v>4867</v>
      </c>
      <c r="E659" s="2874" t="str">
        <f>VLOOKUP(F659,plasmids!$A$2:$B$891,2)</f>
        <v>AAV9 2YF</v>
      </c>
      <c r="F659" s="2875">
        <v>168</v>
      </c>
      <c r="G659" s="2876"/>
      <c r="H659" s="4082" t="str">
        <f>VLOOKUP(I659,plasmids!$A$2:$B$891,2)</f>
        <v xml:space="preserve">pTR-scCAG-RdCVFs </v>
      </c>
      <c r="I659" s="3369">
        <v>187</v>
      </c>
      <c r="J659" s="2877"/>
      <c r="K659" s="3265"/>
      <c r="L659" s="2878"/>
      <c r="M659" s="2879">
        <v>42500</v>
      </c>
      <c r="N659" s="2880">
        <v>697</v>
      </c>
      <c r="O659" s="2875"/>
      <c r="P659" s="2883"/>
      <c r="Q659" s="3814">
        <v>49600000000000</v>
      </c>
      <c r="R659" s="4083">
        <v>10100000000</v>
      </c>
      <c r="S659" s="2889">
        <f t="shared" si="0"/>
        <v>161077227722772.28</v>
      </c>
      <c r="T659" s="3369"/>
      <c r="U659" s="2877"/>
      <c r="V659" s="3452">
        <f>141</f>
        <v>141</v>
      </c>
      <c r="W659" s="3250" t="s">
        <v>5638</v>
      </c>
      <c r="X659" s="2894"/>
      <c r="Y659" s="2894"/>
      <c r="Z659" s="2894"/>
      <c r="AA659" s="2894"/>
      <c r="AB659" s="2894"/>
      <c r="AC659" s="2894"/>
      <c r="AD659" s="2894"/>
      <c r="AE659" s="2894"/>
      <c r="AF659" s="2894"/>
      <c r="AG659" s="2894"/>
      <c r="AH659" s="2894"/>
      <c r="AI659" s="2894"/>
      <c r="AJ659" s="2894"/>
      <c r="AK659" s="2894"/>
      <c r="AL659" s="2894"/>
      <c r="AM659" s="2894"/>
      <c r="AN659" s="2894"/>
      <c r="AO659" s="2894"/>
      <c r="AP659" s="2894"/>
      <c r="AQ659" s="2894"/>
      <c r="AR659" s="2894"/>
      <c r="AS659" s="2894"/>
      <c r="AT659" s="2894"/>
      <c r="AU659" s="2894"/>
      <c r="AV659" s="2894"/>
      <c r="AW659" s="2894"/>
      <c r="AX659" s="2894"/>
      <c r="AY659" s="2894"/>
      <c r="AZ659" s="2894"/>
      <c r="BA659" s="2894"/>
      <c r="BB659" s="2894"/>
      <c r="BC659" s="2894"/>
      <c r="BD659" s="2894"/>
      <c r="BE659" s="2894"/>
      <c r="BF659" s="2894"/>
      <c r="BG659" s="2894"/>
      <c r="BH659" s="2894"/>
      <c r="BI659" s="2894"/>
    </row>
    <row r="660" spans="1:61" ht="22.5" customHeight="1">
      <c r="A660" s="3759" t="s">
        <v>707</v>
      </c>
      <c r="B660" s="3759" t="s">
        <v>5704</v>
      </c>
      <c r="C660" s="3760" t="s">
        <v>1967</v>
      </c>
      <c r="D660" s="3759" t="s">
        <v>5655</v>
      </c>
      <c r="E660" s="3761" t="str">
        <f>VLOOKUP(F660,plasmids!$A$2:$B$891,2)</f>
        <v>AAV2-7m8</v>
      </c>
      <c r="F660" s="3762">
        <v>178</v>
      </c>
      <c r="G660" s="3763"/>
      <c r="H660" s="3764" t="str">
        <f>VLOOKUP(I660,plasmids!$A$2:$B$891,2)</f>
        <v>pssAAV-pR1.7-Jaws-GFP</v>
      </c>
      <c r="I660" s="4084">
        <v>596</v>
      </c>
      <c r="J660" s="3765"/>
      <c r="K660" s="3766"/>
      <c r="L660" s="3411"/>
      <c r="M660" s="3412">
        <v>42503</v>
      </c>
      <c r="N660" s="3767">
        <v>698</v>
      </c>
      <c r="O660" s="3762"/>
      <c r="P660" s="3768"/>
      <c r="Q660" s="4085">
        <v>19500000000000</v>
      </c>
      <c r="R660" s="4086">
        <v>10100000000</v>
      </c>
      <c r="S660" s="4087">
        <f t="shared" si="0"/>
        <v>63326732673267.328</v>
      </c>
      <c r="T660" s="3771"/>
      <c r="U660" s="3765"/>
      <c r="V660" s="3772">
        <f>13</f>
        <v>13</v>
      </c>
      <c r="W660" s="3765"/>
      <c r="X660" s="3765"/>
      <c r="Y660" s="3765"/>
      <c r="Z660" s="3765"/>
      <c r="AA660" s="3765"/>
      <c r="AB660" s="3765"/>
      <c r="AC660" s="3765"/>
      <c r="AD660" s="3765"/>
      <c r="AE660" s="3765"/>
      <c r="AF660" s="3765"/>
      <c r="AG660" s="3765"/>
      <c r="AH660" s="3765"/>
      <c r="AI660" s="3765"/>
      <c r="AJ660" s="3765"/>
      <c r="AK660" s="3765"/>
      <c r="AL660" s="3765"/>
      <c r="AM660" s="3765"/>
      <c r="AN660" s="3765"/>
      <c r="AO660" s="3765"/>
      <c r="AP660" s="3765"/>
      <c r="AQ660" s="3765"/>
      <c r="AR660" s="3765"/>
      <c r="AS660" s="3765"/>
      <c r="AT660" s="3765"/>
      <c r="AU660" s="3765"/>
      <c r="AV660" s="3765"/>
      <c r="AW660" s="3765"/>
      <c r="AX660" s="3765"/>
      <c r="AY660" s="3765"/>
      <c r="AZ660" s="3765"/>
      <c r="BA660" s="3765"/>
      <c r="BB660" s="3765"/>
      <c r="BC660" s="3765"/>
      <c r="BD660" s="3765"/>
      <c r="BE660" s="3765"/>
      <c r="BF660" s="3765"/>
      <c r="BG660" s="3765"/>
      <c r="BH660" s="3765"/>
      <c r="BI660" s="3765"/>
    </row>
    <row r="661" spans="1:61" ht="18" customHeight="1">
      <c r="A661" s="3354" t="s">
        <v>707</v>
      </c>
      <c r="B661" s="3354" t="s">
        <v>3973</v>
      </c>
      <c r="C661" s="3355" t="s">
        <v>1967</v>
      </c>
      <c r="D661" s="3354" t="s">
        <v>4867</v>
      </c>
      <c r="E661" s="3356" t="str">
        <f>VLOOKUP(F661,plasmids!$A$2:$B$891,2)</f>
        <v>AAV9 2YF</v>
      </c>
      <c r="F661" s="3357">
        <v>168</v>
      </c>
      <c r="G661" s="3358"/>
      <c r="H661" s="4088" t="str">
        <f>VLOOKUP(I661,plasmids!$A$2:$B$891,2)</f>
        <v>pAAV-CMV-RdCVFs-bghpA-CMV-RdCVFL-bghpA</v>
      </c>
      <c r="I661" s="4089">
        <v>584</v>
      </c>
      <c r="J661" s="3359"/>
      <c r="K661" s="3360"/>
      <c r="L661" s="3361"/>
      <c r="M661" s="3362">
        <v>42503</v>
      </c>
      <c r="N661" s="3363">
        <v>699</v>
      </c>
      <c r="O661" s="3357"/>
      <c r="P661" s="3364"/>
      <c r="Q661" s="3814">
        <v>60300000000000</v>
      </c>
      <c r="R661" s="4083">
        <v>10100000000</v>
      </c>
      <c r="S661" s="2889">
        <f t="shared" si="0"/>
        <v>195825742574257.44</v>
      </c>
      <c r="T661" s="4089"/>
      <c r="U661" s="3359"/>
      <c r="V661" s="4090">
        <f>135</f>
        <v>135</v>
      </c>
      <c r="W661" s="3250" t="s">
        <v>5638</v>
      </c>
      <c r="X661" s="4091"/>
      <c r="Y661" s="4091"/>
      <c r="Z661" s="4091"/>
      <c r="AA661" s="4091"/>
      <c r="AB661" s="4091"/>
      <c r="AC661" s="4091"/>
      <c r="AD661" s="4091"/>
      <c r="AE661" s="4091"/>
      <c r="AF661" s="4091"/>
      <c r="AG661" s="4091"/>
      <c r="AH661" s="4091"/>
      <c r="AI661" s="4091"/>
      <c r="AJ661" s="4091"/>
      <c r="AK661" s="4091"/>
      <c r="AL661" s="4091"/>
      <c r="AM661" s="4091"/>
      <c r="AN661" s="4091"/>
      <c r="AO661" s="4091"/>
      <c r="AP661" s="4091"/>
      <c r="AQ661" s="4091"/>
      <c r="AR661" s="4091"/>
      <c r="AS661" s="4091"/>
      <c r="AT661" s="4091"/>
      <c r="AU661" s="4091"/>
      <c r="AV661" s="4091"/>
      <c r="AW661" s="4091"/>
      <c r="AX661" s="4091"/>
      <c r="AY661" s="4091"/>
      <c r="AZ661" s="4091"/>
      <c r="BA661" s="4091"/>
      <c r="BB661" s="4091"/>
      <c r="BC661" s="4091"/>
      <c r="BD661" s="4091"/>
      <c r="BE661" s="4091"/>
      <c r="BF661" s="4091"/>
      <c r="BG661" s="4091"/>
      <c r="BH661" s="2894"/>
      <c r="BI661" s="2894"/>
    </row>
    <row r="662" spans="1:61" ht="25.5" customHeight="1">
      <c r="A662" s="3316" t="s">
        <v>5675</v>
      </c>
      <c r="B662" s="3316" t="s">
        <v>1025</v>
      </c>
      <c r="C662" s="3317" t="s">
        <v>1967</v>
      </c>
      <c r="D662" s="3316" t="s">
        <v>70</v>
      </c>
      <c r="E662" s="3332" t="str">
        <f>VLOOKUP(F662,plasmids!$A$2:$B$891,2)</f>
        <v>AAV2-7m8</v>
      </c>
      <c r="F662" s="3319">
        <v>178</v>
      </c>
      <c r="G662" s="3264"/>
      <c r="H662" s="3264" t="str">
        <f>VLOOKUP(I662,plasmids!$A$2:$B$891,2)</f>
        <v>pscAAV-1xGrm6-GCamp6s-pA</v>
      </c>
      <c r="I662" s="3316">
        <v>517</v>
      </c>
      <c r="J662" s="3320"/>
      <c r="K662" s="3321"/>
      <c r="L662" s="3292"/>
      <c r="M662" s="3293">
        <v>42137</v>
      </c>
      <c r="N662" s="3322">
        <v>700</v>
      </c>
      <c r="O662" s="3323"/>
      <c r="P662" s="3324"/>
      <c r="Q662" s="1406">
        <v>141000000000000</v>
      </c>
      <c r="R662" s="1982">
        <v>10100000000</v>
      </c>
      <c r="S662" s="3327">
        <f t="shared" si="0"/>
        <v>457900990099009.94</v>
      </c>
      <c r="T662" s="3328" t="s">
        <v>5789</v>
      </c>
      <c r="U662" s="3320"/>
      <c r="V662" s="3316">
        <f>176</f>
        <v>176</v>
      </c>
      <c r="W662" s="3329"/>
      <c r="X662" s="3329"/>
      <c r="Y662" s="4092">
        <v>42524</v>
      </c>
      <c r="Z662" s="3329"/>
      <c r="AA662" s="3329"/>
      <c r="AB662" s="3329"/>
      <c r="AC662" s="3329"/>
      <c r="AD662" s="3329"/>
      <c r="AE662" s="3329"/>
      <c r="AF662" s="3329"/>
      <c r="AG662" s="3329"/>
      <c r="AH662" s="3329"/>
      <c r="AI662" s="3329"/>
      <c r="AJ662" s="3329"/>
      <c r="AK662" s="3329"/>
      <c r="AL662" s="3329"/>
      <c r="AM662" s="3329"/>
      <c r="AN662" s="3329"/>
      <c r="AO662" s="3329"/>
      <c r="AP662" s="3329"/>
      <c r="AQ662" s="3329"/>
      <c r="AR662" s="3329"/>
      <c r="AS662" s="3329"/>
      <c r="AT662" s="3329"/>
      <c r="AU662" s="3329"/>
      <c r="AV662" s="3329"/>
      <c r="AW662" s="3329"/>
      <c r="AX662" s="3329"/>
      <c r="AY662" s="3329"/>
      <c r="AZ662" s="3329"/>
      <c r="BA662" s="3329"/>
      <c r="BB662" s="3329"/>
      <c r="BC662" s="3329"/>
      <c r="BD662" s="3329"/>
      <c r="BE662" s="3329"/>
      <c r="BF662" s="3329"/>
      <c r="BG662" s="3329"/>
      <c r="BH662" s="3329"/>
      <c r="BI662" s="3329"/>
    </row>
    <row r="663" spans="1:61" ht="24.75" customHeight="1">
      <c r="A663" s="3024" t="s">
        <v>707</v>
      </c>
      <c r="B663" s="3024" t="s">
        <v>3973</v>
      </c>
      <c r="C663" s="3026" t="s">
        <v>1967</v>
      </c>
      <c r="D663" s="3024" t="s">
        <v>4867</v>
      </c>
      <c r="E663" s="3028" t="str">
        <f>VLOOKUP(F663,plasmids!$A$2:$B$891,2)</f>
        <v>AAV9 2YF</v>
      </c>
      <c r="F663" s="3029">
        <v>168</v>
      </c>
      <c r="G663" s="3031"/>
      <c r="H663" s="3952" t="str">
        <f>VLOOKUP(I663,plasmids!$A$2:$B$891,2)</f>
        <v xml:space="preserve">pTR-scCAG-RdCVFs </v>
      </c>
      <c r="I663" s="3334">
        <v>187</v>
      </c>
      <c r="J663" s="3034"/>
      <c r="K663" s="3289"/>
      <c r="L663" s="3036"/>
      <c r="M663" s="3038">
        <v>42503</v>
      </c>
      <c r="N663" s="3040">
        <v>701</v>
      </c>
      <c r="O663" s="3029"/>
      <c r="P663" s="3044"/>
      <c r="Q663" s="4080">
        <v>596000000000000</v>
      </c>
      <c r="R663" s="4081">
        <v>10100000000</v>
      </c>
      <c r="S663" s="3050">
        <f t="shared" si="0"/>
        <v>1935524752475247.8</v>
      </c>
      <c r="T663" s="3334"/>
      <c r="U663" s="3034"/>
      <c r="V663" s="3449">
        <f>157</f>
        <v>157</v>
      </c>
      <c r="W663" s="3056"/>
      <c r="X663" s="3058"/>
      <c r="Y663" s="3058"/>
      <c r="Z663" s="3058"/>
      <c r="AA663" s="3058"/>
      <c r="AB663" s="3058"/>
      <c r="AC663" s="3058"/>
      <c r="AD663" s="3058"/>
      <c r="AE663" s="3058"/>
      <c r="AF663" s="3058"/>
      <c r="AG663" s="3058"/>
      <c r="AH663" s="3058"/>
      <c r="AI663" s="3058"/>
      <c r="AJ663" s="3058"/>
      <c r="AK663" s="3058"/>
      <c r="AL663" s="3058"/>
      <c r="AM663" s="3058"/>
      <c r="AN663" s="3058"/>
      <c r="AO663" s="3058"/>
      <c r="AP663" s="3058"/>
      <c r="AQ663" s="3058"/>
      <c r="AR663" s="3058"/>
      <c r="AS663" s="3058"/>
      <c r="AT663" s="3058"/>
      <c r="AU663" s="3058"/>
      <c r="AV663" s="3058"/>
      <c r="AW663" s="3058"/>
      <c r="AX663" s="3058"/>
      <c r="AY663" s="3058"/>
      <c r="AZ663" s="3058"/>
      <c r="BA663" s="3058"/>
      <c r="BB663" s="3058"/>
      <c r="BC663" s="3058"/>
      <c r="BD663" s="3058"/>
      <c r="BE663" s="3058"/>
      <c r="BF663" s="3058"/>
      <c r="BG663" s="3058"/>
      <c r="BH663" s="3058"/>
      <c r="BI663" s="3058"/>
    </row>
    <row r="664" spans="1:61" ht="22.5" customHeight="1">
      <c r="A664" s="3884" t="s">
        <v>1549</v>
      </c>
      <c r="B664" s="3884" t="s">
        <v>5800</v>
      </c>
      <c r="C664" s="3885" t="s">
        <v>5823</v>
      </c>
      <c r="D664" s="3884" t="s">
        <v>5794</v>
      </c>
      <c r="E664" s="3885" t="s">
        <v>2060</v>
      </c>
      <c r="F664" s="3886">
        <v>621</v>
      </c>
      <c r="G664" s="3885" t="s">
        <v>5127</v>
      </c>
      <c r="H664" s="3885" t="s">
        <v>2060</v>
      </c>
      <c r="I664" s="3884">
        <v>621</v>
      </c>
      <c r="J664" s="3887"/>
      <c r="K664" s="3888"/>
      <c r="L664" s="3885" t="s">
        <v>5127</v>
      </c>
      <c r="M664" s="3889">
        <v>42510</v>
      </c>
      <c r="N664" s="3890">
        <v>702</v>
      </c>
      <c r="O664" s="3886"/>
      <c r="P664" s="3891" t="s">
        <v>5799</v>
      </c>
      <c r="Q664" s="3892">
        <v>936000000000000</v>
      </c>
      <c r="R664" s="3891">
        <v>36800000000</v>
      </c>
      <c r="S664" s="4093">
        <f t="shared" si="0"/>
        <v>834260869565217.38</v>
      </c>
      <c r="T664" s="3894" t="s">
        <v>5789</v>
      </c>
      <c r="U664" s="3887"/>
      <c r="V664" s="3886">
        <v>255</v>
      </c>
      <c r="W664" s="3895"/>
      <c r="X664" s="3896" t="s">
        <v>5799</v>
      </c>
      <c r="Y664" s="3895"/>
      <c r="Z664" s="3895"/>
      <c r="AA664" s="3895"/>
      <c r="AB664" s="3895"/>
      <c r="AC664" s="3895"/>
      <c r="AD664" s="3895"/>
      <c r="AE664" s="3895"/>
      <c r="AF664" s="3895"/>
      <c r="AG664" s="3895"/>
      <c r="AH664" s="3895"/>
      <c r="AI664" s="3895"/>
      <c r="AJ664" s="3895"/>
      <c r="AK664" s="3895"/>
      <c r="AL664" s="3895"/>
      <c r="AM664" s="3895"/>
      <c r="AN664" s="3895"/>
      <c r="AO664" s="3895"/>
      <c r="AP664" s="3895"/>
      <c r="AQ664" s="3895"/>
      <c r="AR664" s="3895"/>
      <c r="AS664" s="3895"/>
      <c r="AT664" s="3895"/>
      <c r="AU664" s="3895"/>
      <c r="AV664" s="3895"/>
      <c r="AW664" s="3895"/>
      <c r="AX664" s="3895"/>
      <c r="AY664" s="3895"/>
      <c r="AZ664" s="3895"/>
      <c r="BA664" s="3895"/>
      <c r="BB664" s="3895"/>
      <c r="BC664" s="3895"/>
      <c r="BD664" s="3895"/>
      <c r="BE664" s="3895"/>
      <c r="BF664" s="3895"/>
      <c r="BG664" s="3895"/>
      <c r="BH664" s="3897"/>
      <c r="BI664" s="3897"/>
    </row>
    <row r="665" spans="1:61" ht="24.75" customHeight="1">
      <c r="A665" s="3024" t="s">
        <v>707</v>
      </c>
      <c r="B665" s="3024" t="s">
        <v>3973</v>
      </c>
      <c r="C665" s="3026" t="s">
        <v>1967</v>
      </c>
      <c r="D665" s="3024" t="s">
        <v>4867</v>
      </c>
      <c r="E665" s="3028" t="str">
        <f>VLOOKUP(F665,plasmids!$A$2:$B$891,2)</f>
        <v>AAV9 2YF</v>
      </c>
      <c r="F665" s="3029">
        <v>168</v>
      </c>
      <c r="G665" s="3031"/>
      <c r="H665" s="3952" t="str">
        <f>VLOOKUP(I665,plasmids!$A$2:$B$891,2)</f>
        <v xml:space="preserve">pTR-scCAG-RdCVFs </v>
      </c>
      <c r="I665" s="3334">
        <v>187</v>
      </c>
      <c r="J665" s="3034"/>
      <c r="K665" s="3289"/>
      <c r="L665" s="3036"/>
      <c r="M665" s="3038">
        <v>42510</v>
      </c>
      <c r="N665" s="3040">
        <v>703</v>
      </c>
      <c r="O665" s="3029"/>
      <c r="P665" s="3044"/>
      <c r="Q665" s="3447">
        <v>65600000000000</v>
      </c>
      <c r="R665" s="3448">
        <v>36800000000</v>
      </c>
      <c r="S665" s="3050">
        <f t="shared" si="0"/>
        <v>58469565217391.305</v>
      </c>
      <c r="T665" s="3334" t="s">
        <v>5754</v>
      </c>
      <c r="U665" s="3034"/>
      <c r="V665" s="3449">
        <f>119</f>
        <v>119</v>
      </c>
      <c r="W665" s="3335" t="s">
        <v>2812</v>
      </c>
      <c r="X665" s="3058"/>
      <c r="Y665" s="3058"/>
      <c r="Z665" s="3058"/>
      <c r="AA665" s="3058"/>
      <c r="AB665" s="3058"/>
      <c r="AC665" s="3058"/>
      <c r="AD665" s="3058"/>
      <c r="AE665" s="3058"/>
      <c r="AF665" s="3058"/>
      <c r="AG665" s="3058"/>
      <c r="AH665" s="3058"/>
      <c r="AI665" s="3058"/>
      <c r="AJ665" s="3058"/>
      <c r="AK665" s="3058"/>
      <c r="AL665" s="3058"/>
      <c r="AM665" s="3058"/>
      <c r="AN665" s="3058"/>
      <c r="AO665" s="3058"/>
      <c r="AP665" s="3058"/>
      <c r="AQ665" s="3058"/>
      <c r="AR665" s="3058"/>
      <c r="AS665" s="3058"/>
      <c r="AT665" s="3058"/>
      <c r="AU665" s="3058"/>
      <c r="AV665" s="3058"/>
      <c r="AW665" s="3058"/>
      <c r="AX665" s="3058"/>
      <c r="AY665" s="3058"/>
      <c r="AZ665" s="3058"/>
      <c r="BA665" s="3058"/>
      <c r="BB665" s="3058"/>
      <c r="BC665" s="3058"/>
      <c r="BD665" s="3058"/>
      <c r="BE665" s="3058"/>
      <c r="BF665" s="3058"/>
      <c r="BG665" s="3058"/>
      <c r="BH665" s="3058"/>
      <c r="BI665" s="3058"/>
    </row>
    <row r="666" spans="1:61" ht="24.75" customHeight="1">
      <c r="A666" s="3024" t="s">
        <v>707</v>
      </c>
      <c r="B666" s="3024" t="s">
        <v>3973</v>
      </c>
      <c r="C666" s="3026" t="s">
        <v>1967</v>
      </c>
      <c r="D666" s="3024" t="s">
        <v>4867</v>
      </c>
      <c r="E666" s="3028" t="str">
        <f>VLOOKUP(F666,plasmids!$A$2:$B$891,2)</f>
        <v>AAV9 2YF</v>
      </c>
      <c r="F666" s="3029">
        <v>168</v>
      </c>
      <c r="G666" s="3031"/>
      <c r="H666" s="3952" t="str">
        <f>VLOOKUP(I666,plasmids!$A$2:$B$891,2)</f>
        <v xml:space="preserve">pTR-scCAG-RdCVFs </v>
      </c>
      <c r="I666" s="3334">
        <v>187</v>
      </c>
      <c r="J666" s="3034"/>
      <c r="K666" s="3289"/>
      <c r="L666" s="3036"/>
      <c r="M666" s="3038">
        <v>42510</v>
      </c>
      <c r="N666" s="3040">
        <v>704</v>
      </c>
      <c r="O666" s="3029"/>
      <c r="P666" s="3044"/>
      <c r="Q666" s="3447">
        <v>312000000000000</v>
      </c>
      <c r="R666" s="3448">
        <v>36800000000</v>
      </c>
      <c r="S666" s="3050">
        <f t="shared" si="0"/>
        <v>278086956521739.12</v>
      </c>
      <c r="T666" s="3334"/>
      <c r="U666" s="3034"/>
      <c r="V666" s="3449">
        <f>170</f>
        <v>170</v>
      </c>
      <c r="W666" s="3056"/>
      <c r="X666" s="3058"/>
      <c r="Y666" s="3058"/>
      <c r="Z666" s="3058"/>
      <c r="AA666" s="3058"/>
      <c r="AB666" s="3058"/>
      <c r="AC666" s="3058"/>
      <c r="AD666" s="3058"/>
      <c r="AE666" s="3058"/>
      <c r="AF666" s="3058"/>
      <c r="AG666" s="3058"/>
      <c r="AH666" s="3058"/>
      <c r="AI666" s="3058"/>
      <c r="AJ666" s="3058"/>
      <c r="AK666" s="3058"/>
      <c r="AL666" s="3058"/>
      <c r="AM666" s="3058"/>
      <c r="AN666" s="3058"/>
      <c r="AO666" s="3058"/>
      <c r="AP666" s="3058"/>
      <c r="AQ666" s="3058"/>
      <c r="AR666" s="3058"/>
      <c r="AS666" s="3058"/>
      <c r="AT666" s="3058"/>
      <c r="AU666" s="3058"/>
      <c r="AV666" s="3058"/>
      <c r="AW666" s="3058"/>
      <c r="AX666" s="3058"/>
      <c r="AY666" s="3058"/>
      <c r="AZ666" s="3058"/>
      <c r="BA666" s="3058"/>
      <c r="BB666" s="3058"/>
      <c r="BC666" s="3058"/>
      <c r="BD666" s="3058"/>
      <c r="BE666" s="3058"/>
      <c r="BF666" s="3058"/>
      <c r="BG666" s="3058"/>
      <c r="BH666" s="3058"/>
      <c r="BI666" s="3058"/>
    </row>
    <row r="667" spans="1:61" ht="24.75" customHeight="1">
      <c r="A667" s="3024" t="s">
        <v>707</v>
      </c>
      <c r="B667" s="3024" t="s">
        <v>3973</v>
      </c>
      <c r="C667" s="3026" t="s">
        <v>1967</v>
      </c>
      <c r="D667" s="3024" t="s">
        <v>4867</v>
      </c>
      <c r="E667" s="3028" t="str">
        <f>VLOOKUP(F667,plasmids!$A$2:$B$891,2)</f>
        <v>AAV9 2YF</v>
      </c>
      <c r="F667" s="3029">
        <v>168</v>
      </c>
      <c r="G667" s="3031"/>
      <c r="H667" s="3952" t="str">
        <f>VLOOKUP(I667,plasmids!$A$2:$B$891,2)</f>
        <v xml:space="preserve">pTR-scCAG-RdCVFs </v>
      </c>
      <c r="I667" s="3334">
        <v>187</v>
      </c>
      <c r="J667" s="3034"/>
      <c r="K667" s="3289"/>
      <c r="L667" s="3036"/>
      <c r="M667" s="3038">
        <v>42510</v>
      </c>
      <c r="N667" s="3040">
        <v>705</v>
      </c>
      <c r="O667" s="3029"/>
      <c r="P667" s="3044"/>
      <c r="Q667" s="3447">
        <v>547000000000000</v>
      </c>
      <c r="R667" s="3448">
        <v>36800000000</v>
      </c>
      <c r="S667" s="3050">
        <f t="shared" si="0"/>
        <v>487543478260869.56</v>
      </c>
      <c r="T667" s="3334"/>
      <c r="U667" s="3034"/>
      <c r="V667" s="3449">
        <f>180</f>
        <v>180</v>
      </c>
      <c r="W667" s="3056"/>
      <c r="X667" s="3058"/>
      <c r="Y667" s="3058"/>
      <c r="Z667" s="3058"/>
      <c r="AA667" s="3058"/>
      <c r="AB667" s="3058"/>
      <c r="AC667" s="3058"/>
      <c r="AD667" s="3058"/>
      <c r="AE667" s="3058"/>
      <c r="AF667" s="3058"/>
      <c r="AG667" s="3058"/>
      <c r="AH667" s="3058"/>
      <c r="AI667" s="3058"/>
      <c r="AJ667" s="3058"/>
      <c r="AK667" s="3058"/>
      <c r="AL667" s="3058"/>
      <c r="AM667" s="3058"/>
      <c r="AN667" s="3058"/>
      <c r="AO667" s="3058"/>
      <c r="AP667" s="3058"/>
      <c r="AQ667" s="3058"/>
      <c r="AR667" s="3058"/>
      <c r="AS667" s="3058"/>
      <c r="AT667" s="3058"/>
      <c r="AU667" s="3058"/>
      <c r="AV667" s="3058"/>
      <c r="AW667" s="3058"/>
      <c r="AX667" s="3058"/>
      <c r="AY667" s="3058"/>
      <c r="AZ667" s="3058"/>
      <c r="BA667" s="3058"/>
      <c r="BB667" s="3058"/>
      <c r="BC667" s="3058"/>
      <c r="BD667" s="3058"/>
      <c r="BE667" s="3058"/>
      <c r="BF667" s="3058"/>
      <c r="BG667" s="3058"/>
      <c r="BH667" s="3058"/>
      <c r="BI667" s="3058"/>
    </row>
    <row r="668" spans="1:61" ht="21.75" customHeight="1">
      <c r="A668" s="4094" t="s">
        <v>1731</v>
      </c>
      <c r="B668" s="4095" t="s">
        <v>200</v>
      </c>
      <c r="C668" s="4096" t="s">
        <v>1967</v>
      </c>
      <c r="D668" s="4097" t="s">
        <v>70</v>
      </c>
      <c r="E668" s="4098" t="str">
        <f>VLOOKUP(F668,plasmids!$A$2:$B$351,2)</f>
        <v>AAV2-7m8</v>
      </c>
      <c r="F668" s="4097">
        <v>178</v>
      </c>
      <c r="G668" s="4099"/>
      <c r="H668" s="4099" t="str">
        <f>VLOOKUP(I668,plasmids!$A$2:$B$891,2)</f>
        <v>pAAV2,1,MG6,hChR2(H134R)-GFP</v>
      </c>
      <c r="I668" s="4097">
        <v>190</v>
      </c>
      <c r="J668" s="4100"/>
      <c r="K668" s="4101"/>
      <c r="L668" s="4102"/>
      <c r="M668" s="4103">
        <v>42517</v>
      </c>
      <c r="N668" s="4104">
        <v>706</v>
      </c>
      <c r="O668" s="4105"/>
      <c r="P668" s="4106"/>
      <c r="Q668" s="4107">
        <v>106000000000000</v>
      </c>
      <c r="R668" s="4108">
        <v>265000000000</v>
      </c>
      <c r="S668" s="4109">
        <f t="shared" si="0"/>
        <v>13120000000000</v>
      </c>
      <c r="T668" s="4110"/>
      <c r="U668" s="4110"/>
      <c r="V668" s="4111">
        <f>95-22-12-24-12</f>
        <v>25</v>
      </c>
      <c r="W668" s="4112"/>
      <c r="X668" s="4112"/>
      <c r="Y668" s="4113">
        <v>42524</v>
      </c>
      <c r="Z668" s="4112"/>
      <c r="AA668" s="4112"/>
      <c r="AB668" s="4112"/>
      <c r="AC668" s="4112"/>
      <c r="AD668" s="4112"/>
      <c r="AE668" s="4112"/>
      <c r="AF668" s="4112"/>
      <c r="AG668" s="4112"/>
      <c r="AH668" s="4112"/>
      <c r="AI668" s="4112"/>
      <c r="AJ668" s="4112"/>
      <c r="AK668" s="4112"/>
      <c r="AL668" s="4112"/>
      <c r="AM668" s="4112"/>
      <c r="AN668" s="4112"/>
      <c r="AO668" s="4112"/>
      <c r="AP668" s="4112"/>
      <c r="AQ668" s="4112"/>
      <c r="AR668" s="4112"/>
      <c r="AS668" s="4112"/>
      <c r="AT668" s="4112"/>
      <c r="AU668" s="4112"/>
      <c r="AV668" s="4112"/>
      <c r="AW668" s="4112"/>
      <c r="AX668" s="4112"/>
      <c r="AY668" s="4112"/>
      <c r="AZ668" s="4112"/>
      <c r="BA668" s="4112"/>
      <c r="BB668" s="4112"/>
      <c r="BC668" s="4112"/>
      <c r="BD668" s="4112"/>
      <c r="BE668" s="4112"/>
      <c r="BF668" s="4112"/>
      <c r="BG668" s="4112"/>
      <c r="BH668" s="27"/>
      <c r="BI668" s="27"/>
    </row>
    <row r="669" spans="1:61" ht="22.5" customHeight="1">
      <c r="A669" s="3776" t="s">
        <v>707</v>
      </c>
      <c r="B669" s="3776" t="s">
        <v>5704</v>
      </c>
      <c r="C669" s="3773" t="s">
        <v>1967</v>
      </c>
      <c r="D669" s="3776" t="s">
        <v>5655</v>
      </c>
      <c r="E669" s="3777" t="str">
        <f>VLOOKUP(F669,plasmids!$A$2:$B$891,2)</f>
        <v>AAV2-7m8</v>
      </c>
      <c r="F669" s="3784">
        <v>178</v>
      </c>
      <c r="G669" s="3779"/>
      <c r="H669" s="3780" t="str">
        <f>VLOOKUP(I669,plasmids!$A$2:$B$891,2)</f>
        <v>pssAAV-pR1.7-GFP</v>
      </c>
      <c r="I669" s="4114">
        <v>566</v>
      </c>
      <c r="J669" s="3781"/>
      <c r="K669" s="3782"/>
      <c r="L669" s="3428"/>
      <c r="M669" s="3429">
        <v>42517</v>
      </c>
      <c r="N669" s="3783">
        <v>707</v>
      </c>
      <c r="O669" s="3784"/>
      <c r="P669" s="3785"/>
      <c r="Q669" s="3774">
        <v>44600000000000</v>
      </c>
      <c r="R669" s="3775">
        <v>265000000000</v>
      </c>
      <c r="S669" s="3434">
        <f t="shared" si="0"/>
        <v>5520301886792.4521</v>
      </c>
      <c r="T669" s="3786" t="s">
        <v>5754</v>
      </c>
      <c r="U669" s="3781"/>
      <c r="V669" s="4114" t="s">
        <v>5824</v>
      </c>
      <c r="W669" s="4115" t="s">
        <v>2812</v>
      </c>
      <c r="X669" s="3781"/>
      <c r="Y669" s="3781"/>
      <c r="Z669" s="3781"/>
      <c r="AA669" s="3781"/>
      <c r="AB669" s="3781"/>
      <c r="AC669" s="3781"/>
      <c r="AD669" s="3781"/>
      <c r="AE669" s="3781"/>
      <c r="AF669" s="3781"/>
      <c r="AG669" s="3781"/>
      <c r="AH669" s="3781"/>
      <c r="AI669" s="3781"/>
      <c r="AJ669" s="3781"/>
      <c r="AK669" s="3781"/>
      <c r="AL669" s="3781"/>
      <c r="AM669" s="3781"/>
      <c r="AN669" s="3781"/>
      <c r="AO669" s="3781"/>
      <c r="AP669" s="3781"/>
      <c r="AQ669" s="3781"/>
      <c r="AR669" s="3781"/>
      <c r="AS669" s="3781"/>
      <c r="AT669" s="3781"/>
      <c r="AU669" s="3781"/>
      <c r="AV669" s="3781"/>
      <c r="AW669" s="3781"/>
      <c r="AX669" s="3781"/>
      <c r="AY669" s="3781"/>
      <c r="AZ669" s="3781"/>
      <c r="BA669" s="3781"/>
      <c r="BB669" s="3781"/>
      <c r="BC669" s="3781"/>
      <c r="BD669" s="3781"/>
      <c r="BE669" s="3781"/>
      <c r="BF669" s="3781"/>
      <c r="BG669" s="3781"/>
      <c r="BH669" s="3781"/>
      <c r="BI669" s="3781"/>
    </row>
    <row r="670" spans="1:61" ht="24.75" customHeight="1">
      <c r="A670" s="2850" t="s">
        <v>1954</v>
      </c>
      <c r="B670" s="2850" t="s">
        <v>4080</v>
      </c>
      <c r="C670" s="2852" t="s">
        <v>178</v>
      </c>
      <c r="D670" s="2850" t="s">
        <v>1088</v>
      </c>
      <c r="E670" s="1761" t="str">
        <f>VLOOKUP(F670,plasmids!$A$2:$B$891,2)</f>
        <v>pXR5</v>
      </c>
      <c r="F670" s="3269">
        <v>154</v>
      </c>
      <c r="G670" s="1763"/>
      <c r="H670" s="1763" t="s">
        <v>941</v>
      </c>
      <c r="I670" s="3486">
        <v>276</v>
      </c>
      <c r="J670" s="2856"/>
      <c r="K670" s="3270"/>
      <c r="L670" s="3483"/>
      <c r="M670" s="3022">
        <v>42517</v>
      </c>
      <c r="N670" s="2798">
        <v>708</v>
      </c>
      <c r="O670" s="3269"/>
      <c r="P670" s="2859"/>
      <c r="Q670" s="4116">
        <v>653000000000000</v>
      </c>
      <c r="R670" s="4117">
        <v>265000000000</v>
      </c>
      <c r="S670" s="2861">
        <f t="shared" si="0"/>
        <v>80824150943396.219</v>
      </c>
      <c r="T670" s="4118"/>
      <c r="U670" s="2856"/>
      <c r="V670" s="3547">
        <f t="shared" ref="V670:V671" si="4">95</f>
        <v>95</v>
      </c>
      <c r="W670" s="4119" t="s">
        <v>5825</v>
      </c>
      <c r="X670" s="2863"/>
      <c r="Y670" s="2863"/>
      <c r="Z670" s="2863"/>
      <c r="AA670" s="2863"/>
      <c r="AB670" s="2863"/>
      <c r="AC670" s="2863"/>
      <c r="AD670" s="2863"/>
      <c r="AE670" s="2863"/>
      <c r="AF670" s="2863"/>
      <c r="AG670" s="2863"/>
      <c r="AH670" s="2863"/>
      <c r="AI670" s="2863"/>
      <c r="AJ670" s="2863"/>
      <c r="AK670" s="2863"/>
      <c r="AL670" s="2863"/>
      <c r="AM670" s="2863"/>
      <c r="AN670" s="2863"/>
      <c r="AO670" s="2863"/>
      <c r="AP670" s="2863"/>
      <c r="AQ670" s="2863"/>
      <c r="AR670" s="2863"/>
      <c r="AS670" s="2863"/>
      <c r="AT670" s="2863"/>
      <c r="AU670" s="2863"/>
      <c r="AV670" s="2863"/>
      <c r="AW670" s="2863"/>
      <c r="AX670" s="2863"/>
      <c r="AY670" s="2863"/>
      <c r="AZ670" s="2863"/>
      <c r="BA670" s="2863"/>
      <c r="BB670" s="2863"/>
      <c r="BC670" s="2863"/>
      <c r="BD670" s="2863"/>
      <c r="BE670" s="2863"/>
      <c r="BF670" s="2863"/>
      <c r="BG670" s="2863"/>
      <c r="BH670" s="2863"/>
      <c r="BI670" s="2863"/>
    </row>
    <row r="671" spans="1:61" ht="18" customHeight="1">
      <c r="A671" s="4120" t="s">
        <v>1954</v>
      </c>
      <c r="B671" s="4120" t="s">
        <v>5734</v>
      </c>
      <c r="C671" s="4121" t="s">
        <v>1967</v>
      </c>
      <c r="D671" s="4120" t="s">
        <v>1088</v>
      </c>
      <c r="E671" s="4122" t="str">
        <f>VLOOKUP(F671,plasmids!$A$2:$B$891,2)</f>
        <v>pXR5</v>
      </c>
      <c r="F671" s="4123">
        <v>154</v>
      </c>
      <c r="G671" s="4124"/>
      <c r="H671" s="4124" t="s">
        <v>5826</v>
      </c>
      <c r="I671" s="4120">
        <v>648</v>
      </c>
      <c r="J671" s="4125"/>
      <c r="K671" s="4126"/>
      <c r="L671" s="4127"/>
      <c r="M671" s="4128">
        <v>42517</v>
      </c>
      <c r="N671" s="4129">
        <v>709</v>
      </c>
      <c r="O671" s="4123"/>
      <c r="P671" s="4130"/>
      <c r="Q671" s="4131">
        <v>689000000000000</v>
      </c>
      <c r="R671" s="4132">
        <v>265000000000</v>
      </c>
      <c r="S671" s="4133">
        <f t="shared" si="0"/>
        <v>85280000000000</v>
      </c>
      <c r="T671" s="4134"/>
      <c r="U671" s="4120"/>
      <c r="V671" s="4135">
        <f t="shared" si="4"/>
        <v>95</v>
      </c>
      <c r="W671" s="4136" t="s">
        <v>5827</v>
      </c>
      <c r="X671" s="4137"/>
      <c r="Y671" s="4137"/>
      <c r="Z671" s="4137"/>
      <c r="AA671" s="4137"/>
      <c r="AB671" s="4137"/>
      <c r="AC671" s="4137"/>
      <c r="AD671" s="4137"/>
      <c r="AE671" s="4137"/>
      <c r="AF671" s="4137"/>
      <c r="AG671" s="4137"/>
      <c r="AH671" s="4137"/>
      <c r="AI671" s="4137"/>
      <c r="AJ671" s="4137"/>
      <c r="AK671" s="4137"/>
      <c r="AL671" s="4137"/>
      <c r="AM671" s="4137"/>
      <c r="AN671" s="4137"/>
      <c r="AO671" s="4137"/>
      <c r="AP671" s="4137"/>
      <c r="AQ671" s="4137"/>
      <c r="AR671" s="4137"/>
      <c r="AS671" s="4137"/>
      <c r="AT671" s="4137"/>
      <c r="AU671" s="4137"/>
      <c r="AV671" s="4137"/>
      <c r="AW671" s="4137"/>
      <c r="AX671" s="4137"/>
      <c r="AY671" s="4137"/>
      <c r="AZ671" s="4137"/>
      <c r="BA671" s="4137"/>
      <c r="BB671" s="4137"/>
      <c r="BC671" s="4137"/>
      <c r="BD671" s="4137"/>
      <c r="BE671" s="4137"/>
      <c r="BF671" s="4137"/>
      <c r="BG671" s="4137"/>
      <c r="BH671" s="2863"/>
      <c r="BI671" s="2863"/>
    </row>
    <row r="672" spans="1:61" ht="24.75" customHeight="1">
      <c r="A672" s="3375" t="s">
        <v>5828</v>
      </c>
      <c r="B672" s="2646"/>
      <c r="C672" s="3551" t="s">
        <v>5829</v>
      </c>
      <c r="D672" s="3375" t="s">
        <v>5830</v>
      </c>
      <c r="E672" s="1788" t="str">
        <f>VLOOKUP(F672,plasmids!$A$2:$B$891,2)</f>
        <v>AAV2-7m8</v>
      </c>
      <c r="F672" s="2655">
        <v>178</v>
      </c>
      <c r="G672" s="2596"/>
      <c r="H672" s="4138" t="str">
        <f>VLOOKUP(I672,plasmids!$A$2:$B$891,2)</f>
        <v>pscAAV-EF1-miR1813_96_183_Cluster C_ EGFP-WPRE</v>
      </c>
      <c r="I672" s="3375">
        <v>655</v>
      </c>
      <c r="J672" s="2648"/>
      <c r="K672" s="3147"/>
      <c r="L672" s="2785"/>
      <c r="M672" s="2695">
        <v>42524</v>
      </c>
      <c r="N672" s="2649">
        <v>710</v>
      </c>
      <c r="O672" s="4139">
        <v>6</v>
      </c>
      <c r="P672" s="2651"/>
      <c r="Q672" s="3440">
        <v>2360000000000</v>
      </c>
      <c r="R672" s="3553">
        <v>13000000000</v>
      </c>
      <c r="S672" s="2653">
        <f t="shared" si="0"/>
        <v>5954461538461.5381</v>
      </c>
      <c r="T672" s="3375" t="s">
        <v>5789</v>
      </c>
      <c r="U672" s="2648"/>
      <c r="V672" s="3554">
        <f>180</f>
        <v>180</v>
      </c>
      <c r="W672" s="3150"/>
      <c r="X672" s="2656"/>
      <c r="Y672" s="2656"/>
      <c r="Z672" s="2656"/>
      <c r="AA672" s="2656"/>
      <c r="AB672" s="2656"/>
      <c r="AC672" s="2656"/>
      <c r="AD672" s="2656"/>
      <c r="AE672" s="2656"/>
      <c r="AF672" s="2656"/>
      <c r="AG672" s="2656"/>
      <c r="AH672" s="2656"/>
      <c r="AI672" s="2656"/>
      <c r="AJ672" s="2656"/>
      <c r="AK672" s="2656"/>
      <c r="AL672" s="2656"/>
      <c r="AM672" s="2656"/>
      <c r="AN672" s="2656"/>
      <c r="AO672" s="2656"/>
      <c r="AP672" s="2656"/>
      <c r="AQ672" s="2656"/>
      <c r="AR672" s="2656"/>
      <c r="AS672" s="2656"/>
      <c r="AT672" s="2656"/>
      <c r="AU672" s="2656"/>
      <c r="AV672" s="2656"/>
      <c r="AW672" s="2656"/>
      <c r="AX672" s="2656"/>
      <c r="AY672" s="2656"/>
      <c r="AZ672" s="2656"/>
      <c r="BA672" s="2656"/>
      <c r="BB672" s="2656"/>
      <c r="BC672" s="2656"/>
      <c r="BD672" s="2656"/>
      <c r="BE672" s="2656"/>
      <c r="BF672" s="2656"/>
      <c r="BG672" s="2656"/>
      <c r="BH672" s="2656"/>
      <c r="BI672" s="2656"/>
    </row>
    <row r="673" spans="1:61" ht="24.75" customHeight="1">
      <c r="A673" s="3486" t="s">
        <v>5831</v>
      </c>
      <c r="B673" s="3486" t="s">
        <v>5832</v>
      </c>
      <c r="C673" s="4140" t="s">
        <v>1088</v>
      </c>
      <c r="D673" s="3486" t="s">
        <v>5833</v>
      </c>
      <c r="E673" s="1761" t="str">
        <f>VLOOKUP(F673,plasmids!$A$2:$B$891,2)</f>
        <v>AAV9 2YF</v>
      </c>
      <c r="F673" s="3269">
        <v>168</v>
      </c>
      <c r="G673" s="1763"/>
      <c r="H673" s="3546" t="str">
        <f>VLOOKUP(I673,plasmids!$A$2:$B$891,2)</f>
        <v>pAAV-Ef1a-DIO-bpac</v>
      </c>
      <c r="I673" s="3486">
        <v>624</v>
      </c>
      <c r="J673" s="2856"/>
      <c r="K673" s="3270"/>
      <c r="L673" s="3483"/>
      <c r="M673" s="3022">
        <v>42524</v>
      </c>
      <c r="N673" s="2798">
        <v>711</v>
      </c>
      <c r="O673" s="4141">
        <v>3</v>
      </c>
      <c r="P673" s="2859"/>
      <c r="Q673" s="4116">
        <v>106000000000000</v>
      </c>
      <c r="R673" s="4117">
        <v>13000000000</v>
      </c>
      <c r="S673" s="2861">
        <f t="shared" si="0"/>
        <v>267446153846153.84</v>
      </c>
      <c r="T673" s="3486"/>
      <c r="U673" s="2856"/>
      <c r="V673" s="3547">
        <f>161</f>
        <v>161</v>
      </c>
      <c r="W673" s="2851"/>
      <c r="X673" s="2863"/>
      <c r="Y673" s="2863"/>
      <c r="Z673" s="2863"/>
      <c r="AA673" s="2863"/>
      <c r="AB673" s="2863"/>
      <c r="AC673" s="2863"/>
      <c r="AD673" s="2863"/>
      <c r="AE673" s="2863"/>
      <c r="AF673" s="2863"/>
      <c r="AG673" s="2863"/>
      <c r="AH673" s="2863"/>
      <c r="AI673" s="2863"/>
      <c r="AJ673" s="2863"/>
      <c r="AK673" s="2863"/>
      <c r="AL673" s="2863"/>
      <c r="AM673" s="2863"/>
      <c r="AN673" s="2863"/>
      <c r="AO673" s="2863"/>
      <c r="AP673" s="2863"/>
      <c r="AQ673" s="2863"/>
      <c r="AR673" s="2863"/>
      <c r="AS673" s="2863"/>
      <c r="AT673" s="2863"/>
      <c r="AU673" s="2863"/>
      <c r="AV673" s="2863"/>
      <c r="AW673" s="2863"/>
      <c r="AX673" s="2863"/>
      <c r="AY673" s="2863"/>
      <c r="AZ673" s="2863"/>
      <c r="BA673" s="2863"/>
      <c r="BB673" s="2863"/>
      <c r="BC673" s="2863"/>
      <c r="BD673" s="2863"/>
      <c r="BE673" s="2863"/>
      <c r="BF673" s="2863"/>
      <c r="BG673" s="2863"/>
      <c r="BH673" s="2863"/>
      <c r="BI673" s="2863"/>
    </row>
    <row r="674" spans="1:61" ht="24.75" customHeight="1">
      <c r="A674" s="3486" t="s">
        <v>5831</v>
      </c>
      <c r="B674" s="3486" t="s">
        <v>5832</v>
      </c>
      <c r="C674" s="4140" t="s">
        <v>1088</v>
      </c>
      <c r="D674" s="3486" t="s">
        <v>5834</v>
      </c>
      <c r="E674" s="1761" t="str">
        <f>VLOOKUP(F674,plasmids!$A$2:$B$891,2)</f>
        <v>AAV9 2YF</v>
      </c>
      <c r="F674" s="3269">
        <v>168</v>
      </c>
      <c r="G674" s="1763"/>
      <c r="H674" s="3546" t="str">
        <f>VLOOKUP(I674,plasmids!$A$2:$B$891,2)</f>
        <v>pAAV-Ef1a-DIO-Momo-eGFP-mGluR1ct</v>
      </c>
      <c r="I674" s="3486">
        <v>625</v>
      </c>
      <c r="J674" s="2856"/>
      <c r="K674" s="3270"/>
      <c r="L674" s="3483"/>
      <c r="M674" s="3022">
        <v>42524</v>
      </c>
      <c r="N674" s="2798">
        <v>712</v>
      </c>
      <c r="O674" s="4141">
        <v>3</v>
      </c>
      <c r="P674" s="2859"/>
      <c r="Q674" s="4116">
        <v>11300000000000</v>
      </c>
      <c r="R674" s="4117">
        <v>13000000000</v>
      </c>
      <c r="S674" s="2861">
        <f t="shared" si="0"/>
        <v>28510769230769.23</v>
      </c>
      <c r="T674" s="3486"/>
      <c r="U674" s="2856"/>
      <c r="V674" s="3547">
        <f>157</f>
        <v>157</v>
      </c>
      <c r="W674" s="2851"/>
      <c r="X674" s="2863"/>
      <c r="Y674" s="2863"/>
      <c r="Z674" s="2863"/>
      <c r="AA674" s="2863"/>
      <c r="AB674" s="2863"/>
      <c r="AC674" s="2863"/>
      <c r="AD674" s="2863"/>
      <c r="AE674" s="2863"/>
      <c r="AF674" s="2863"/>
      <c r="AG674" s="2863"/>
      <c r="AH674" s="2863"/>
      <c r="AI674" s="2863"/>
      <c r="AJ674" s="2863"/>
      <c r="AK674" s="2863"/>
      <c r="AL674" s="2863"/>
      <c r="AM674" s="2863"/>
      <c r="AN674" s="2863"/>
      <c r="AO674" s="2863"/>
      <c r="AP674" s="2863"/>
      <c r="AQ674" s="2863"/>
      <c r="AR674" s="2863"/>
      <c r="AS674" s="2863"/>
      <c r="AT674" s="2863"/>
      <c r="AU674" s="2863"/>
      <c r="AV674" s="2863"/>
      <c r="AW674" s="2863"/>
      <c r="AX674" s="2863"/>
      <c r="AY674" s="2863"/>
      <c r="AZ674" s="2863"/>
      <c r="BA674" s="2863"/>
      <c r="BB674" s="2863"/>
      <c r="BC674" s="2863"/>
      <c r="BD674" s="2863"/>
      <c r="BE674" s="2863"/>
      <c r="BF674" s="2863"/>
      <c r="BG674" s="2863"/>
      <c r="BH674" s="2863"/>
      <c r="BI674" s="2863"/>
    </row>
    <row r="675" spans="1:61" ht="24.75" customHeight="1">
      <c r="A675" s="3486" t="s">
        <v>5831</v>
      </c>
      <c r="B675" s="3486" t="s">
        <v>5832</v>
      </c>
      <c r="C675" s="4140" t="s">
        <v>1088</v>
      </c>
      <c r="D675" s="3486" t="s">
        <v>5834</v>
      </c>
      <c r="E675" s="1761" t="str">
        <f>VLOOKUP(F675,plasmids!$A$2:$B$891,2)</f>
        <v>AAV9 2YF</v>
      </c>
      <c r="F675" s="3269">
        <v>168</v>
      </c>
      <c r="G675" s="1763"/>
      <c r="H675" s="3546" t="str">
        <f>VLOOKUP(I675,plasmids!$A$2:$B$891,2)</f>
        <v>pAAV-CMV-Momo-eGFP-mGluR1ct</v>
      </c>
      <c r="I675" s="3486">
        <v>626</v>
      </c>
      <c r="J675" s="2856"/>
      <c r="K675" s="3270"/>
      <c r="L675" s="3483"/>
      <c r="M675" s="3022">
        <v>42524</v>
      </c>
      <c r="N675" s="2798">
        <v>713</v>
      </c>
      <c r="O675" s="4141">
        <v>3</v>
      </c>
      <c r="P675" s="2859"/>
      <c r="Q675" s="4116">
        <v>22100000000000</v>
      </c>
      <c r="R675" s="4117">
        <v>13000000000</v>
      </c>
      <c r="S675" s="2861">
        <f t="shared" si="0"/>
        <v>55760000000000</v>
      </c>
      <c r="T675" s="3486"/>
      <c r="U675" s="2856"/>
      <c r="V675" s="3547">
        <f>123</f>
        <v>123</v>
      </c>
      <c r="W675" s="2851"/>
      <c r="X675" s="2863"/>
      <c r="Y675" s="2863"/>
      <c r="Z675" s="2863"/>
      <c r="AA675" s="2863"/>
      <c r="AB675" s="2863"/>
      <c r="AC675" s="2863"/>
      <c r="AD675" s="2863"/>
      <c r="AE675" s="2863"/>
      <c r="AF675" s="2863"/>
      <c r="AG675" s="2863"/>
      <c r="AH675" s="2863"/>
      <c r="AI675" s="2863"/>
      <c r="AJ675" s="2863"/>
      <c r="AK675" s="2863"/>
      <c r="AL675" s="2863"/>
      <c r="AM675" s="2863"/>
      <c r="AN675" s="2863"/>
      <c r="AO675" s="2863"/>
      <c r="AP675" s="2863"/>
      <c r="AQ675" s="2863"/>
      <c r="AR675" s="2863"/>
      <c r="AS675" s="2863"/>
      <c r="AT675" s="2863"/>
      <c r="AU675" s="2863"/>
      <c r="AV675" s="2863"/>
      <c r="AW675" s="2863"/>
      <c r="AX675" s="2863"/>
      <c r="AY675" s="2863"/>
      <c r="AZ675" s="2863"/>
      <c r="BA675" s="2863"/>
      <c r="BB675" s="2863"/>
      <c r="BC675" s="2863"/>
      <c r="BD675" s="2863"/>
      <c r="BE675" s="2863"/>
      <c r="BF675" s="2863"/>
      <c r="BG675" s="2863"/>
      <c r="BH675" s="2863"/>
      <c r="BI675" s="2863"/>
    </row>
    <row r="676" spans="1:61" ht="24.75" customHeight="1">
      <c r="A676" s="3526" t="s">
        <v>1343</v>
      </c>
      <c r="B676" s="3526" t="s">
        <v>5707</v>
      </c>
      <c r="C676" s="3527" t="s">
        <v>5708</v>
      </c>
      <c r="D676" s="3526" t="s">
        <v>3782</v>
      </c>
      <c r="E676" s="3528" t="str">
        <f>VLOOKUP(F676,plasmids!$A$2:$B$891,2)</f>
        <v>AAV2-7m8</v>
      </c>
      <c r="F676" s="3529">
        <v>178</v>
      </c>
      <c r="G676" s="3530"/>
      <c r="H676" s="4142" t="s">
        <v>1348</v>
      </c>
      <c r="I676" s="3526">
        <v>649</v>
      </c>
      <c r="J676" s="3531"/>
      <c r="K676" s="3532"/>
      <c r="L676" s="3752"/>
      <c r="M676" s="3534">
        <v>42524</v>
      </c>
      <c r="N676" s="3535">
        <v>714</v>
      </c>
      <c r="O676" s="4143">
        <v>6</v>
      </c>
      <c r="P676" s="3536"/>
      <c r="Q676" s="4144">
        <v>7440000000000</v>
      </c>
      <c r="R676" s="4145">
        <v>13000000000</v>
      </c>
      <c r="S676" s="3539">
        <f t="shared" si="0"/>
        <v>18771692307692.309</v>
      </c>
      <c r="T676" s="3526"/>
      <c r="U676" s="3531"/>
      <c r="V676" s="4146">
        <f>137</f>
        <v>137</v>
      </c>
      <c r="W676" s="3756"/>
      <c r="X676" s="3541"/>
      <c r="Y676" s="3541"/>
      <c r="Z676" s="3541"/>
      <c r="AA676" s="3541"/>
      <c r="AB676" s="3541"/>
      <c r="AC676" s="3541"/>
      <c r="AD676" s="3541"/>
      <c r="AE676" s="3541"/>
      <c r="AF676" s="3541"/>
      <c r="AG676" s="3541"/>
      <c r="AH676" s="3541"/>
      <c r="AI676" s="3541"/>
      <c r="AJ676" s="3541"/>
      <c r="AK676" s="3541"/>
      <c r="AL676" s="3541"/>
      <c r="AM676" s="3541"/>
      <c r="AN676" s="3541"/>
      <c r="AO676" s="3541"/>
      <c r="AP676" s="3541"/>
      <c r="AQ676" s="3541"/>
      <c r="AR676" s="3541"/>
      <c r="AS676" s="3541"/>
      <c r="AT676" s="3541"/>
      <c r="AU676" s="3541"/>
      <c r="AV676" s="3541"/>
      <c r="AW676" s="3541"/>
      <c r="AX676" s="3541"/>
      <c r="AY676" s="3541"/>
      <c r="AZ676" s="3541"/>
      <c r="BA676" s="3541"/>
      <c r="BB676" s="3541"/>
      <c r="BC676" s="3541"/>
      <c r="BD676" s="3541"/>
      <c r="BE676" s="3541"/>
      <c r="BF676" s="3541"/>
      <c r="BG676" s="3541"/>
      <c r="BH676" s="3541"/>
      <c r="BI676" s="3541"/>
    </row>
    <row r="677" spans="1:61" ht="24.75" customHeight="1">
      <c r="A677" s="4147" t="s">
        <v>5690</v>
      </c>
      <c r="B677" s="4147" t="s">
        <v>5835</v>
      </c>
      <c r="C677" s="4148" t="s">
        <v>1967</v>
      </c>
      <c r="D677" s="4149" t="s">
        <v>4867</v>
      </c>
      <c r="E677" s="4150" t="str">
        <f>VLOOKUP(F677,plasmids!$A$2:$B$891,2)</f>
        <v>AAV9</v>
      </c>
      <c r="F677" s="4151">
        <v>166</v>
      </c>
      <c r="G677" s="4152"/>
      <c r="H677" s="4153" t="str">
        <f>VLOOKUP(I677,plasmids!$A$2:$B$891,2)</f>
        <v>sc-CAG-GFP</v>
      </c>
      <c r="I677" s="4147">
        <v>120</v>
      </c>
      <c r="J677" s="4154"/>
      <c r="K677" s="4155"/>
      <c r="L677" s="4156"/>
      <c r="M677" s="4157">
        <v>42524</v>
      </c>
      <c r="N677" s="4158">
        <v>715</v>
      </c>
      <c r="O677" s="4159">
        <v>3</v>
      </c>
      <c r="P677" s="4160"/>
      <c r="Q677" s="4161">
        <v>71300000000000</v>
      </c>
      <c r="R677" s="4162">
        <v>13000000000</v>
      </c>
      <c r="S677" s="4163">
        <f t="shared" si="0"/>
        <v>179895384615384.62</v>
      </c>
      <c r="T677" s="4147"/>
      <c r="U677" s="4154"/>
      <c r="V677" s="4164">
        <f>150</f>
        <v>150</v>
      </c>
      <c r="W677" s="4165"/>
      <c r="X677" s="4166"/>
      <c r="Y677" s="4166"/>
      <c r="Z677" s="4166"/>
      <c r="AA677" s="4166"/>
      <c r="AB677" s="4166"/>
      <c r="AC677" s="4166"/>
      <c r="AD677" s="4166"/>
      <c r="AE677" s="4166"/>
      <c r="AF677" s="4166"/>
      <c r="AG677" s="4166"/>
      <c r="AH677" s="4166"/>
      <c r="AI677" s="4166"/>
      <c r="AJ677" s="4166"/>
      <c r="AK677" s="4166"/>
      <c r="AL677" s="4166"/>
      <c r="AM677" s="4166"/>
      <c r="AN677" s="4166"/>
      <c r="AO677" s="4166"/>
      <c r="AP677" s="4166"/>
      <c r="AQ677" s="4166"/>
      <c r="AR677" s="4166"/>
      <c r="AS677" s="4166"/>
      <c r="AT677" s="4166"/>
      <c r="AU677" s="4166"/>
      <c r="AV677" s="4166"/>
      <c r="AW677" s="4166"/>
      <c r="AX677" s="4166"/>
      <c r="AY677" s="4166"/>
      <c r="AZ677" s="4166"/>
      <c r="BA677" s="4166"/>
      <c r="BB677" s="4166"/>
      <c r="BC677" s="4166"/>
      <c r="BD677" s="4166"/>
      <c r="BE677" s="4166"/>
      <c r="BF677" s="4166"/>
      <c r="BG677" s="4166"/>
      <c r="BH677" s="3202"/>
      <c r="BI677" s="3202"/>
    </row>
    <row r="678" spans="1:61" ht="30.75" customHeight="1">
      <c r="A678" s="4167" t="s">
        <v>691</v>
      </c>
      <c r="B678" s="4167" t="s">
        <v>2176</v>
      </c>
      <c r="C678" s="4168" t="s">
        <v>178</v>
      </c>
      <c r="D678" s="4169" t="s">
        <v>4748</v>
      </c>
      <c r="E678" s="4170" t="str">
        <f>VLOOKUP(F678,plasmids!$A$2:$B$891,2)</f>
        <v>ShH10,1 Y444F</v>
      </c>
      <c r="F678" s="4169">
        <v>177</v>
      </c>
      <c r="G678" s="4171"/>
      <c r="H678" s="4171" t="s">
        <v>5716</v>
      </c>
      <c r="I678" s="4167">
        <v>558</v>
      </c>
      <c r="J678" s="4167" t="s">
        <v>146</v>
      </c>
      <c r="K678" s="4172" t="s">
        <v>2185</v>
      </c>
      <c r="L678" s="4173"/>
      <c r="M678" s="4174">
        <v>42531</v>
      </c>
      <c r="N678" s="4175">
        <v>716</v>
      </c>
      <c r="O678" s="4176"/>
      <c r="P678" s="4177"/>
      <c r="Q678" s="4178">
        <v>27500000000000</v>
      </c>
      <c r="R678" s="4179">
        <v>10300000000</v>
      </c>
      <c r="S678" s="4180">
        <f t="shared" si="0"/>
        <v>87572815533980.578</v>
      </c>
      <c r="T678" s="4181"/>
      <c r="U678" s="4169"/>
      <c r="V678" s="4182">
        <f>162</f>
        <v>162</v>
      </c>
      <c r="W678" s="4183" t="s">
        <v>5713</v>
      </c>
      <c r="X678" s="4184"/>
      <c r="Y678" s="4185"/>
      <c r="Z678" s="4185"/>
      <c r="AA678" s="4185"/>
      <c r="AB678" s="4185"/>
      <c r="AC678" s="4185"/>
      <c r="AD678" s="4185"/>
      <c r="AE678" s="4185"/>
      <c r="AF678" s="4185"/>
      <c r="AG678" s="4185"/>
      <c r="AH678" s="4185"/>
      <c r="AI678" s="4185"/>
      <c r="AJ678" s="4185"/>
      <c r="AK678" s="4185"/>
      <c r="AL678" s="4185"/>
      <c r="AM678" s="4185"/>
      <c r="AN678" s="4185"/>
      <c r="AO678" s="4185"/>
      <c r="AP678" s="4185"/>
      <c r="AQ678" s="4185"/>
      <c r="AR678" s="4185"/>
      <c r="AS678" s="4185"/>
      <c r="AT678" s="4185"/>
      <c r="AU678" s="4185"/>
      <c r="AV678" s="4185"/>
      <c r="AW678" s="4185"/>
      <c r="AX678" s="4185"/>
      <c r="AY678" s="4185"/>
      <c r="AZ678" s="4185"/>
      <c r="BA678" s="4185"/>
      <c r="BB678" s="4185"/>
      <c r="BC678" s="4185"/>
      <c r="BD678" s="4185"/>
      <c r="BE678" s="4185"/>
      <c r="BF678" s="4185"/>
      <c r="BG678" s="4185"/>
      <c r="BH678" s="4185"/>
      <c r="BI678" s="4185"/>
    </row>
    <row r="679" spans="1:61" ht="30.75" customHeight="1">
      <c r="A679" s="4167" t="s">
        <v>691</v>
      </c>
      <c r="B679" s="4167" t="s">
        <v>2176</v>
      </c>
      <c r="C679" s="4168" t="s">
        <v>178</v>
      </c>
      <c r="D679" s="4169" t="s">
        <v>4748</v>
      </c>
      <c r="E679" s="4170" t="str">
        <f>VLOOKUP(F679,plasmids!$A$2:$B$891,2)</f>
        <v>ShH10,1 Y444F</v>
      </c>
      <c r="F679" s="4169">
        <v>177</v>
      </c>
      <c r="G679" s="4171"/>
      <c r="H679" s="4186" t="str">
        <f>VLOOKUP(I679,plasmids!$A$2:$B$891,2)</f>
        <v>sc-CAG-GFP</v>
      </c>
      <c r="I679" s="4169">
        <v>120</v>
      </c>
      <c r="J679" s="4167" t="s">
        <v>146</v>
      </c>
      <c r="K679" s="4172" t="s">
        <v>2185</v>
      </c>
      <c r="L679" s="4173"/>
      <c r="M679" s="4174">
        <v>42531</v>
      </c>
      <c r="N679" s="4175">
        <v>717</v>
      </c>
      <c r="O679" s="4176"/>
      <c r="P679" s="4177"/>
      <c r="Q679" s="4178">
        <v>19400000000000</v>
      </c>
      <c r="R679" s="4179">
        <v>10300000000</v>
      </c>
      <c r="S679" s="4180">
        <f t="shared" si="0"/>
        <v>61778640776699.031</v>
      </c>
      <c r="T679" s="4181"/>
      <c r="U679" s="4169"/>
      <c r="V679" s="4182">
        <f>149</f>
        <v>149</v>
      </c>
      <c r="W679" s="4183" t="s">
        <v>5713</v>
      </c>
      <c r="X679" s="4184"/>
      <c r="Y679" s="4185"/>
      <c r="Z679" s="4185"/>
      <c r="AA679" s="4185"/>
      <c r="AB679" s="4185"/>
      <c r="AC679" s="4185"/>
      <c r="AD679" s="4185"/>
      <c r="AE679" s="4185"/>
      <c r="AF679" s="4185"/>
      <c r="AG679" s="4185"/>
      <c r="AH679" s="4185"/>
      <c r="AI679" s="4185"/>
      <c r="AJ679" s="4185"/>
      <c r="AK679" s="4185"/>
      <c r="AL679" s="4185"/>
      <c r="AM679" s="4185"/>
      <c r="AN679" s="4185"/>
      <c r="AO679" s="4185"/>
      <c r="AP679" s="4185"/>
      <c r="AQ679" s="4185"/>
      <c r="AR679" s="4185"/>
      <c r="AS679" s="4185"/>
      <c r="AT679" s="4185"/>
      <c r="AU679" s="4185"/>
      <c r="AV679" s="4185"/>
      <c r="AW679" s="4185"/>
      <c r="AX679" s="4185"/>
      <c r="AY679" s="4185"/>
      <c r="AZ679" s="4185"/>
      <c r="BA679" s="4185"/>
      <c r="BB679" s="4185"/>
      <c r="BC679" s="4185"/>
      <c r="BD679" s="4185"/>
      <c r="BE679" s="4185"/>
      <c r="BF679" s="4185"/>
      <c r="BG679" s="4185"/>
      <c r="BH679" s="4185"/>
      <c r="BI679" s="4185"/>
    </row>
    <row r="680" spans="1:61" ht="21" customHeight="1">
      <c r="A680" s="4187" t="s">
        <v>5768</v>
      </c>
      <c r="B680" s="4187" t="s">
        <v>5836</v>
      </c>
      <c r="C680" s="4188" t="s">
        <v>1967</v>
      </c>
      <c r="D680" s="4189" t="s">
        <v>4867</v>
      </c>
      <c r="E680" s="4190" t="str">
        <f>VLOOKUP(F680,plasmids!$A$2:$B$891,2)</f>
        <v>AAV2</v>
      </c>
      <c r="F680" s="4191">
        <v>140</v>
      </c>
      <c r="G680" s="4192"/>
      <c r="H680" s="4191" t="s">
        <v>5837</v>
      </c>
      <c r="I680" s="4191">
        <v>654</v>
      </c>
      <c r="J680" s="4193"/>
      <c r="K680" s="4194">
        <v>41919</v>
      </c>
      <c r="L680" s="4194"/>
      <c r="M680" s="4195">
        <v>42531</v>
      </c>
      <c r="N680" s="4196">
        <v>718</v>
      </c>
      <c r="O680" s="4191"/>
      <c r="P680" s="4197"/>
      <c r="Q680" s="4198">
        <v>37800000000000</v>
      </c>
      <c r="R680" s="4199">
        <v>10300000000</v>
      </c>
      <c r="S680" s="4200">
        <f t="shared" si="0"/>
        <v>120372815533980.58</v>
      </c>
      <c r="T680" s="4201"/>
      <c r="U680" s="4193"/>
      <c r="V680" s="4187">
        <f>160</f>
        <v>160</v>
      </c>
      <c r="W680" s="4202" t="s">
        <v>2812</v>
      </c>
      <c r="X680" s="4203"/>
      <c r="Y680" s="4203"/>
      <c r="Z680" s="4203"/>
      <c r="AA680" s="4203"/>
      <c r="AB680" s="4203"/>
      <c r="AC680" s="4203"/>
      <c r="AD680" s="4203"/>
      <c r="AE680" s="4203"/>
      <c r="AF680" s="4203"/>
      <c r="AG680" s="4203"/>
      <c r="AH680" s="4203"/>
      <c r="AI680" s="4203"/>
      <c r="AJ680" s="4203"/>
      <c r="AK680" s="4203"/>
      <c r="AL680" s="4203"/>
      <c r="AM680" s="4203"/>
      <c r="AN680" s="4203"/>
      <c r="AO680" s="4203"/>
      <c r="AP680" s="4203"/>
      <c r="AQ680" s="4203"/>
      <c r="AR680" s="4203"/>
      <c r="AS680" s="4203"/>
      <c r="AT680" s="4203"/>
      <c r="AU680" s="4203"/>
      <c r="AV680" s="4203"/>
      <c r="AW680" s="4203"/>
      <c r="AX680" s="4203"/>
      <c r="AY680" s="4203"/>
      <c r="AZ680" s="4203"/>
      <c r="BA680" s="4203"/>
      <c r="BB680" s="4203"/>
      <c r="BC680" s="4203"/>
      <c r="BD680" s="4203"/>
      <c r="BE680" s="4203"/>
      <c r="BF680" s="4203"/>
      <c r="BG680" s="4203"/>
      <c r="BH680" s="4203"/>
      <c r="BI680" s="4203"/>
    </row>
    <row r="681" spans="1:61" ht="22.5" customHeight="1">
      <c r="A681" s="4204" t="s">
        <v>707</v>
      </c>
      <c r="B681" s="4204" t="s">
        <v>5704</v>
      </c>
      <c r="C681" s="4205" t="s">
        <v>1967</v>
      </c>
      <c r="D681" s="4204" t="s">
        <v>5655</v>
      </c>
      <c r="E681" s="4206" t="str">
        <f>VLOOKUP(F681,plasmids!$A$2:$B$891,2)</f>
        <v>AAV2-7m8</v>
      </c>
      <c r="F681" s="4207">
        <v>178</v>
      </c>
      <c r="G681" s="4208"/>
      <c r="H681" s="4209" t="str">
        <f>VLOOKUP(I681,plasmids!$A$2:$B$891,2)</f>
        <v>pssAAV-pR1.7-GFP</v>
      </c>
      <c r="I681" s="4210">
        <v>566</v>
      </c>
      <c r="J681" s="4211"/>
      <c r="K681" s="4212"/>
      <c r="L681" s="4213"/>
      <c r="M681" s="4214">
        <v>42531</v>
      </c>
      <c r="N681" s="4215">
        <v>719</v>
      </c>
      <c r="O681" s="4207"/>
      <c r="P681" s="4216"/>
      <c r="Q681" s="4217">
        <v>18800000000000</v>
      </c>
      <c r="R681" s="4218">
        <v>10300000000</v>
      </c>
      <c r="S681" s="4219">
        <f t="shared" si="0"/>
        <v>59867961165048.539</v>
      </c>
      <c r="T681" s="4220"/>
      <c r="U681" s="4211"/>
      <c r="V681" s="4210">
        <f>210-118-11-4.78-5</f>
        <v>71.22</v>
      </c>
      <c r="W681" s="4211"/>
      <c r="X681" s="4211"/>
      <c r="Y681" s="4211"/>
      <c r="Z681" s="4211"/>
      <c r="AA681" s="4211"/>
      <c r="AB681" s="4211"/>
      <c r="AC681" s="4211"/>
      <c r="AD681" s="4211"/>
      <c r="AE681" s="4211"/>
      <c r="AF681" s="4211"/>
      <c r="AG681" s="4211"/>
      <c r="AH681" s="4211"/>
      <c r="AI681" s="4211"/>
      <c r="AJ681" s="4211"/>
      <c r="AK681" s="4211"/>
      <c r="AL681" s="4211"/>
      <c r="AM681" s="4211"/>
      <c r="AN681" s="4211"/>
      <c r="AO681" s="4211"/>
      <c r="AP681" s="4211"/>
      <c r="AQ681" s="4211"/>
      <c r="AR681" s="4211"/>
      <c r="AS681" s="4211"/>
      <c r="AT681" s="4211"/>
      <c r="AU681" s="4211"/>
      <c r="AV681" s="4211"/>
      <c r="AW681" s="4211"/>
      <c r="AX681" s="4211"/>
      <c r="AY681" s="4211"/>
      <c r="AZ681" s="4211"/>
      <c r="BA681" s="4211"/>
      <c r="BB681" s="4211"/>
      <c r="BC681" s="4211"/>
      <c r="BD681" s="4211"/>
      <c r="BE681" s="4211"/>
      <c r="BF681" s="4211"/>
      <c r="BG681" s="4211"/>
      <c r="BH681" s="3781"/>
      <c r="BI681" s="3781"/>
    </row>
    <row r="682" spans="1:61" ht="24.75" customHeight="1">
      <c r="A682" s="4221" t="s">
        <v>1549</v>
      </c>
      <c r="B682" s="4221" t="s">
        <v>5838</v>
      </c>
      <c r="C682" s="4222" t="s">
        <v>5839</v>
      </c>
      <c r="D682" s="4221" t="s">
        <v>4867</v>
      </c>
      <c r="E682" s="4223" t="s">
        <v>2590</v>
      </c>
      <c r="F682" s="4224">
        <v>154</v>
      </c>
      <c r="G682" s="4225"/>
      <c r="H682" s="4226" t="s">
        <v>473</v>
      </c>
      <c r="I682" s="4221">
        <v>120</v>
      </c>
      <c r="J682" s="4227"/>
      <c r="K682" s="4228"/>
      <c r="L682" s="4229"/>
      <c r="M682" s="4230">
        <v>42531</v>
      </c>
      <c r="N682" s="4231">
        <v>720</v>
      </c>
      <c r="O682" s="4224"/>
      <c r="P682" s="4232"/>
      <c r="Q682" s="4233">
        <v>179000000000000</v>
      </c>
      <c r="R682" s="4234">
        <v>10300000000</v>
      </c>
      <c r="S682" s="4235">
        <f t="shared" si="0"/>
        <v>570019417475728.12</v>
      </c>
      <c r="T682" s="4221" t="s">
        <v>5789</v>
      </c>
      <c r="U682" s="4227"/>
      <c r="V682" s="4223">
        <f>152-1</f>
        <v>151</v>
      </c>
      <c r="W682" s="4236"/>
      <c r="X682" s="4237"/>
      <c r="Y682" s="4237"/>
      <c r="Z682" s="4237"/>
      <c r="AA682" s="4237"/>
      <c r="AB682" s="4237"/>
      <c r="AC682" s="4237"/>
      <c r="AD682" s="4237"/>
      <c r="AE682" s="4237"/>
      <c r="AF682" s="4237"/>
      <c r="AG682" s="4237"/>
      <c r="AH682" s="4237"/>
      <c r="AI682" s="4237"/>
      <c r="AJ682" s="4237"/>
      <c r="AK682" s="4237"/>
      <c r="AL682" s="4237"/>
      <c r="AM682" s="4237"/>
      <c r="AN682" s="4237"/>
      <c r="AO682" s="4237"/>
      <c r="AP682" s="4237"/>
      <c r="AQ682" s="4237"/>
      <c r="AR682" s="4237"/>
      <c r="AS682" s="4237"/>
      <c r="AT682" s="4237"/>
      <c r="AU682" s="4237"/>
      <c r="AV682" s="4237"/>
      <c r="AW682" s="4237"/>
      <c r="AX682" s="4237"/>
      <c r="AY682" s="4237"/>
      <c r="AZ682" s="4237"/>
      <c r="BA682" s="4237"/>
      <c r="BB682" s="4237"/>
      <c r="BC682" s="4237"/>
      <c r="BD682" s="4237"/>
      <c r="BE682" s="4237"/>
      <c r="BF682" s="4237"/>
      <c r="BG682" s="4237"/>
      <c r="BH682" s="4237"/>
      <c r="BI682" s="4237"/>
    </row>
    <row r="683" spans="1:61" ht="25.5" customHeight="1">
      <c r="A683" s="4238" t="s">
        <v>5814</v>
      </c>
      <c r="B683" s="4238" t="s">
        <v>5818</v>
      </c>
      <c r="C683" s="4239" t="s">
        <v>5819</v>
      </c>
      <c r="D683" s="4238" t="s">
        <v>3782</v>
      </c>
      <c r="E683" s="4240" t="str">
        <f>VLOOKUP(F683,plasmids!$A$2:$B$891,2)</f>
        <v>AAV2-7m8</v>
      </c>
      <c r="F683" s="4241">
        <v>178</v>
      </c>
      <c r="G683" s="4242"/>
      <c r="H683" s="4243" t="str">
        <f>VLOOKUP(I683,plasmids!$A$2:$B$740,2)</f>
        <v>pssAAV-CMV-STOP-GFP</v>
      </c>
      <c r="I683" s="4238">
        <v>673</v>
      </c>
      <c r="J683" s="4244"/>
      <c r="K683" s="4245"/>
      <c r="L683" s="4245"/>
      <c r="M683" s="4246">
        <v>42545</v>
      </c>
      <c r="N683" s="4247">
        <v>721</v>
      </c>
      <c r="O683" s="4241"/>
      <c r="P683" s="4248"/>
      <c r="Q683" s="4249">
        <v>7580000000</v>
      </c>
      <c r="R683" s="4250">
        <v>6210000000</v>
      </c>
      <c r="S683" s="4251">
        <f t="shared" si="0"/>
        <v>40036070853.462158</v>
      </c>
      <c r="T683" s="4244"/>
      <c r="U683" s="4244"/>
      <c r="V683" s="4252">
        <f>104</f>
        <v>104</v>
      </c>
      <c r="W683" s="4253"/>
      <c r="X683" s="4253"/>
      <c r="Y683" s="4254">
        <v>42524</v>
      </c>
      <c r="Z683" s="4253"/>
      <c r="AA683" s="4253"/>
      <c r="AB683" s="4253"/>
      <c r="AC683" s="4253"/>
      <c r="AD683" s="4253"/>
      <c r="AE683" s="4253"/>
      <c r="AF683" s="4253"/>
      <c r="AG683" s="4253"/>
      <c r="AH683" s="4253"/>
      <c r="AI683" s="4253"/>
      <c r="AJ683" s="4253"/>
      <c r="AK683" s="4253"/>
      <c r="AL683" s="4253"/>
      <c r="AM683" s="4253"/>
      <c r="AN683" s="4253"/>
      <c r="AO683" s="4253"/>
      <c r="AP683" s="4253"/>
      <c r="AQ683" s="4253"/>
      <c r="AR683" s="4253"/>
      <c r="AS683" s="4253"/>
      <c r="AT683" s="4253"/>
      <c r="AU683" s="4253"/>
      <c r="AV683" s="4253"/>
      <c r="AW683" s="4253"/>
      <c r="AX683" s="4253"/>
      <c r="AY683" s="4253"/>
      <c r="AZ683" s="4253"/>
      <c r="BA683" s="4253"/>
      <c r="BB683" s="4253"/>
      <c r="BC683" s="4253"/>
      <c r="BD683" s="4253"/>
      <c r="BE683" s="4253"/>
      <c r="BF683" s="4253"/>
      <c r="BG683" s="4253"/>
      <c r="BH683" s="4255"/>
      <c r="BI683" s="4255"/>
    </row>
    <row r="684" spans="1:61" ht="24.75" customHeight="1">
      <c r="A684" s="4256" t="s">
        <v>600</v>
      </c>
      <c r="B684" s="4256" t="s">
        <v>139</v>
      </c>
      <c r="C684" s="4257" t="s">
        <v>301</v>
      </c>
      <c r="D684" s="4256" t="s">
        <v>301</v>
      </c>
      <c r="E684" s="4258" t="str">
        <f>VLOOKUP(F684,plasmids!$A$2:$B$891,2)</f>
        <v>AAV2-7m8</v>
      </c>
      <c r="F684" s="4259">
        <v>178</v>
      </c>
      <c r="G684" s="4260"/>
      <c r="H684" s="4260" t="str">
        <f>VLOOKUP(I684,plasmids!$A$2:$B$640,2)</f>
        <v>pssAAV-CAG-ChrimsonR</v>
      </c>
      <c r="I684" s="4256">
        <v>480</v>
      </c>
      <c r="J684" s="4261"/>
      <c r="K684" s="4262"/>
      <c r="L684" s="4263"/>
      <c r="M684" s="4264">
        <v>42545</v>
      </c>
      <c r="N684" s="4265">
        <v>722</v>
      </c>
      <c r="O684" s="4259"/>
      <c r="P684" s="4266"/>
      <c r="Q684" s="4267">
        <v>12100000000</v>
      </c>
      <c r="R684" s="4268">
        <v>6210000000</v>
      </c>
      <c r="S684" s="4269">
        <f t="shared" si="0"/>
        <v>63909822866.344612</v>
      </c>
      <c r="T684" s="4256" t="s">
        <v>5840</v>
      </c>
      <c r="U684" s="4261"/>
      <c r="V684" s="4270">
        <f>135-3</f>
        <v>132</v>
      </c>
      <c r="W684" s="4271"/>
      <c r="X684" s="4272"/>
      <c r="Y684" s="4272"/>
      <c r="Z684" s="4272"/>
      <c r="AA684" s="4272"/>
      <c r="AB684" s="4272"/>
      <c r="AC684" s="4272"/>
      <c r="AD684" s="4272"/>
      <c r="AE684" s="4272"/>
      <c r="AF684" s="4272"/>
      <c r="AG684" s="4272"/>
      <c r="AH684" s="4272"/>
      <c r="AI684" s="4272"/>
      <c r="AJ684" s="4272"/>
      <c r="AK684" s="4272"/>
      <c r="AL684" s="4272"/>
      <c r="AM684" s="4272"/>
      <c r="AN684" s="4272"/>
      <c r="AO684" s="4272"/>
      <c r="AP684" s="4272"/>
      <c r="AQ684" s="4272"/>
      <c r="AR684" s="4272"/>
      <c r="AS684" s="4272"/>
      <c r="AT684" s="4272"/>
      <c r="AU684" s="4272"/>
      <c r="AV684" s="4272"/>
      <c r="AW684" s="4272"/>
      <c r="AX684" s="4272"/>
      <c r="AY684" s="4272"/>
      <c r="AZ684" s="4272"/>
      <c r="BA684" s="4272"/>
      <c r="BB684" s="4272"/>
      <c r="BC684" s="4272"/>
      <c r="BD684" s="4272"/>
      <c r="BE684" s="4272"/>
      <c r="BF684" s="4272"/>
      <c r="BG684" s="4272"/>
      <c r="BH684" s="4272"/>
      <c r="BI684" s="4272"/>
    </row>
    <row r="685" spans="1:61" ht="24.75" customHeight="1">
      <c r="A685" s="4273" t="s">
        <v>1549</v>
      </c>
      <c r="B685" s="4273" t="s">
        <v>5767</v>
      </c>
      <c r="C685" s="4274" t="s">
        <v>1967</v>
      </c>
      <c r="D685" s="4273" t="s">
        <v>5794</v>
      </c>
      <c r="E685" s="4275" t="str">
        <f>VLOOKUP(F685,plasmids!$A$2:$B$891,2)</f>
        <v>pAV2-7mAbis</v>
      </c>
      <c r="F685" s="4276">
        <v>667</v>
      </c>
      <c r="G685" s="4277"/>
      <c r="H685" s="4277" t="str">
        <f>VLOOKUP(I685,plasmids!$A$2:$B$640,2)</f>
        <v>sc-CAG-GFP</v>
      </c>
      <c r="I685" s="4273">
        <v>120</v>
      </c>
      <c r="J685" s="4278"/>
      <c r="K685" s="4279"/>
      <c r="L685" s="4280"/>
      <c r="M685" s="4281">
        <v>42545</v>
      </c>
      <c r="N685" s="4282">
        <v>723</v>
      </c>
      <c r="O685" s="4276"/>
      <c r="P685" s="4283"/>
      <c r="Q685" s="4284">
        <v>7900000000</v>
      </c>
      <c r="R685" s="4285">
        <v>16600000000</v>
      </c>
      <c r="S685" s="4286">
        <f t="shared" si="0"/>
        <v>15609638554.216867</v>
      </c>
      <c r="T685" s="4273" t="s">
        <v>5840</v>
      </c>
      <c r="U685" s="4278"/>
      <c r="V685" s="4275">
        <f>83-18</f>
        <v>65</v>
      </c>
      <c r="W685" s="4287"/>
      <c r="X685" s="4288"/>
      <c r="Y685" s="4288"/>
      <c r="Z685" s="4288"/>
      <c r="AA685" s="4288"/>
      <c r="AB685" s="4288"/>
      <c r="AC685" s="4288"/>
      <c r="AD685" s="4288"/>
      <c r="AE685" s="4288"/>
      <c r="AF685" s="4288"/>
      <c r="AG685" s="4288"/>
      <c r="AH685" s="4288"/>
      <c r="AI685" s="4288"/>
      <c r="AJ685" s="4288"/>
      <c r="AK685" s="4288"/>
      <c r="AL685" s="4288"/>
      <c r="AM685" s="4288"/>
      <c r="AN685" s="4288"/>
      <c r="AO685" s="4288"/>
      <c r="AP685" s="4288"/>
      <c r="AQ685" s="4288"/>
      <c r="AR685" s="4288"/>
      <c r="AS685" s="4288"/>
      <c r="AT685" s="4288"/>
      <c r="AU685" s="4288"/>
      <c r="AV685" s="4288"/>
      <c r="AW685" s="4288"/>
      <c r="AX685" s="4288"/>
      <c r="AY685" s="4288"/>
      <c r="AZ685" s="4288"/>
      <c r="BA685" s="4288"/>
      <c r="BB685" s="4288"/>
      <c r="BC685" s="4288"/>
      <c r="BD685" s="4288"/>
      <c r="BE685" s="4288"/>
      <c r="BF685" s="4288"/>
      <c r="BG685" s="4288"/>
      <c r="BH685" s="3680"/>
      <c r="BI685" s="3680"/>
    </row>
    <row r="686" spans="1:61" ht="24.75" customHeight="1">
      <c r="A686" s="3870" t="s">
        <v>1549</v>
      </c>
      <c r="B686" s="3870" t="s">
        <v>5767</v>
      </c>
      <c r="C686" s="3871" t="s">
        <v>1967</v>
      </c>
      <c r="D686" s="3870" t="s">
        <v>5794</v>
      </c>
      <c r="E686" s="3872" t="str">
        <f>VLOOKUP(F686,plasmids!$A$2:$B$891,2)</f>
        <v>pAV2-7mBbis</v>
      </c>
      <c r="F686" s="3873">
        <v>668</v>
      </c>
      <c r="G686" s="4289"/>
      <c r="H686" s="4289" t="str">
        <f>VLOOKUP(I686,plasmids!$A$2:$B$640,2)</f>
        <v>sc-CAG-GFP</v>
      </c>
      <c r="I686" s="3870">
        <v>120</v>
      </c>
      <c r="J686" s="3875"/>
      <c r="K686" s="3876"/>
      <c r="L686" s="4290"/>
      <c r="M686" s="3877">
        <v>42545</v>
      </c>
      <c r="N686" s="3878">
        <v>724</v>
      </c>
      <c r="O686" s="3873"/>
      <c r="P686" s="4291"/>
      <c r="Q686" s="4292">
        <v>15500000000</v>
      </c>
      <c r="R686" s="4293">
        <v>16600000000</v>
      </c>
      <c r="S686" s="3881">
        <f t="shared" si="0"/>
        <v>30626506024.096386</v>
      </c>
      <c r="T686" s="3870" t="s">
        <v>5840</v>
      </c>
      <c r="U686" s="3875"/>
      <c r="V686" s="3872">
        <f t="shared" ref="V686:V687" si="5">126-18</f>
        <v>108</v>
      </c>
      <c r="W686" s="3883"/>
      <c r="X686" s="3680"/>
      <c r="Y686" s="3680"/>
      <c r="Z686" s="3680"/>
      <c r="AA686" s="3680"/>
      <c r="AB686" s="3680"/>
      <c r="AC686" s="3680"/>
      <c r="AD686" s="3680"/>
      <c r="AE686" s="3680"/>
      <c r="AF686" s="3680"/>
      <c r="AG686" s="3680"/>
      <c r="AH686" s="3680"/>
      <c r="AI686" s="3680"/>
      <c r="AJ686" s="3680"/>
      <c r="AK686" s="3680"/>
      <c r="AL686" s="3680"/>
      <c r="AM686" s="3680"/>
      <c r="AN686" s="3680"/>
      <c r="AO686" s="3680"/>
      <c r="AP686" s="3680"/>
      <c r="AQ686" s="3680"/>
      <c r="AR686" s="3680"/>
      <c r="AS686" s="3680"/>
      <c r="AT686" s="3680"/>
      <c r="AU686" s="3680"/>
      <c r="AV686" s="3680"/>
      <c r="AW686" s="3680"/>
      <c r="AX686" s="3680"/>
      <c r="AY686" s="3680"/>
      <c r="AZ686" s="3680"/>
      <c r="BA686" s="3680"/>
      <c r="BB686" s="3680"/>
      <c r="BC686" s="3680"/>
      <c r="BD686" s="3680"/>
      <c r="BE686" s="3680"/>
      <c r="BF686" s="3680"/>
      <c r="BG686" s="3680"/>
      <c r="BH686" s="3680"/>
      <c r="BI686" s="3680"/>
    </row>
    <row r="687" spans="1:61" ht="24.75" customHeight="1">
      <c r="A687" s="3870" t="s">
        <v>1549</v>
      </c>
      <c r="B687" s="3870" t="s">
        <v>5767</v>
      </c>
      <c r="C687" s="3871" t="s">
        <v>1967</v>
      </c>
      <c r="D687" s="3870" t="s">
        <v>5794</v>
      </c>
      <c r="E687" s="3872" t="str">
        <f>VLOOKUP(F687,plasmids!$A$2:$B$891,2)</f>
        <v>pAV2-7mC</v>
      </c>
      <c r="F687" s="3873">
        <v>669</v>
      </c>
      <c r="G687" s="4289"/>
      <c r="H687" s="4289" t="str">
        <f>VLOOKUP(I687,plasmids!$A$2:$B$640,2)</f>
        <v>sc-CAG-GFP</v>
      </c>
      <c r="I687" s="3870">
        <v>120</v>
      </c>
      <c r="J687" s="3875"/>
      <c r="K687" s="3876"/>
      <c r="L687" s="4290"/>
      <c r="M687" s="3877">
        <v>42545</v>
      </c>
      <c r="N687" s="3878">
        <v>725</v>
      </c>
      <c r="O687" s="3873"/>
      <c r="P687" s="4291"/>
      <c r="Q687" s="4294">
        <v>605000000000</v>
      </c>
      <c r="R687" s="4293">
        <v>16600000000</v>
      </c>
      <c r="S687" s="4295">
        <f t="shared" si="0"/>
        <v>1195421686746.9878</v>
      </c>
      <c r="T687" s="3870" t="s">
        <v>5840</v>
      </c>
      <c r="U687" s="3875"/>
      <c r="V687" s="3872">
        <f t="shared" si="5"/>
        <v>108</v>
      </c>
      <c r="W687" s="3883"/>
      <c r="X687" s="3680"/>
      <c r="Y687" s="3680"/>
      <c r="Z687" s="3680"/>
      <c r="AA687" s="3680"/>
      <c r="AB687" s="3680"/>
      <c r="AC687" s="3680"/>
      <c r="AD687" s="3680"/>
      <c r="AE687" s="3680"/>
      <c r="AF687" s="3680"/>
      <c r="AG687" s="3680"/>
      <c r="AH687" s="3680"/>
      <c r="AI687" s="3680"/>
      <c r="AJ687" s="3680"/>
      <c r="AK687" s="3680"/>
      <c r="AL687" s="3680"/>
      <c r="AM687" s="3680"/>
      <c r="AN687" s="3680"/>
      <c r="AO687" s="3680"/>
      <c r="AP687" s="3680"/>
      <c r="AQ687" s="3680"/>
      <c r="AR687" s="3680"/>
      <c r="AS687" s="3680"/>
      <c r="AT687" s="3680"/>
      <c r="AU687" s="3680"/>
      <c r="AV687" s="3680"/>
      <c r="AW687" s="3680"/>
      <c r="AX687" s="3680"/>
      <c r="AY687" s="3680"/>
      <c r="AZ687" s="3680"/>
      <c r="BA687" s="3680"/>
      <c r="BB687" s="3680"/>
      <c r="BC687" s="3680"/>
      <c r="BD687" s="3680"/>
      <c r="BE687" s="3680"/>
      <c r="BF687" s="3680"/>
      <c r="BG687" s="3680"/>
      <c r="BH687" s="3680"/>
      <c r="BI687" s="3680"/>
    </row>
    <row r="688" spans="1:61" ht="24.75" customHeight="1">
      <c r="A688" s="3870" t="s">
        <v>1549</v>
      </c>
      <c r="B688" s="3870" t="s">
        <v>5767</v>
      </c>
      <c r="C688" s="3871" t="s">
        <v>1967</v>
      </c>
      <c r="D688" s="3870" t="s">
        <v>5794</v>
      </c>
      <c r="E688" s="3872" t="str">
        <f>VLOOKUP(F688,plasmids!$A$2:$B$891,2)</f>
        <v>pAV2-7mD</v>
      </c>
      <c r="F688" s="3873">
        <v>670</v>
      </c>
      <c r="G688" s="4289"/>
      <c r="H688" s="4289" t="str">
        <f>VLOOKUP(I688,plasmids!$A$2:$B$640,2)</f>
        <v>sc-CAG-GFP</v>
      </c>
      <c r="I688" s="3870">
        <v>120</v>
      </c>
      <c r="J688" s="3875"/>
      <c r="K688" s="3876"/>
      <c r="L688" s="4290"/>
      <c r="M688" s="3877" t="s">
        <v>5841</v>
      </c>
      <c r="N688" s="3878">
        <v>726</v>
      </c>
      <c r="O688" s="3873"/>
      <c r="P688" s="4291"/>
      <c r="Q688" s="4294">
        <v>405000000000</v>
      </c>
      <c r="R688" s="4293">
        <v>16600000000</v>
      </c>
      <c r="S688" s="3881">
        <f t="shared" si="0"/>
        <v>800240963855.42163</v>
      </c>
      <c r="T688" s="3870" t="s">
        <v>5840</v>
      </c>
      <c r="U688" s="3875"/>
      <c r="V688" s="3872">
        <f>100-18</f>
        <v>82</v>
      </c>
      <c r="W688" s="3883"/>
      <c r="X688" s="3680"/>
      <c r="Y688" s="3680"/>
      <c r="Z688" s="3680"/>
      <c r="AA688" s="3680"/>
      <c r="AB688" s="3680"/>
      <c r="AC688" s="3680"/>
      <c r="AD688" s="3680"/>
      <c r="AE688" s="3680"/>
      <c r="AF688" s="3680"/>
      <c r="AG688" s="3680"/>
      <c r="AH688" s="3680"/>
      <c r="AI688" s="3680"/>
      <c r="AJ688" s="3680"/>
      <c r="AK688" s="3680"/>
      <c r="AL688" s="3680"/>
      <c r="AM688" s="3680"/>
      <c r="AN688" s="3680"/>
      <c r="AO688" s="3680"/>
      <c r="AP688" s="3680"/>
      <c r="AQ688" s="3680"/>
      <c r="AR688" s="3680"/>
      <c r="AS688" s="3680"/>
      <c r="AT688" s="3680"/>
      <c r="AU688" s="3680"/>
      <c r="AV688" s="3680"/>
      <c r="AW688" s="3680"/>
      <c r="AX688" s="3680"/>
      <c r="AY688" s="3680"/>
      <c r="AZ688" s="3680"/>
      <c r="BA688" s="3680"/>
      <c r="BB688" s="3680"/>
      <c r="BC688" s="3680"/>
      <c r="BD688" s="3680"/>
      <c r="BE688" s="3680"/>
      <c r="BF688" s="3680"/>
      <c r="BG688" s="3680"/>
      <c r="BH688" s="3680"/>
      <c r="BI688" s="3680"/>
    </row>
    <row r="689" spans="1:61" ht="24.75" customHeight="1">
      <c r="A689" s="3870" t="s">
        <v>1549</v>
      </c>
      <c r="B689" s="3870" t="s">
        <v>5767</v>
      </c>
      <c r="C689" s="3871" t="s">
        <v>1967</v>
      </c>
      <c r="D689" s="3870" t="s">
        <v>5794</v>
      </c>
      <c r="E689" s="3872" t="str">
        <f>VLOOKUP(F689,plasmids!$A$2:$B$891,2)</f>
        <v>pAV2 Lib-Tr-III LGN</v>
      </c>
      <c r="F689" s="3873">
        <v>664</v>
      </c>
      <c r="G689" s="4289"/>
      <c r="H689" s="4296" t="str">
        <f>VLOOKUP(I689,plasmids!$A$2:$B$891,2)</f>
        <v>pAV2 Lib-Tr-III LGN</v>
      </c>
      <c r="I689" s="3873">
        <v>664</v>
      </c>
      <c r="J689" s="3875"/>
      <c r="K689" s="3876"/>
      <c r="L689" s="4290"/>
      <c r="M689" s="3877">
        <v>42545</v>
      </c>
      <c r="N689" s="3878">
        <v>727</v>
      </c>
      <c r="O689" s="3873"/>
      <c r="P689" s="3879" t="s">
        <v>5799</v>
      </c>
      <c r="Q689" s="4294">
        <v>248000000000000</v>
      </c>
      <c r="R689" s="4293">
        <v>16600000000</v>
      </c>
      <c r="S689" s="4295">
        <f t="shared" si="0"/>
        <v>490024096385542.12</v>
      </c>
      <c r="T689" s="3870" t="s">
        <v>5840</v>
      </c>
      <c r="U689" s="3875"/>
      <c r="V689" s="3872">
        <f t="shared" ref="V689:V690" si="6">200-46</f>
        <v>154</v>
      </c>
      <c r="W689" s="3883"/>
      <c r="X689" s="3680"/>
      <c r="Y689" s="3680"/>
      <c r="Z689" s="3680"/>
      <c r="AA689" s="3680"/>
      <c r="AB689" s="3680"/>
      <c r="AC689" s="3680"/>
      <c r="AD689" s="3680"/>
      <c r="AE689" s="3680"/>
      <c r="AF689" s="3680"/>
      <c r="AG689" s="3680"/>
      <c r="AH689" s="3680"/>
      <c r="AI689" s="3680"/>
      <c r="AJ689" s="3680"/>
      <c r="AK689" s="3680"/>
      <c r="AL689" s="3680"/>
      <c r="AM689" s="3680"/>
      <c r="AN689" s="3680"/>
      <c r="AO689" s="3680"/>
      <c r="AP689" s="3680"/>
      <c r="AQ689" s="3680"/>
      <c r="AR689" s="3680"/>
      <c r="AS689" s="3680"/>
      <c r="AT689" s="3680"/>
      <c r="AU689" s="3680"/>
      <c r="AV689" s="3680"/>
      <c r="AW689" s="3680"/>
      <c r="AX689" s="3680"/>
      <c r="AY689" s="3680"/>
      <c r="AZ689" s="3680"/>
      <c r="BA689" s="3680"/>
      <c r="BB689" s="3680"/>
      <c r="BC689" s="3680"/>
      <c r="BD689" s="3680"/>
      <c r="BE689" s="3680"/>
      <c r="BF689" s="3680"/>
      <c r="BG689" s="3680"/>
      <c r="BH689" s="3680"/>
      <c r="BI689" s="3680"/>
    </row>
    <row r="690" spans="1:61" ht="24.75" customHeight="1">
      <c r="A690" s="4297" t="s">
        <v>1549</v>
      </c>
      <c r="B690" s="4297" t="s">
        <v>5767</v>
      </c>
      <c r="C690" s="4298" t="s">
        <v>1967</v>
      </c>
      <c r="D690" s="4297" t="s">
        <v>5794</v>
      </c>
      <c r="E690" s="4299" t="str">
        <f>VLOOKUP(F690,plasmids!$A$2:$B$891,2)</f>
        <v>pAV2 Lib-Tr-III Cx</v>
      </c>
      <c r="F690" s="4300">
        <v>665</v>
      </c>
      <c r="G690" s="4301"/>
      <c r="H690" s="4296" t="str">
        <f>VLOOKUP(I690,plasmids!$A$2:$B$891,2)</f>
        <v>pAV2 Lib-Tr-III Cx</v>
      </c>
      <c r="I690" s="4300">
        <v>665</v>
      </c>
      <c r="J690" s="4302"/>
      <c r="K690" s="4303"/>
      <c r="L690" s="4304"/>
      <c r="M690" s="4305">
        <v>42545</v>
      </c>
      <c r="N690" s="4306">
        <v>728</v>
      </c>
      <c r="O690" s="4300"/>
      <c r="P690" s="4307" t="s">
        <v>5799</v>
      </c>
      <c r="Q690" s="4308">
        <v>397000000000000</v>
      </c>
      <c r="R690" s="4309">
        <v>16600000000</v>
      </c>
      <c r="S690" s="4310">
        <f t="shared" si="0"/>
        <v>784433734939759</v>
      </c>
      <c r="T690" s="4297"/>
      <c r="U690" s="4302"/>
      <c r="V690" s="4299">
        <f t="shared" si="6"/>
        <v>154</v>
      </c>
      <c r="W690" s="4311"/>
      <c r="X690" s="4312"/>
      <c r="Y690" s="4312"/>
      <c r="Z690" s="4312"/>
      <c r="AA690" s="4312"/>
      <c r="AB690" s="4312"/>
      <c r="AC690" s="4312"/>
      <c r="AD690" s="4312"/>
      <c r="AE690" s="4312"/>
      <c r="AF690" s="4312"/>
      <c r="AG690" s="4312"/>
      <c r="AH690" s="4312"/>
      <c r="AI690" s="4312"/>
      <c r="AJ690" s="4312"/>
      <c r="AK690" s="4312"/>
      <c r="AL690" s="4312"/>
      <c r="AM690" s="4312"/>
      <c r="AN690" s="4312"/>
      <c r="AO690" s="4312"/>
      <c r="AP690" s="4312"/>
      <c r="AQ690" s="4312"/>
      <c r="AR690" s="4312"/>
      <c r="AS690" s="4312"/>
      <c r="AT690" s="4312"/>
      <c r="AU690" s="4312"/>
      <c r="AV690" s="4312"/>
      <c r="AW690" s="4312"/>
      <c r="AX690" s="4312"/>
      <c r="AY690" s="4312"/>
      <c r="AZ690" s="4312"/>
      <c r="BA690" s="4312"/>
      <c r="BB690" s="4312"/>
      <c r="BC690" s="4312"/>
      <c r="BD690" s="4312"/>
      <c r="BE690" s="4312"/>
      <c r="BF690" s="4312"/>
      <c r="BG690" s="4312"/>
      <c r="BH690" s="3680"/>
      <c r="BI690" s="3680"/>
    </row>
    <row r="691" spans="1:61" ht="25.5" customHeight="1">
      <c r="A691" s="4313" t="s">
        <v>5814</v>
      </c>
      <c r="B691" s="4313" t="s">
        <v>5818</v>
      </c>
      <c r="C691" s="4314" t="s">
        <v>5842</v>
      </c>
      <c r="D691" s="4313" t="s">
        <v>3782</v>
      </c>
      <c r="E691" s="4315" t="str">
        <f>VLOOKUP(F691,plasmids!$A$2:$B$891,2)</f>
        <v>AAV2-7m8</v>
      </c>
      <c r="F691" s="4316">
        <v>178</v>
      </c>
      <c r="G691" s="4317"/>
      <c r="H691" s="4243" t="str">
        <f>VLOOKUP(I691,plasmids!$A$2:$B$740,2)</f>
        <v>pssAAV-U6-sh1082-MfUSH1C-CMV-STOP-GFP</v>
      </c>
      <c r="I691" s="4313">
        <v>674</v>
      </c>
      <c r="J691" s="4318"/>
      <c r="K691" s="4319"/>
      <c r="L691" s="4319"/>
      <c r="M691" s="4320">
        <v>42552</v>
      </c>
      <c r="N691" s="4321">
        <v>729</v>
      </c>
      <c r="O691" s="4316"/>
      <c r="P691" s="4322"/>
      <c r="Q691" s="4323">
        <v>309000000000</v>
      </c>
      <c r="R691" s="4324">
        <v>6210000000</v>
      </c>
      <c r="S691" s="4325">
        <f t="shared" si="0"/>
        <v>1632077294685.9905</v>
      </c>
      <c r="T691" s="4318"/>
      <c r="U691" s="4318"/>
      <c r="V691" s="4316">
        <f>112</f>
        <v>112</v>
      </c>
      <c r="W691" s="4255"/>
      <c r="X691" s="4255"/>
      <c r="Y691" s="4326">
        <v>42524</v>
      </c>
      <c r="Z691" s="4255"/>
      <c r="AA691" s="4255"/>
      <c r="AB691" s="4255"/>
      <c r="AC691" s="4255"/>
      <c r="AD691" s="4255"/>
      <c r="AE691" s="4255"/>
      <c r="AF691" s="4255"/>
      <c r="AG691" s="4255"/>
      <c r="AH691" s="4255"/>
      <c r="AI691" s="4255"/>
      <c r="AJ691" s="4255"/>
      <c r="AK691" s="4255"/>
      <c r="AL691" s="4255"/>
      <c r="AM691" s="4255"/>
      <c r="AN691" s="4255"/>
      <c r="AO691" s="4255"/>
      <c r="AP691" s="4255"/>
      <c r="AQ691" s="4255"/>
      <c r="AR691" s="4255"/>
      <c r="AS691" s="4255"/>
      <c r="AT691" s="4255"/>
      <c r="AU691" s="4255"/>
      <c r="AV691" s="4255"/>
      <c r="AW691" s="4255"/>
      <c r="AX691" s="4255"/>
      <c r="AY691" s="4255"/>
      <c r="AZ691" s="4255"/>
      <c r="BA691" s="4255"/>
      <c r="BB691" s="4255"/>
      <c r="BC691" s="4255"/>
      <c r="BD691" s="4255"/>
      <c r="BE691" s="4255"/>
      <c r="BF691" s="4255"/>
      <c r="BG691" s="4255"/>
      <c r="BH691" s="4255"/>
      <c r="BI691" s="4255"/>
    </row>
    <row r="692" spans="1:61" ht="25.5" customHeight="1">
      <c r="A692" s="4313" t="s">
        <v>5814</v>
      </c>
      <c r="B692" s="4313" t="s">
        <v>5818</v>
      </c>
      <c r="C692" s="4314" t="s">
        <v>5842</v>
      </c>
      <c r="D692" s="4313" t="s">
        <v>3782</v>
      </c>
      <c r="E692" s="4315" t="str">
        <f>VLOOKUP(F692,plasmids!$A$2:$B$891,2)</f>
        <v>AAV2-7m8</v>
      </c>
      <c r="F692" s="4316">
        <v>178</v>
      </c>
      <c r="G692" s="4317"/>
      <c r="H692" s="4327" t="str">
        <f>VLOOKUP(I692,plasmids!$A$2:$B$740,2)</f>
        <v>pssAAV-U6-shLife10-MfHsUSH1C-CMV-STOP-GFP</v>
      </c>
      <c r="I692" s="4313">
        <v>675</v>
      </c>
      <c r="J692" s="4318"/>
      <c r="K692" s="4319"/>
      <c r="L692" s="4319"/>
      <c r="M692" s="4320">
        <v>42552</v>
      </c>
      <c r="N692" s="4321">
        <v>730</v>
      </c>
      <c r="O692" s="4316"/>
      <c r="P692" s="4322"/>
      <c r="Q692" s="4323">
        <v>372000000000</v>
      </c>
      <c r="R692" s="4324">
        <v>6210000000</v>
      </c>
      <c r="S692" s="4325">
        <f t="shared" si="0"/>
        <v>1964830917874.3962</v>
      </c>
      <c r="T692" s="4328" t="s">
        <v>5840</v>
      </c>
      <c r="U692" s="4318"/>
      <c r="V692" s="4316">
        <f>148</f>
        <v>148</v>
      </c>
      <c r="W692" s="4255"/>
      <c r="X692" s="4255"/>
      <c r="Y692" s="4326">
        <v>42524</v>
      </c>
      <c r="Z692" s="4255"/>
      <c r="AA692" s="4255"/>
      <c r="AB692" s="4255"/>
      <c r="AC692" s="4255"/>
      <c r="AD692" s="4255"/>
      <c r="AE692" s="4255"/>
      <c r="AF692" s="4255"/>
      <c r="AG692" s="4255"/>
      <c r="AH692" s="4255"/>
      <c r="AI692" s="4255"/>
      <c r="AJ692" s="4255"/>
      <c r="AK692" s="4255"/>
      <c r="AL692" s="4255"/>
      <c r="AM692" s="4255"/>
      <c r="AN692" s="4255"/>
      <c r="AO692" s="4255"/>
      <c r="AP692" s="4255"/>
      <c r="AQ692" s="4255"/>
      <c r="AR692" s="4255"/>
      <c r="AS692" s="4255"/>
      <c r="AT692" s="4255"/>
      <c r="AU692" s="4255"/>
      <c r="AV692" s="4255"/>
      <c r="AW692" s="4255"/>
      <c r="AX692" s="4255"/>
      <c r="AY692" s="4255"/>
      <c r="AZ692" s="4255"/>
      <c r="BA692" s="4255"/>
      <c r="BB692" s="4255"/>
      <c r="BC692" s="4255"/>
      <c r="BD692" s="4255"/>
      <c r="BE692" s="4255"/>
      <c r="BF692" s="4255"/>
      <c r="BG692" s="4255"/>
      <c r="BH692" s="4255"/>
      <c r="BI692" s="4255"/>
    </row>
    <row r="693" spans="1:61" ht="24.75" customHeight="1">
      <c r="A693" s="4273" t="s">
        <v>1549</v>
      </c>
      <c r="B693" s="4273" t="s">
        <v>5767</v>
      </c>
      <c r="C693" s="4274" t="s">
        <v>1967</v>
      </c>
      <c r="D693" s="4273" t="s">
        <v>5794</v>
      </c>
      <c r="E693" s="4275" t="str">
        <f>VLOOKUP(F693,plasmids!$A$2:$B$891,2)</f>
        <v>pAV2-7mAbis</v>
      </c>
      <c r="F693" s="4276">
        <v>667</v>
      </c>
      <c r="G693" s="4277"/>
      <c r="H693" s="4289" t="str">
        <f>VLOOKUP(I693,plasmids!$A$2:$B$640,2)</f>
        <v>AAV-flox-EF1a-hCatCh-YFP</v>
      </c>
      <c r="I693" s="4273">
        <v>276</v>
      </c>
      <c r="J693" s="4278"/>
      <c r="K693" s="4279"/>
      <c r="L693" s="4280"/>
      <c r="M693" s="4281">
        <v>42552</v>
      </c>
      <c r="N693" s="4282">
        <v>731</v>
      </c>
      <c r="O693" s="4276"/>
      <c r="P693" s="4283"/>
      <c r="Q693" s="4329">
        <v>7010000000</v>
      </c>
      <c r="R693" s="4330">
        <v>6210000000</v>
      </c>
      <c r="S693" s="4331">
        <f t="shared" si="0"/>
        <v>37025442834.138489</v>
      </c>
      <c r="T693" s="4273" t="s">
        <v>5840</v>
      </c>
      <c r="U693" s="4278"/>
      <c r="V693" s="4275">
        <f>157-18</f>
        <v>139</v>
      </c>
      <c r="W693" s="4287"/>
      <c r="X693" s="4288"/>
      <c r="Y693" s="4288"/>
      <c r="Z693" s="4288"/>
      <c r="AA693" s="4288"/>
      <c r="AB693" s="4288"/>
      <c r="AC693" s="4288"/>
      <c r="AD693" s="4288"/>
      <c r="AE693" s="4288"/>
      <c r="AF693" s="4288"/>
      <c r="AG693" s="4288"/>
      <c r="AH693" s="4288"/>
      <c r="AI693" s="4288"/>
      <c r="AJ693" s="4288"/>
      <c r="AK693" s="4288"/>
      <c r="AL693" s="4288"/>
      <c r="AM693" s="4288"/>
      <c r="AN693" s="4288"/>
      <c r="AO693" s="4288"/>
      <c r="AP693" s="4288"/>
      <c r="AQ693" s="4288"/>
      <c r="AR693" s="4288"/>
      <c r="AS693" s="4288"/>
      <c r="AT693" s="4288"/>
      <c r="AU693" s="4288"/>
      <c r="AV693" s="4288"/>
      <c r="AW693" s="4288"/>
      <c r="AX693" s="4288"/>
      <c r="AY693" s="4288"/>
      <c r="AZ693" s="4288"/>
      <c r="BA693" s="4288"/>
      <c r="BB693" s="4288"/>
      <c r="BC693" s="4288"/>
      <c r="BD693" s="4288"/>
      <c r="BE693" s="4288"/>
      <c r="BF693" s="4288"/>
      <c r="BG693" s="4288"/>
      <c r="BH693" s="3680"/>
      <c r="BI693" s="3680"/>
    </row>
    <row r="694" spans="1:61" ht="24.75" customHeight="1">
      <c r="A694" s="3870" t="s">
        <v>1549</v>
      </c>
      <c r="B694" s="3870" t="s">
        <v>5767</v>
      </c>
      <c r="C694" s="3871" t="s">
        <v>1967</v>
      </c>
      <c r="D694" s="3870" t="s">
        <v>5794</v>
      </c>
      <c r="E694" s="3872" t="str">
        <f>VLOOKUP(F694,plasmids!$A$2:$B$891,2)</f>
        <v>pAV2-7mBbis</v>
      </c>
      <c r="F694" s="3873">
        <v>668</v>
      </c>
      <c r="G694" s="4289"/>
      <c r="H694" s="4289" t="str">
        <f>VLOOKUP(I694,plasmids!$A$2:$B$640,2)</f>
        <v>AAV-flox-EF1a-hCatCh-YFP</v>
      </c>
      <c r="I694" s="3870">
        <v>276</v>
      </c>
      <c r="J694" s="3875"/>
      <c r="K694" s="3876"/>
      <c r="L694" s="4290"/>
      <c r="M694" s="3877">
        <v>42552</v>
      </c>
      <c r="N694" s="3878">
        <v>732</v>
      </c>
      <c r="O694" s="3873"/>
      <c r="P694" s="4291"/>
      <c r="Q694" s="4332">
        <v>6420000000000</v>
      </c>
      <c r="R694" s="4333">
        <v>6210000000</v>
      </c>
      <c r="S694" s="4334">
        <f t="shared" si="0"/>
        <v>33909178743961.355</v>
      </c>
      <c r="T694" s="3870" t="s">
        <v>5840</v>
      </c>
      <c r="U694" s="3875"/>
      <c r="V694" s="3872">
        <f>190-18</f>
        <v>172</v>
      </c>
      <c r="W694" s="3883"/>
      <c r="X694" s="3680"/>
      <c r="Y694" s="3680"/>
      <c r="Z694" s="3680"/>
      <c r="AA694" s="3680"/>
      <c r="AB694" s="3680"/>
      <c r="AC694" s="3680"/>
      <c r="AD694" s="3680"/>
      <c r="AE694" s="3680"/>
      <c r="AF694" s="3680"/>
      <c r="AG694" s="3680"/>
      <c r="AH694" s="3680"/>
      <c r="AI694" s="3680"/>
      <c r="AJ694" s="3680"/>
      <c r="AK694" s="3680"/>
      <c r="AL694" s="3680"/>
      <c r="AM694" s="3680"/>
      <c r="AN694" s="3680"/>
      <c r="AO694" s="3680"/>
      <c r="AP694" s="3680"/>
      <c r="AQ694" s="3680"/>
      <c r="AR694" s="3680"/>
      <c r="AS694" s="3680"/>
      <c r="AT694" s="3680"/>
      <c r="AU694" s="3680"/>
      <c r="AV694" s="3680"/>
      <c r="AW694" s="3680"/>
      <c r="AX694" s="3680"/>
      <c r="AY694" s="3680"/>
      <c r="AZ694" s="3680"/>
      <c r="BA694" s="3680"/>
      <c r="BB694" s="3680"/>
      <c r="BC694" s="3680"/>
      <c r="BD694" s="3680"/>
      <c r="BE694" s="3680"/>
      <c r="BF694" s="3680"/>
      <c r="BG694" s="3680"/>
      <c r="BH694" s="3680"/>
      <c r="BI694" s="3680"/>
    </row>
    <row r="695" spans="1:61" ht="24.75" customHeight="1">
      <c r="A695" s="3870" t="s">
        <v>1549</v>
      </c>
      <c r="B695" s="3870" t="s">
        <v>5767</v>
      </c>
      <c r="C695" s="3871" t="s">
        <v>1967</v>
      </c>
      <c r="D695" s="3870" t="s">
        <v>5794</v>
      </c>
      <c r="E695" s="3872" t="str">
        <f>VLOOKUP(F695,plasmids!$A$2:$B$891,2)</f>
        <v>pAV2-7mC</v>
      </c>
      <c r="F695" s="3873">
        <v>669</v>
      </c>
      <c r="G695" s="4289"/>
      <c r="H695" s="4289" t="str">
        <f>VLOOKUP(I695,plasmids!$A$2:$B$640,2)</f>
        <v>AAV-flox-EF1a-hCatCh-YFP</v>
      </c>
      <c r="I695" s="3870">
        <v>276</v>
      </c>
      <c r="J695" s="3875"/>
      <c r="K695" s="3876"/>
      <c r="L695" s="4290"/>
      <c r="M695" s="3877">
        <v>42552</v>
      </c>
      <c r="N695" s="3878">
        <v>733</v>
      </c>
      <c r="O695" s="3873"/>
      <c r="P695" s="4291"/>
      <c r="Q695" s="4332">
        <v>49500000000000</v>
      </c>
      <c r="R695" s="4333">
        <v>6210000000</v>
      </c>
      <c r="S695" s="4334">
        <f t="shared" si="0"/>
        <v>261449275362318.84</v>
      </c>
      <c r="T695" s="3870" t="s">
        <v>5840</v>
      </c>
      <c r="U695" s="3875"/>
      <c r="V695" s="3872">
        <f>130-18</f>
        <v>112</v>
      </c>
      <c r="W695" s="3883"/>
      <c r="X695" s="3680"/>
      <c r="Y695" s="3680"/>
      <c r="Z695" s="3680"/>
      <c r="AA695" s="3680"/>
      <c r="AB695" s="3680"/>
      <c r="AC695" s="3680"/>
      <c r="AD695" s="3680"/>
      <c r="AE695" s="3680"/>
      <c r="AF695" s="3680"/>
      <c r="AG695" s="3680"/>
      <c r="AH695" s="3680"/>
      <c r="AI695" s="3680"/>
      <c r="AJ695" s="3680"/>
      <c r="AK695" s="3680"/>
      <c r="AL695" s="3680"/>
      <c r="AM695" s="3680"/>
      <c r="AN695" s="3680"/>
      <c r="AO695" s="3680"/>
      <c r="AP695" s="3680"/>
      <c r="AQ695" s="3680"/>
      <c r="AR695" s="3680"/>
      <c r="AS695" s="3680"/>
      <c r="AT695" s="3680"/>
      <c r="AU695" s="3680"/>
      <c r="AV695" s="3680"/>
      <c r="AW695" s="3680"/>
      <c r="AX695" s="3680"/>
      <c r="AY695" s="3680"/>
      <c r="AZ695" s="3680"/>
      <c r="BA695" s="3680"/>
      <c r="BB695" s="3680"/>
      <c r="BC695" s="3680"/>
      <c r="BD695" s="3680"/>
      <c r="BE695" s="3680"/>
      <c r="BF695" s="3680"/>
      <c r="BG695" s="3680"/>
      <c r="BH695" s="3680"/>
      <c r="BI695" s="3680"/>
    </row>
    <row r="696" spans="1:61" ht="24.75" customHeight="1">
      <c r="A696" s="3870" t="s">
        <v>1549</v>
      </c>
      <c r="B696" s="3870" t="s">
        <v>5767</v>
      </c>
      <c r="C696" s="3871" t="s">
        <v>1967</v>
      </c>
      <c r="D696" s="3870" t="s">
        <v>5794</v>
      </c>
      <c r="E696" s="3872" t="str">
        <f>VLOOKUP(F696,plasmids!$A$2:$B$891,2)</f>
        <v>pAV2-7mD</v>
      </c>
      <c r="F696" s="3873">
        <v>670</v>
      </c>
      <c r="G696" s="4289"/>
      <c r="H696" s="4289" t="str">
        <f>VLOOKUP(I696,plasmids!$A$2:$B$640,2)</f>
        <v>AAV-flox-EF1a-hCatCh-YFP</v>
      </c>
      <c r="I696" s="3870">
        <v>276</v>
      </c>
      <c r="J696" s="3875"/>
      <c r="K696" s="3876"/>
      <c r="L696" s="4290"/>
      <c r="M696" s="3877">
        <v>42552</v>
      </c>
      <c r="N696" s="3878">
        <v>734</v>
      </c>
      <c r="O696" s="3873"/>
      <c r="P696" s="4291"/>
      <c r="Q696" s="4332">
        <v>59900000000000</v>
      </c>
      <c r="R696" s="4333">
        <v>6210000000</v>
      </c>
      <c r="S696" s="4334">
        <f t="shared" si="0"/>
        <v>316380032206119.19</v>
      </c>
      <c r="T696" s="3870" t="s">
        <v>5840</v>
      </c>
      <c r="U696" s="3875"/>
      <c r="V696" s="3872">
        <f>106-18</f>
        <v>88</v>
      </c>
      <c r="W696" s="3883"/>
      <c r="X696" s="3680"/>
      <c r="Y696" s="3680"/>
      <c r="Z696" s="3680"/>
      <c r="AA696" s="3680"/>
      <c r="AB696" s="3680"/>
      <c r="AC696" s="3680"/>
      <c r="AD696" s="3680"/>
      <c r="AE696" s="3680"/>
      <c r="AF696" s="3680"/>
      <c r="AG696" s="3680"/>
      <c r="AH696" s="3680"/>
      <c r="AI696" s="3680"/>
      <c r="AJ696" s="3680"/>
      <c r="AK696" s="3680"/>
      <c r="AL696" s="3680"/>
      <c r="AM696" s="3680"/>
      <c r="AN696" s="3680"/>
      <c r="AO696" s="3680"/>
      <c r="AP696" s="3680"/>
      <c r="AQ696" s="3680"/>
      <c r="AR696" s="3680"/>
      <c r="AS696" s="3680"/>
      <c r="AT696" s="3680"/>
      <c r="AU696" s="3680"/>
      <c r="AV696" s="3680"/>
      <c r="AW696" s="3680"/>
      <c r="AX696" s="3680"/>
      <c r="AY696" s="3680"/>
      <c r="AZ696" s="3680"/>
      <c r="BA696" s="3680"/>
      <c r="BB696" s="3680"/>
      <c r="BC696" s="3680"/>
      <c r="BD696" s="3680"/>
      <c r="BE696" s="3680"/>
      <c r="BF696" s="3680"/>
      <c r="BG696" s="3680"/>
      <c r="BH696" s="3680"/>
      <c r="BI696" s="3680"/>
    </row>
    <row r="697" spans="1:61" ht="24" customHeight="1">
      <c r="A697" s="2910" t="s">
        <v>2091</v>
      </c>
      <c r="B697" s="2910" t="s">
        <v>5807</v>
      </c>
      <c r="C697" s="1001" t="s">
        <v>4457</v>
      </c>
      <c r="D697" s="2910" t="s">
        <v>4460</v>
      </c>
      <c r="E697" s="1008" t="str">
        <f>VLOOKUP(F697,plasmids!$A$2:$B$891,2)</f>
        <v>AAV2-7m8</v>
      </c>
      <c r="F697" s="1008">
        <v>178</v>
      </c>
      <c r="G697" s="1828"/>
      <c r="H697" s="1828" t="str">
        <f>VLOOKUP(I697,plasmids!$A$2:$B$640,2)</f>
        <v>pAAV-SV40-GRM6-MBD</v>
      </c>
      <c r="I697" s="2910">
        <v>635</v>
      </c>
      <c r="J697" s="471"/>
      <c r="K697" s="470" t="s">
        <v>4428</v>
      </c>
      <c r="L697" s="1003"/>
      <c r="M697" s="1005">
        <v>42552</v>
      </c>
      <c r="N697" s="1006">
        <v>735</v>
      </c>
      <c r="O697" s="1008"/>
      <c r="P697" s="466"/>
      <c r="Q697" s="1604">
        <v>36500000000000</v>
      </c>
      <c r="R697" s="462">
        <v>16600000000</v>
      </c>
      <c r="S697" s="4335">
        <f t="shared" si="0"/>
        <v>72120481927710.844</v>
      </c>
      <c r="T697" s="1830"/>
      <c r="U697" s="1830"/>
      <c r="V697" s="4336">
        <f>149</f>
        <v>149</v>
      </c>
      <c r="W697" s="1008"/>
      <c r="X697" s="471"/>
      <c r="Y697" s="471"/>
      <c r="Z697" s="471"/>
      <c r="AA697" s="471"/>
      <c r="AB697" s="471"/>
      <c r="AC697" s="471"/>
      <c r="AD697" s="471"/>
      <c r="AE697" s="471"/>
      <c r="AF697" s="471"/>
      <c r="AG697" s="471"/>
      <c r="AH697" s="471"/>
      <c r="AI697" s="471"/>
      <c r="AJ697" s="471"/>
      <c r="AK697" s="471"/>
      <c r="AL697" s="471"/>
      <c r="AM697" s="471"/>
      <c r="AN697" s="471"/>
      <c r="AO697" s="471"/>
      <c r="AP697" s="471"/>
      <c r="AQ697" s="471"/>
      <c r="AR697" s="471"/>
      <c r="AS697" s="471"/>
      <c r="AT697" s="471"/>
      <c r="AU697" s="471"/>
      <c r="AV697" s="471"/>
      <c r="AW697" s="471"/>
      <c r="AX697" s="471"/>
      <c r="AY697" s="1790"/>
      <c r="AZ697" s="1790"/>
      <c r="BA697" s="1790"/>
      <c r="BB697" s="1790"/>
      <c r="BC697" s="1790"/>
      <c r="BD697" s="1790"/>
      <c r="BE697" s="1790"/>
      <c r="BF697" s="1790"/>
      <c r="BG697" s="1790"/>
      <c r="BH697" s="1790"/>
      <c r="BI697" s="1790"/>
    </row>
    <row r="698" spans="1:61" ht="24">
      <c r="A698" s="3404" t="s">
        <v>707</v>
      </c>
      <c r="B698" s="3404" t="s">
        <v>5704</v>
      </c>
      <c r="C698" s="3790" t="s">
        <v>1967</v>
      </c>
      <c r="D698" s="3404" t="s">
        <v>5655</v>
      </c>
      <c r="E698" s="3406" t="str">
        <f>VLOOKUP(F698,plasmids!$A$2:$B$891,2)</f>
        <v>AAV2-7m8</v>
      </c>
      <c r="F698" s="3407">
        <v>178</v>
      </c>
      <c r="G698" s="3499"/>
      <c r="H698" s="3408" t="str">
        <f>VLOOKUP(I698,plasmids!$A$2:$B$640,2)</f>
        <v>pssAAV-pR1.7-Jaws-GFP</v>
      </c>
      <c r="I698" s="3419">
        <v>596</v>
      </c>
      <c r="J698" s="3409"/>
      <c r="K698" s="3410"/>
      <c r="L698" s="3411"/>
      <c r="M698" s="3412">
        <v>42559</v>
      </c>
      <c r="N698" s="3413">
        <v>736</v>
      </c>
      <c r="O698" s="3407"/>
      <c r="P698" s="3414"/>
      <c r="Q698" s="3498">
        <v>12100000000000</v>
      </c>
      <c r="R698" s="3835">
        <v>16600000000</v>
      </c>
      <c r="S698" s="3768">
        <f t="shared" si="0"/>
        <v>23908433734939.758</v>
      </c>
      <c r="T698" s="3418"/>
      <c r="U698" s="3409"/>
      <c r="V698" s="3419">
        <f>133-76-4</f>
        <v>53</v>
      </c>
      <c r="W698" s="3421"/>
      <c r="X698" s="3421"/>
      <c r="Y698" s="3421"/>
      <c r="Z698" s="3421"/>
      <c r="AA698" s="3421"/>
      <c r="AB698" s="3421"/>
      <c r="AC698" s="3421"/>
      <c r="AD698" s="3421"/>
      <c r="AE698" s="3421"/>
      <c r="AF698" s="3421"/>
      <c r="AG698" s="3421"/>
      <c r="AH698" s="3421"/>
      <c r="AI698" s="3421"/>
      <c r="AJ698" s="3421"/>
      <c r="AK698" s="3421"/>
      <c r="AL698" s="3421"/>
      <c r="AM698" s="3421"/>
      <c r="AN698" s="3421"/>
      <c r="AO698" s="3421"/>
      <c r="AP698" s="3421"/>
      <c r="AQ698" s="3421"/>
      <c r="AR698" s="3421"/>
      <c r="AS698" s="3421"/>
      <c r="AT698" s="3421"/>
      <c r="AU698" s="3421"/>
      <c r="AV698" s="3421"/>
      <c r="AW698" s="3421"/>
      <c r="AX698" s="3421"/>
      <c r="AY698" s="3421"/>
      <c r="AZ698" s="3421"/>
      <c r="BA698" s="3421"/>
      <c r="BB698" s="3421"/>
      <c r="BC698" s="3421"/>
      <c r="BD698" s="3421"/>
      <c r="BE698" s="3421"/>
      <c r="BF698" s="3421"/>
      <c r="BG698" s="3421"/>
      <c r="BH698" s="3421"/>
      <c r="BI698" s="3421"/>
    </row>
    <row r="699" spans="1:61" ht="24">
      <c r="A699" s="3404" t="s">
        <v>707</v>
      </c>
      <c r="B699" s="3404" t="s">
        <v>5704</v>
      </c>
      <c r="C699" s="3790" t="s">
        <v>1967</v>
      </c>
      <c r="D699" s="3404" t="s">
        <v>5655</v>
      </c>
      <c r="E699" s="3406" t="str">
        <f>VLOOKUP(F699,plasmids!$A$2:$B$891,2)</f>
        <v>AAV2-7m8</v>
      </c>
      <c r="F699" s="3407">
        <v>178</v>
      </c>
      <c r="G699" s="3499"/>
      <c r="H699" s="3408" t="str">
        <f>VLOOKUP(I699,plasmids!$A$2:$B$640,2)</f>
        <v>pssAAV-pR1.7-Jaws-GFP</v>
      </c>
      <c r="I699" s="3419">
        <v>596</v>
      </c>
      <c r="J699" s="3409"/>
      <c r="K699" s="3410"/>
      <c r="L699" s="3411"/>
      <c r="M699" s="3412">
        <v>42559</v>
      </c>
      <c r="N699" s="3413">
        <v>737</v>
      </c>
      <c r="O699" s="3407"/>
      <c r="P699" s="3414"/>
      <c r="Q699" s="3498">
        <v>4030000000000</v>
      </c>
      <c r="R699" s="3835">
        <v>16600000000</v>
      </c>
      <c r="S699" s="3768">
        <f t="shared" si="0"/>
        <v>7962891566265.0596</v>
      </c>
      <c r="T699" s="3418"/>
      <c r="U699" s="3409"/>
      <c r="V699" s="3419">
        <f>124-100</f>
        <v>24</v>
      </c>
      <c r="W699" s="3421"/>
      <c r="X699" s="3421"/>
      <c r="Y699" s="3421"/>
      <c r="Z699" s="3421"/>
      <c r="AA699" s="3421"/>
      <c r="AB699" s="3421"/>
      <c r="AC699" s="3421"/>
      <c r="AD699" s="3421"/>
      <c r="AE699" s="3421"/>
      <c r="AF699" s="3421"/>
      <c r="AG699" s="3421"/>
      <c r="AH699" s="3421"/>
      <c r="AI699" s="3421"/>
      <c r="AJ699" s="3421"/>
      <c r="AK699" s="3421"/>
      <c r="AL699" s="3421"/>
      <c r="AM699" s="3421"/>
      <c r="AN699" s="3421"/>
      <c r="AO699" s="3421"/>
      <c r="AP699" s="3421"/>
      <c r="AQ699" s="3421"/>
      <c r="AR699" s="3421"/>
      <c r="AS699" s="3421"/>
      <c r="AT699" s="3421"/>
      <c r="AU699" s="3421"/>
      <c r="AV699" s="3421"/>
      <c r="AW699" s="3421"/>
      <c r="AX699" s="3421"/>
      <c r="AY699" s="3421"/>
      <c r="AZ699" s="3421"/>
      <c r="BA699" s="3421"/>
      <c r="BB699" s="3421"/>
      <c r="BC699" s="3421"/>
      <c r="BD699" s="3421"/>
      <c r="BE699" s="3421"/>
      <c r="BF699" s="3421"/>
      <c r="BG699" s="3421"/>
      <c r="BH699" s="3421"/>
      <c r="BI699" s="3421"/>
    </row>
    <row r="700" spans="1:61" ht="24.75" customHeight="1">
      <c r="A700" s="3526" t="s">
        <v>1343</v>
      </c>
      <c r="B700" s="3526" t="s">
        <v>5707</v>
      </c>
      <c r="C700" s="3527" t="s">
        <v>5708</v>
      </c>
      <c r="D700" s="3526" t="s">
        <v>3782</v>
      </c>
      <c r="E700" s="3528" t="str">
        <f>VLOOKUP(F700,plasmids!$A$2:$B$891,2)</f>
        <v>AAV2-7m8</v>
      </c>
      <c r="F700" s="3529">
        <v>178</v>
      </c>
      <c r="G700" s="3530"/>
      <c r="H700" s="4142" t="s">
        <v>1351</v>
      </c>
      <c r="I700" s="3526">
        <v>676</v>
      </c>
      <c r="J700" s="3531"/>
      <c r="K700" s="3532"/>
      <c r="L700" s="3752"/>
      <c r="M700" s="3534">
        <v>42559</v>
      </c>
      <c r="N700" s="3535">
        <v>738</v>
      </c>
      <c r="O700" s="3529"/>
      <c r="P700" s="3536"/>
      <c r="Q700" s="4144">
        <v>5280000000000</v>
      </c>
      <c r="R700" s="4145">
        <v>6210000000</v>
      </c>
      <c r="S700" s="4337">
        <f t="shared" si="0"/>
        <v>27887922705314.012</v>
      </c>
      <c r="T700" s="3526"/>
      <c r="U700" s="3531"/>
      <c r="V700" s="4146">
        <f>165</f>
        <v>165</v>
      </c>
      <c r="W700" s="4077" t="s">
        <v>2812</v>
      </c>
      <c r="X700" s="3541"/>
      <c r="Y700" s="3541"/>
      <c r="Z700" s="3541"/>
      <c r="AA700" s="3541"/>
      <c r="AB700" s="3541"/>
      <c r="AC700" s="3541"/>
      <c r="AD700" s="3541"/>
      <c r="AE700" s="3541"/>
      <c r="AF700" s="3541"/>
      <c r="AG700" s="3541"/>
      <c r="AH700" s="3541"/>
      <c r="AI700" s="3541"/>
      <c r="AJ700" s="3541"/>
      <c r="AK700" s="3541"/>
      <c r="AL700" s="3541"/>
      <c r="AM700" s="3541"/>
      <c r="AN700" s="3541"/>
      <c r="AO700" s="3541"/>
      <c r="AP700" s="3541"/>
      <c r="AQ700" s="3541"/>
      <c r="AR700" s="3541"/>
      <c r="AS700" s="3541"/>
      <c r="AT700" s="3541"/>
      <c r="AU700" s="3541"/>
      <c r="AV700" s="3541"/>
      <c r="AW700" s="3541"/>
      <c r="AX700" s="3541"/>
      <c r="AY700" s="3541"/>
      <c r="AZ700" s="3541"/>
      <c r="BA700" s="3541"/>
      <c r="BB700" s="3541"/>
      <c r="BC700" s="3541"/>
      <c r="BD700" s="3541"/>
      <c r="BE700" s="3541"/>
      <c r="BF700" s="3541"/>
      <c r="BG700" s="3541"/>
      <c r="BH700" s="3541"/>
      <c r="BI700" s="3541"/>
    </row>
    <row r="701" spans="1:61" ht="24.75" customHeight="1">
      <c r="A701" s="3526" t="s">
        <v>1343</v>
      </c>
      <c r="B701" s="3526" t="s">
        <v>5732</v>
      </c>
      <c r="C701" s="3527" t="s">
        <v>5708</v>
      </c>
      <c r="D701" s="3526" t="s">
        <v>3782</v>
      </c>
      <c r="E701" s="3528" t="str">
        <f>VLOOKUP(F701,plasmids!$A$2:$B$891,2)</f>
        <v>AAV2-7m8</v>
      </c>
      <c r="F701" s="3529">
        <v>178</v>
      </c>
      <c r="G701" s="3530"/>
      <c r="H701" s="3530" t="str">
        <f>VLOOKUP(I701,plasmids!$A$2:$B$891,2)</f>
        <v>pssAAV-mCAR-Jaws-GFP</v>
      </c>
      <c r="I701" s="3526">
        <v>89</v>
      </c>
      <c r="J701" s="3531"/>
      <c r="K701" s="3532"/>
      <c r="L701" s="3752"/>
      <c r="M701" s="3534">
        <v>42559</v>
      </c>
      <c r="N701" s="2838">
        <v>739</v>
      </c>
      <c r="O701" s="3529"/>
      <c r="P701" s="3536"/>
      <c r="Q701" s="4144">
        <v>4400000000000</v>
      </c>
      <c r="R701" s="4145">
        <v>6210000000</v>
      </c>
      <c r="S701" s="4337">
        <f t="shared" si="0"/>
        <v>23239935587761.676</v>
      </c>
      <c r="T701" s="3526"/>
      <c r="U701" s="3531"/>
      <c r="V701" s="4146">
        <f>101</f>
        <v>101</v>
      </c>
      <c r="W701" s="4077" t="s">
        <v>2812</v>
      </c>
      <c r="X701" s="3541"/>
      <c r="Y701" s="3541"/>
      <c r="Z701" s="3541"/>
      <c r="AA701" s="3541"/>
      <c r="AB701" s="3541"/>
      <c r="AC701" s="3541"/>
      <c r="AD701" s="3541"/>
      <c r="AE701" s="3541"/>
      <c r="AF701" s="3541"/>
      <c r="AG701" s="3541"/>
      <c r="AH701" s="3541"/>
      <c r="AI701" s="3541"/>
      <c r="AJ701" s="3541"/>
      <c r="AK701" s="3541"/>
      <c r="AL701" s="3541"/>
      <c r="AM701" s="3541"/>
      <c r="AN701" s="3541"/>
      <c r="AO701" s="3541"/>
      <c r="AP701" s="3541"/>
      <c r="AQ701" s="3541"/>
      <c r="AR701" s="3541"/>
      <c r="AS701" s="3541"/>
      <c r="AT701" s="3541"/>
      <c r="AU701" s="3541"/>
      <c r="AV701" s="3541"/>
      <c r="AW701" s="3541"/>
      <c r="AX701" s="3541"/>
      <c r="AY701" s="3541"/>
      <c r="AZ701" s="3541"/>
      <c r="BA701" s="3541"/>
      <c r="BB701" s="3541"/>
      <c r="BC701" s="3541"/>
      <c r="BD701" s="3541"/>
      <c r="BE701" s="3541"/>
      <c r="BF701" s="3541"/>
      <c r="BG701" s="3541"/>
      <c r="BH701" s="3541"/>
      <c r="BI701" s="3541"/>
    </row>
    <row r="702" spans="1:61" ht="26.25" customHeight="1">
      <c r="A702" s="1807" t="s">
        <v>707</v>
      </c>
      <c r="B702" s="3400" t="s">
        <v>5157</v>
      </c>
      <c r="C702" s="1808" t="s">
        <v>178</v>
      </c>
      <c r="D702" s="1807" t="s">
        <v>3368</v>
      </c>
      <c r="E702" s="1810" t="str">
        <f>VLOOKUP(F702,plasmids!$A$2:$B$351,2)</f>
        <v>AAV2-7m8</v>
      </c>
      <c r="F702" s="1812">
        <v>178</v>
      </c>
      <c r="G702" s="1814"/>
      <c r="H702" s="1814" t="str">
        <f>VLOOKUP(I702,plasmids!$A$2:$B$891,2)</f>
        <v>pscAAV-CAG-RPE65</v>
      </c>
      <c r="I702" s="3400">
        <v>482</v>
      </c>
      <c r="J702" s="1815"/>
      <c r="K702" s="1817"/>
      <c r="L702" s="1818"/>
      <c r="M702" s="1820">
        <v>42559</v>
      </c>
      <c r="N702" s="2023">
        <v>740</v>
      </c>
      <c r="O702" s="1812"/>
      <c r="P702" s="1823"/>
      <c r="Q702" s="4338">
        <v>5660000000000</v>
      </c>
      <c r="R702" s="3337">
        <v>16600000000</v>
      </c>
      <c r="S702" s="1825">
        <f t="shared" si="0"/>
        <v>11183614457831.324</v>
      </c>
      <c r="T702" s="1807" t="s">
        <v>5840</v>
      </c>
      <c r="U702" s="4339"/>
      <c r="V702" s="1807">
        <f>200</f>
        <v>200</v>
      </c>
      <c r="W702" s="1826"/>
      <c r="X702" s="3400"/>
      <c r="Y702" s="1826"/>
      <c r="Z702" s="1826"/>
      <c r="AA702" s="1826"/>
      <c r="AB702" s="1826"/>
      <c r="AC702" s="1826"/>
      <c r="AD702" s="1826"/>
      <c r="AE702" s="1826"/>
      <c r="AF702" s="1826"/>
      <c r="AG702" s="1826"/>
      <c r="AH702" s="1826"/>
      <c r="AI702" s="1826"/>
      <c r="AJ702" s="1826"/>
      <c r="AK702" s="1826"/>
      <c r="AL702" s="1826"/>
      <c r="AM702" s="1826"/>
      <c r="AN702" s="1826"/>
      <c r="AO702" s="1826"/>
      <c r="AP702" s="1826"/>
      <c r="AQ702" s="1826"/>
      <c r="AR702" s="1826"/>
      <c r="AS702" s="1826"/>
      <c r="AT702" s="1826"/>
      <c r="AU702" s="1826"/>
      <c r="AV702" s="1826"/>
      <c r="AW702" s="1826"/>
      <c r="AX702" s="1826"/>
      <c r="AY702" s="1826"/>
      <c r="AZ702" s="1826"/>
      <c r="BA702" s="1826"/>
      <c r="BB702" s="1826"/>
      <c r="BC702" s="1826"/>
      <c r="BD702" s="1826"/>
      <c r="BE702" s="1826"/>
      <c r="BF702" s="1826"/>
      <c r="BG702" s="1826"/>
      <c r="BH702" s="1826"/>
      <c r="BI702" s="1826"/>
    </row>
    <row r="703" spans="1:61" ht="24.75" customHeight="1">
      <c r="A703" s="2872" t="s">
        <v>707</v>
      </c>
      <c r="B703" s="2872" t="s">
        <v>3973</v>
      </c>
      <c r="C703" s="2873" t="s">
        <v>1967</v>
      </c>
      <c r="D703" s="2872" t="s">
        <v>4867</v>
      </c>
      <c r="E703" s="2874" t="str">
        <f>VLOOKUP(F703,plasmids!$A$2:$B$891,2)</f>
        <v>AAV9 2YF</v>
      </c>
      <c r="F703" s="2875">
        <v>168</v>
      </c>
      <c r="G703" s="2876"/>
      <c r="H703" s="2876" t="str">
        <f>VLOOKUP(I703,plasmids!$A$2:$B$891,2)</f>
        <v xml:space="preserve">pTR-scCAG-RdCVFs </v>
      </c>
      <c r="I703" s="3369">
        <v>187</v>
      </c>
      <c r="J703" s="2877"/>
      <c r="K703" s="3265"/>
      <c r="L703" s="2878"/>
      <c r="M703" s="2879">
        <v>42559</v>
      </c>
      <c r="N703" s="2880">
        <v>741</v>
      </c>
      <c r="O703" s="2875"/>
      <c r="P703" s="2883"/>
      <c r="Q703" s="3450">
        <v>141000000000000</v>
      </c>
      <c r="R703" s="3451">
        <v>6210000000</v>
      </c>
      <c r="S703" s="2889">
        <f t="shared" si="0"/>
        <v>744734299516908.25</v>
      </c>
      <c r="T703" s="3369" t="s">
        <v>5843</v>
      </c>
      <c r="U703" s="2877"/>
      <c r="V703" s="3452">
        <f>145-1</f>
        <v>144</v>
      </c>
      <c r="W703" s="3250" t="s">
        <v>5638</v>
      </c>
      <c r="X703" s="2894"/>
      <c r="Y703" s="2894"/>
      <c r="Z703" s="2894"/>
      <c r="AA703" s="2894"/>
      <c r="AB703" s="2894"/>
      <c r="AC703" s="2894"/>
      <c r="AD703" s="2894"/>
      <c r="AE703" s="2894"/>
      <c r="AF703" s="2894"/>
      <c r="AG703" s="2894"/>
      <c r="AH703" s="2894"/>
      <c r="AI703" s="2894"/>
      <c r="AJ703" s="2894"/>
      <c r="AK703" s="2894"/>
      <c r="AL703" s="2894"/>
      <c r="AM703" s="2894"/>
      <c r="AN703" s="2894"/>
      <c r="AO703" s="2894"/>
      <c r="AP703" s="2894"/>
      <c r="AQ703" s="2894"/>
      <c r="AR703" s="2894"/>
      <c r="AS703" s="2894"/>
      <c r="AT703" s="2894"/>
      <c r="AU703" s="2894"/>
      <c r="AV703" s="2894"/>
      <c r="AW703" s="2894"/>
      <c r="AX703" s="2894"/>
      <c r="AY703" s="2894"/>
      <c r="AZ703" s="2894"/>
      <c r="BA703" s="2894"/>
      <c r="BB703" s="2894"/>
      <c r="BC703" s="2894"/>
      <c r="BD703" s="2894"/>
      <c r="BE703" s="2894"/>
      <c r="BF703" s="2894"/>
      <c r="BG703" s="2894"/>
      <c r="BH703" s="2894"/>
      <c r="BI703" s="2894"/>
    </row>
    <row r="704" spans="1:61" ht="24.75" customHeight="1">
      <c r="A704" s="2872" t="s">
        <v>707</v>
      </c>
      <c r="B704" s="2872" t="s">
        <v>3973</v>
      </c>
      <c r="C704" s="2873" t="s">
        <v>1967</v>
      </c>
      <c r="D704" s="2872" t="s">
        <v>4867</v>
      </c>
      <c r="E704" s="2874" t="str">
        <f>VLOOKUP(F704,plasmids!$A$2:$B$891,2)</f>
        <v>AAV9 2YF</v>
      </c>
      <c r="F704" s="2875">
        <v>168</v>
      </c>
      <c r="G704" s="2876"/>
      <c r="H704" s="2876" t="str">
        <f>VLOOKUP(I704,plasmids!$A$2:$B$891,2)</f>
        <v xml:space="preserve">pTR-scCAG-RdCVFs </v>
      </c>
      <c r="I704" s="3369">
        <v>187</v>
      </c>
      <c r="J704" s="2877"/>
      <c r="K704" s="3265"/>
      <c r="L704" s="2878"/>
      <c r="M704" s="2879">
        <v>42559</v>
      </c>
      <c r="N704" s="2880">
        <v>742</v>
      </c>
      <c r="O704" s="2875"/>
      <c r="P704" s="2883"/>
      <c r="Q704" s="3450">
        <v>580000000000000</v>
      </c>
      <c r="R704" s="3451">
        <v>6210000000</v>
      </c>
      <c r="S704" s="2889">
        <f t="shared" si="0"/>
        <v>3063446054750403</v>
      </c>
      <c r="T704" s="3369" t="s">
        <v>5844</v>
      </c>
      <c r="U704" s="2877"/>
      <c r="V704" s="3452">
        <f>177-1</f>
        <v>176</v>
      </c>
      <c r="W704" s="3250" t="s">
        <v>5638</v>
      </c>
      <c r="X704" s="2894"/>
      <c r="Y704" s="2894"/>
      <c r="Z704" s="2894"/>
      <c r="AA704" s="2894"/>
      <c r="AB704" s="2894"/>
      <c r="AC704" s="2894"/>
      <c r="AD704" s="2894"/>
      <c r="AE704" s="2894"/>
      <c r="AF704" s="2894"/>
      <c r="AG704" s="2894"/>
      <c r="AH704" s="2894"/>
      <c r="AI704" s="2894"/>
      <c r="AJ704" s="2894"/>
      <c r="AK704" s="2894"/>
      <c r="AL704" s="2894"/>
      <c r="AM704" s="2894"/>
      <c r="AN704" s="2894"/>
      <c r="AO704" s="2894"/>
      <c r="AP704" s="2894"/>
      <c r="AQ704" s="2894"/>
      <c r="AR704" s="2894"/>
      <c r="AS704" s="2894"/>
      <c r="AT704" s="2894"/>
      <c r="AU704" s="2894"/>
      <c r="AV704" s="2894"/>
      <c r="AW704" s="2894"/>
      <c r="AX704" s="2894"/>
      <c r="AY704" s="2894"/>
      <c r="AZ704" s="2894"/>
      <c r="BA704" s="2894"/>
      <c r="BB704" s="2894"/>
      <c r="BC704" s="2894"/>
      <c r="BD704" s="2894"/>
      <c r="BE704" s="2894"/>
      <c r="BF704" s="2894"/>
      <c r="BG704" s="2894"/>
      <c r="BH704" s="2894"/>
      <c r="BI704" s="2894"/>
    </row>
    <row r="705" spans="1:61" ht="24.75" customHeight="1">
      <c r="A705" s="4340" t="s">
        <v>5845</v>
      </c>
      <c r="B705" s="4341" t="s">
        <v>1025</v>
      </c>
      <c r="C705" s="4342" t="s">
        <v>1967</v>
      </c>
      <c r="D705" s="4341"/>
      <c r="E705" s="4343" t="str">
        <f>VLOOKUP(F705,plasmids!$A$2:$B$891,2)</f>
        <v>AAV2-7m8</v>
      </c>
      <c r="F705" s="4344">
        <v>178</v>
      </c>
      <c r="G705" s="4345"/>
      <c r="H705" s="4345" t="str">
        <f>VLOOKUP(I705,plasmids!$A$2:$B$891,2)</f>
        <v>pssAAV-1xGrm6-ChrimsonR-dtTomato</v>
      </c>
      <c r="I705" s="4340">
        <v>368</v>
      </c>
      <c r="J705" s="4346"/>
      <c r="K705" s="4347"/>
      <c r="L705" s="4348"/>
      <c r="M705" s="4349">
        <v>42559</v>
      </c>
      <c r="N705" s="4350">
        <v>743</v>
      </c>
      <c r="O705" s="4344"/>
      <c r="P705" s="4351"/>
      <c r="Q705" s="4352">
        <v>2690000000000</v>
      </c>
      <c r="R705" s="4353">
        <v>16600000000</v>
      </c>
      <c r="S705" s="4354">
        <f t="shared" si="0"/>
        <v>5315180722891.5664</v>
      </c>
      <c r="T705" s="4340" t="s">
        <v>5840</v>
      </c>
      <c r="U705" s="4346"/>
      <c r="V705" s="4355">
        <f>141-24</f>
        <v>117</v>
      </c>
      <c r="W705" s="4356"/>
      <c r="X705" s="4357"/>
      <c r="Y705" s="4357"/>
      <c r="Z705" s="4357"/>
      <c r="AA705" s="4357"/>
      <c r="AB705" s="4357"/>
      <c r="AC705" s="4357"/>
      <c r="AD705" s="4357"/>
      <c r="AE705" s="4357"/>
      <c r="AF705" s="4357"/>
      <c r="AG705" s="4357"/>
      <c r="AH705" s="4357"/>
      <c r="AI705" s="4357"/>
      <c r="AJ705" s="4357"/>
      <c r="AK705" s="4357"/>
      <c r="AL705" s="4357"/>
      <c r="AM705" s="4357"/>
      <c r="AN705" s="4357"/>
      <c r="AO705" s="4357"/>
      <c r="AP705" s="4357"/>
      <c r="AQ705" s="4357"/>
      <c r="AR705" s="4357"/>
      <c r="AS705" s="4357"/>
      <c r="AT705" s="4357"/>
      <c r="AU705" s="4357"/>
      <c r="AV705" s="4357"/>
      <c r="AW705" s="4357"/>
      <c r="AX705" s="4357"/>
      <c r="AY705" s="4357"/>
      <c r="AZ705" s="4357"/>
      <c r="BA705" s="4357"/>
      <c r="BB705" s="4357"/>
      <c r="BC705" s="4357"/>
      <c r="BD705" s="4357"/>
      <c r="BE705" s="4357"/>
      <c r="BF705" s="4357"/>
      <c r="BG705" s="4357"/>
      <c r="BH705" s="4357"/>
      <c r="BI705" s="4357"/>
    </row>
    <row r="706" spans="1:61" ht="22.5" customHeight="1">
      <c r="A706" s="4358" t="s">
        <v>600</v>
      </c>
      <c r="B706" s="4358" t="s">
        <v>139</v>
      </c>
      <c r="C706" s="4359" t="s">
        <v>55</v>
      </c>
      <c r="D706" s="4358" t="s">
        <v>70</v>
      </c>
      <c r="E706" s="4360" t="str">
        <f>VLOOKUP(F706,plasmids!$A$2:$B$891,2)</f>
        <v>AAV2-7m8</v>
      </c>
      <c r="F706" s="4361">
        <v>178</v>
      </c>
      <c r="G706" s="4362"/>
      <c r="H706" s="4362" t="str">
        <f>VLOOKUP(I706,plasmids!$A$2:$B$891,2)</f>
        <v>pssAAV-CAG-ChrimsonR-tdTomato</v>
      </c>
      <c r="I706" s="4358">
        <v>479</v>
      </c>
      <c r="J706" s="4363"/>
      <c r="K706" s="4364"/>
      <c r="L706" s="4365"/>
      <c r="M706" s="4366">
        <v>42566</v>
      </c>
      <c r="N706" s="4367">
        <v>744</v>
      </c>
      <c r="O706" s="4361"/>
      <c r="P706" s="4368"/>
      <c r="Q706" s="4369">
        <v>21600000000000</v>
      </c>
      <c r="R706" s="4370">
        <v>16600000000</v>
      </c>
      <c r="S706" s="4371">
        <f t="shared" si="0"/>
        <v>42679518072289.156</v>
      </c>
      <c r="T706" s="4365"/>
      <c r="U706" s="4358"/>
      <c r="V706" s="4358">
        <f>140</f>
        <v>140</v>
      </c>
      <c r="W706" s="4372"/>
      <c r="X706" s="4372"/>
      <c r="Y706" s="4372"/>
      <c r="Z706" s="4372"/>
      <c r="AA706" s="4372"/>
      <c r="AB706" s="4372"/>
      <c r="AC706" s="4372"/>
      <c r="AD706" s="4372"/>
      <c r="AE706" s="4372"/>
      <c r="AF706" s="4372"/>
      <c r="AG706" s="4372"/>
      <c r="AH706" s="4372"/>
      <c r="AI706" s="4372"/>
      <c r="AJ706" s="4372"/>
      <c r="AK706" s="4372"/>
      <c r="AL706" s="4372"/>
      <c r="AM706" s="4372"/>
      <c r="AN706" s="4372"/>
      <c r="AO706" s="4372"/>
      <c r="AP706" s="4372"/>
      <c r="AQ706" s="4372"/>
      <c r="AR706" s="4372"/>
      <c r="AS706" s="4372"/>
      <c r="AT706" s="4372"/>
      <c r="AU706" s="4372"/>
      <c r="AV706" s="4372"/>
      <c r="AW706" s="4372"/>
      <c r="AX706" s="4372"/>
      <c r="AY706" s="4372"/>
      <c r="AZ706" s="4372"/>
      <c r="BA706" s="4372"/>
      <c r="BB706" s="4372"/>
      <c r="BC706" s="4372"/>
      <c r="BD706" s="4372"/>
      <c r="BE706" s="4372"/>
      <c r="BF706" s="4372"/>
      <c r="BG706" s="4372"/>
      <c r="BH706" s="932"/>
      <c r="BI706" s="932"/>
    </row>
    <row r="707" spans="1:61" ht="22.5" customHeight="1">
      <c r="A707" s="1594" t="s">
        <v>600</v>
      </c>
      <c r="B707" s="1594" t="s">
        <v>139</v>
      </c>
      <c r="C707" s="3549" t="s">
        <v>55</v>
      </c>
      <c r="D707" s="1594" t="s">
        <v>70</v>
      </c>
      <c r="E707" s="2058" t="str">
        <f>VLOOKUP(F707,plasmids!$A$2:$B$891,2)</f>
        <v>AAV2-7m8</v>
      </c>
      <c r="F707" s="973">
        <v>178</v>
      </c>
      <c r="G707" s="2059"/>
      <c r="H707" s="2059" t="str">
        <f>VLOOKUP(I707,plasmids!$A$2:$B$891,2)</f>
        <v>pssAAV-CAG-ChrimsonR-tdTomato</v>
      </c>
      <c r="I707" s="1594">
        <v>479</v>
      </c>
      <c r="J707" s="978"/>
      <c r="K707" s="1614"/>
      <c r="L707" s="2183"/>
      <c r="M707" s="971">
        <v>42566</v>
      </c>
      <c r="N707" s="972">
        <v>745</v>
      </c>
      <c r="O707" s="973"/>
      <c r="P707" s="976"/>
      <c r="Q707" s="4373">
        <v>48500000000000</v>
      </c>
      <c r="R707" s="3291">
        <v>16600000000</v>
      </c>
      <c r="S707" s="977">
        <f t="shared" si="0"/>
        <v>95831325301204.812</v>
      </c>
      <c r="T707" s="2183"/>
      <c r="U707" s="1594"/>
      <c r="V707" s="1594">
        <f>158</f>
        <v>158</v>
      </c>
      <c r="W707" s="932"/>
      <c r="X707" s="932"/>
      <c r="Y707" s="932"/>
      <c r="Z707" s="932"/>
      <c r="AA707" s="932"/>
      <c r="AB707" s="932"/>
      <c r="AC707" s="932"/>
      <c r="AD707" s="932"/>
      <c r="AE707" s="932"/>
      <c r="AF707" s="932"/>
      <c r="AG707" s="932"/>
      <c r="AH707" s="932"/>
      <c r="AI707" s="932"/>
      <c r="AJ707" s="932"/>
      <c r="AK707" s="932"/>
      <c r="AL707" s="932"/>
      <c r="AM707" s="932"/>
      <c r="AN707" s="932"/>
      <c r="AO707" s="932"/>
      <c r="AP707" s="932"/>
      <c r="AQ707" s="932"/>
      <c r="AR707" s="932"/>
      <c r="AS707" s="932"/>
      <c r="AT707" s="932"/>
      <c r="AU707" s="932"/>
      <c r="AV707" s="932"/>
      <c r="AW707" s="932"/>
      <c r="AX707" s="932"/>
      <c r="AY707" s="932"/>
      <c r="AZ707" s="932"/>
      <c r="BA707" s="932"/>
      <c r="BB707" s="932"/>
      <c r="BC707" s="932"/>
      <c r="BD707" s="932"/>
      <c r="BE707" s="932"/>
      <c r="BF707" s="932"/>
      <c r="BG707" s="932"/>
      <c r="BH707" s="932"/>
      <c r="BI707" s="932"/>
    </row>
    <row r="708" spans="1:61" ht="26.25" customHeight="1">
      <c r="A708" s="2255" t="s">
        <v>600</v>
      </c>
      <c r="B708" s="2255" t="s">
        <v>3367</v>
      </c>
      <c r="C708" s="3746" t="s">
        <v>178</v>
      </c>
      <c r="D708" s="1786" t="s">
        <v>3368</v>
      </c>
      <c r="E708" s="1788" t="str">
        <f>VLOOKUP(F708,plasmids!$A$2:$B$351,2)</f>
        <v>AAV9 7M8 (AA------)</v>
      </c>
      <c r="F708" s="1798">
        <v>170</v>
      </c>
      <c r="G708" s="4374"/>
      <c r="H708" s="1789" t="str">
        <f>VLOOKUP(I708,plasmids!$A$2:$B$891,2)</f>
        <v>pTR-scCMV-luciférase</v>
      </c>
      <c r="I708" s="2255">
        <v>131</v>
      </c>
      <c r="J708" s="1790"/>
      <c r="K708" s="1791"/>
      <c r="L708" s="1792"/>
      <c r="M708" s="1793">
        <v>42566</v>
      </c>
      <c r="N708" s="1">
        <v>746</v>
      </c>
      <c r="O708" s="1798"/>
      <c r="P708" s="1624"/>
      <c r="Q708" s="1997">
        <v>147000000000</v>
      </c>
      <c r="R708" s="1438">
        <v>16600000000</v>
      </c>
      <c r="S708" s="1869">
        <f t="shared" si="0"/>
        <v>290457831325.30121</v>
      </c>
      <c r="T708" s="1786" t="s">
        <v>5840</v>
      </c>
      <c r="U708" s="1790"/>
      <c r="V708" s="1786">
        <f>163</f>
        <v>163</v>
      </c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</row>
    <row r="709" spans="1:61" ht="24.75" customHeight="1">
      <c r="A709" s="4375" t="s">
        <v>600</v>
      </c>
      <c r="B709" s="4375" t="s">
        <v>139</v>
      </c>
      <c r="C709" s="4376" t="s">
        <v>301</v>
      </c>
      <c r="D709" s="4375" t="s">
        <v>301</v>
      </c>
      <c r="E709" s="4377" t="str">
        <f>VLOOKUP(F709,plasmids!$A$2:$B$891,2)</f>
        <v>AAV2-7m8</v>
      </c>
      <c r="F709" s="4378">
        <v>178</v>
      </c>
      <c r="G709" s="4379"/>
      <c r="H709" s="4379" t="str">
        <f>VLOOKUP(I709,plasmids!$A$2:$B$891,2)</f>
        <v>sc-CAG-GFP</v>
      </c>
      <c r="I709" s="4375">
        <v>120</v>
      </c>
      <c r="J709" s="4380"/>
      <c r="K709" s="4381"/>
      <c r="L709" s="4382"/>
      <c r="M709" s="4383">
        <v>42566</v>
      </c>
      <c r="N709" s="4384">
        <v>747</v>
      </c>
      <c r="O709" s="4378"/>
      <c r="P709" s="4385"/>
      <c r="Q709" s="4386">
        <v>180000000000000</v>
      </c>
      <c r="R709" s="4387">
        <v>16600000000</v>
      </c>
      <c r="S709" s="4388">
        <f t="shared" si="0"/>
        <v>355662650602409.62</v>
      </c>
      <c r="T709" s="4375"/>
      <c r="U709" s="4380"/>
      <c r="V709" s="4389">
        <f>90-10-5</f>
        <v>75</v>
      </c>
      <c r="W709" s="4390"/>
      <c r="X709" s="4391"/>
      <c r="Y709" s="4391"/>
      <c r="Z709" s="4391"/>
      <c r="AA709" s="4391"/>
      <c r="AB709" s="4391"/>
      <c r="AC709" s="4391"/>
      <c r="AD709" s="4391"/>
      <c r="AE709" s="4391"/>
      <c r="AF709" s="4391"/>
      <c r="AG709" s="4391"/>
      <c r="AH709" s="4391"/>
      <c r="AI709" s="4391"/>
      <c r="AJ709" s="4391"/>
      <c r="AK709" s="4391"/>
      <c r="AL709" s="4391"/>
      <c r="AM709" s="4391"/>
      <c r="AN709" s="4391"/>
      <c r="AO709" s="4391"/>
      <c r="AP709" s="4391"/>
      <c r="AQ709" s="4391"/>
      <c r="AR709" s="4391"/>
      <c r="AS709" s="4391"/>
      <c r="AT709" s="4391"/>
      <c r="AU709" s="4391"/>
      <c r="AV709" s="4391"/>
      <c r="AW709" s="4391"/>
      <c r="AX709" s="4391"/>
      <c r="AY709" s="4391"/>
      <c r="AZ709" s="4391"/>
      <c r="BA709" s="4391"/>
      <c r="BB709" s="4391"/>
      <c r="BC709" s="4391"/>
      <c r="BD709" s="4391"/>
      <c r="BE709" s="4391"/>
      <c r="BF709" s="4391"/>
      <c r="BG709" s="4391"/>
      <c r="BH709" s="4391"/>
      <c r="BI709" s="4391"/>
    </row>
    <row r="710" spans="1:61" ht="24.75" customHeight="1">
      <c r="A710" s="4340" t="s">
        <v>5845</v>
      </c>
      <c r="B710" s="4341" t="s">
        <v>1025</v>
      </c>
      <c r="C710" s="4342" t="s">
        <v>1967</v>
      </c>
      <c r="D710" s="4340" t="s">
        <v>4460</v>
      </c>
      <c r="E710" s="4343" t="str">
        <f>VLOOKUP(F710,plasmids!$A$2:$B$891,2)</f>
        <v>AAV2-7m8</v>
      </c>
      <c r="F710" s="4344">
        <v>178</v>
      </c>
      <c r="G710" s="4345"/>
      <c r="H710" s="4345" t="str">
        <f>VLOOKUP(I710,plasmids!$A$2:$B$891,2)</f>
        <v>pssAAV-1xgrm6*-tdT-2a-CochR</v>
      </c>
      <c r="I710" s="4340">
        <v>666</v>
      </c>
      <c r="J710" s="4346"/>
      <c r="K710" s="4347"/>
      <c r="L710" s="4348"/>
      <c r="M710" s="4349">
        <v>42566</v>
      </c>
      <c r="N710" s="4350">
        <v>748</v>
      </c>
      <c r="O710" s="4344"/>
      <c r="P710" s="4351"/>
      <c r="Q710" s="4352">
        <v>6990000000000</v>
      </c>
      <c r="R710" s="4353">
        <v>16600000000</v>
      </c>
      <c r="S710" s="4354">
        <f t="shared" si="0"/>
        <v>13811566265060.24</v>
      </c>
      <c r="T710" s="4340" t="s">
        <v>5840</v>
      </c>
      <c r="U710" s="4346"/>
      <c r="V710" s="4355">
        <f>105-24</f>
        <v>81</v>
      </c>
      <c r="W710" s="4356"/>
      <c r="X710" s="4357"/>
      <c r="Y710" s="5321" t="s">
        <v>5846</v>
      </c>
      <c r="Z710" s="4357"/>
      <c r="AA710" s="4357"/>
      <c r="AB710" s="4357"/>
      <c r="AC710" s="4357"/>
      <c r="AD710" s="4357"/>
      <c r="AE710" s="4357"/>
      <c r="AF710" s="4357"/>
      <c r="AG710" s="4357"/>
      <c r="AH710" s="4357"/>
      <c r="AI710" s="4357"/>
      <c r="AJ710" s="4357"/>
      <c r="AK710" s="4357"/>
      <c r="AL710" s="4357"/>
      <c r="AM710" s="4357"/>
      <c r="AN710" s="4357"/>
      <c r="AO710" s="4357"/>
      <c r="AP710" s="4357"/>
      <c r="AQ710" s="4357"/>
      <c r="AR710" s="4357"/>
      <c r="AS710" s="4357"/>
      <c r="AT710" s="4357"/>
      <c r="AU710" s="4357"/>
      <c r="AV710" s="4357"/>
      <c r="AW710" s="4357"/>
      <c r="AX710" s="4357"/>
      <c r="AY710" s="4357"/>
      <c r="AZ710" s="4357"/>
      <c r="BA710" s="4357"/>
      <c r="BB710" s="4357"/>
      <c r="BC710" s="4357"/>
      <c r="BD710" s="4357"/>
      <c r="BE710" s="4357"/>
      <c r="BF710" s="4357"/>
      <c r="BG710" s="4357"/>
      <c r="BH710" s="4357"/>
      <c r="BI710" s="4357"/>
    </row>
    <row r="711" spans="1:61" ht="24.75" customHeight="1">
      <c r="A711" s="4340" t="s">
        <v>5845</v>
      </c>
      <c r="B711" s="4341" t="s">
        <v>1025</v>
      </c>
      <c r="C711" s="4342" t="s">
        <v>1967</v>
      </c>
      <c r="D711" s="4340" t="s">
        <v>4460</v>
      </c>
      <c r="E711" s="4343" t="str">
        <f>VLOOKUP(F711,plasmids!$A$2:$B$891,2)</f>
        <v>AAV2-7m8</v>
      </c>
      <c r="F711" s="4344">
        <v>178</v>
      </c>
      <c r="G711" s="4345"/>
      <c r="H711" s="4345" t="str">
        <f>VLOOKUP(I711,plasmids!$A$2:$B$891,2)</f>
        <v>pssAAV-1xgrm6-CoChR-GFP</v>
      </c>
      <c r="I711" s="4340">
        <v>681</v>
      </c>
      <c r="J711" s="4346"/>
      <c r="K711" s="4347"/>
      <c r="L711" s="4348"/>
      <c r="M711" s="4349">
        <v>42566</v>
      </c>
      <c r="N711" s="4350">
        <v>749</v>
      </c>
      <c r="O711" s="4344"/>
      <c r="P711" s="4351"/>
      <c r="Q711" s="4352">
        <v>2040000000000</v>
      </c>
      <c r="R711" s="4353">
        <v>16600000000</v>
      </c>
      <c r="S711" s="4354">
        <f t="shared" si="0"/>
        <v>4030843373493.9756</v>
      </c>
      <c r="T711" s="4340" t="s">
        <v>5840</v>
      </c>
      <c r="U711" s="4346"/>
      <c r="V711" s="4355">
        <f>119-24</f>
        <v>95</v>
      </c>
      <c r="W711" s="4356"/>
      <c r="X711" s="4357"/>
      <c r="Y711" s="5320"/>
      <c r="Z711" s="4357"/>
      <c r="AA711" s="4357"/>
      <c r="AB711" s="4357"/>
      <c r="AC711" s="4357"/>
      <c r="AD711" s="4357"/>
      <c r="AE711" s="4357"/>
      <c r="AF711" s="4357"/>
      <c r="AG711" s="4357"/>
      <c r="AH711" s="4357"/>
      <c r="AI711" s="4357"/>
      <c r="AJ711" s="4357"/>
      <c r="AK711" s="4357"/>
      <c r="AL711" s="4357"/>
      <c r="AM711" s="4357"/>
      <c r="AN711" s="4357"/>
      <c r="AO711" s="4357"/>
      <c r="AP711" s="4357"/>
      <c r="AQ711" s="4357"/>
      <c r="AR711" s="4357"/>
      <c r="AS711" s="4357"/>
      <c r="AT711" s="4357"/>
      <c r="AU711" s="4357"/>
      <c r="AV711" s="4357"/>
      <c r="AW711" s="4357"/>
      <c r="AX711" s="4357"/>
      <c r="AY711" s="4357"/>
      <c r="AZ711" s="4357"/>
      <c r="BA711" s="4357"/>
      <c r="BB711" s="4357"/>
      <c r="BC711" s="4357"/>
      <c r="BD711" s="4357"/>
      <c r="BE711" s="4357"/>
      <c r="BF711" s="4357"/>
      <c r="BG711" s="4357"/>
      <c r="BH711" s="4357"/>
      <c r="BI711" s="4357"/>
    </row>
    <row r="712" spans="1:61" ht="24.75" customHeight="1">
      <c r="A712" s="4340" t="s">
        <v>5845</v>
      </c>
      <c r="B712" s="4341" t="s">
        <v>1025</v>
      </c>
      <c r="C712" s="4342" t="s">
        <v>1967</v>
      </c>
      <c r="D712" s="4340" t="s">
        <v>4460</v>
      </c>
      <c r="E712" s="4343" t="str">
        <f>VLOOKUP(F712,plasmids!$A$2:$B$891,2)</f>
        <v>AAV2-7m8</v>
      </c>
      <c r="F712" s="4344">
        <v>178</v>
      </c>
      <c r="G712" s="4345"/>
      <c r="H712" s="4345" t="str">
        <f>VLOOKUP(I712,plasmids!$A$2:$B$891,2)</f>
        <v>pssAAV-1xgrm6*-CochR-GFP</v>
      </c>
      <c r="I712" s="4340">
        <v>682</v>
      </c>
      <c r="J712" s="4346"/>
      <c r="K712" s="4347"/>
      <c r="L712" s="4348"/>
      <c r="M712" s="4349">
        <v>42566</v>
      </c>
      <c r="N712" s="4350">
        <v>750</v>
      </c>
      <c r="O712" s="4344"/>
      <c r="P712" s="4351"/>
      <c r="Q712" s="4352">
        <v>2070000000000</v>
      </c>
      <c r="R712" s="4353">
        <v>16600000000</v>
      </c>
      <c r="S712" s="4354">
        <f t="shared" si="0"/>
        <v>4090120481927.7104</v>
      </c>
      <c r="T712" s="4340" t="s">
        <v>5840</v>
      </c>
      <c r="U712" s="4346"/>
      <c r="V712" s="4355">
        <f>135-24</f>
        <v>111</v>
      </c>
      <c r="W712" s="4356"/>
      <c r="X712" s="4357"/>
      <c r="Y712" s="5320"/>
      <c r="Z712" s="4357"/>
      <c r="AA712" s="4357"/>
      <c r="AB712" s="4357"/>
      <c r="AC712" s="4357"/>
      <c r="AD712" s="4357"/>
      <c r="AE712" s="4357"/>
      <c r="AF712" s="4357"/>
      <c r="AG712" s="4357"/>
      <c r="AH712" s="4357"/>
      <c r="AI712" s="4357"/>
      <c r="AJ712" s="4357"/>
      <c r="AK712" s="4357"/>
      <c r="AL712" s="4357"/>
      <c r="AM712" s="4357"/>
      <c r="AN712" s="4357"/>
      <c r="AO712" s="4357"/>
      <c r="AP712" s="4357"/>
      <c r="AQ712" s="4357"/>
      <c r="AR712" s="4357"/>
      <c r="AS712" s="4357"/>
      <c r="AT712" s="4357"/>
      <c r="AU712" s="4357"/>
      <c r="AV712" s="4357"/>
      <c r="AW712" s="4357"/>
      <c r="AX712" s="4357"/>
      <c r="AY712" s="4357"/>
      <c r="AZ712" s="4357"/>
      <c r="BA712" s="4357"/>
      <c r="BB712" s="4357"/>
      <c r="BC712" s="4357"/>
      <c r="BD712" s="4357"/>
      <c r="BE712" s="4357"/>
      <c r="BF712" s="4357"/>
      <c r="BG712" s="4357"/>
      <c r="BH712" s="4357"/>
      <c r="BI712" s="4357"/>
    </row>
    <row r="713" spans="1:61" ht="24.75" customHeight="1">
      <c r="A713" s="164" t="s">
        <v>5688</v>
      </c>
      <c r="B713" s="164" t="s">
        <v>5689</v>
      </c>
      <c r="C713" s="4392" t="s">
        <v>1967</v>
      </c>
      <c r="D713" s="164" t="s">
        <v>568</v>
      </c>
      <c r="E713" s="2657" t="str">
        <f>VLOOKUP(F713,plasmids!$A$2:$B$891,2)</f>
        <v>pAAV2/8</v>
      </c>
      <c r="F713" s="139">
        <v>122</v>
      </c>
      <c r="G713" s="2334"/>
      <c r="H713" s="2334" t="str">
        <f>VLOOKUP(I713,plasmids!$A$2:$B$891,2)</f>
        <v>pssAAV-mCAR-Jaws-GFP</v>
      </c>
      <c r="I713" s="164">
        <v>89</v>
      </c>
      <c r="J713" s="156"/>
      <c r="K713" s="143"/>
      <c r="L713" s="1086"/>
      <c r="M713" s="1087">
        <v>42566</v>
      </c>
      <c r="N713" s="145">
        <v>751</v>
      </c>
      <c r="O713" s="139"/>
      <c r="P713" s="1090"/>
      <c r="Q713" s="4393">
        <v>12900000000</v>
      </c>
      <c r="R713" s="4394">
        <v>16600000000</v>
      </c>
      <c r="S713" s="4395">
        <f t="shared" si="0"/>
        <v>25489156626.506023</v>
      </c>
      <c r="T713" s="164" t="s">
        <v>5840</v>
      </c>
      <c r="U713" s="156"/>
      <c r="V713" s="4396">
        <f>118</f>
        <v>118</v>
      </c>
      <c r="W713" s="4397"/>
      <c r="X713" s="158"/>
      <c r="Y713" s="5320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  <c r="BG713" s="158"/>
      <c r="BH713" s="158"/>
      <c r="BI713" s="158"/>
    </row>
    <row r="714" spans="1:61" ht="24.75" customHeight="1">
      <c r="A714" s="4256" t="s">
        <v>600</v>
      </c>
      <c r="B714" s="4256" t="s">
        <v>139</v>
      </c>
      <c r="C714" s="4257" t="s">
        <v>301</v>
      </c>
      <c r="D714" s="4256" t="s">
        <v>301</v>
      </c>
      <c r="E714" s="4258" t="str">
        <f>VLOOKUP(F714,plasmids!$A$2:$B$891,2)</f>
        <v>AAV2-7m8</v>
      </c>
      <c r="F714" s="4259">
        <v>178</v>
      </c>
      <c r="G714" s="4260"/>
      <c r="H714" s="4260" t="str">
        <f>VLOOKUP(I714,plasmids!$A$2:$B$891,2)</f>
        <v>pssAAV-CAG-ChrimsonR</v>
      </c>
      <c r="I714" s="4256">
        <v>480</v>
      </c>
      <c r="J714" s="4261"/>
      <c r="K714" s="4262"/>
      <c r="L714" s="4263"/>
      <c r="M714" s="4264">
        <v>42580</v>
      </c>
      <c r="N714" s="4398">
        <v>752</v>
      </c>
      <c r="O714" s="4259"/>
      <c r="P714" s="4266"/>
      <c r="Q714" s="4399">
        <v>4200000000000</v>
      </c>
      <c r="R714" s="4400">
        <v>6750000000</v>
      </c>
      <c r="S714" s="4401">
        <f t="shared" si="0"/>
        <v>20408888888888.887</v>
      </c>
      <c r="T714" s="4256"/>
      <c r="U714" s="4261"/>
      <c r="V714" s="4270">
        <f>151-8-14</f>
        <v>129</v>
      </c>
      <c r="W714" s="4271" t="s">
        <v>2812</v>
      </c>
      <c r="X714" s="4272"/>
      <c r="Y714" s="4272"/>
      <c r="Z714" s="4272"/>
      <c r="AA714" s="4272"/>
      <c r="AB714" s="4272"/>
      <c r="AC714" s="4272"/>
      <c r="AD714" s="4272"/>
      <c r="AE714" s="4272"/>
      <c r="AF714" s="4272"/>
      <c r="AG714" s="4272"/>
      <c r="AH714" s="4272"/>
      <c r="AI714" s="4272"/>
      <c r="AJ714" s="4272"/>
      <c r="AK714" s="4272"/>
      <c r="AL714" s="4272"/>
      <c r="AM714" s="4272"/>
      <c r="AN714" s="4272"/>
      <c r="AO714" s="4272"/>
      <c r="AP714" s="4272"/>
      <c r="AQ714" s="4272"/>
      <c r="AR714" s="4272"/>
      <c r="AS714" s="4272"/>
      <c r="AT714" s="4272"/>
      <c r="AU714" s="4272"/>
      <c r="AV714" s="4272"/>
      <c r="AW714" s="4272"/>
      <c r="AX714" s="4272"/>
      <c r="AY714" s="4272"/>
      <c r="AZ714" s="4272"/>
      <c r="BA714" s="4272"/>
      <c r="BB714" s="4272"/>
      <c r="BC714" s="4272"/>
      <c r="BD714" s="4272"/>
      <c r="BE714" s="4272"/>
      <c r="BF714" s="4272"/>
      <c r="BG714" s="4272"/>
      <c r="BH714" s="4272"/>
      <c r="BI714" s="4272"/>
    </row>
    <row r="715" spans="1:61" ht="24.75" customHeight="1">
      <c r="A715" s="4340" t="s">
        <v>5845</v>
      </c>
      <c r="B715" s="4341" t="s">
        <v>1025</v>
      </c>
      <c r="C715" s="4342" t="s">
        <v>1967</v>
      </c>
      <c r="D715" s="4340" t="s">
        <v>4460</v>
      </c>
      <c r="E715" s="4343" t="str">
        <f>VLOOKUP(F715,plasmids!$A$2:$B$891,2)</f>
        <v>AAV2-7m8</v>
      </c>
      <c r="F715" s="4344">
        <v>178</v>
      </c>
      <c r="G715" s="4345"/>
      <c r="H715" s="4345" t="str">
        <f>VLOOKUP(I715,plasmids!$A$2:$B$891,2)</f>
        <v>pssAAV-1xGrm6-ChrimsonR-dtTomato</v>
      </c>
      <c r="I715" s="4340">
        <v>368</v>
      </c>
      <c r="J715" s="4346"/>
      <c r="K715" s="4347"/>
      <c r="L715" s="4348"/>
      <c r="M715" s="4349">
        <v>42580</v>
      </c>
      <c r="N715" s="4350">
        <v>753</v>
      </c>
      <c r="O715" s="4344"/>
      <c r="P715" s="4351"/>
      <c r="Q715" s="4402">
        <v>3840000000000</v>
      </c>
      <c r="R715" s="4403">
        <v>6750000000</v>
      </c>
      <c r="S715" s="4354">
        <f t="shared" si="0"/>
        <v>18659555555555.555</v>
      </c>
      <c r="T715" s="4340" t="s">
        <v>5840</v>
      </c>
      <c r="U715" s="4346"/>
      <c r="V715" s="4404">
        <f>145-20</f>
        <v>125</v>
      </c>
      <c r="W715" s="4356"/>
      <c r="X715" s="4357"/>
      <c r="Y715" s="4357"/>
      <c r="Z715" s="4357"/>
      <c r="AA715" s="4357"/>
      <c r="AB715" s="4357"/>
      <c r="AC715" s="4357"/>
      <c r="AD715" s="4357"/>
      <c r="AE715" s="4357"/>
      <c r="AF715" s="4357"/>
      <c r="AG715" s="4357"/>
      <c r="AH715" s="4357"/>
      <c r="AI715" s="4357"/>
      <c r="AJ715" s="4357"/>
      <c r="AK715" s="4357"/>
      <c r="AL715" s="4357"/>
      <c r="AM715" s="4357"/>
      <c r="AN715" s="4357"/>
      <c r="AO715" s="4357"/>
      <c r="AP715" s="4357"/>
      <c r="AQ715" s="4357"/>
      <c r="AR715" s="4357"/>
      <c r="AS715" s="4357"/>
      <c r="AT715" s="4357"/>
      <c r="AU715" s="4357"/>
      <c r="AV715" s="4357"/>
      <c r="AW715" s="4357"/>
      <c r="AX715" s="4357"/>
      <c r="AY715" s="4357"/>
      <c r="AZ715" s="4357"/>
      <c r="BA715" s="4357"/>
      <c r="BB715" s="4357"/>
      <c r="BC715" s="4357"/>
      <c r="BD715" s="4357"/>
      <c r="BE715" s="4357"/>
      <c r="BF715" s="4357"/>
      <c r="BG715" s="4357"/>
      <c r="BH715" s="4357"/>
      <c r="BI715" s="4357"/>
    </row>
    <row r="716" spans="1:61" ht="25.5" customHeight="1">
      <c r="A716" s="4313" t="s">
        <v>5814</v>
      </c>
      <c r="B716" s="4313" t="s">
        <v>5818</v>
      </c>
      <c r="C716" s="4314" t="s">
        <v>5842</v>
      </c>
      <c r="D716" s="4313" t="s">
        <v>3782</v>
      </c>
      <c r="E716" s="4315" t="str">
        <f>VLOOKUP(F716,plasmids!$A$2:$B$891,2)</f>
        <v>AAV2-7m8</v>
      </c>
      <c r="F716" s="4316">
        <v>178</v>
      </c>
      <c r="G716" s="4317"/>
      <c r="H716" s="4313" t="str">
        <f>VLOOKUP(I716,plasmids!$A$2:$B$740,2)</f>
        <v>pssAAV-U6-shLife7-MfUSH1C-CMV-***-GFP</v>
      </c>
      <c r="I716" s="4313">
        <v>685</v>
      </c>
      <c r="J716" s="4318"/>
      <c r="K716" s="4319"/>
      <c r="L716" s="4319"/>
      <c r="M716" s="4320">
        <v>42580</v>
      </c>
      <c r="N716" s="4321">
        <v>754</v>
      </c>
      <c r="O716" s="4316"/>
      <c r="P716" s="4322"/>
      <c r="Q716" s="4405">
        <v>67800000000</v>
      </c>
      <c r="R716" s="4406">
        <v>6750000000</v>
      </c>
      <c r="S716" s="4325">
        <f t="shared" si="0"/>
        <v>329457777777.77777</v>
      </c>
      <c r="T716" s="4328" t="s">
        <v>5840</v>
      </c>
      <c r="U716" s="4318"/>
      <c r="V716" s="4316">
        <f>162</f>
        <v>162</v>
      </c>
      <c r="W716" s="4255"/>
      <c r="X716" s="4255"/>
      <c r="Y716" s="4326"/>
      <c r="Z716" s="4255"/>
      <c r="AA716" s="4255"/>
      <c r="AB716" s="4255"/>
      <c r="AC716" s="4255"/>
      <c r="AD716" s="4255"/>
      <c r="AE716" s="4255"/>
      <c r="AF716" s="4255"/>
      <c r="AG716" s="4255"/>
      <c r="AH716" s="4255"/>
      <c r="AI716" s="4255"/>
      <c r="AJ716" s="4255"/>
      <c r="AK716" s="4255"/>
      <c r="AL716" s="4255"/>
      <c r="AM716" s="4255"/>
      <c r="AN716" s="4255"/>
      <c r="AO716" s="4255"/>
      <c r="AP716" s="4255"/>
      <c r="AQ716" s="4255"/>
      <c r="AR716" s="4255"/>
      <c r="AS716" s="4255"/>
      <c r="AT716" s="4255"/>
      <c r="AU716" s="4255"/>
      <c r="AV716" s="4255"/>
      <c r="AW716" s="4255"/>
      <c r="AX716" s="4255"/>
      <c r="AY716" s="4255"/>
      <c r="AZ716" s="4255"/>
      <c r="BA716" s="4255"/>
      <c r="BB716" s="4255"/>
      <c r="BC716" s="4255"/>
      <c r="BD716" s="4255"/>
      <c r="BE716" s="4255"/>
      <c r="BF716" s="4255"/>
      <c r="BG716" s="4255"/>
      <c r="BH716" s="4255"/>
      <c r="BI716" s="4255"/>
    </row>
    <row r="717" spans="1:61" ht="25.5" customHeight="1">
      <c r="A717" s="4313" t="s">
        <v>5814</v>
      </c>
      <c r="B717" s="4313" t="s">
        <v>5818</v>
      </c>
      <c r="C717" s="4314" t="s">
        <v>5842</v>
      </c>
      <c r="D717" s="4313" t="s">
        <v>3782</v>
      </c>
      <c r="E717" s="4315" t="str">
        <f>VLOOKUP(F717,plasmids!$A$2:$B$891,2)</f>
        <v>AAV2-7m8</v>
      </c>
      <c r="F717" s="4316">
        <v>178</v>
      </c>
      <c r="G717" s="4317"/>
      <c r="H717" s="4407" t="str">
        <f>VLOOKUP(I717,plasmids!$A$2:$B$740,2)</f>
        <v>pssAAV-CMV-STOP-GFP</v>
      </c>
      <c r="I717" s="4313">
        <v>673</v>
      </c>
      <c r="J717" s="4318"/>
      <c r="K717" s="4319"/>
      <c r="L717" s="4319"/>
      <c r="M717" s="4320">
        <v>42580</v>
      </c>
      <c r="N717" s="4321">
        <v>755</v>
      </c>
      <c r="O717" s="4316"/>
      <c r="P717" s="4322"/>
      <c r="Q717" s="4408">
        <v>70100000000</v>
      </c>
      <c r="R717" s="4406">
        <v>6750000000</v>
      </c>
      <c r="S717" s="4325">
        <f t="shared" si="0"/>
        <v>340634074074.0741</v>
      </c>
      <c r="T717" s="4328" t="s">
        <v>5840</v>
      </c>
      <c r="U717" s="4318"/>
      <c r="V717" s="4316">
        <f>166</f>
        <v>166</v>
      </c>
      <c r="W717" s="4255"/>
      <c r="X717" s="4255"/>
      <c r="Y717" s="4326"/>
      <c r="Z717" s="4255"/>
      <c r="AA717" s="4255"/>
      <c r="AB717" s="4255"/>
      <c r="AC717" s="4255"/>
      <c r="AD717" s="4255"/>
      <c r="AE717" s="4255"/>
      <c r="AF717" s="4255"/>
      <c r="AG717" s="4255"/>
      <c r="AH717" s="4255"/>
      <c r="AI717" s="4255"/>
      <c r="AJ717" s="4255"/>
      <c r="AK717" s="4255"/>
      <c r="AL717" s="4255"/>
      <c r="AM717" s="4255"/>
      <c r="AN717" s="4255"/>
      <c r="AO717" s="4255"/>
      <c r="AP717" s="4255"/>
      <c r="AQ717" s="4255"/>
      <c r="AR717" s="4255"/>
      <c r="AS717" s="4255"/>
      <c r="AT717" s="4255"/>
      <c r="AU717" s="4255"/>
      <c r="AV717" s="4255"/>
      <c r="AW717" s="4255"/>
      <c r="AX717" s="4255"/>
      <c r="AY717" s="4255"/>
      <c r="AZ717" s="4255"/>
      <c r="BA717" s="4255"/>
      <c r="BB717" s="4255"/>
      <c r="BC717" s="4255"/>
      <c r="BD717" s="4255"/>
      <c r="BE717" s="4255"/>
      <c r="BF717" s="4255"/>
      <c r="BG717" s="4255"/>
      <c r="BH717" s="4255"/>
      <c r="BI717" s="4255"/>
    </row>
    <row r="718" spans="1:61" ht="25.5" customHeight="1">
      <c r="A718" s="4313" t="s">
        <v>5814</v>
      </c>
      <c r="B718" s="4313" t="s">
        <v>5818</v>
      </c>
      <c r="C718" s="4314" t="s">
        <v>5842</v>
      </c>
      <c r="D718" s="4313" t="s">
        <v>3782</v>
      </c>
      <c r="E718" s="4315" t="str">
        <f>VLOOKUP(F718,plasmids!$A$2:$B$891,2)</f>
        <v>AAV2-7m8</v>
      </c>
      <c r="F718" s="4316">
        <v>178</v>
      </c>
      <c r="G718" s="4317"/>
      <c r="H718" s="4407" t="str">
        <f>VLOOKUP(I718,plasmids!$A$2:$B$740,2)</f>
        <v>pssAAV-U6-sh1082-MfUSH1C-CMV-STOP-GFP</v>
      </c>
      <c r="I718" s="4313">
        <v>674</v>
      </c>
      <c r="J718" s="4318"/>
      <c r="K718" s="4319"/>
      <c r="L718" s="4319"/>
      <c r="M718" s="4320">
        <v>42580</v>
      </c>
      <c r="N718" s="4321">
        <v>756</v>
      </c>
      <c r="O718" s="4316"/>
      <c r="P718" s="4322"/>
      <c r="Q718" s="4408">
        <v>63600000000</v>
      </c>
      <c r="R718" s="4406">
        <v>6750000000</v>
      </c>
      <c r="S718" s="4325">
        <f t="shared" si="0"/>
        <v>309048888888.88885</v>
      </c>
      <c r="T718" s="4328" t="s">
        <v>5840</v>
      </c>
      <c r="U718" s="4318"/>
      <c r="V718" s="4316">
        <f>143</f>
        <v>143</v>
      </c>
      <c r="W718" s="4255"/>
      <c r="X718" s="4255"/>
      <c r="Y718" s="4326"/>
      <c r="Z718" s="4255"/>
      <c r="AA718" s="4255"/>
      <c r="AB718" s="4255"/>
      <c r="AC718" s="4255"/>
      <c r="AD718" s="4255"/>
      <c r="AE718" s="4255"/>
      <c r="AF718" s="4255"/>
      <c r="AG718" s="4255"/>
      <c r="AH718" s="4255"/>
      <c r="AI718" s="4255"/>
      <c r="AJ718" s="4255"/>
      <c r="AK718" s="4255"/>
      <c r="AL718" s="4255"/>
      <c r="AM718" s="4255"/>
      <c r="AN718" s="4255"/>
      <c r="AO718" s="4255"/>
      <c r="AP718" s="4255"/>
      <c r="AQ718" s="4255"/>
      <c r="AR718" s="4255"/>
      <c r="AS718" s="4255"/>
      <c r="AT718" s="4255"/>
      <c r="AU718" s="4255"/>
      <c r="AV718" s="4255"/>
      <c r="AW718" s="4255"/>
      <c r="AX718" s="4255"/>
      <c r="AY718" s="4255"/>
      <c r="AZ718" s="4255"/>
      <c r="BA718" s="4255"/>
      <c r="BB718" s="4255"/>
      <c r="BC718" s="4255"/>
      <c r="BD718" s="4255"/>
      <c r="BE718" s="4255"/>
      <c r="BF718" s="4255"/>
      <c r="BG718" s="4255"/>
      <c r="BH718" s="4255"/>
      <c r="BI718" s="4255"/>
    </row>
    <row r="719" spans="1:61" ht="25.5" customHeight="1">
      <c r="A719" s="4313" t="s">
        <v>5814</v>
      </c>
      <c r="B719" s="4313" t="s">
        <v>5818</v>
      </c>
      <c r="C719" s="4314" t="s">
        <v>5842</v>
      </c>
      <c r="D719" s="4313" t="s">
        <v>3782</v>
      </c>
      <c r="E719" s="4315" t="str">
        <f>VLOOKUP(F719,plasmids!$A$2:$B$891,2)</f>
        <v>AAV2-7m8</v>
      </c>
      <c r="F719" s="4316">
        <v>178</v>
      </c>
      <c r="G719" s="4317"/>
      <c r="H719" s="4313" t="str">
        <f>VLOOKUP(I719,plasmids!$A$2:$B$740,2)</f>
        <v>pssAAV-U6-shLife10-MfHsUSH1C-CMV-STOP-GFP</v>
      </c>
      <c r="I719" s="4313">
        <v>675</v>
      </c>
      <c r="J719" s="4318"/>
      <c r="K719" s="4319"/>
      <c r="L719" s="4319"/>
      <c r="M719" s="4320">
        <v>42580</v>
      </c>
      <c r="N719" s="4321">
        <v>757</v>
      </c>
      <c r="O719" s="4316"/>
      <c r="P719" s="4322"/>
      <c r="Q719" s="4408">
        <v>19100000000</v>
      </c>
      <c r="R719" s="4406">
        <v>6750000000</v>
      </c>
      <c r="S719" s="4325">
        <f t="shared" si="0"/>
        <v>92811851851.851852</v>
      </c>
      <c r="T719" s="4328" t="s">
        <v>5840</v>
      </c>
      <c r="U719" s="4318"/>
      <c r="V719" s="4316">
        <f>179</f>
        <v>179</v>
      </c>
      <c r="W719" s="4255"/>
      <c r="X719" s="4255"/>
      <c r="Y719" s="4326"/>
      <c r="Z719" s="4255"/>
      <c r="AA719" s="4255"/>
      <c r="AB719" s="4255"/>
      <c r="AC719" s="4255"/>
      <c r="AD719" s="4255"/>
      <c r="AE719" s="4255"/>
      <c r="AF719" s="4255"/>
      <c r="AG719" s="4255"/>
      <c r="AH719" s="4255"/>
      <c r="AI719" s="4255"/>
      <c r="AJ719" s="4255"/>
      <c r="AK719" s="4255"/>
      <c r="AL719" s="4255"/>
      <c r="AM719" s="4255"/>
      <c r="AN719" s="4255"/>
      <c r="AO719" s="4255"/>
      <c r="AP719" s="4255"/>
      <c r="AQ719" s="4255"/>
      <c r="AR719" s="4255"/>
      <c r="AS719" s="4255"/>
      <c r="AT719" s="4255"/>
      <c r="AU719" s="4255"/>
      <c r="AV719" s="4255"/>
      <c r="AW719" s="4255"/>
      <c r="AX719" s="4255"/>
      <c r="AY719" s="4255"/>
      <c r="AZ719" s="4255"/>
      <c r="BA719" s="4255"/>
      <c r="BB719" s="4255"/>
      <c r="BC719" s="4255"/>
      <c r="BD719" s="4255"/>
      <c r="BE719" s="4255"/>
      <c r="BF719" s="4255"/>
      <c r="BG719" s="4255"/>
      <c r="BH719" s="4255"/>
      <c r="BI719" s="4255"/>
    </row>
    <row r="720" spans="1:61" ht="24.75" customHeight="1">
      <c r="A720" s="4340" t="s">
        <v>5845</v>
      </c>
      <c r="B720" s="4341" t="s">
        <v>1025</v>
      </c>
      <c r="C720" s="4342" t="s">
        <v>1967</v>
      </c>
      <c r="D720" s="4340" t="s">
        <v>4460</v>
      </c>
      <c r="E720" s="4343" t="str">
        <f>VLOOKUP(F720,plasmids!$A$2:$B$891,2)</f>
        <v>AAV2-7m8</v>
      </c>
      <c r="F720" s="4344">
        <v>178</v>
      </c>
      <c r="G720" s="4345"/>
      <c r="H720" s="4340" t="str">
        <f>VLOOKUP(I720,plasmids!$A$2:$B$740,2)</f>
        <v>pssAAV-1xgrm6-CoChR-GFP</v>
      </c>
      <c r="I720" s="4340">
        <v>681</v>
      </c>
      <c r="J720" s="4346"/>
      <c r="K720" s="4347"/>
      <c r="L720" s="4348"/>
      <c r="M720" s="4349">
        <v>42590</v>
      </c>
      <c r="N720" s="4350" t="s">
        <v>5847</v>
      </c>
      <c r="O720" s="4344"/>
      <c r="P720" s="4351"/>
      <c r="Q720" s="4402">
        <v>187000000000</v>
      </c>
      <c r="R720" s="4409">
        <v>11800000000</v>
      </c>
      <c r="S720" s="4410">
        <f t="shared" si="0"/>
        <v>519796610169.49158</v>
      </c>
      <c r="T720" s="4340" t="s">
        <v>5840</v>
      </c>
      <c r="U720" s="4346"/>
      <c r="V720" s="4355">
        <f t="shared" ref="V720:V721" si="7">151-20</f>
        <v>131</v>
      </c>
      <c r="W720" s="4356"/>
      <c r="X720" s="4357"/>
      <c r="Y720" s="4357"/>
      <c r="Z720" s="4357"/>
      <c r="AA720" s="4357"/>
      <c r="AB720" s="4357"/>
      <c r="AC720" s="4357"/>
      <c r="AD720" s="4357"/>
      <c r="AE720" s="4357"/>
      <c r="AF720" s="4357"/>
      <c r="AG720" s="4357"/>
      <c r="AH720" s="4357"/>
      <c r="AI720" s="4357"/>
      <c r="AJ720" s="4357"/>
      <c r="AK720" s="4357"/>
      <c r="AL720" s="4357"/>
      <c r="AM720" s="4357"/>
      <c r="AN720" s="4357"/>
      <c r="AO720" s="4357"/>
      <c r="AP720" s="4357"/>
      <c r="AQ720" s="4357"/>
      <c r="AR720" s="4357"/>
      <c r="AS720" s="4357"/>
      <c r="AT720" s="4357"/>
      <c r="AU720" s="4357"/>
      <c r="AV720" s="4357"/>
      <c r="AW720" s="4357"/>
      <c r="AX720" s="4357"/>
      <c r="AY720" s="4357"/>
      <c r="AZ720" s="4357"/>
      <c r="BA720" s="4357"/>
      <c r="BB720" s="4357"/>
      <c r="BC720" s="4357"/>
      <c r="BD720" s="4357"/>
      <c r="BE720" s="4357"/>
      <c r="BF720" s="4357"/>
      <c r="BG720" s="4357"/>
      <c r="BH720" s="4357"/>
      <c r="BI720" s="4357"/>
    </row>
    <row r="721" spans="1:61" ht="24.75" customHeight="1">
      <c r="A721" s="4340" t="s">
        <v>5845</v>
      </c>
      <c r="B721" s="4341" t="s">
        <v>1025</v>
      </c>
      <c r="C721" s="4342" t="s">
        <v>1967</v>
      </c>
      <c r="D721" s="4340" t="s">
        <v>4460</v>
      </c>
      <c r="E721" s="4343" t="str">
        <f>VLOOKUP(F721,plasmids!$A$2:$B$891,2)</f>
        <v>AAV2-7m8</v>
      </c>
      <c r="F721" s="4344">
        <v>178</v>
      </c>
      <c r="G721" s="4345"/>
      <c r="H721" s="4340" t="str">
        <f>VLOOKUP(I721,plasmids!$A$2:$B$740,2)</f>
        <v>pssAAV-1xgrm6*-CochR-GFP</v>
      </c>
      <c r="I721" s="4340">
        <v>682</v>
      </c>
      <c r="J721" s="4346"/>
      <c r="K721" s="4347"/>
      <c r="L721" s="4348"/>
      <c r="M721" s="4349">
        <v>42590</v>
      </c>
      <c r="N721" s="4350" t="s">
        <v>5848</v>
      </c>
      <c r="O721" s="4344"/>
      <c r="P721" s="4351"/>
      <c r="Q721" s="4402">
        <v>72200000000</v>
      </c>
      <c r="R721" s="4409">
        <v>11800000000</v>
      </c>
      <c r="S721" s="4410">
        <f t="shared" si="0"/>
        <v>200691525423.72882</v>
      </c>
      <c r="T721" s="4340" t="s">
        <v>5840</v>
      </c>
      <c r="U721" s="4346"/>
      <c r="V721" s="4355">
        <f t="shared" si="7"/>
        <v>131</v>
      </c>
      <c r="W721" s="4356"/>
      <c r="X721" s="4357"/>
      <c r="Y721" s="4357"/>
      <c r="Z721" s="4357"/>
      <c r="AA721" s="4357"/>
      <c r="AB721" s="4357"/>
      <c r="AC721" s="4357"/>
      <c r="AD721" s="4357"/>
      <c r="AE721" s="4357"/>
      <c r="AF721" s="4357"/>
      <c r="AG721" s="4357"/>
      <c r="AH721" s="4357"/>
      <c r="AI721" s="4357"/>
      <c r="AJ721" s="4357"/>
      <c r="AK721" s="4357"/>
      <c r="AL721" s="4357"/>
      <c r="AM721" s="4357"/>
      <c r="AN721" s="4357"/>
      <c r="AO721" s="4357"/>
      <c r="AP721" s="4357"/>
      <c r="AQ721" s="4357"/>
      <c r="AR721" s="4357"/>
      <c r="AS721" s="4357"/>
      <c r="AT721" s="4357"/>
      <c r="AU721" s="4357"/>
      <c r="AV721" s="4357"/>
      <c r="AW721" s="4357"/>
      <c r="AX721" s="4357"/>
      <c r="AY721" s="4357"/>
      <c r="AZ721" s="4357"/>
      <c r="BA721" s="4357"/>
      <c r="BB721" s="4357"/>
      <c r="BC721" s="4357"/>
      <c r="BD721" s="4357"/>
      <c r="BE721" s="4357"/>
      <c r="BF721" s="4357"/>
      <c r="BG721" s="4357"/>
      <c r="BH721" s="4357"/>
      <c r="BI721" s="4357"/>
    </row>
    <row r="722" spans="1:61" ht="24.75" customHeight="1">
      <c r="A722" s="4340" t="s">
        <v>5845</v>
      </c>
      <c r="B722" s="4341" t="s">
        <v>1025</v>
      </c>
      <c r="C722" s="4342" t="s">
        <v>1967</v>
      </c>
      <c r="D722" s="4340" t="s">
        <v>4460</v>
      </c>
      <c r="E722" s="4343" t="str">
        <f>VLOOKUP(F722,plasmids!$A$2:$B$891,2)</f>
        <v>AAV2-7m8</v>
      </c>
      <c r="F722" s="4344">
        <v>178</v>
      </c>
      <c r="G722" s="4345"/>
      <c r="H722" s="4355" t="str">
        <f>VLOOKUP(I722,plasmids!$A$2:$B$740,2)</f>
        <v>pssAAV-Pan court-CoChR-GFP</v>
      </c>
      <c r="I722" s="4340">
        <v>693</v>
      </c>
      <c r="J722" s="4346"/>
      <c r="K722" s="4347"/>
      <c r="L722" s="4348"/>
      <c r="M722" s="4349">
        <v>42590</v>
      </c>
      <c r="N722" s="4350" t="s">
        <v>5849</v>
      </c>
      <c r="O722" s="4344"/>
      <c r="P722" s="4351"/>
      <c r="Q722" s="4352">
        <v>301000000000</v>
      </c>
      <c r="R722" s="4353">
        <v>11800000000</v>
      </c>
      <c r="S722" s="4354">
        <f t="shared" si="0"/>
        <v>836677966101.69495</v>
      </c>
      <c r="T722" s="4340" t="s">
        <v>5840</v>
      </c>
      <c r="U722" s="4346"/>
      <c r="V722" s="4355">
        <f>147-20-12</f>
        <v>115</v>
      </c>
      <c r="W722" s="4356"/>
      <c r="X722" s="4357"/>
      <c r="Y722" s="4357"/>
      <c r="Z722" s="4357"/>
      <c r="AA722" s="4357"/>
      <c r="AB722" s="4357"/>
      <c r="AC722" s="4357"/>
      <c r="AD722" s="4357"/>
      <c r="AE722" s="4357"/>
      <c r="AF722" s="4357"/>
      <c r="AG722" s="4357"/>
      <c r="AH722" s="4357"/>
      <c r="AI722" s="4357"/>
      <c r="AJ722" s="4357"/>
      <c r="AK722" s="4357"/>
      <c r="AL722" s="4357"/>
      <c r="AM722" s="4357"/>
      <c r="AN722" s="4357"/>
      <c r="AO722" s="4357"/>
      <c r="AP722" s="4357"/>
      <c r="AQ722" s="4357"/>
      <c r="AR722" s="4357"/>
      <c r="AS722" s="4357"/>
      <c r="AT722" s="4357"/>
      <c r="AU722" s="4357"/>
      <c r="AV722" s="4357"/>
      <c r="AW722" s="4357"/>
      <c r="AX722" s="4357"/>
      <c r="AY722" s="4357"/>
      <c r="AZ722" s="4357"/>
      <c r="BA722" s="4357"/>
      <c r="BB722" s="4357"/>
      <c r="BC722" s="4357"/>
      <c r="BD722" s="4357"/>
      <c r="BE722" s="4357"/>
      <c r="BF722" s="4357"/>
      <c r="BG722" s="4357"/>
      <c r="BH722" s="4357"/>
      <c r="BI722" s="4357"/>
    </row>
    <row r="723" spans="1:61" ht="24.75" customHeight="1">
      <c r="A723" s="4340" t="s">
        <v>5845</v>
      </c>
      <c r="B723" s="4341" t="s">
        <v>1025</v>
      </c>
      <c r="C723" s="4342" t="s">
        <v>1967</v>
      </c>
      <c r="D723" s="4340" t="s">
        <v>4460</v>
      </c>
      <c r="E723" s="4343" t="str">
        <f>VLOOKUP(F723,plasmids!$A$2:$B$891,2)</f>
        <v>AAV2-7m8</v>
      </c>
      <c r="F723" s="4344">
        <v>178</v>
      </c>
      <c r="G723" s="4345"/>
      <c r="H723" s="4355" t="str">
        <f>VLOOKUP(I723,plasmids!$A$2:$B$740,2)</f>
        <v>pssAAV-Pan long-CoChR-GFP</v>
      </c>
      <c r="I723" s="4340">
        <v>694</v>
      </c>
      <c r="J723" s="4346"/>
      <c r="K723" s="4347"/>
      <c r="L723" s="4348"/>
      <c r="M723" s="4349">
        <v>42590</v>
      </c>
      <c r="N723" s="4350" t="s">
        <v>5850</v>
      </c>
      <c r="O723" s="4344"/>
      <c r="P723" s="4351"/>
      <c r="Q723" s="4352">
        <v>3410000000000</v>
      </c>
      <c r="R723" s="4353">
        <v>11800000000</v>
      </c>
      <c r="S723" s="4354">
        <f t="shared" si="0"/>
        <v>9478644067796.6113</v>
      </c>
      <c r="T723" s="4340" t="s">
        <v>5840</v>
      </c>
      <c r="U723" s="4346"/>
      <c r="V723" s="4355">
        <f>144-20-12</f>
        <v>112</v>
      </c>
      <c r="W723" s="4356"/>
      <c r="X723" s="4357"/>
      <c r="Y723" s="4357"/>
      <c r="Z723" s="4357"/>
      <c r="AA723" s="4357"/>
      <c r="AB723" s="4357"/>
      <c r="AC723" s="4357"/>
      <c r="AD723" s="4357"/>
      <c r="AE723" s="4357"/>
      <c r="AF723" s="4357"/>
      <c r="AG723" s="4357"/>
      <c r="AH723" s="4357"/>
      <c r="AI723" s="4357"/>
      <c r="AJ723" s="4357"/>
      <c r="AK723" s="4357"/>
      <c r="AL723" s="4357"/>
      <c r="AM723" s="4357"/>
      <c r="AN723" s="4357"/>
      <c r="AO723" s="4357"/>
      <c r="AP723" s="4357"/>
      <c r="AQ723" s="4357"/>
      <c r="AR723" s="4357"/>
      <c r="AS723" s="4357"/>
      <c r="AT723" s="4357"/>
      <c r="AU723" s="4357"/>
      <c r="AV723" s="4357"/>
      <c r="AW723" s="4357"/>
      <c r="AX723" s="4357"/>
      <c r="AY723" s="4357"/>
      <c r="AZ723" s="4357"/>
      <c r="BA723" s="4357"/>
      <c r="BB723" s="4357"/>
      <c r="BC723" s="4357"/>
      <c r="BD723" s="4357"/>
      <c r="BE723" s="4357"/>
      <c r="BF723" s="4357"/>
      <c r="BG723" s="4357"/>
      <c r="BH723" s="4357"/>
      <c r="BI723" s="4357"/>
    </row>
    <row r="724" spans="1:61" ht="24.75" customHeight="1">
      <c r="A724" s="3870" t="s">
        <v>1549</v>
      </c>
      <c r="B724" s="3870" t="s">
        <v>5767</v>
      </c>
      <c r="C724" s="3871" t="s">
        <v>1967</v>
      </c>
      <c r="D724" s="3870" t="s">
        <v>5794</v>
      </c>
      <c r="E724" s="3872" t="str">
        <f>VLOOKUP(F724,plasmids!$A$2:$B$891,2)</f>
        <v>pAV2-7mBbis</v>
      </c>
      <c r="F724" s="3873">
        <v>668</v>
      </c>
      <c r="G724" s="4289"/>
      <c r="H724" s="4289" t="str">
        <f>VLOOKUP(I724,plasmids!$A$2:$B$640,2)</f>
        <v>sc-CAG-GFP</v>
      </c>
      <c r="I724" s="3870">
        <v>120</v>
      </c>
      <c r="J724" s="3875"/>
      <c r="K724" s="3876"/>
      <c r="L724" s="4290"/>
      <c r="M724" s="3877">
        <v>42594</v>
      </c>
      <c r="N724" s="3878">
        <v>762</v>
      </c>
      <c r="O724" s="4411"/>
      <c r="P724" s="4291"/>
      <c r="Q724" s="4292">
        <v>862000000000</v>
      </c>
      <c r="R724" s="4293">
        <v>35900000000</v>
      </c>
      <c r="S724" s="3881">
        <f t="shared" si="0"/>
        <v>787565459610.02783</v>
      </c>
      <c r="T724" s="3870" t="s">
        <v>5840</v>
      </c>
      <c r="U724" s="3875"/>
      <c r="V724" s="3872">
        <f>156-20</f>
        <v>136</v>
      </c>
      <c r="W724" s="3883"/>
      <c r="X724" s="3680"/>
      <c r="Y724" s="3680"/>
      <c r="Z724" s="3680"/>
      <c r="AA724" s="3680"/>
      <c r="AB724" s="3680"/>
      <c r="AC724" s="3680"/>
      <c r="AD724" s="3680"/>
      <c r="AE724" s="3680"/>
      <c r="AF724" s="3680"/>
      <c r="AG724" s="3680"/>
      <c r="AH724" s="3680"/>
      <c r="AI724" s="3680"/>
      <c r="AJ724" s="3680"/>
      <c r="AK724" s="3680"/>
      <c r="AL724" s="3680"/>
      <c r="AM724" s="3680"/>
      <c r="AN724" s="3680"/>
      <c r="AO724" s="3680"/>
      <c r="AP724" s="3680"/>
      <c r="AQ724" s="3680"/>
      <c r="AR724" s="3680"/>
      <c r="AS724" s="3680"/>
      <c r="AT724" s="3680"/>
      <c r="AU724" s="3680"/>
      <c r="AV724" s="3680"/>
      <c r="AW724" s="3680"/>
      <c r="AX724" s="3680"/>
      <c r="AY724" s="3680"/>
      <c r="AZ724" s="3680"/>
      <c r="BA724" s="3680"/>
      <c r="BB724" s="3680"/>
      <c r="BC724" s="3680"/>
      <c r="BD724" s="3680"/>
      <c r="BE724" s="3680"/>
      <c r="BF724" s="3680"/>
      <c r="BG724" s="3680"/>
      <c r="BH724" s="3680"/>
      <c r="BI724" s="3680"/>
    </row>
    <row r="725" spans="1:61" ht="24.75" customHeight="1">
      <c r="A725" s="3870" t="s">
        <v>1549</v>
      </c>
      <c r="B725" s="3870" t="s">
        <v>5767</v>
      </c>
      <c r="C725" s="3871" t="s">
        <v>1967</v>
      </c>
      <c r="D725" s="3870" t="s">
        <v>5794</v>
      </c>
      <c r="E725" s="3872" t="str">
        <f>VLOOKUP(F725,plasmids!$A$2:$B$891,2)</f>
        <v>pAV2-7mC</v>
      </c>
      <c r="F725" s="3873">
        <v>669</v>
      </c>
      <c r="G725" s="4289"/>
      <c r="H725" s="4289" t="str">
        <f>VLOOKUP(I725,plasmids!$A$2:$B$640,2)</f>
        <v>sc-CAG-GFP</v>
      </c>
      <c r="I725" s="3870">
        <v>120</v>
      </c>
      <c r="J725" s="3875"/>
      <c r="K725" s="3876"/>
      <c r="L725" s="4290"/>
      <c r="M725" s="3877">
        <v>42594</v>
      </c>
      <c r="N725" s="3878">
        <v>763</v>
      </c>
      <c r="O725" s="4411"/>
      <c r="P725" s="4291"/>
      <c r="Q725" s="4294">
        <v>4430000000000</v>
      </c>
      <c r="R725" s="4293">
        <v>35900000000</v>
      </c>
      <c r="S725" s="4295">
        <f t="shared" si="0"/>
        <v>4047465181058.4956</v>
      </c>
      <c r="T725" s="3870" t="s">
        <v>5840</v>
      </c>
      <c r="U725" s="3875"/>
      <c r="V725" s="3872">
        <f>166-20-72-1</f>
        <v>73</v>
      </c>
      <c r="W725" s="3883"/>
      <c r="X725" s="3680"/>
      <c r="Y725" s="3680"/>
      <c r="Z725" s="3680"/>
      <c r="AA725" s="3680"/>
      <c r="AB725" s="3680"/>
      <c r="AC725" s="3680"/>
      <c r="AD725" s="3680"/>
      <c r="AE725" s="3680"/>
      <c r="AF725" s="3680"/>
      <c r="AG725" s="3680"/>
      <c r="AH725" s="3680"/>
      <c r="AI725" s="3680"/>
      <c r="AJ725" s="3680"/>
      <c r="AK725" s="3680"/>
      <c r="AL725" s="3680"/>
      <c r="AM725" s="3680"/>
      <c r="AN725" s="3680"/>
      <c r="AO725" s="3680"/>
      <c r="AP725" s="3680"/>
      <c r="AQ725" s="3680"/>
      <c r="AR725" s="3680"/>
      <c r="AS725" s="3680"/>
      <c r="AT725" s="3680"/>
      <c r="AU725" s="3680"/>
      <c r="AV725" s="3680"/>
      <c r="AW725" s="3680"/>
      <c r="AX725" s="3680"/>
      <c r="AY725" s="3680"/>
      <c r="AZ725" s="3680"/>
      <c r="BA725" s="3680"/>
      <c r="BB725" s="3680"/>
      <c r="BC725" s="3680"/>
      <c r="BD725" s="3680"/>
      <c r="BE725" s="3680"/>
      <c r="BF725" s="3680"/>
      <c r="BG725" s="3680"/>
      <c r="BH725" s="3680"/>
      <c r="BI725" s="3680"/>
    </row>
    <row r="726" spans="1:61" ht="24.75" customHeight="1">
      <c r="A726" s="3870" t="s">
        <v>1549</v>
      </c>
      <c r="B726" s="3870" t="s">
        <v>5767</v>
      </c>
      <c r="C726" s="3871" t="s">
        <v>1967</v>
      </c>
      <c r="D726" s="3870" t="s">
        <v>5794</v>
      </c>
      <c r="E726" s="3872" t="str">
        <f>VLOOKUP(F726,plasmids!$A$2:$B$891,2)</f>
        <v>pAV2-7mD</v>
      </c>
      <c r="F726" s="3873">
        <v>670</v>
      </c>
      <c r="G726" s="4289"/>
      <c r="H726" s="4289" t="str">
        <f>VLOOKUP(I726,plasmids!$A$2:$B$640,2)</f>
        <v>sc-CAG-GFP</v>
      </c>
      <c r="I726" s="3870">
        <v>120</v>
      </c>
      <c r="J726" s="3875"/>
      <c r="K726" s="3876"/>
      <c r="L726" s="4290"/>
      <c r="M726" s="3877">
        <v>42594</v>
      </c>
      <c r="N726" s="3878">
        <v>764</v>
      </c>
      <c r="O726" s="4411"/>
      <c r="P726" s="4291"/>
      <c r="Q726" s="4294">
        <v>22200000000000</v>
      </c>
      <c r="R726" s="4293">
        <v>35900000000</v>
      </c>
      <c r="S726" s="3881">
        <f t="shared" si="0"/>
        <v>20283008356545.961</v>
      </c>
      <c r="T726" s="3870" t="s">
        <v>5840</v>
      </c>
      <c r="U726" s="3875"/>
      <c r="V726" s="3872">
        <f>144-20-72-1</f>
        <v>51</v>
      </c>
      <c r="W726" s="3883"/>
      <c r="X726" s="3680"/>
      <c r="Y726" s="3680"/>
      <c r="Z726" s="3680"/>
      <c r="AA726" s="3680"/>
      <c r="AB726" s="3680"/>
      <c r="AC726" s="3680"/>
      <c r="AD726" s="3680"/>
      <c r="AE726" s="3680"/>
      <c r="AF726" s="3680"/>
      <c r="AG726" s="3680"/>
      <c r="AH726" s="3680"/>
      <c r="AI726" s="3680"/>
      <c r="AJ726" s="3680"/>
      <c r="AK726" s="3680"/>
      <c r="AL726" s="3680"/>
      <c r="AM726" s="3680"/>
      <c r="AN726" s="3680"/>
      <c r="AO726" s="3680"/>
      <c r="AP726" s="3680"/>
      <c r="AQ726" s="3680"/>
      <c r="AR726" s="3680"/>
      <c r="AS726" s="3680"/>
      <c r="AT726" s="3680"/>
      <c r="AU726" s="3680"/>
      <c r="AV726" s="3680"/>
      <c r="AW726" s="3680"/>
      <c r="AX726" s="3680"/>
      <c r="AY726" s="3680"/>
      <c r="AZ726" s="3680"/>
      <c r="BA726" s="3680"/>
      <c r="BB726" s="3680"/>
      <c r="BC726" s="3680"/>
      <c r="BD726" s="3680"/>
      <c r="BE726" s="3680"/>
      <c r="BF726" s="3680"/>
      <c r="BG726" s="3680"/>
      <c r="BH726" s="3680"/>
      <c r="BI726" s="3680"/>
    </row>
    <row r="727" spans="1:61" ht="24.75" customHeight="1">
      <c r="A727" s="4412" t="s">
        <v>5845</v>
      </c>
      <c r="B727" s="2151" t="s">
        <v>1025</v>
      </c>
      <c r="C727" s="4413" t="s">
        <v>1967</v>
      </c>
      <c r="D727" s="4412" t="s">
        <v>4460</v>
      </c>
      <c r="E727" s="2154" t="str">
        <f>VLOOKUP(F727,plasmids!$A$2:$B$891,2)</f>
        <v>AAV2-7m8</v>
      </c>
      <c r="F727" s="1336">
        <v>178</v>
      </c>
      <c r="G727" s="2156"/>
      <c r="H727" s="4412" t="str">
        <f>VLOOKUP(I727,plasmids!$A$2:$B$740,2)</f>
        <v>pssAAV-1xgrm6*-ReachR-GFP</v>
      </c>
      <c r="I727" s="4412">
        <v>684</v>
      </c>
      <c r="J727" s="2159"/>
      <c r="K727" s="2161"/>
      <c r="L727" s="2162"/>
      <c r="M727" s="2163">
        <v>42594</v>
      </c>
      <c r="N727" s="3211">
        <v>765</v>
      </c>
      <c r="O727" s="1336"/>
      <c r="P727" s="2165"/>
      <c r="Q727" s="4414">
        <v>30000000000000</v>
      </c>
      <c r="R727" s="3444">
        <v>35900000000</v>
      </c>
      <c r="S727" s="4415">
        <f t="shared" si="0"/>
        <v>27409470752089.137</v>
      </c>
      <c r="T727" s="4412" t="s">
        <v>5840</v>
      </c>
      <c r="U727" s="2159"/>
      <c r="V727" s="4416">
        <f>184-20-20-15</f>
        <v>129</v>
      </c>
      <c r="W727" s="3446"/>
      <c r="X727" s="2167"/>
      <c r="Y727" s="2167"/>
      <c r="Z727" s="2167"/>
      <c r="AA727" s="2167"/>
      <c r="AB727" s="2167"/>
      <c r="AC727" s="2167"/>
      <c r="AD727" s="2167"/>
      <c r="AE727" s="2167"/>
      <c r="AF727" s="2167"/>
      <c r="AG727" s="2167"/>
      <c r="AH727" s="2167"/>
      <c r="AI727" s="2167"/>
      <c r="AJ727" s="2167"/>
      <c r="AK727" s="2167"/>
      <c r="AL727" s="2167"/>
      <c r="AM727" s="2167"/>
      <c r="AN727" s="2167"/>
      <c r="AO727" s="2167"/>
      <c r="AP727" s="2167"/>
      <c r="AQ727" s="2167"/>
      <c r="AR727" s="2167"/>
      <c r="AS727" s="2167"/>
      <c r="AT727" s="2167"/>
      <c r="AU727" s="2167"/>
      <c r="AV727" s="2167"/>
      <c r="AW727" s="2167"/>
      <c r="AX727" s="2167"/>
      <c r="AY727" s="2167"/>
      <c r="AZ727" s="2167"/>
      <c r="BA727" s="2167"/>
      <c r="BB727" s="2167"/>
      <c r="BC727" s="2167"/>
      <c r="BD727" s="2167"/>
      <c r="BE727" s="2167"/>
      <c r="BF727" s="2167"/>
      <c r="BG727" s="2167"/>
      <c r="BH727" s="2167"/>
      <c r="BI727" s="2167"/>
    </row>
    <row r="728" spans="1:61" ht="24.75" customHeight="1">
      <c r="A728" s="4412" t="s">
        <v>5845</v>
      </c>
      <c r="B728" s="2151" t="s">
        <v>1025</v>
      </c>
      <c r="C728" s="4413" t="s">
        <v>1967</v>
      </c>
      <c r="D728" s="4412" t="s">
        <v>4460</v>
      </c>
      <c r="E728" s="2154" t="str">
        <f>VLOOKUP(F728,plasmids!$A$2:$B$891,2)</f>
        <v>AAV2-7m8</v>
      </c>
      <c r="F728" s="1336">
        <v>178</v>
      </c>
      <c r="G728" s="2156"/>
      <c r="H728" s="4412" t="str">
        <f>VLOOKUP(I728,plasmids!$A$2:$B$740,2)</f>
        <v xml:space="preserve"> pssAAV-1xgrm6-ReachR-GFP</v>
      </c>
      <c r="I728" s="4412">
        <v>688</v>
      </c>
      <c r="J728" s="2159"/>
      <c r="K728" s="2161"/>
      <c r="L728" s="2162"/>
      <c r="M728" s="2163">
        <v>42594</v>
      </c>
      <c r="N728" s="3211">
        <v>766</v>
      </c>
      <c r="O728" s="1336"/>
      <c r="P728" s="2165"/>
      <c r="Q728" s="4414">
        <v>26300000000000</v>
      </c>
      <c r="R728" s="3444">
        <v>35900000000</v>
      </c>
      <c r="S728" s="4415">
        <f t="shared" si="0"/>
        <v>24028969359331.477</v>
      </c>
      <c r="T728" s="4412" t="s">
        <v>5840</v>
      </c>
      <c r="U728" s="2159"/>
      <c r="V728" s="4416">
        <f>178-20-20-15</f>
        <v>123</v>
      </c>
      <c r="W728" s="3446"/>
      <c r="X728" s="2167"/>
      <c r="Y728" s="2167"/>
      <c r="Z728" s="2167"/>
      <c r="AA728" s="2167"/>
      <c r="AB728" s="2167"/>
      <c r="AC728" s="2167"/>
      <c r="AD728" s="2167"/>
      <c r="AE728" s="2167"/>
      <c r="AF728" s="2167"/>
      <c r="AG728" s="2167"/>
      <c r="AH728" s="2167"/>
      <c r="AI728" s="2167"/>
      <c r="AJ728" s="2167"/>
      <c r="AK728" s="2167"/>
      <c r="AL728" s="2167"/>
      <c r="AM728" s="2167"/>
      <c r="AN728" s="2167"/>
      <c r="AO728" s="2167"/>
      <c r="AP728" s="2167"/>
      <c r="AQ728" s="2167"/>
      <c r="AR728" s="2167"/>
      <c r="AS728" s="2167"/>
      <c r="AT728" s="2167"/>
      <c r="AU728" s="2167"/>
      <c r="AV728" s="2167"/>
      <c r="AW728" s="2167"/>
      <c r="AX728" s="2167"/>
      <c r="AY728" s="2167"/>
      <c r="AZ728" s="2167"/>
      <c r="BA728" s="2167"/>
      <c r="BB728" s="2167"/>
      <c r="BC728" s="2167"/>
      <c r="BD728" s="2167"/>
      <c r="BE728" s="2167"/>
      <c r="BF728" s="2167"/>
      <c r="BG728" s="2167"/>
      <c r="BH728" s="2167"/>
      <c r="BI728" s="2167"/>
    </row>
    <row r="729" spans="1:61" ht="24.75" customHeight="1">
      <c r="A729" s="3526" t="s">
        <v>1343</v>
      </c>
      <c r="B729" s="3526" t="s">
        <v>5851</v>
      </c>
      <c r="C729" s="3527" t="s">
        <v>5852</v>
      </c>
      <c r="D729" s="3526" t="s">
        <v>1088</v>
      </c>
      <c r="E729" s="3528" t="str">
        <f>VLOOKUP(F729,plasmids!$A$2:$B$891,2)</f>
        <v>AAV2-7m8</v>
      </c>
      <c r="F729" s="3529">
        <v>178</v>
      </c>
      <c r="G729" s="3530"/>
      <c r="H729" s="4142" t="str">
        <f>VLOOKUP(I729,plasmids!$A$2:$B$640,2)</f>
        <v>pscAAV-CAG-hCatch-GFP</v>
      </c>
      <c r="I729" s="3526">
        <v>547</v>
      </c>
      <c r="J729" s="3531"/>
      <c r="K729" s="3532"/>
      <c r="L729" s="3752"/>
      <c r="M729" s="3534">
        <v>42594</v>
      </c>
      <c r="N729" s="3535">
        <v>767</v>
      </c>
      <c r="O729" s="3529"/>
      <c r="P729" s="3536"/>
      <c r="Q729" s="4144">
        <v>5500000000000</v>
      </c>
      <c r="R729" s="4145">
        <v>35900000000</v>
      </c>
      <c r="S729" s="4337">
        <f t="shared" si="0"/>
        <v>5025069637883.0078</v>
      </c>
      <c r="T729" s="3526"/>
      <c r="U729" s="3531"/>
      <c r="V729" s="4146">
        <f>142</f>
        <v>142</v>
      </c>
      <c r="W729" s="3756" t="s">
        <v>2812</v>
      </c>
      <c r="X729" s="3541"/>
      <c r="Y729" s="3541"/>
      <c r="Z729" s="3541"/>
      <c r="AA729" s="3541"/>
      <c r="AB729" s="3541"/>
      <c r="AC729" s="3541"/>
      <c r="AD729" s="3541"/>
      <c r="AE729" s="3541"/>
      <c r="AF729" s="3541"/>
      <c r="AG729" s="3541"/>
      <c r="AH729" s="3541"/>
      <c r="AI729" s="3541"/>
      <c r="AJ729" s="3541"/>
      <c r="AK729" s="3541"/>
      <c r="AL729" s="3541"/>
      <c r="AM729" s="3541"/>
      <c r="AN729" s="3541"/>
      <c r="AO729" s="3541"/>
      <c r="AP729" s="3541"/>
      <c r="AQ729" s="3541"/>
      <c r="AR729" s="3541"/>
      <c r="AS729" s="3541"/>
      <c r="AT729" s="3541"/>
      <c r="AU729" s="3541"/>
      <c r="AV729" s="3541"/>
      <c r="AW729" s="3541"/>
      <c r="AX729" s="3541"/>
      <c r="AY729" s="3541"/>
      <c r="AZ729" s="3541"/>
      <c r="BA729" s="3541"/>
      <c r="BB729" s="3541"/>
      <c r="BC729" s="3541"/>
      <c r="BD729" s="3541"/>
      <c r="BE729" s="3541"/>
      <c r="BF729" s="3541"/>
      <c r="BG729" s="3541"/>
      <c r="BH729" s="3541"/>
      <c r="BI729" s="3541"/>
    </row>
    <row r="730" spans="1:61" ht="24.75" customHeight="1">
      <c r="A730" s="3375"/>
      <c r="B730" s="3375"/>
      <c r="C730" s="3551" t="s">
        <v>55</v>
      </c>
      <c r="D730" s="3375" t="s">
        <v>70</v>
      </c>
      <c r="E730" s="3013" t="str">
        <f>VLOOKUP(F730,plasmids!$A$2:$B$891,2)</f>
        <v>AAV2-7m8</v>
      </c>
      <c r="F730" s="2655">
        <v>178</v>
      </c>
      <c r="G730" s="2596"/>
      <c r="H730" s="2596" t="str">
        <f>VLOOKUP(I730,plasmids!$A$2:$B$891,2)</f>
        <v>pssAAV-CAG-ChrimsonR-tdTomato</v>
      </c>
      <c r="I730" s="3375">
        <v>479</v>
      </c>
      <c r="J730" s="3375" t="s">
        <v>5853</v>
      </c>
      <c r="K730" s="3147"/>
      <c r="L730" s="2654"/>
      <c r="M730" s="2695" t="s">
        <v>5854</v>
      </c>
      <c r="N730" s="2649">
        <v>768</v>
      </c>
      <c r="O730" s="2655" t="s">
        <v>5855</v>
      </c>
      <c r="P730" s="2651"/>
      <c r="Q730" s="4417">
        <v>43700000000000</v>
      </c>
      <c r="R730" s="1852">
        <v>35900000000</v>
      </c>
      <c r="S730" s="3751">
        <f t="shared" si="0"/>
        <v>39926462395543.172</v>
      </c>
      <c r="T730" s="1407"/>
      <c r="U730" s="2648"/>
      <c r="V730" s="3554">
        <v>20</v>
      </c>
      <c r="W730" s="3150" t="s">
        <v>2812</v>
      </c>
      <c r="X730" s="2656"/>
      <c r="Y730" s="2656"/>
      <c r="Z730" s="2656"/>
      <c r="AA730" s="2656"/>
      <c r="AB730" s="2656"/>
      <c r="AC730" s="2656"/>
      <c r="AD730" s="2656"/>
      <c r="AE730" s="2656"/>
      <c r="AF730" s="2656"/>
      <c r="AG730" s="2656"/>
      <c r="AH730" s="2656"/>
      <c r="AI730" s="2656"/>
      <c r="AJ730" s="2656"/>
      <c r="AK730" s="2656"/>
      <c r="AL730" s="2656"/>
      <c r="AM730" s="2656"/>
      <c r="AN730" s="2656"/>
      <c r="AO730" s="2656"/>
      <c r="AP730" s="2656"/>
      <c r="AQ730" s="2656"/>
      <c r="AR730" s="2656"/>
      <c r="AS730" s="2656"/>
      <c r="AT730" s="2656"/>
      <c r="AU730" s="2656"/>
      <c r="AV730" s="2656"/>
      <c r="AW730" s="2656"/>
      <c r="AX730" s="2656"/>
      <c r="AY730" s="2656"/>
      <c r="AZ730" s="2656"/>
      <c r="BA730" s="2656"/>
      <c r="BB730" s="2656"/>
      <c r="BC730" s="2656"/>
      <c r="BD730" s="2656"/>
      <c r="BE730" s="2656"/>
      <c r="BF730" s="2656"/>
      <c r="BG730" s="2656"/>
      <c r="BH730" s="2656"/>
      <c r="BI730" s="2656"/>
    </row>
    <row r="731" spans="1:61" ht="24.75" customHeight="1">
      <c r="A731" s="4221" t="s">
        <v>5856</v>
      </c>
      <c r="B731" s="4221" t="s">
        <v>5857</v>
      </c>
      <c r="C731" s="4222" t="s">
        <v>1236</v>
      </c>
      <c r="D731" s="4221" t="s">
        <v>3782</v>
      </c>
      <c r="E731" s="4223" t="s">
        <v>5858</v>
      </c>
      <c r="F731" s="4224"/>
      <c r="G731" s="4225"/>
      <c r="H731" s="4226" t="s">
        <v>5859</v>
      </c>
      <c r="I731" s="4221"/>
      <c r="J731" s="4227"/>
      <c r="K731" s="4228"/>
      <c r="L731" s="4229"/>
      <c r="M731" s="4230">
        <v>42601</v>
      </c>
      <c r="N731" s="4418">
        <v>769</v>
      </c>
      <c r="O731" s="4224"/>
      <c r="P731" s="4232"/>
      <c r="Q731" s="4419">
        <v>15200000000</v>
      </c>
      <c r="R731" s="4420">
        <v>11800000000</v>
      </c>
      <c r="S731" s="4235">
        <f t="shared" si="0"/>
        <v>42250847457.627121</v>
      </c>
      <c r="T731" s="4221" t="s">
        <v>5840</v>
      </c>
      <c r="U731" s="4227"/>
      <c r="V731" s="4223"/>
      <c r="W731" s="4236"/>
      <c r="X731" s="4237"/>
      <c r="Y731" s="4237"/>
      <c r="Z731" s="4237"/>
      <c r="AA731" s="4237"/>
      <c r="AB731" s="4237"/>
      <c r="AC731" s="4237"/>
      <c r="AD731" s="4237"/>
      <c r="AE731" s="4237"/>
      <c r="AF731" s="4237"/>
      <c r="AG731" s="4237"/>
      <c r="AH731" s="4237"/>
      <c r="AI731" s="4237"/>
      <c r="AJ731" s="4237"/>
      <c r="AK731" s="4237"/>
      <c r="AL731" s="4237"/>
      <c r="AM731" s="4237"/>
      <c r="AN731" s="4237"/>
      <c r="AO731" s="4237"/>
      <c r="AP731" s="4237"/>
      <c r="AQ731" s="4237"/>
      <c r="AR731" s="4237"/>
      <c r="AS731" s="4237"/>
      <c r="AT731" s="4237"/>
      <c r="AU731" s="4237"/>
      <c r="AV731" s="4237"/>
      <c r="AW731" s="4237"/>
      <c r="AX731" s="4237"/>
      <c r="AY731" s="4237"/>
      <c r="AZ731" s="4237"/>
      <c r="BA731" s="4237"/>
      <c r="BB731" s="4237"/>
      <c r="BC731" s="4237"/>
      <c r="BD731" s="4237"/>
      <c r="BE731" s="4237"/>
      <c r="BF731" s="4237"/>
      <c r="BG731" s="4237"/>
      <c r="BH731" s="4237"/>
      <c r="BI731" s="4237"/>
    </row>
    <row r="732" spans="1:61" ht="25.5" customHeight="1">
      <c r="A732" s="4313" t="s">
        <v>5814</v>
      </c>
      <c r="B732" s="4313" t="s">
        <v>5818</v>
      </c>
      <c r="C732" s="4314" t="s">
        <v>5842</v>
      </c>
      <c r="D732" s="4313" t="s">
        <v>3782</v>
      </c>
      <c r="E732" s="4315" t="str">
        <f>VLOOKUP(F732,plasmids!$A$2:$B$891,2)</f>
        <v>AAV2-7m8</v>
      </c>
      <c r="F732" s="4316">
        <v>178</v>
      </c>
      <c r="G732" s="4317"/>
      <c r="H732" s="4313" t="str">
        <f>VLOOKUP(I732,plasmids!$A$2:$B$740,2)</f>
        <v>pssAAV-U6-shLife10scr-MfHsUSH1C-CMV-GFP</v>
      </c>
      <c r="I732" s="4313">
        <v>634</v>
      </c>
      <c r="J732" s="4318"/>
      <c r="K732" s="4319"/>
      <c r="L732" s="4319"/>
      <c r="M732" s="4320">
        <v>42601</v>
      </c>
      <c r="N732" s="4421">
        <v>770</v>
      </c>
      <c r="O732" s="4316"/>
      <c r="P732" s="4322"/>
      <c r="Q732" s="4323">
        <v>20800000000000</v>
      </c>
      <c r="R732" s="4324">
        <v>11800000000</v>
      </c>
      <c r="S732" s="4325">
        <f t="shared" si="0"/>
        <v>57816949152542.375</v>
      </c>
      <c r="T732" s="4318"/>
      <c r="U732" s="4318"/>
      <c r="V732" s="4316"/>
      <c r="W732" s="4255"/>
      <c r="X732" s="4255"/>
      <c r="Y732" s="4326"/>
      <c r="Z732" s="4255"/>
      <c r="AA732" s="4255"/>
      <c r="AB732" s="4255"/>
      <c r="AC732" s="4255"/>
      <c r="AD732" s="4255"/>
      <c r="AE732" s="4255"/>
      <c r="AF732" s="4255"/>
      <c r="AG732" s="4255"/>
      <c r="AH732" s="4255"/>
      <c r="AI732" s="4255"/>
      <c r="AJ732" s="4255"/>
      <c r="AK732" s="4255"/>
      <c r="AL732" s="4255"/>
      <c r="AM732" s="4255"/>
      <c r="AN732" s="4255"/>
      <c r="AO732" s="4255"/>
      <c r="AP732" s="4255"/>
      <c r="AQ732" s="4255"/>
      <c r="AR732" s="4255"/>
      <c r="AS732" s="4255"/>
      <c r="AT732" s="4255"/>
      <c r="AU732" s="4255"/>
      <c r="AV732" s="4255"/>
      <c r="AW732" s="4255"/>
      <c r="AX732" s="4255"/>
      <c r="AY732" s="4255"/>
      <c r="AZ732" s="4255"/>
      <c r="BA732" s="4255"/>
      <c r="BB732" s="4255"/>
      <c r="BC732" s="4255"/>
      <c r="BD732" s="4255"/>
      <c r="BE732" s="4255"/>
      <c r="BF732" s="4255"/>
      <c r="BG732" s="4255"/>
      <c r="BH732" s="4255"/>
      <c r="BI732" s="4255"/>
    </row>
    <row r="733" spans="1:61" ht="25.5" customHeight="1">
      <c r="A733" s="4313" t="s">
        <v>5814</v>
      </c>
      <c r="B733" s="4313" t="s">
        <v>5818</v>
      </c>
      <c r="C733" s="4314" t="s">
        <v>5842</v>
      </c>
      <c r="D733" s="4313" t="s">
        <v>3782</v>
      </c>
      <c r="E733" s="4315" t="str">
        <f>VLOOKUP(F733,plasmids!$A$2:$B$891,2)</f>
        <v>AAV2-7m8</v>
      </c>
      <c r="F733" s="4316">
        <v>178</v>
      </c>
      <c r="G733" s="4317"/>
      <c r="H733" s="4313" t="str">
        <f>VLOOKUP(I733,plasmids!$A$2:$B$740,2)</f>
        <v>pssAAV-U6-sh454-MfUSH1C-CMV-***-GFP</v>
      </c>
      <c r="I733" s="4313">
        <v>686</v>
      </c>
      <c r="J733" s="4318"/>
      <c r="K733" s="4319"/>
      <c r="L733" s="4319"/>
      <c r="M733" s="4320">
        <v>42601</v>
      </c>
      <c r="N733" s="4421">
        <v>771</v>
      </c>
      <c r="O733" s="4316"/>
      <c r="P733" s="4322"/>
      <c r="Q733" s="4323">
        <v>53400000000</v>
      </c>
      <c r="R733" s="4324">
        <v>11800000000</v>
      </c>
      <c r="S733" s="4325">
        <f t="shared" si="0"/>
        <v>148433898305.08475</v>
      </c>
      <c r="T733" s="4318"/>
      <c r="U733" s="4318"/>
      <c r="V733" s="4316"/>
      <c r="W733" s="4255"/>
      <c r="X733" s="4255"/>
      <c r="Y733" s="4326"/>
      <c r="Z733" s="4255"/>
      <c r="AA733" s="4255"/>
      <c r="AB733" s="4255"/>
      <c r="AC733" s="4255"/>
      <c r="AD733" s="4255"/>
      <c r="AE733" s="4255"/>
      <c r="AF733" s="4255"/>
      <c r="AG733" s="4255"/>
      <c r="AH733" s="4255"/>
      <c r="AI733" s="4255"/>
      <c r="AJ733" s="4255"/>
      <c r="AK733" s="4255"/>
      <c r="AL733" s="4255"/>
      <c r="AM733" s="4255"/>
      <c r="AN733" s="4255"/>
      <c r="AO733" s="4255"/>
      <c r="AP733" s="4255"/>
      <c r="AQ733" s="4255"/>
      <c r="AR733" s="4255"/>
      <c r="AS733" s="4255"/>
      <c r="AT733" s="4255"/>
      <c r="AU733" s="4255"/>
      <c r="AV733" s="4255"/>
      <c r="AW733" s="4255"/>
      <c r="AX733" s="4255"/>
      <c r="AY733" s="4255"/>
      <c r="AZ733" s="4255"/>
      <c r="BA733" s="4255"/>
      <c r="BB733" s="4255"/>
      <c r="BC733" s="4255"/>
      <c r="BD733" s="4255"/>
      <c r="BE733" s="4255"/>
      <c r="BF733" s="4255"/>
      <c r="BG733" s="4255"/>
      <c r="BH733" s="4255"/>
      <c r="BI733" s="4255"/>
    </row>
    <row r="734" spans="1:61" ht="25.5" customHeight="1">
      <c r="A734" s="4313" t="s">
        <v>5814</v>
      </c>
      <c r="B734" s="4313" t="s">
        <v>5818</v>
      </c>
      <c r="C734" s="4314" t="s">
        <v>5842</v>
      </c>
      <c r="D734" s="4313" t="s">
        <v>3782</v>
      </c>
      <c r="E734" s="4315" t="str">
        <f>VLOOKUP(F734,plasmids!$A$2:$B$891,2)</f>
        <v>AAV2-7m8</v>
      </c>
      <c r="F734" s="4316">
        <v>178</v>
      </c>
      <c r="G734" s="4317"/>
      <c r="H734" s="4313" t="str">
        <f>VLOOKUP(I734,plasmids!$A$2:$B$740,2)</f>
        <v>pssAAV-U6-ScrLife10-MfUSH1C-CMV-***-GFP</v>
      </c>
      <c r="I734" s="4313">
        <v>687</v>
      </c>
      <c r="J734" s="4318"/>
      <c r="K734" s="4319"/>
      <c r="L734" s="4319"/>
      <c r="M734" s="4320">
        <v>42601</v>
      </c>
      <c r="N734" s="4421">
        <v>772</v>
      </c>
      <c r="O734" s="4316"/>
      <c r="P734" s="4322"/>
      <c r="Q734" s="4323">
        <v>115000000000</v>
      </c>
      <c r="R734" s="4324">
        <v>11800000000</v>
      </c>
      <c r="S734" s="4325">
        <f t="shared" si="0"/>
        <v>319661016949.15259</v>
      </c>
      <c r="T734" s="4318"/>
      <c r="U734" s="4318"/>
      <c r="V734" s="4316"/>
      <c r="W734" s="4255"/>
      <c r="X734" s="4255"/>
      <c r="Y734" s="4326"/>
      <c r="Z734" s="4255"/>
      <c r="AA734" s="4255"/>
      <c r="AB734" s="4255"/>
      <c r="AC734" s="4255"/>
      <c r="AD734" s="4255"/>
      <c r="AE734" s="4255"/>
      <c r="AF734" s="4255"/>
      <c r="AG734" s="4255"/>
      <c r="AH734" s="4255"/>
      <c r="AI734" s="4255"/>
      <c r="AJ734" s="4255"/>
      <c r="AK734" s="4255"/>
      <c r="AL734" s="4255"/>
      <c r="AM734" s="4255"/>
      <c r="AN734" s="4255"/>
      <c r="AO734" s="4255"/>
      <c r="AP734" s="4255"/>
      <c r="AQ734" s="4255"/>
      <c r="AR734" s="4255"/>
      <c r="AS734" s="4255"/>
      <c r="AT734" s="4255"/>
      <c r="AU734" s="4255"/>
      <c r="AV734" s="4255"/>
      <c r="AW734" s="4255"/>
      <c r="AX734" s="4255"/>
      <c r="AY734" s="4255"/>
      <c r="AZ734" s="4255"/>
      <c r="BA734" s="4255"/>
      <c r="BB734" s="4255"/>
      <c r="BC734" s="4255"/>
      <c r="BD734" s="4255"/>
      <c r="BE734" s="4255"/>
      <c r="BF734" s="4255"/>
      <c r="BG734" s="4255"/>
      <c r="BH734" s="4255"/>
      <c r="BI734" s="4255"/>
    </row>
    <row r="735" spans="1:61" ht="25.5" customHeight="1">
      <c r="A735" s="4313" t="s">
        <v>5814</v>
      </c>
      <c r="B735" s="4313" t="s">
        <v>5818</v>
      </c>
      <c r="C735" s="4314" t="s">
        <v>5842</v>
      </c>
      <c r="D735" s="4313" t="s">
        <v>3782</v>
      </c>
      <c r="E735" s="4315" t="str">
        <f>VLOOKUP(F735,plasmids!$A$2:$B$891,2)</f>
        <v>AAV2-7m8</v>
      </c>
      <c r="F735" s="4316">
        <v>178</v>
      </c>
      <c r="G735" s="4317"/>
      <c r="H735" s="4313" t="str">
        <f>VLOOKUP(I735,plasmids!$A$2:$B$740,2)</f>
        <v>pssAAV-CMV-GFP (GW)</v>
      </c>
      <c r="I735" s="4313">
        <v>212</v>
      </c>
      <c r="J735" s="4318"/>
      <c r="K735" s="4319"/>
      <c r="L735" s="4319"/>
      <c r="M735" s="4320">
        <v>42601</v>
      </c>
      <c r="N735" s="4421">
        <v>773</v>
      </c>
      <c r="O735" s="4316"/>
      <c r="P735" s="4322"/>
      <c r="Q735" s="4323">
        <v>10100000000000</v>
      </c>
      <c r="R735" s="4324">
        <v>11800000000</v>
      </c>
      <c r="S735" s="4325">
        <f t="shared" si="0"/>
        <v>28074576271186.441</v>
      </c>
      <c r="T735" s="4318"/>
      <c r="U735" s="4318"/>
      <c r="V735" s="4316"/>
      <c r="W735" s="4255"/>
      <c r="X735" s="4255"/>
      <c r="Y735" s="4326"/>
      <c r="Z735" s="4255"/>
      <c r="AA735" s="4255"/>
      <c r="AB735" s="4255"/>
      <c r="AC735" s="4255"/>
      <c r="AD735" s="4255"/>
      <c r="AE735" s="4255"/>
      <c r="AF735" s="4255"/>
      <c r="AG735" s="4255"/>
      <c r="AH735" s="4255"/>
      <c r="AI735" s="4255"/>
      <c r="AJ735" s="4255"/>
      <c r="AK735" s="4255"/>
      <c r="AL735" s="4255"/>
      <c r="AM735" s="4255"/>
      <c r="AN735" s="4255"/>
      <c r="AO735" s="4255"/>
      <c r="AP735" s="4255"/>
      <c r="AQ735" s="4255"/>
      <c r="AR735" s="4255"/>
      <c r="AS735" s="4255"/>
      <c r="AT735" s="4255"/>
      <c r="AU735" s="4255"/>
      <c r="AV735" s="4255"/>
      <c r="AW735" s="4255"/>
      <c r="AX735" s="4255"/>
      <c r="AY735" s="4255"/>
      <c r="AZ735" s="4255"/>
      <c r="BA735" s="4255"/>
      <c r="BB735" s="4255"/>
      <c r="BC735" s="4255"/>
      <c r="BD735" s="4255"/>
      <c r="BE735" s="4255"/>
      <c r="BF735" s="4255"/>
      <c r="BG735" s="4255"/>
      <c r="BH735" s="4255"/>
      <c r="BI735" s="4255"/>
    </row>
    <row r="736" spans="1:61" ht="25.5" customHeight="1">
      <c r="A736" s="4313" t="s">
        <v>5814</v>
      </c>
      <c r="B736" s="4313" t="s">
        <v>5818</v>
      </c>
      <c r="C736" s="4314" t="s">
        <v>5842</v>
      </c>
      <c r="D736" s="4313" t="s">
        <v>3782</v>
      </c>
      <c r="E736" s="4315" t="str">
        <f>VLOOKUP(F736,plasmids!$A$2:$B$891,2)</f>
        <v>AAV2-7m8</v>
      </c>
      <c r="F736" s="4316">
        <v>178</v>
      </c>
      <c r="G736" s="4317"/>
      <c r="H736" s="4313" t="str">
        <f>VLOOKUP(I736,plasmids!$A$2:$B$740,2)</f>
        <v>pssAAV-U6-sh454-MfUSH1C-CMV-GFP_x000D_</v>
      </c>
      <c r="I736" s="4313">
        <v>630</v>
      </c>
      <c r="J736" s="4318"/>
      <c r="K736" s="4319"/>
      <c r="L736" s="4319"/>
      <c r="M736" s="4320">
        <v>42601</v>
      </c>
      <c r="N736" s="4421">
        <v>774</v>
      </c>
      <c r="O736" s="4316"/>
      <c r="P736" s="4322"/>
      <c r="Q736" s="4323">
        <v>502000000000</v>
      </c>
      <c r="R736" s="4324">
        <v>11800000000</v>
      </c>
      <c r="S736" s="4325">
        <f t="shared" si="0"/>
        <v>1395389830508.4746</v>
      </c>
      <c r="T736" s="4318"/>
      <c r="U736" s="4318"/>
      <c r="V736" s="4316"/>
      <c r="W736" s="4255"/>
      <c r="X736" s="4255"/>
      <c r="Y736" s="4326"/>
      <c r="Z736" s="4255"/>
      <c r="AA736" s="4255"/>
      <c r="AB736" s="4255"/>
      <c r="AC736" s="4255"/>
      <c r="AD736" s="4255"/>
      <c r="AE736" s="4255"/>
      <c r="AF736" s="4255"/>
      <c r="AG736" s="4255"/>
      <c r="AH736" s="4255"/>
      <c r="AI736" s="4255"/>
      <c r="AJ736" s="4255"/>
      <c r="AK736" s="4255"/>
      <c r="AL736" s="4255"/>
      <c r="AM736" s="4255"/>
      <c r="AN736" s="4255"/>
      <c r="AO736" s="4255"/>
      <c r="AP736" s="4255"/>
      <c r="AQ736" s="4255"/>
      <c r="AR736" s="4255"/>
      <c r="AS736" s="4255"/>
      <c r="AT736" s="4255"/>
      <c r="AU736" s="4255"/>
      <c r="AV736" s="4255"/>
      <c r="AW736" s="4255"/>
      <c r="AX736" s="4255"/>
      <c r="AY736" s="4255"/>
      <c r="AZ736" s="4255"/>
      <c r="BA736" s="4255"/>
      <c r="BB736" s="4255"/>
      <c r="BC736" s="4255"/>
      <c r="BD736" s="4255"/>
      <c r="BE736" s="4255"/>
      <c r="BF736" s="4255"/>
      <c r="BG736" s="4255"/>
      <c r="BH736" s="4255"/>
      <c r="BI736" s="4255"/>
    </row>
    <row r="737" spans="1:61" ht="25.5" customHeight="1">
      <c r="A737" s="4313" t="s">
        <v>5814</v>
      </c>
      <c r="B737" s="4313" t="s">
        <v>5818</v>
      </c>
      <c r="C737" s="4314" t="s">
        <v>5842</v>
      </c>
      <c r="D737" s="4313" t="s">
        <v>3782</v>
      </c>
      <c r="E737" s="4315" t="str">
        <f>VLOOKUP(F737,plasmids!$A$2:$B$891,2)</f>
        <v>AAV2-7m8</v>
      </c>
      <c r="F737" s="4316">
        <v>178</v>
      </c>
      <c r="G737" s="4317"/>
      <c r="H737" s="4313" t="str">
        <f>VLOOKUP(I737,plasmids!$A$2:$B$740,2)</f>
        <v>pssAAV-U6-sh1082-MfUSH1C-CMV-GFP</v>
      </c>
      <c r="I737" s="4313">
        <v>631</v>
      </c>
      <c r="J737" s="4318"/>
      <c r="K737" s="4319"/>
      <c r="L737" s="4319"/>
      <c r="M737" s="4320">
        <v>42601</v>
      </c>
      <c r="N737" s="4421">
        <v>775</v>
      </c>
      <c r="O737" s="4316"/>
      <c r="P737" s="4322"/>
      <c r="Q737" s="4323">
        <v>1090000000000</v>
      </c>
      <c r="R737" s="4324">
        <v>11800000000</v>
      </c>
      <c r="S737" s="4325">
        <f t="shared" si="0"/>
        <v>3029830508474.5767</v>
      </c>
      <c r="T737" s="4318"/>
      <c r="U737" s="4318"/>
      <c r="V737" s="4316"/>
      <c r="W737" s="4255"/>
      <c r="X737" s="4255"/>
      <c r="Y737" s="4326"/>
      <c r="Z737" s="4255"/>
      <c r="AA737" s="4255"/>
      <c r="AB737" s="4255"/>
      <c r="AC737" s="4255"/>
      <c r="AD737" s="4255"/>
      <c r="AE737" s="4255"/>
      <c r="AF737" s="4255"/>
      <c r="AG737" s="4255"/>
      <c r="AH737" s="4255"/>
      <c r="AI737" s="4255"/>
      <c r="AJ737" s="4255"/>
      <c r="AK737" s="4255"/>
      <c r="AL737" s="4255"/>
      <c r="AM737" s="4255"/>
      <c r="AN737" s="4255"/>
      <c r="AO737" s="4255"/>
      <c r="AP737" s="4255"/>
      <c r="AQ737" s="4255"/>
      <c r="AR737" s="4255"/>
      <c r="AS737" s="4255"/>
      <c r="AT737" s="4255"/>
      <c r="AU737" s="4255"/>
      <c r="AV737" s="4255"/>
      <c r="AW737" s="4255"/>
      <c r="AX737" s="4255"/>
      <c r="AY737" s="4255"/>
      <c r="AZ737" s="4255"/>
      <c r="BA737" s="4255"/>
      <c r="BB737" s="4255"/>
      <c r="BC737" s="4255"/>
      <c r="BD737" s="4255"/>
      <c r="BE737" s="4255"/>
      <c r="BF737" s="4255"/>
      <c r="BG737" s="4255"/>
      <c r="BH737" s="4255"/>
      <c r="BI737" s="4255"/>
    </row>
    <row r="738" spans="1:61" ht="25.5" customHeight="1">
      <c r="A738" s="4313" t="s">
        <v>5814</v>
      </c>
      <c r="B738" s="4313" t="s">
        <v>5818</v>
      </c>
      <c r="C738" s="4314" t="s">
        <v>5842</v>
      </c>
      <c r="D738" s="4313" t="s">
        <v>3782</v>
      </c>
      <c r="E738" s="4315" t="str">
        <f>VLOOKUP(F738,plasmids!$A$2:$B$891,2)</f>
        <v>AAV2-7m8</v>
      </c>
      <c r="F738" s="4316">
        <v>178</v>
      </c>
      <c r="G738" s="4317"/>
      <c r="H738" s="4313" t="str">
        <f>VLOOKUP(I738,plasmids!$A$2:$B$740,2)</f>
        <v>pssAAV-U6-shLife7-MfHsUSH1C-CMV-GFP</v>
      </c>
      <c r="I738" s="4313">
        <v>632</v>
      </c>
      <c r="J738" s="4318"/>
      <c r="K738" s="4319"/>
      <c r="L738" s="4319"/>
      <c r="M738" s="4320">
        <v>42608</v>
      </c>
      <c r="N738" s="4421">
        <v>776</v>
      </c>
      <c r="O738" s="4316"/>
      <c r="P738" s="4322"/>
      <c r="Q738" s="4323">
        <v>1680000000000</v>
      </c>
      <c r="R738" s="4324">
        <v>29700000000</v>
      </c>
      <c r="S738" s="4325">
        <f t="shared" si="0"/>
        <v>1855353535353.5354</v>
      </c>
      <c r="T738" s="4318"/>
      <c r="U738" s="4318"/>
      <c r="V738" s="4316"/>
      <c r="W738" s="4255"/>
      <c r="X738" s="4255"/>
      <c r="Y738" s="4326"/>
      <c r="Z738" s="4255"/>
      <c r="AA738" s="4255"/>
      <c r="AB738" s="4255"/>
      <c r="AC738" s="4255"/>
      <c r="AD738" s="4255"/>
      <c r="AE738" s="4255"/>
      <c r="AF738" s="4255"/>
      <c r="AG738" s="4255"/>
      <c r="AH738" s="4255"/>
      <c r="AI738" s="4255"/>
      <c r="AJ738" s="4255"/>
      <c r="AK738" s="4255"/>
      <c r="AL738" s="4255"/>
      <c r="AM738" s="4255"/>
      <c r="AN738" s="4255"/>
      <c r="AO738" s="4255"/>
      <c r="AP738" s="4255"/>
      <c r="AQ738" s="4255"/>
      <c r="AR738" s="4255"/>
      <c r="AS738" s="4255"/>
      <c r="AT738" s="4255"/>
      <c r="AU738" s="4255"/>
      <c r="AV738" s="4255"/>
      <c r="AW738" s="4255"/>
      <c r="AX738" s="4255"/>
      <c r="AY738" s="4255"/>
      <c r="AZ738" s="4255"/>
      <c r="BA738" s="4255"/>
      <c r="BB738" s="4255"/>
      <c r="BC738" s="4255"/>
      <c r="BD738" s="4255"/>
      <c r="BE738" s="4255"/>
      <c r="BF738" s="4255"/>
      <c r="BG738" s="4255"/>
      <c r="BH738" s="4255"/>
      <c r="BI738" s="4255"/>
    </row>
    <row r="739" spans="1:61" ht="25.5" customHeight="1">
      <c r="A739" s="4313" t="s">
        <v>5814</v>
      </c>
      <c r="B739" s="4313" t="s">
        <v>5818</v>
      </c>
      <c r="C739" s="4314" t="s">
        <v>5842</v>
      </c>
      <c r="D739" s="4313" t="s">
        <v>3782</v>
      </c>
      <c r="E739" s="4315" t="str">
        <f>VLOOKUP(F739,plasmids!$A$2:$B$891,2)</f>
        <v>AAV2-7m8</v>
      </c>
      <c r="F739" s="4316">
        <v>178</v>
      </c>
      <c r="G739" s="4317"/>
      <c r="H739" s="4313" t="str">
        <f>VLOOKUP(I739,plasmids!$A$2:$B$740,2)</f>
        <v>pssAAV-U6-shLife10-MfHsUSH1C-CMV-GFP</v>
      </c>
      <c r="I739" s="4313">
        <v>633</v>
      </c>
      <c r="J739" s="4318"/>
      <c r="K739" s="4319"/>
      <c r="L739" s="4319"/>
      <c r="M739" s="4320">
        <v>42608</v>
      </c>
      <c r="N739" s="4421">
        <v>777</v>
      </c>
      <c r="O739" s="4316"/>
      <c r="P739" s="4322"/>
      <c r="Q739" s="4323">
        <v>65700000000</v>
      </c>
      <c r="R739" s="4324">
        <v>29700000000</v>
      </c>
      <c r="S739" s="4325">
        <f t="shared" si="0"/>
        <v>72557575757.57576</v>
      </c>
      <c r="T739" s="4318"/>
      <c r="U739" s="4318"/>
      <c r="V739" s="4316"/>
      <c r="W739" s="4255"/>
      <c r="X739" s="4255"/>
      <c r="Y739" s="4326"/>
      <c r="Z739" s="4255"/>
      <c r="AA739" s="4255"/>
      <c r="AB739" s="4255"/>
      <c r="AC739" s="4255"/>
      <c r="AD739" s="4255"/>
      <c r="AE739" s="4255"/>
      <c r="AF739" s="4255"/>
      <c r="AG739" s="4255"/>
      <c r="AH739" s="4255"/>
      <c r="AI739" s="4255"/>
      <c r="AJ739" s="4255"/>
      <c r="AK739" s="4255"/>
      <c r="AL739" s="4255"/>
      <c r="AM739" s="4255"/>
      <c r="AN739" s="4255"/>
      <c r="AO739" s="4255"/>
      <c r="AP739" s="4255"/>
      <c r="AQ739" s="4255"/>
      <c r="AR739" s="4255"/>
      <c r="AS739" s="4255"/>
      <c r="AT739" s="4255"/>
      <c r="AU739" s="4255"/>
      <c r="AV739" s="4255"/>
      <c r="AW739" s="4255"/>
      <c r="AX739" s="4255"/>
      <c r="AY739" s="4255"/>
      <c r="AZ739" s="4255"/>
      <c r="BA739" s="4255"/>
      <c r="BB739" s="4255"/>
      <c r="BC739" s="4255"/>
      <c r="BD739" s="4255"/>
      <c r="BE739" s="4255"/>
      <c r="BF739" s="4255"/>
      <c r="BG739" s="4255"/>
      <c r="BH739" s="4255"/>
      <c r="BI739" s="4255"/>
    </row>
    <row r="740" spans="1:61" ht="24.75" customHeight="1">
      <c r="A740" s="4221" t="s">
        <v>5856</v>
      </c>
      <c r="B740" s="4221" t="s">
        <v>5857</v>
      </c>
      <c r="C740" s="4222" t="s">
        <v>1236</v>
      </c>
      <c r="D740" s="4221" t="s">
        <v>3782</v>
      </c>
      <c r="E740" s="4223" t="s">
        <v>5860</v>
      </c>
      <c r="F740" s="4224"/>
      <c r="G740" s="4225"/>
      <c r="H740" s="4226" t="s">
        <v>5859</v>
      </c>
      <c r="I740" s="4221"/>
      <c r="J740" s="4227"/>
      <c r="K740" s="4228"/>
      <c r="L740" s="4229"/>
      <c r="M740" s="4230">
        <v>42608</v>
      </c>
      <c r="N740" s="4418">
        <v>778</v>
      </c>
      <c r="O740" s="4224"/>
      <c r="P740" s="4232"/>
      <c r="Q740" s="4419">
        <v>14600000000</v>
      </c>
      <c r="R740" s="4422">
        <v>27000000000</v>
      </c>
      <c r="S740" s="4235">
        <f t="shared" si="0"/>
        <v>17736296296.296295</v>
      </c>
      <c r="T740" s="4221" t="s">
        <v>5861</v>
      </c>
      <c r="U740" s="4227"/>
      <c r="V740" s="4223">
        <f>157-12.94</f>
        <v>144.06</v>
      </c>
      <c r="W740" s="4236"/>
      <c r="X740" s="4237"/>
      <c r="Y740" s="4237"/>
      <c r="Z740" s="4237"/>
      <c r="AA740" s="4237"/>
      <c r="AB740" s="4237"/>
      <c r="AC740" s="4237"/>
      <c r="AD740" s="4237"/>
      <c r="AE740" s="4237"/>
      <c r="AF740" s="4237"/>
      <c r="AG740" s="4237"/>
      <c r="AH740" s="4237"/>
      <c r="AI740" s="4237"/>
      <c r="AJ740" s="4237"/>
      <c r="AK740" s="4237"/>
      <c r="AL740" s="4237"/>
      <c r="AM740" s="4237"/>
      <c r="AN740" s="4237"/>
      <c r="AO740" s="4237"/>
      <c r="AP740" s="4237"/>
      <c r="AQ740" s="4237"/>
      <c r="AR740" s="4237"/>
      <c r="AS740" s="4237"/>
      <c r="AT740" s="4237"/>
      <c r="AU740" s="4237"/>
      <c r="AV740" s="4237"/>
      <c r="AW740" s="4237"/>
      <c r="AX740" s="4237"/>
      <c r="AY740" s="4237"/>
      <c r="AZ740" s="4237"/>
      <c r="BA740" s="4237"/>
      <c r="BB740" s="4237"/>
      <c r="BC740" s="4237"/>
      <c r="BD740" s="4237"/>
      <c r="BE740" s="4237"/>
      <c r="BF740" s="4237"/>
      <c r="BG740" s="4237"/>
      <c r="BH740" s="4237"/>
      <c r="BI740" s="4237"/>
    </row>
    <row r="741" spans="1:61" ht="24.75" customHeight="1">
      <c r="A741" s="4221" t="s">
        <v>5856</v>
      </c>
      <c r="B741" s="4221" t="s">
        <v>5857</v>
      </c>
      <c r="C741" s="4222" t="s">
        <v>1236</v>
      </c>
      <c r="D741" s="4221" t="s">
        <v>3782</v>
      </c>
      <c r="E741" s="4223" t="s">
        <v>5862</v>
      </c>
      <c r="F741" s="4224"/>
      <c r="G741" s="4225"/>
      <c r="H741" s="4226" t="s">
        <v>5859</v>
      </c>
      <c r="I741" s="4221"/>
      <c r="J741" s="4227"/>
      <c r="K741" s="4228"/>
      <c r="L741" s="4229"/>
      <c r="M741" s="4230">
        <v>42608</v>
      </c>
      <c r="N741" s="4418">
        <v>779</v>
      </c>
      <c r="O741" s="4224"/>
      <c r="P741" s="4232"/>
      <c r="Q741" s="4419">
        <v>15300000000</v>
      </c>
      <c r="R741" s="4422">
        <v>27000000000</v>
      </c>
      <c r="S741" s="4235">
        <f t="shared" si="0"/>
        <v>18586666666.666668</v>
      </c>
      <c r="T741" s="4221" t="s">
        <v>5861</v>
      </c>
      <c r="U741" s="4227"/>
      <c r="V741" s="4223">
        <f>142-12.31</f>
        <v>129.69</v>
      </c>
      <c r="W741" s="4236"/>
      <c r="X741" s="4237"/>
      <c r="Y741" s="4237"/>
      <c r="Z741" s="4237"/>
      <c r="AA741" s="4237"/>
      <c r="AB741" s="4237"/>
      <c r="AC741" s="4237"/>
      <c r="AD741" s="4237"/>
      <c r="AE741" s="4237"/>
      <c r="AF741" s="4237"/>
      <c r="AG741" s="4237"/>
      <c r="AH741" s="4237"/>
      <c r="AI741" s="4237"/>
      <c r="AJ741" s="4237"/>
      <c r="AK741" s="4237"/>
      <c r="AL741" s="4237"/>
      <c r="AM741" s="4237"/>
      <c r="AN741" s="4237"/>
      <c r="AO741" s="4237"/>
      <c r="AP741" s="4237"/>
      <c r="AQ741" s="4237"/>
      <c r="AR741" s="4237"/>
      <c r="AS741" s="4237"/>
      <c r="AT741" s="4237"/>
      <c r="AU741" s="4237"/>
      <c r="AV741" s="4237"/>
      <c r="AW741" s="4237"/>
      <c r="AX741" s="4237"/>
      <c r="AY741" s="4237"/>
      <c r="AZ741" s="4237"/>
      <c r="BA741" s="4237"/>
      <c r="BB741" s="4237"/>
      <c r="BC741" s="4237"/>
      <c r="BD741" s="4237"/>
      <c r="BE741" s="4237"/>
      <c r="BF741" s="4237"/>
      <c r="BG741" s="4237"/>
      <c r="BH741" s="4237"/>
      <c r="BI741" s="4237"/>
    </row>
    <row r="742" spans="1:61" ht="24.75" customHeight="1">
      <c r="A742" s="4221" t="s">
        <v>5856</v>
      </c>
      <c r="B742" s="4221" t="s">
        <v>5857</v>
      </c>
      <c r="C742" s="4222" t="s">
        <v>1236</v>
      </c>
      <c r="D742" s="4221" t="s">
        <v>3782</v>
      </c>
      <c r="E742" s="4223" t="s">
        <v>5863</v>
      </c>
      <c r="F742" s="4224"/>
      <c r="G742" s="4225"/>
      <c r="H742" s="4226" t="s">
        <v>5859</v>
      </c>
      <c r="I742" s="4221"/>
      <c r="J742" s="4227"/>
      <c r="K742" s="4228"/>
      <c r="L742" s="4229"/>
      <c r="M742" s="4230">
        <v>42608</v>
      </c>
      <c r="N742" s="4418">
        <v>780</v>
      </c>
      <c r="O742" s="4224"/>
      <c r="P742" s="4232"/>
      <c r="Q742" s="4419">
        <v>62600000000</v>
      </c>
      <c r="R742" s="4422">
        <v>27000000000</v>
      </c>
      <c r="S742" s="4235">
        <f t="shared" si="0"/>
        <v>76047407407.40741</v>
      </c>
      <c r="T742" s="4221" t="s">
        <v>5861</v>
      </c>
      <c r="U742" s="4227"/>
      <c r="V742" s="4223">
        <f>159-3.01</f>
        <v>155.99</v>
      </c>
      <c r="W742" s="4236"/>
      <c r="X742" s="4237"/>
      <c r="Y742" s="4237"/>
      <c r="Z742" s="4237"/>
      <c r="AA742" s="4237"/>
      <c r="AB742" s="4237"/>
      <c r="AC742" s="4237"/>
      <c r="AD742" s="4237"/>
      <c r="AE742" s="4237"/>
      <c r="AF742" s="4237"/>
      <c r="AG742" s="4237"/>
      <c r="AH742" s="4237"/>
      <c r="AI742" s="4237"/>
      <c r="AJ742" s="4237"/>
      <c r="AK742" s="4237"/>
      <c r="AL742" s="4237"/>
      <c r="AM742" s="4237"/>
      <c r="AN742" s="4237"/>
      <c r="AO742" s="4237"/>
      <c r="AP742" s="4237"/>
      <c r="AQ742" s="4237"/>
      <c r="AR742" s="4237"/>
      <c r="AS742" s="4237"/>
      <c r="AT742" s="4237"/>
      <c r="AU742" s="4237"/>
      <c r="AV742" s="4237"/>
      <c r="AW742" s="4237"/>
      <c r="AX742" s="4237"/>
      <c r="AY742" s="4237"/>
      <c r="AZ742" s="4237"/>
      <c r="BA742" s="4237"/>
      <c r="BB742" s="4237"/>
      <c r="BC742" s="4237"/>
      <c r="BD742" s="4237"/>
      <c r="BE742" s="4237"/>
      <c r="BF742" s="4237"/>
      <c r="BG742" s="4237"/>
      <c r="BH742" s="4237"/>
      <c r="BI742" s="4237"/>
    </row>
    <row r="743" spans="1:61" ht="24.75" customHeight="1">
      <c r="A743" s="4221" t="s">
        <v>5856</v>
      </c>
      <c r="B743" s="4221" t="s">
        <v>5857</v>
      </c>
      <c r="C743" s="4222" t="s">
        <v>1236</v>
      </c>
      <c r="D743" s="4221" t="s">
        <v>3782</v>
      </c>
      <c r="E743" s="4223" t="s">
        <v>5864</v>
      </c>
      <c r="F743" s="4224"/>
      <c r="G743" s="4225"/>
      <c r="H743" s="4226" t="s">
        <v>5859</v>
      </c>
      <c r="I743" s="4221"/>
      <c r="J743" s="4227"/>
      <c r="K743" s="4228"/>
      <c r="L743" s="4229"/>
      <c r="M743" s="4230">
        <v>42608</v>
      </c>
      <c r="N743" s="4418">
        <v>781</v>
      </c>
      <c r="O743" s="4224"/>
      <c r="P743" s="4232"/>
      <c r="Q743" s="4419">
        <v>17700000000</v>
      </c>
      <c r="R743" s="4422">
        <v>27000000000</v>
      </c>
      <c r="S743" s="4235">
        <f t="shared" si="0"/>
        <v>21502222222.222221</v>
      </c>
      <c r="T743" s="4221" t="s">
        <v>5861</v>
      </c>
      <c r="U743" s="4227"/>
      <c r="V743" s="4223">
        <f>135-10.65-51.81</f>
        <v>72.539999999999992</v>
      </c>
      <c r="W743" s="4236"/>
      <c r="X743" s="4237"/>
      <c r="Y743" s="4237"/>
      <c r="Z743" s="4237"/>
      <c r="AA743" s="4237"/>
      <c r="AB743" s="4237"/>
      <c r="AC743" s="4237"/>
      <c r="AD743" s="4237"/>
      <c r="AE743" s="4237"/>
      <c r="AF743" s="4237"/>
      <c r="AG743" s="4237"/>
      <c r="AH743" s="4237"/>
      <c r="AI743" s="4237"/>
      <c r="AJ743" s="4237"/>
      <c r="AK743" s="4237"/>
      <c r="AL743" s="4237"/>
      <c r="AM743" s="4237"/>
      <c r="AN743" s="4237"/>
      <c r="AO743" s="4237"/>
      <c r="AP743" s="4237"/>
      <c r="AQ743" s="4237"/>
      <c r="AR743" s="4237"/>
      <c r="AS743" s="4237"/>
      <c r="AT743" s="4237"/>
      <c r="AU743" s="4237"/>
      <c r="AV743" s="4237"/>
      <c r="AW743" s="4237"/>
      <c r="AX743" s="4237"/>
      <c r="AY743" s="4237"/>
      <c r="AZ743" s="4237"/>
      <c r="BA743" s="4237"/>
      <c r="BB743" s="4237"/>
      <c r="BC743" s="4237"/>
      <c r="BD743" s="4237"/>
      <c r="BE743" s="4237"/>
      <c r="BF743" s="4237"/>
      <c r="BG743" s="4237"/>
      <c r="BH743" s="4237"/>
      <c r="BI743" s="4237"/>
    </row>
    <row r="744" spans="1:61" ht="24.75" customHeight="1">
      <c r="A744" s="4221" t="s">
        <v>5856</v>
      </c>
      <c r="B744" s="4221" t="s">
        <v>5857</v>
      </c>
      <c r="C744" s="4222" t="s">
        <v>1236</v>
      </c>
      <c r="D744" s="4221" t="s">
        <v>3782</v>
      </c>
      <c r="E744" s="4223" t="s">
        <v>5865</v>
      </c>
      <c r="F744" s="4224"/>
      <c r="G744" s="4225"/>
      <c r="H744" s="4226" t="s">
        <v>5859</v>
      </c>
      <c r="I744" s="4221"/>
      <c r="J744" s="4227"/>
      <c r="K744" s="4228"/>
      <c r="L744" s="4229"/>
      <c r="M744" s="4230">
        <v>42608</v>
      </c>
      <c r="N744" s="4418">
        <v>782</v>
      </c>
      <c r="O744" s="4224"/>
      <c r="P744" s="4232"/>
      <c r="Q744" s="4419">
        <v>16400000000</v>
      </c>
      <c r="R744" s="4422">
        <v>27000000000</v>
      </c>
      <c r="S744" s="4423" t="s">
        <v>5866</v>
      </c>
      <c r="T744" s="4221" t="s">
        <v>5861</v>
      </c>
      <c r="U744" s="4227"/>
      <c r="V744" s="4223">
        <f>156-46.08-11.51</f>
        <v>98.41</v>
      </c>
      <c r="W744" s="4236"/>
      <c r="X744" s="4237"/>
      <c r="Y744" s="4237"/>
      <c r="Z744" s="4237"/>
      <c r="AA744" s="4237"/>
      <c r="AB744" s="4237"/>
      <c r="AC744" s="4237"/>
      <c r="AD744" s="4237"/>
      <c r="AE744" s="4237"/>
      <c r="AF744" s="4237"/>
      <c r="AG744" s="4237"/>
      <c r="AH744" s="4237"/>
      <c r="AI744" s="4237"/>
      <c r="AJ744" s="4237"/>
      <c r="AK744" s="4237"/>
      <c r="AL744" s="4237"/>
      <c r="AM744" s="4237"/>
      <c r="AN744" s="4237"/>
      <c r="AO744" s="4237"/>
      <c r="AP744" s="4237"/>
      <c r="AQ744" s="4237"/>
      <c r="AR744" s="4237"/>
      <c r="AS744" s="4237"/>
      <c r="AT744" s="4237"/>
      <c r="AU744" s="4237"/>
      <c r="AV744" s="4237"/>
      <c r="AW744" s="4237"/>
      <c r="AX744" s="4237"/>
      <c r="AY744" s="4237"/>
      <c r="AZ744" s="4237"/>
      <c r="BA744" s="4237"/>
      <c r="BB744" s="4237"/>
      <c r="BC744" s="4237"/>
      <c r="BD744" s="4237"/>
      <c r="BE744" s="4237"/>
      <c r="BF744" s="4237"/>
      <c r="BG744" s="4237"/>
      <c r="BH744" s="4237"/>
      <c r="BI744" s="4237"/>
    </row>
    <row r="745" spans="1:61" ht="24.75" customHeight="1">
      <c r="A745" s="3375"/>
      <c r="B745" s="3375" t="s">
        <v>5867</v>
      </c>
      <c r="C745" s="3551" t="s">
        <v>139</v>
      </c>
      <c r="D745" s="3375"/>
      <c r="E745" s="4424" t="s">
        <v>5868</v>
      </c>
      <c r="F745" s="2655"/>
      <c r="G745" s="2596"/>
      <c r="H745" s="4425" t="s">
        <v>5869</v>
      </c>
      <c r="I745" s="3375"/>
      <c r="J745" s="2648"/>
      <c r="K745" s="3147"/>
      <c r="L745" s="2785"/>
      <c r="M745" s="1793" t="s">
        <v>5870</v>
      </c>
      <c r="N745" s="4426">
        <v>783</v>
      </c>
      <c r="O745" s="2655"/>
      <c r="P745" s="2651"/>
      <c r="Q745" s="3440">
        <v>4600000000000</v>
      </c>
      <c r="R745" s="3553">
        <v>35900000000</v>
      </c>
      <c r="S745" s="3751">
        <f t="shared" ref="S745:S794" si="8">(32800000000/R745)*Q745</f>
        <v>4202785515320.334</v>
      </c>
      <c r="T745" s="3375" t="s">
        <v>5871</v>
      </c>
      <c r="U745" s="2648"/>
      <c r="V745" s="3554" t="s">
        <v>5872</v>
      </c>
      <c r="W745" s="3150" t="s">
        <v>5873</v>
      </c>
      <c r="X745" s="3150" t="s">
        <v>5874</v>
      </c>
      <c r="Y745" s="2656"/>
      <c r="Z745" s="2656"/>
      <c r="AA745" s="2656"/>
      <c r="AB745" s="2656"/>
      <c r="AC745" s="2656"/>
      <c r="AD745" s="2656"/>
      <c r="AE745" s="2656"/>
      <c r="AF745" s="2656"/>
      <c r="AG745" s="2656"/>
      <c r="AH745" s="2656"/>
      <c r="AI745" s="2656"/>
      <c r="AJ745" s="2656"/>
      <c r="AK745" s="2656"/>
      <c r="AL745" s="2656"/>
      <c r="AM745" s="2656"/>
      <c r="AN745" s="2656"/>
      <c r="AO745" s="2656"/>
      <c r="AP745" s="2656"/>
      <c r="AQ745" s="2656"/>
      <c r="AR745" s="2656"/>
      <c r="AS745" s="2656"/>
      <c r="AT745" s="2656"/>
      <c r="AU745" s="2656"/>
      <c r="AV745" s="2656"/>
      <c r="AW745" s="2656"/>
      <c r="AX745" s="2656"/>
      <c r="AY745" s="2656"/>
      <c r="AZ745" s="2656"/>
      <c r="BA745" s="2656"/>
      <c r="BB745" s="2656"/>
      <c r="BC745" s="2656"/>
      <c r="BD745" s="2656"/>
      <c r="BE745" s="2656"/>
      <c r="BF745" s="2656"/>
      <c r="BG745" s="2656"/>
      <c r="BH745" s="2656"/>
      <c r="BI745" s="2656"/>
    </row>
    <row r="746" spans="1:61" ht="24.75" customHeight="1">
      <c r="A746" s="3375"/>
      <c r="B746" s="3375" t="s">
        <v>5867</v>
      </c>
      <c r="C746" s="3551" t="s">
        <v>139</v>
      </c>
      <c r="D746" s="3375"/>
      <c r="E746" s="4424" t="s">
        <v>5875</v>
      </c>
      <c r="F746" s="2655"/>
      <c r="G746" s="2596"/>
      <c r="H746" s="4425" t="s">
        <v>5869</v>
      </c>
      <c r="I746" s="3375"/>
      <c r="J746" s="2648"/>
      <c r="K746" s="3147"/>
      <c r="L746" s="2785"/>
      <c r="M746" s="1793" t="s">
        <v>5870</v>
      </c>
      <c r="N746" s="4426">
        <v>784</v>
      </c>
      <c r="O746" s="2655"/>
      <c r="P746" s="2651"/>
      <c r="Q746" s="3440">
        <v>554000000000</v>
      </c>
      <c r="R746" s="3553">
        <v>35900000000</v>
      </c>
      <c r="S746" s="3751">
        <f t="shared" si="8"/>
        <v>506161559888.57935</v>
      </c>
      <c r="T746" s="3375" t="s">
        <v>5876</v>
      </c>
      <c r="U746" s="2648"/>
      <c r="V746" s="3554" t="s">
        <v>5872</v>
      </c>
      <c r="W746" s="3150" t="s">
        <v>5877</v>
      </c>
      <c r="X746" s="2656"/>
      <c r="Y746" s="2656"/>
      <c r="Z746" s="2656"/>
      <c r="AA746" s="2656"/>
      <c r="AB746" s="2656"/>
      <c r="AC746" s="2656"/>
      <c r="AD746" s="2656"/>
      <c r="AE746" s="2656"/>
      <c r="AF746" s="2656"/>
      <c r="AG746" s="2656"/>
      <c r="AH746" s="2656"/>
      <c r="AI746" s="2656"/>
      <c r="AJ746" s="2656"/>
      <c r="AK746" s="2656"/>
      <c r="AL746" s="2656"/>
      <c r="AM746" s="2656"/>
      <c r="AN746" s="2656"/>
      <c r="AO746" s="2656"/>
      <c r="AP746" s="2656"/>
      <c r="AQ746" s="2656"/>
      <c r="AR746" s="2656"/>
      <c r="AS746" s="2656"/>
      <c r="AT746" s="2656"/>
      <c r="AU746" s="2656"/>
      <c r="AV746" s="2656"/>
      <c r="AW746" s="2656"/>
      <c r="AX746" s="2656"/>
      <c r="AY746" s="2656"/>
      <c r="AZ746" s="2656"/>
      <c r="BA746" s="2656"/>
      <c r="BB746" s="2656"/>
      <c r="BC746" s="2656"/>
      <c r="BD746" s="2656"/>
      <c r="BE746" s="2656"/>
      <c r="BF746" s="2656"/>
      <c r="BG746" s="2656"/>
      <c r="BH746" s="2656"/>
      <c r="BI746" s="2656"/>
    </row>
    <row r="747" spans="1:61" ht="24">
      <c r="A747" s="3404" t="s">
        <v>707</v>
      </c>
      <c r="B747" s="3404" t="s">
        <v>5704</v>
      </c>
      <c r="C747" s="3405" t="s">
        <v>1967</v>
      </c>
      <c r="D747" s="3404" t="s">
        <v>5655</v>
      </c>
      <c r="E747" s="3406" t="str">
        <f>VLOOKUP(F747,plasmids!$A$2:$B$891,2)</f>
        <v>AAV2-7m8</v>
      </c>
      <c r="F747" s="3407">
        <v>178</v>
      </c>
      <c r="G747" s="3499"/>
      <c r="H747" s="3499" t="s">
        <v>1940</v>
      </c>
      <c r="I747" s="3419">
        <v>564</v>
      </c>
      <c r="J747" s="3409"/>
      <c r="K747" s="3410"/>
      <c r="L747" s="3411"/>
      <c r="M747" s="3412">
        <v>42640</v>
      </c>
      <c r="N747" s="3413">
        <v>785</v>
      </c>
      <c r="O747" s="3407"/>
      <c r="P747" s="3414"/>
      <c r="Q747" s="3498">
        <v>10800000000000</v>
      </c>
      <c r="R747" s="3416">
        <v>34000000000</v>
      </c>
      <c r="S747" s="3417">
        <f t="shared" si="8"/>
        <v>10418823529411.766</v>
      </c>
      <c r="T747" s="3418"/>
      <c r="U747" s="3409"/>
      <c r="V747" s="3419">
        <f>153-20-38-10-15</f>
        <v>70</v>
      </c>
      <c r="W747" s="3421"/>
      <c r="X747" s="3421"/>
      <c r="Y747" s="3421"/>
      <c r="Z747" s="3421"/>
      <c r="AA747" s="3421"/>
      <c r="AB747" s="3421"/>
      <c r="AC747" s="3421"/>
      <c r="AD747" s="3421"/>
      <c r="AE747" s="3421"/>
      <c r="AF747" s="3421"/>
      <c r="AG747" s="3421"/>
      <c r="AH747" s="3421"/>
      <c r="AI747" s="3421"/>
      <c r="AJ747" s="3421"/>
      <c r="AK747" s="3421"/>
      <c r="AL747" s="3421"/>
      <c r="AM747" s="3421"/>
      <c r="AN747" s="3421"/>
      <c r="AO747" s="3421"/>
      <c r="AP747" s="3421"/>
      <c r="AQ747" s="3421"/>
      <c r="AR747" s="3421"/>
      <c r="AS747" s="3421"/>
      <c r="AT747" s="3421"/>
      <c r="AU747" s="3421"/>
      <c r="AV747" s="3421"/>
      <c r="AW747" s="3421"/>
      <c r="AX747" s="3421"/>
      <c r="AY747" s="3421"/>
      <c r="AZ747" s="3421"/>
      <c r="BA747" s="3421"/>
      <c r="BB747" s="3421"/>
      <c r="BC747" s="3421"/>
      <c r="BD747" s="3421"/>
      <c r="BE747" s="3421"/>
      <c r="BF747" s="3421"/>
      <c r="BG747" s="3421"/>
      <c r="BH747" s="3421"/>
      <c r="BI747" s="3421"/>
    </row>
    <row r="748" spans="1:61" ht="24">
      <c r="A748" s="3404" t="s">
        <v>707</v>
      </c>
      <c r="B748" s="3404" t="s">
        <v>5704</v>
      </c>
      <c r="C748" s="3405" t="s">
        <v>1967</v>
      </c>
      <c r="D748" s="3404" t="s">
        <v>5655</v>
      </c>
      <c r="E748" s="3406" t="str">
        <f>VLOOKUP(F748,plasmids!$A$2:$B$891,2)</f>
        <v>AAV2-7m8</v>
      </c>
      <c r="F748" s="3407">
        <v>178</v>
      </c>
      <c r="G748" s="3408"/>
      <c r="H748" s="3408" t="str">
        <f>VLOOKUP(I748,plasmids!$A$2:$B$891,2)</f>
        <v>pssAAV-mCAR-GFP</v>
      </c>
      <c r="I748" s="3404">
        <v>93</v>
      </c>
      <c r="J748" s="3409"/>
      <c r="K748" s="3410"/>
      <c r="L748" s="3411"/>
      <c r="M748" s="3412">
        <v>42640</v>
      </c>
      <c r="N748" s="3413">
        <v>786</v>
      </c>
      <c r="O748" s="3407"/>
      <c r="P748" s="3414"/>
      <c r="Q748" s="3498">
        <v>7060000000000</v>
      </c>
      <c r="R748" s="3416">
        <v>34000000000</v>
      </c>
      <c r="S748" s="3417">
        <f t="shared" si="8"/>
        <v>6810823529411.7646</v>
      </c>
      <c r="T748" s="3418"/>
      <c r="U748" s="3419"/>
      <c r="V748" s="3419">
        <f>147-20-26-15-15</f>
        <v>71</v>
      </c>
      <c r="W748" s="3420"/>
      <c r="X748" s="3421"/>
      <c r="Y748" s="3421"/>
      <c r="Z748" s="3421"/>
      <c r="AA748" s="3421"/>
      <c r="AB748" s="3421"/>
      <c r="AC748" s="3421"/>
      <c r="AD748" s="3421"/>
      <c r="AE748" s="3421"/>
      <c r="AF748" s="3421"/>
      <c r="AG748" s="3421"/>
      <c r="AH748" s="3421"/>
      <c r="AI748" s="3421"/>
      <c r="AJ748" s="3421"/>
      <c r="AK748" s="3421"/>
      <c r="AL748" s="3421"/>
      <c r="AM748" s="3421"/>
      <c r="AN748" s="3421"/>
      <c r="AO748" s="3421"/>
      <c r="AP748" s="3421"/>
      <c r="AQ748" s="3421"/>
      <c r="AR748" s="3421"/>
      <c r="AS748" s="3421"/>
      <c r="AT748" s="3421"/>
      <c r="AU748" s="3421"/>
      <c r="AV748" s="3421"/>
      <c r="AW748" s="3421"/>
      <c r="AX748" s="3421"/>
      <c r="AY748" s="3421"/>
      <c r="AZ748" s="3421"/>
      <c r="BA748" s="3421"/>
      <c r="BB748" s="3421"/>
      <c r="BC748" s="3421"/>
      <c r="BD748" s="3421"/>
      <c r="BE748" s="3421"/>
      <c r="BF748" s="3421"/>
      <c r="BG748" s="3421"/>
      <c r="BH748" s="3421"/>
      <c r="BI748" s="3421"/>
    </row>
    <row r="749" spans="1:61" ht="24.75" customHeight="1">
      <c r="A749" s="3870" t="s">
        <v>1549</v>
      </c>
      <c r="B749" s="3870" t="s">
        <v>5767</v>
      </c>
      <c r="C749" s="3871" t="s">
        <v>1967</v>
      </c>
      <c r="D749" s="3870" t="s">
        <v>5794</v>
      </c>
      <c r="E749" s="4427" t="str">
        <f>VLOOKUP(F749,plasmids!$A$2:$B$891,2)</f>
        <v>pAV2-7mAbis</v>
      </c>
      <c r="F749" s="3873">
        <v>667</v>
      </c>
      <c r="G749" s="4289"/>
      <c r="H749" s="3874" t="s">
        <v>473</v>
      </c>
      <c r="I749" s="3870">
        <v>120</v>
      </c>
      <c r="J749" s="3875"/>
      <c r="K749" s="3876"/>
      <c r="L749" s="4290"/>
      <c r="M749" s="3877">
        <v>42640</v>
      </c>
      <c r="N749" s="3878">
        <v>787</v>
      </c>
      <c r="O749" s="3873"/>
      <c r="P749" s="4291"/>
      <c r="Q749" s="4332">
        <v>13800000000</v>
      </c>
      <c r="R749" s="4333">
        <v>34000000000</v>
      </c>
      <c r="S749" s="4334">
        <f t="shared" si="8"/>
        <v>13312941176.470589</v>
      </c>
      <c r="T749" s="3870" t="s">
        <v>5861</v>
      </c>
      <c r="U749" s="3875"/>
      <c r="V749" s="3872">
        <f>124</f>
        <v>124</v>
      </c>
      <c r="W749" s="3883"/>
      <c r="X749" s="3680"/>
      <c r="Y749" s="3680"/>
      <c r="Z749" s="3680"/>
      <c r="AA749" s="3680"/>
      <c r="AB749" s="3680"/>
      <c r="AC749" s="3680"/>
      <c r="AD749" s="3680"/>
      <c r="AE749" s="3680"/>
      <c r="AF749" s="3680"/>
      <c r="AG749" s="3680"/>
      <c r="AH749" s="3680"/>
      <c r="AI749" s="3680"/>
      <c r="AJ749" s="3680"/>
      <c r="AK749" s="3680"/>
      <c r="AL749" s="3680"/>
      <c r="AM749" s="3680"/>
      <c r="AN749" s="3680"/>
      <c r="AO749" s="3680"/>
      <c r="AP749" s="3680"/>
      <c r="AQ749" s="3680"/>
      <c r="AR749" s="3680"/>
      <c r="AS749" s="3680"/>
      <c r="AT749" s="3680"/>
      <c r="AU749" s="3680"/>
      <c r="AV749" s="3680"/>
      <c r="AW749" s="3680"/>
      <c r="AX749" s="3680"/>
      <c r="AY749" s="3680"/>
      <c r="AZ749" s="3680"/>
      <c r="BA749" s="3680"/>
      <c r="BB749" s="3680"/>
      <c r="BC749" s="3680"/>
      <c r="BD749" s="3680"/>
      <c r="BE749" s="3680"/>
      <c r="BF749" s="3680"/>
      <c r="BG749" s="3680"/>
      <c r="BH749" s="3680"/>
      <c r="BI749" s="3680"/>
    </row>
    <row r="750" spans="1:61" ht="25.5" customHeight="1">
      <c r="A750" s="3967" t="s">
        <v>5814</v>
      </c>
      <c r="B750" s="3967" t="s">
        <v>5818</v>
      </c>
      <c r="C750" s="3968" t="s">
        <v>5842</v>
      </c>
      <c r="D750" s="3967" t="s">
        <v>3782</v>
      </c>
      <c r="E750" s="3983" t="str">
        <f>VLOOKUP(F750,plasmids!$A$2:$B$891,2)</f>
        <v>AAV2-7m8</v>
      </c>
      <c r="F750" s="3970">
        <v>178</v>
      </c>
      <c r="G750" s="3971"/>
      <c r="H750" s="3969" t="str">
        <f>VLOOKUP(I750,plasmids!$A$2:$B$740,2)</f>
        <v>pssAAV-CMV-STOP-GFP</v>
      </c>
      <c r="I750" s="3967">
        <v>673</v>
      </c>
      <c r="J750" s="3972"/>
      <c r="K750" s="3973"/>
      <c r="L750" s="3973"/>
      <c r="M750" s="3974">
        <v>42640</v>
      </c>
      <c r="N750" s="3975">
        <v>788</v>
      </c>
      <c r="O750" s="3970"/>
      <c r="P750" s="3976"/>
      <c r="Q750" s="4068">
        <v>78900000000</v>
      </c>
      <c r="R750" s="4428">
        <v>34000000000</v>
      </c>
      <c r="S750" s="3979">
        <f t="shared" si="8"/>
        <v>76115294117.647064</v>
      </c>
      <c r="T750" s="3972"/>
      <c r="U750" s="3972"/>
      <c r="V750" s="3970">
        <f>147</f>
        <v>147</v>
      </c>
      <c r="W750" s="4429" t="s">
        <v>2812</v>
      </c>
      <c r="X750" s="3981"/>
      <c r="Y750" s="4430" t="s">
        <v>5878</v>
      </c>
      <c r="Z750" s="3981"/>
      <c r="AA750" s="3981"/>
      <c r="AB750" s="3981"/>
      <c r="AC750" s="3981"/>
      <c r="AD750" s="3981"/>
      <c r="AE750" s="3981"/>
      <c r="AF750" s="3981"/>
      <c r="AG750" s="3981"/>
      <c r="AH750" s="3981"/>
      <c r="AI750" s="3981"/>
      <c r="AJ750" s="3981"/>
      <c r="AK750" s="3981"/>
      <c r="AL750" s="3981"/>
      <c r="AM750" s="3981"/>
      <c r="AN750" s="3981"/>
      <c r="AO750" s="3981"/>
      <c r="AP750" s="3981"/>
      <c r="AQ750" s="3981"/>
      <c r="AR750" s="3981"/>
      <c r="AS750" s="3981"/>
      <c r="AT750" s="3981"/>
      <c r="AU750" s="3981"/>
      <c r="AV750" s="3981"/>
      <c r="AW750" s="3981"/>
      <c r="AX750" s="3981"/>
      <c r="AY750" s="3981"/>
      <c r="AZ750" s="3981"/>
      <c r="BA750" s="3981"/>
      <c r="BB750" s="3981"/>
      <c r="BC750" s="3981"/>
      <c r="BD750" s="3981"/>
      <c r="BE750" s="3981"/>
      <c r="BF750" s="3981"/>
      <c r="BG750" s="3981"/>
      <c r="BH750" s="3981"/>
      <c r="BI750" s="3981"/>
    </row>
    <row r="751" spans="1:61" ht="21" customHeight="1">
      <c r="A751" s="1179" t="s">
        <v>5768</v>
      </c>
      <c r="B751" s="3956" t="s">
        <v>5812</v>
      </c>
      <c r="C751" s="1177" t="s">
        <v>1967</v>
      </c>
      <c r="D751" s="1175" t="s">
        <v>4867</v>
      </c>
      <c r="E751" s="3957" t="str">
        <f>VLOOKUP(F751,plasmids!$A$2:$B$891,2)</f>
        <v>AAV2-7m8</v>
      </c>
      <c r="F751" s="1223">
        <v>178</v>
      </c>
      <c r="G751" s="3958"/>
      <c r="H751" s="1223" t="str">
        <f>VLOOKUP(I751,plasmids!$A$2:$B$740,2)</f>
        <v>AAV2.1.CMV.eGFP V2 J Bennet</v>
      </c>
      <c r="I751" s="1223">
        <v>654</v>
      </c>
      <c r="J751" s="1253"/>
      <c r="K751" s="1183"/>
      <c r="L751" s="1183"/>
      <c r="M751" s="1220">
        <v>42643</v>
      </c>
      <c r="N751" s="1328">
        <v>789</v>
      </c>
      <c r="O751" s="1223"/>
      <c r="P751" s="1242"/>
      <c r="Q751" s="3959">
        <v>6350000000</v>
      </c>
      <c r="R751" s="3960">
        <v>34000000000</v>
      </c>
      <c r="S751" s="3961">
        <f t="shared" si="8"/>
        <v>6125882352.9411764</v>
      </c>
      <c r="T751" s="3962"/>
      <c r="U751" s="1253"/>
      <c r="V751" s="1179">
        <f>170</f>
        <v>170</v>
      </c>
      <c r="W751" s="3963"/>
      <c r="X751" s="1259"/>
      <c r="Y751" s="4431" t="s">
        <v>5878</v>
      </c>
      <c r="Z751" s="1259"/>
      <c r="AA751" s="1259"/>
      <c r="AB751" s="1259"/>
      <c r="AC751" s="1259"/>
      <c r="AD751" s="1259"/>
      <c r="AE751" s="1259"/>
      <c r="AF751" s="1259"/>
      <c r="AG751" s="1259"/>
      <c r="AH751" s="1259"/>
      <c r="AI751" s="1259"/>
      <c r="AJ751" s="1259"/>
      <c r="AK751" s="1259"/>
      <c r="AL751" s="1259"/>
      <c r="AM751" s="1259"/>
      <c r="AN751" s="1259"/>
      <c r="AO751" s="1259"/>
      <c r="AP751" s="1259"/>
      <c r="AQ751" s="1259"/>
      <c r="AR751" s="1259"/>
      <c r="AS751" s="1259"/>
      <c r="AT751" s="1259"/>
      <c r="AU751" s="1259"/>
      <c r="AV751" s="1259"/>
      <c r="AW751" s="1259"/>
      <c r="AX751" s="1259"/>
      <c r="AY751" s="1259"/>
      <c r="AZ751" s="1259"/>
      <c r="BA751" s="1259"/>
      <c r="BB751" s="1259"/>
      <c r="BC751" s="1259"/>
      <c r="BD751" s="1259"/>
      <c r="BE751" s="1259"/>
      <c r="BF751" s="1259"/>
      <c r="BG751" s="1259"/>
      <c r="BH751" s="1259"/>
      <c r="BI751" s="1259"/>
    </row>
    <row r="752" spans="1:61" ht="24.75" customHeight="1">
      <c r="A752" s="4027" t="s">
        <v>5768</v>
      </c>
      <c r="B752" s="4027" t="s">
        <v>5812</v>
      </c>
      <c r="C752" s="4432" t="s">
        <v>1967</v>
      </c>
      <c r="D752" s="4433" t="s">
        <v>4867</v>
      </c>
      <c r="E752" s="4029" t="str">
        <f>VLOOKUP(F752,plasmids!$A$2:$B$891,2)</f>
        <v>pAAV2/8</v>
      </c>
      <c r="F752" s="4030">
        <v>122</v>
      </c>
      <c r="G752" s="4031"/>
      <c r="H752" s="4030" t="str">
        <f>VLOOKUP(I752,plasmids!$A$2:$B$740,2)</f>
        <v>AAV2.1.CMV.eGFP V2 J Bennet</v>
      </c>
      <c r="I752" s="4030">
        <v>654</v>
      </c>
      <c r="J752" s="4033"/>
      <c r="K752" s="4434"/>
      <c r="L752" s="4434"/>
      <c r="M752" s="4035">
        <v>42643</v>
      </c>
      <c r="N752" s="4435">
        <v>790</v>
      </c>
      <c r="O752" s="4030"/>
      <c r="P752" s="4037"/>
      <c r="Q752" s="4436">
        <v>432000000000000</v>
      </c>
      <c r="R752" s="4437">
        <v>34000000000</v>
      </c>
      <c r="S752" s="4438">
        <f t="shared" si="8"/>
        <v>416752941176470.62</v>
      </c>
      <c r="T752" s="4439"/>
      <c r="U752" s="4033"/>
      <c r="V752" s="4027">
        <f>165</f>
        <v>165</v>
      </c>
      <c r="W752" s="4440" t="s">
        <v>2812</v>
      </c>
      <c r="X752" s="4042"/>
      <c r="Y752" s="4431" t="s">
        <v>5878</v>
      </c>
      <c r="Z752" s="4042"/>
      <c r="AA752" s="4042"/>
      <c r="AB752" s="4042"/>
      <c r="AC752" s="4042"/>
      <c r="AD752" s="4042"/>
      <c r="AE752" s="4042"/>
      <c r="AF752" s="4042"/>
      <c r="AG752" s="4042"/>
      <c r="AH752" s="4042"/>
      <c r="AI752" s="4042"/>
      <c r="AJ752" s="4042"/>
      <c r="AK752" s="4042"/>
      <c r="AL752" s="4042"/>
      <c r="AM752" s="4042"/>
      <c r="AN752" s="4042"/>
      <c r="AO752" s="4042"/>
      <c r="AP752" s="4042"/>
      <c r="AQ752" s="4042"/>
      <c r="AR752" s="4042"/>
      <c r="AS752" s="4042"/>
      <c r="AT752" s="4042"/>
      <c r="AU752" s="4042"/>
      <c r="AV752" s="4042"/>
      <c r="AW752" s="4042"/>
      <c r="AX752" s="4042"/>
      <c r="AY752" s="4042"/>
      <c r="AZ752" s="4042"/>
      <c r="BA752" s="4042"/>
      <c r="BB752" s="4042"/>
      <c r="BC752" s="4042"/>
      <c r="BD752" s="4042"/>
      <c r="BE752" s="4042"/>
      <c r="BF752" s="4042"/>
      <c r="BG752" s="4042"/>
      <c r="BH752" s="4042"/>
      <c r="BI752" s="4042"/>
    </row>
    <row r="753" spans="1:61" ht="24">
      <c r="A753" s="3422" t="s">
        <v>707</v>
      </c>
      <c r="B753" s="3422" t="s">
        <v>5704</v>
      </c>
      <c r="C753" s="3423" t="s">
        <v>1967</v>
      </c>
      <c r="D753" s="3422" t="s">
        <v>5655</v>
      </c>
      <c r="E753" s="3424" t="str">
        <f>VLOOKUP(F753,plasmids!$A$2:$B$891,2)</f>
        <v>AAV2-7m8</v>
      </c>
      <c r="F753" s="3425">
        <v>178</v>
      </c>
      <c r="G753" s="3426"/>
      <c r="H753" s="3426" t="str">
        <f>VLOOKUP(I753,plasmids!$A$2:$B$891,2)</f>
        <v>pssAAV-pR1.7-GFP</v>
      </c>
      <c r="I753" s="3422">
        <v>566</v>
      </c>
      <c r="J753" s="3255"/>
      <c r="K753" s="3427"/>
      <c r="L753" s="3428"/>
      <c r="M753" s="3429">
        <v>42643</v>
      </c>
      <c r="N753" s="3430">
        <v>791</v>
      </c>
      <c r="O753" s="3425"/>
      <c r="P753" s="3431"/>
      <c r="Q753" s="3501">
        <v>12400000000000</v>
      </c>
      <c r="R753" s="3433">
        <v>34000000000</v>
      </c>
      <c r="S753" s="3434">
        <f t="shared" si="8"/>
        <v>11962352941176.471</v>
      </c>
      <c r="T753" s="3435" t="s">
        <v>5861</v>
      </c>
      <c r="U753" s="3436"/>
      <c r="V753" s="3436">
        <f>113-8.5-1-15-5-10</f>
        <v>73.5</v>
      </c>
      <c r="W753" s="4441"/>
      <c r="X753" s="3437"/>
      <c r="Y753" s="3437"/>
      <c r="Z753" s="3437"/>
      <c r="AA753" s="3437"/>
      <c r="AB753" s="3437"/>
      <c r="AC753" s="3437"/>
      <c r="AD753" s="3437"/>
      <c r="AE753" s="3437"/>
      <c r="AF753" s="3437"/>
      <c r="AG753" s="3437"/>
      <c r="AH753" s="3437"/>
      <c r="AI753" s="3437"/>
      <c r="AJ753" s="3437"/>
      <c r="AK753" s="3437"/>
      <c r="AL753" s="3437"/>
      <c r="AM753" s="3437"/>
      <c r="AN753" s="3437"/>
      <c r="AO753" s="3437"/>
      <c r="AP753" s="3437"/>
      <c r="AQ753" s="3437"/>
      <c r="AR753" s="3437"/>
      <c r="AS753" s="3437"/>
      <c r="AT753" s="3437"/>
      <c r="AU753" s="3437"/>
      <c r="AV753" s="3437"/>
      <c r="AW753" s="3437"/>
      <c r="AX753" s="3437"/>
      <c r="AY753" s="3437"/>
      <c r="AZ753" s="3437"/>
      <c r="BA753" s="3437"/>
      <c r="BB753" s="3437"/>
      <c r="BC753" s="3437"/>
      <c r="BD753" s="3437"/>
      <c r="BE753" s="3437"/>
      <c r="BF753" s="3437"/>
      <c r="BG753" s="3437"/>
      <c r="BH753" s="3437"/>
      <c r="BI753" s="3437"/>
    </row>
    <row r="754" spans="1:61" ht="33" customHeight="1">
      <c r="A754" s="4442" t="s">
        <v>5879</v>
      </c>
      <c r="B754" s="4442" t="s">
        <v>5880</v>
      </c>
      <c r="C754" s="3985" t="s">
        <v>178</v>
      </c>
      <c r="D754" s="3986" t="s">
        <v>4261</v>
      </c>
      <c r="E754" s="3987" t="str">
        <f>VLOOKUP(F754,plasmids!$A$2:$B$891,2)</f>
        <v>pAAV2/8</v>
      </c>
      <c r="F754" s="3984">
        <v>122</v>
      </c>
      <c r="G754" s="3730"/>
      <c r="H754" s="3731" t="str">
        <f>VLOOKUP(I754,plasmids!$A$2:$B$891,2)</f>
        <v>sc-CAG-GFP</v>
      </c>
      <c r="I754" s="3466">
        <v>120</v>
      </c>
      <c r="J754" s="3986"/>
      <c r="K754" s="3988"/>
      <c r="L754" s="1126"/>
      <c r="M754" s="173">
        <v>42643</v>
      </c>
      <c r="N754" s="3989">
        <v>792</v>
      </c>
      <c r="O754" s="3990"/>
      <c r="P754" s="3991"/>
      <c r="Q754" s="179">
        <v>112000000000000</v>
      </c>
      <c r="R754" s="3648">
        <v>34000000000</v>
      </c>
      <c r="S754" s="182">
        <f t="shared" si="8"/>
        <v>108047058823529.41</v>
      </c>
      <c r="T754" s="3992" t="s">
        <v>5861</v>
      </c>
      <c r="U754" s="3993"/>
      <c r="V754" s="3990">
        <f>138-5-25</f>
        <v>108</v>
      </c>
      <c r="W754" s="3993"/>
      <c r="X754" s="3993"/>
      <c r="Y754" s="3993"/>
      <c r="Z754" s="3993"/>
      <c r="AA754" s="3993"/>
      <c r="AB754" s="3993"/>
      <c r="AC754" s="3993"/>
      <c r="AD754" s="3993"/>
      <c r="AE754" s="3993"/>
      <c r="AF754" s="3993"/>
      <c r="AG754" s="3993"/>
      <c r="AH754" s="1880"/>
      <c r="AI754" s="1880"/>
      <c r="AJ754" s="1880"/>
      <c r="AK754" s="1880"/>
      <c r="AL754" s="1880"/>
      <c r="AM754" s="1880"/>
      <c r="AN754" s="1880"/>
      <c r="AO754" s="1880"/>
      <c r="AP754" s="1880"/>
      <c r="AQ754" s="1880"/>
      <c r="AR754" s="1880"/>
      <c r="AS754" s="1880"/>
      <c r="AT754" s="1880"/>
      <c r="AU754" s="1880"/>
      <c r="AV754" s="1880"/>
      <c r="AW754" s="1880"/>
      <c r="AX754" s="1880"/>
      <c r="AY754" s="1880"/>
      <c r="AZ754" s="1880"/>
      <c r="BA754" s="1880"/>
      <c r="BB754" s="1880"/>
      <c r="BC754" s="1880"/>
      <c r="BD754" s="1880"/>
      <c r="BE754" s="1880"/>
      <c r="BF754" s="1880"/>
      <c r="BG754" s="1880"/>
      <c r="BH754" s="1880"/>
      <c r="BI754" s="1880"/>
    </row>
    <row r="755" spans="1:61" ht="25.5" customHeight="1">
      <c r="A755" s="3967" t="s">
        <v>5814</v>
      </c>
      <c r="B755" s="3967" t="s">
        <v>5818</v>
      </c>
      <c r="C755" s="3968" t="s">
        <v>5842</v>
      </c>
      <c r="D755" s="3967" t="s">
        <v>3782</v>
      </c>
      <c r="E755" s="3983" t="str">
        <f>VLOOKUP(F755,plasmids!$A$2:$B$891,2)</f>
        <v>AAV2-7m8</v>
      </c>
      <c r="F755" s="3970">
        <v>178</v>
      </c>
      <c r="G755" s="3971"/>
      <c r="H755" s="3967" t="str">
        <f>VLOOKUP(I755,plasmids!$A$2:$B$740,2)</f>
        <v>pssAAV-U6-shLife7-MfUSH1C-CMV-***-GFP</v>
      </c>
      <c r="I755" s="3967">
        <v>685</v>
      </c>
      <c r="J755" s="3972"/>
      <c r="K755" s="3973"/>
      <c r="L755" s="3973"/>
      <c r="M755" s="3974">
        <v>42650</v>
      </c>
      <c r="N755" s="3975">
        <v>793</v>
      </c>
      <c r="O755" s="3970"/>
      <c r="P755" s="3976"/>
      <c r="Q755" s="4443">
        <v>3010000000000</v>
      </c>
      <c r="R755" s="4428">
        <v>30700000000</v>
      </c>
      <c r="S755" s="3979">
        <f t="shared" si="8"/>
        <v>3215895765472.313</v>
      </c>
      <c r="T755" s="3972"/>
      <c r="U755" s="3972"/>
      <c r="V755" s="3970">
        <f>127</f>
        <v>127</v>
      </c>
      <c r="W755" s="4429" t="s">
        <v>2812</v>
      </c>
      <c r="X755" s="3981"/>
      <c r="Y755" s="3982">
        <v>42760</v>
      </c>
      <c r="Z755" s="3981"/>
      <c r="AA755" s="3981"/>
      <c r="AB755" s="3981"/>
      <c r="AC755" s="3981"/>
      <c r="AD755" s="3981"/>
      <c r="AE755" s="3981"/>
      <c r="AF755" s="3981"/>
      <c r="AG755" s="3981"/>
      <c r="AH755" s="3981"/>
      <c r="AI755" s="3981"/>
      <c r="AJ755" s="3981"/>
      <c r="AK755" s="3981"/>
      <c r="AL755" s="3981"/>
      <c r="AM755" s="3981"/>
      <c r="AN755" s="3981"/>
      <c r="AO755" s="3981"/>
      <c r="AP755" s="3981"/>
      <c r="AQ755" s="3981"/>
      <c r="AR755" s="3981"/>
      <c r="AS755" s="3981"/>
      <c r="AT755" s="3981"/>
      <c r="AU755" s="3981"/>
      <c r="AV755" s="3981"/>
      <c r="AW755" s="3981"/>
      <c r="AX755" s="3981"/>
      <c r="AY755" s="3981"/>
      <c r="AZ755" s="3981"/>
      <c r="BA755" s="3981"/>
      <c r="BB755" s="3981"/>
      <c r="BC755" s="3981"/>
      <c r="BD755" s="3981"/>
      <c r="BE755" s="3981"/>
      <c r="BF755" s="3981"/>
      <c r="BG755" s="3981"/>
      <c r="BH755" s="3981"/>
      <c r="BI755" s="3981"/>
    </row>
    <row r="756" spans="1:61" ht="25.5" customHeight="1">
      <c r="A756" s="3967" t="s">
        <v>5814</v>
      </c>
      <c r="B756" s="3967" t="s">
        <v>5818</v>
      </c>
      <c r="C756" s="3968" t="s">
        <v>5842</v>
      </c>
      <c r="D756" s="3967" t="s">
        <v>3782</v>
      </c>
      <c r="E756" s="3983" t="str">
        <f>VLOOKUP(F756,plasmids!$A$2:$B$891,2)</f>
        <v>AAV2-7m8</v>
      </c>
      <c r="F756" s="3970">
        <v>178</v>
      </c>
      <c r="G756" s="3971"/>
      <c r="H756" s="3967" t="str">
        <f>VLOOKUP(I756,plasmids!$A$2:$B$740,2)</f>
        <v>pssAAV-U6-shLife10-MfHsUSH1C-CMV-STOP-GFP</v>
      </c>
      <c r="I756" s="3967">
        <v>675</v>
      </c>
      <c r="J756" s="3972"/>
      <c r="K756" s="3973"/>
      <c r="L756" s="3973"/>
      <c r="M756" s="3974">
        <v>42650</v>
      </c>
      <c r="N756" s="3975">
        <v>794</v>
      </c>
      <c r="O756" s="3970"/>
      <c r="P756" s="3976"/>
      <c r="Q756" s="4068">
        <v>5210000000000</v>
      </c>
      <c r="R756" s="4428">
        <v>30700000000</v>
      </c>
      <c r="S756" s="3979">
        <f t="shared" si="8"/>
        <v>5566384364820.8467</v>
      </c>
      <c r="T756" s="3972"/>
      <c r="U756" s="3972"/>
      <c r="V756" s="3970">
        <f>115</f>
        <v>115</v>
      </c>
      <c r="W756" s="4429" t="s">
        <v>2812</v>
      </c>
      <c r="X756" s="3981"/>
      <c r="Y756" s="3982">
        <v>42760</v>
      </c>
      <c r="Z756" s="3981"/>
      <c r="AA756" s="3981"/>
      <c r="AB756" s="3981"/>
      <c r="AC756" s="3981"/>
      <c r="AD756" s="3981"/>
      <c r="AE756" s="3981"/>
      <c r="AF756" s="3981"/>
      <c r="AG756" s="3981"/>
      <c r="AH756" s="3981"/>
      <c r="AI756" s="3981"/>
      <c r="AJ756" s="3981"/>
      <c r="AK756" s="3981"/>
      <c r="AL756" s="3981"/>
      <c r="AM756" s="3981"/>
      <c r="AN756" s="3981"/>
      <c r="AO756" s="3981"/>
      <c r="AP756" s="3981"/>
      <c r="AQ756" s="3981"/>
      <c r="AR756" s="3981"/>
      <c r="AS756" s="3981"/>
      <c r="AT756" s="3981"/>
      <c r="AU756" s="3981"/>
      <c r="AV756" s="3981"/>
      <c r="AW756" s="3981"/>
      <c r="AX756" s="3981"/>
      <c r="AY756" s="3981"/>
      <c r="AZ756" s="3981"/>
      <c r="BA756" s="3981"/>
      <c r="BB756" s="3981"/>
      <c r="BC756" s="3981"/>
      <c r="BD756" s="3981"/>
      <c r="BE756" s="3981"/>
      <c r="BF756" s="3981"/>
      <c r="BG756" s="3981"/>
      <c r="BH756" s="3981"/>
      <c r="BI756" s="3981"/>
    </row>
    <row r="757" spans="1:61" ht="25.5" customHeight="1">
      <c r="A757" s="3967" t="s">
        <v>5814</v>
      </c>
      <c r="B757" s="3967" t="s">
        <v>5818</v>
      </c>
      <c r="C757" s="3968" t="s">
        <v>5842</v>
      </c>
      <c r="D757" s="3967" t="s">
        <v>3782</v>
      </c>
      <c r="E757" s="3983" t="str">
        <f>VLOOKUP(F757,plasmids!$A$2:$B$891,2)</f>
        <v>AAV2-7m8</v>
      </c>
      <c r="F757" s="3970">
        <v>178</v>
      </c>
      <c r="G757" s="3971"/>
      <c r="H757" s="3969" t="str">
        <f>VLOOKUP(I757,plasmids!$A$2:$B$740,2)</f>
        <v>pssAAV-U6-sh1082-MfUSH1C-CMV-STOP-GFP</v>
      </c>
      <c r="I757" s="3967">
        <v>674</v>
      </c>
      <c r="J757" s="3972"/>
      <c r="K757" s="3973"/>
      <c r="L757" s="3973"/>
      <c r="M757" s="3974">
        <v>42650</v>
      </c>
      <c r="N757" s="3975">
        <v>795</v>
      </c>
      <c r="O757" s="3970"/>
      <c r="P757" s="3976"/>
      <c r="Q757" s="4068">
        <v>4260000000000</v>
      </c>
      <c r="R757" s="4428">
        <v>30700000000</v>
      </c>
      <c r="S757" s="3979">
        <f t="shared" si="8"/>
        <v>4551400651465.7979</v>
      </c>
      <c r="T757" s="3972"/>
      <c r="U757" s="3972"/>
      <c r="V757" s="3970">
        <f>100</f>
        <v>100</v>
      </c>
      <c r="W757" s="4429" t="s">
        <v>2812</v>
      </c>
      <c r="X757" s="3981"/>
      <c r="Y757" s="3982">
        <v>42760</v>
      </c>
      <c r="Z757" s="3981"/>
      <c r="AA757" s="3981"/>
      <c r="AB757" s="3981"/>
      <c r="AC757" s="3981"/>
      <c r="AD757" s="3981"/>
      <c r="AE757" s="3981"/>
      <c r="AF757" s="3981"/>
      <c r="AG757" s="3981"/>
      <c r="AH757" s="3981"/>
      <c r="AI757" s="3981"/>
      <c r="AJ757" s="3981"/>
      <c r="AK757" s="3981"/>
      <c r="AL757" s="3981"/>
      <c r="AM757" s="3981"/>
      <c r="AN757" s="3981"/>
      <c r="AO757" s="3981"/>
      <c r="AP757" s="3981"/>
      <c r="AQ757" s="3981"/>
      <c r="AR757" s="3981"/>
      <c r="AS757" s="3981"/>
      <c r="AT757" s="3981"/>
      <c r="AU757" s="3981"/>
      <c r="AV757" s="3981"/>
      <c r="AW757" s="3981"/>
      <c r="AX757" s="3981"/>
      <c r="AY757" s="3981"/>
      <c r="AZ757" s="3981"/>
      <c r="BA757" s="3981"/>
      <c r="BB757" s="3981"/>
      <c r="BC757" s="3981"/>
      <c r="BD757" s="3981"/>
      <c r="BE757" s="3981"/>
      <c r="BF757" s="3981"/>
      <c r="BG757" s="3981"/>
      <c r="BH757" s="3981"/>
      <c r="BI757" s="3981"/>
    </row>
    <row r="758" spans="1:61" ht="27" customHeight="1">
      <c r="A758" s="235" t="s">
        <v>52</v>
      </c>
      <c r="B758" s="235" t="s">
        <v>177</v>
      </c>
      <c r="C758" s="236" t="s">
        <v>1967</v>
      </c>
      <c r="D758" s="235" t="s">
        <v>5547</v>
      </c>
      <c r="E758" s="3502" t="str">
        <f>VLOOKUP(F758,plasmids!$A$2:$B$351,2)</f>
        <v>AAV2-7m8</v>
      </c>
      <c r="F758" s="237">
        <v>178</v>
      </c>
      <c r="G758" s="3503"/>
      <c r="H758" s="3503" t="str">
        <f>VLOOKUP(I758,plasmids!$A$2:$B$1011,2)</f>
        <v>pAAV-hRho-Killer Red</v>
      </c>
      <c r="I758" s="235">
        <v>434</v>
      </c>
      <c r="J758" s="235"/>
      <c r="K758" s="252"/>
      <c r="L758" s="238"/>
      <c r="M758" s="241">
        <v>42650</v>
      </c>
      <c r="N758" s="1379">
        <v>796</v>
      </c>
      <c r="O758" s="235"/>
      <c r="P758" s="248"/>
      <c r="Q758" s="3504">
        <v>5900000000000</v>
      </c>
      <c r="R758" s="3505">
        <v>30700000000</v>
      </c>
      <c r="S758" s="250">
        <f t="shared" si="8"/>
        <v>6303583061889.251</v>
      </c>
      <c r="T758" s="3506"/>
      <c r="U758" s="3507"/>
      <c r="V758" s="237">
        <f>124-60</f>
        <v>64</v>
      </c>
      <c r="W758" s="4444"/>
      <c r="X758" s="3509"/>
      <c r="Y758" s="244"/>
      <c r="Z758" s="248"/>
      <c r="AA758" s="248"/>
      <c r="AB758" s="248"/>
      <c r="AC758" s="248"/>
      <c r="AD758" s="252"/>
      <c r="AE758" s="237">
        <v>200</v>
      </c>
      <c r="AF758" s="255"/>
      <c r="AG758" s="255"/>
      <c r="AH758" s="255"/>
      <c r="AI758" s="255"/>
      <c r="AJ758" s="255"/>
      <c r="AK758" s="255"/>
      <c r="AL758" s="255"/>
      <c r="AM758" s="255"/>
      <c r="AN758" s="255"/>
      <c r="AO758" s="255"/>
      <c r="AP758" s="255"/>
      <c r="AQ758" s="255"/>
      <c r="AR758" s="255"/>
      <c r="AS758" s="255"/>
      <c r="AT758" s="255"/>
      <c r="AU758" s="255"/>
      <c r="AV758" s="255"/>
      <c r="AW758" s="255"/>
      <c r="AX758" s="255"/>
      <c r="AY758" s="255"/>
      <c r="AZ758" s="255"/>
      <c r="BA758" s="255"/>
      <c r="BB758" s="255"/>
      <c r="BC758" s="255"/>
      <c r="BD758" s="255"/>
      <c r="BE758" s="255"/>
      <c r="BF758" s="255"/>
      <c r="BG758" s="255"/>
      <c r="BH758" s="255"/>
      <c r="BI758" s="255"/>
    </row>
    <row r="759" spans="1:61" ht="33" customHeight="1">
      <c r="A759" s="4445" t="s">
        <v>707</v>
      </c>
      <c r="B759" s="4446" t="s">
        <v>5762</v>
      </c>
      <c r="C759" s="4447" t="s">
        <v>178</v>
      </c>
      <c r="D759" s="4448" t="s">
        <v>4261</v>
      </c>
      <c r="E759" s="4449" t="str">
        <f>VLOOKUP(F759,plasmids!$A$2:$B$891,2)</f>
        <v>pAAV2/8</v>
      </c>
      <c r="F759" s="4446">
        <v>122</v>
      </c>
      <c r="G759" s="4450"/>
      <c r="H759" s="4451" t="str">
        <f>VLOOKUP(I759,plasmids!$A$2:$B$891,2)</f>
        <v>pTR-scCAG-RS1</v>
      </c>
      <c r="I759" s="4452">
        <v>183</v>
      </c>
      <c r="J759" s="4448"/>
      <c r="K759" s="4453"/>
      <c r="L759" s="4454"/>
      <c r="M759" s="4455">
        <v>42657</v>
      </c>
      <c r="N759" s="4456">
        <v>797</v>
      </c>
      <c r="O759" s="4457"/>
      <c r="P759" s="4458"/>
      <c r="Q759" s="4459">
        <v>42400000000</v>
      </c>
      <c r="R759" s="4460">
        <v>80100000000</v>
      </c>
      <c r="S759" s="4461">
        <f t="shared" si="8"/>
        <v>17362297128.589264</v>
      </c>
      <c r="T759" s="4462" t="s">
        <v>5840</v>
      </c>
      <c r="U759" s="4463"/>
      <c r="V759" s="4457">
        <f>123</f>
        <v>123</v>
      </c>
      <c r="W759" s="4463"/>
      <c r="X759" s="4463"/>
      <c r="Y759" s="4463"/>
      <c r="Z759" s="4463"/>
      <c r="AA759" s="4463"/>
      <c r="AB759" s="4463"/>
      <c r="AC759" s="4463"/>
      <c r="AD759" s="4463"/>
      <c r="AE759" s="4463"/>
      <c r="AF759" s="4463"/>
      <c r="AG759" s="4463"/>
      <c r="AH759" s="4463"/>
      <c r="AI759" s="4463"/>
      <c r="AJ759" s="4463"/>
      <c r="AK759" s="4463"/>
      <c r="AL759" s="4463"/>
      <c r="AM759" s="4463"/>
      <c r="AN759" s="4463"/>
      <c r="AO759" s="4463"/>
      <c r="AP759" s="4463"/>
      <c r="AQ759" s="4463"/>
      <c r="AR759" s="4463"/>
      <c r="AS759" s="4463"/>
      <c r="AT759" s="4463"/>
      <c r="AU759" s="4463"/>
      <c r="AV759" s="4463"/>
      <c r="AW759" s="4463"/>
      <c r="AX759" s="4463"/>
      <c r="AY759" s="4463"/>
      <c r="AZ759" s="4463"/>
      <c r="BA759" s="4463"/>
      <c r="BB759" s="4463"/>
      <c r="BC759" s="4463"/>
      <c r="BD759" s="4463"/>
      <c r="BE759" s="4463"/>
      <c r="BF759" s="4463"/>
      <c r="BG759" s="4463"/>
      <c r="BH759" s="4463"/>
      <c r="BI759" s="4463"/>
    </row>
    <row r="760" spans="1:61" ht="21" customHeight="1">
      <c r="A760" s="4464" t="s">
        <v>5768</v>
      </c>
      <c r="B760" s="1179" t="s">
        <v>5812</v>
      </c>
      <c r="C760" s="4465" t="s">
        <v>1967</v>
      </c>
      <c r="D760" s="4466" t="s">
        <v>4867</v>
      </c>
      <c r="E760" s="4467" t="str">
        <f>VLOOKUP(F760,plasmids!$A$2:$B$891,2)</f>
        <v>AAV2-7m8</v>
      </c>
      <c r="F760" s="4468">
        <v>178</v>
      </c>
      <c r="G760" s="4469"/>
      <c r="H760" s="4468" t="str">
        <f>VLOOKUP(I760,plasmids!$A$2:$B$740,2)</f>
        <v>AAV2.1.CMV.eGFP V2 J Bennet</v>
      </c>
      <c r="I760" s="4468">
        <v>654</v>
      </c>
      <c r="J760" s="4470"/>
      <c r="K760" s="4471"/>
      <c r="L760" s="4471"/>
      <c r="M760" s="4472">
        <v>42657</v>
      </c>
      <c r="N760" s="4473">
        <v>798</v>
      </c>
      <c r="O760" s="4468"/>
      <c r="P760" s="4474"/>
      <c r="Q760" s="4475">
        <v>50400000000</v>
      </c>
      <c r="R760" s="4476">
        <v>80100000000</v>
      </c>
      <c r="S760" s="4477">
        <f t="shared" si="8"/>
        <v>20638202247.19101</v>
      </c>
      <c r="T760" s="4478" t="s">
        <v>5840</v>
      </c>
      <c r="U760" s="4470"/>
      <c r="V760" s="4479">
        <f>135</f>
        <v>135</v>
      </c>
      <c r="W760" s="4480"/>
      <c r="X760" s="4481"/>
      <c r="Y760" s="4482">
        <v>42760</v>
      </c>
      <c r="Z760" s="4481"/>
      <c r="AA760" s="4481"/>
      <c r="AB760" s="4481"/>
      <c r="AC760" s="4481"/>
      <c r="AD760" s="4481"/>
      <c r="AE760" s="4481"/>
      <c r="AF760" s="4481"/>
      <c r="AG760" s="4481"/>
      <c r="AH760" s="4481"/>
      <c r="AI760" s="4481"/>
      <c r="AJ760" s="4481"/>
      <c r="AK760" s="4481"/>
      <c r="AL760" s="4481"/>
      <c r="AM760" s="4481"/>
      <c r="AN760" s="4481"/>
      <c r="AO760" s="4481"/>
      <c r="AP760" s="4481"/>
      <c r="AQ760" s="4481"/>
      <c r="AR760" s="4481"/>
      <c r="AS760" s="4481"/>
      <c r="AT760" s="4481"/>
      <c r="AU760" s="4481"/>
      <c r="AV760" s="4481"/>
      <c r="AW760" s="4481"/>
      <c r="AX760" s="4481"/>
      <c r="AY760" s="4481"/>
      <c r="AZ760" s="4481"/>
      <c r="BA760" s="4481"/>
      <c r="BB760" s="4481"/>
      <c r="BC760" s="4481"/>
      <c r="BD760" s="4481"/>
      <c r="BE760" s="4481"/>
      <c r="BF760" s="4481"/>
      <c r="BG760" s="4483"/>
      <c r="BH760" s="4484"/>
      <c r="BI760" s="4484"/>
    </row>
    <row r="761" spans="1:61" ht="24.75" customHeight="1">
      <c r="A761" s="4485" t="s">
        <v>707</v>
      </c>
      <c r="B761" s="4485" t="s">
        <v>3973</v>
      </c>
      <c r="C761" s="4486" t="s">
        <v>1967</v>
      </c>
      <c r="D761" s="4485" t="s">
        <v>4867</v>
      </c>
      <c r="E761" s="4487" t="str">
        <f>VLOOKUP(F761,plasmids!$A$2:$B$891,2)</f>
        <v>AAV9 2YF</v>
      </c>
      <c r="F761" s="4488">
        <v>168</v>
      </c>
      <c r="G761" s="4489"/>
      <c r="H761" s="4490" t="str">
        <f>VLOOKUP(I761,plasmids!$A$2:$B$891,2)</f>
        <v xml:space="preserve">pTR-scCAG-RdCVFs </v>
      </c>
      <c r="I761" s="4452">
        <v>187</v>
      </c>
      <c r="J761" s="4491"/>
      <c r="K761" s="4492"/>
      <c r="L761" s="4454"/>
      <c r="M761" s="4455">
        <v>42657</v>
      </c>
      <c r="N761" s="4493">
        <v>799</v>
      </c>
      <c r="O761" s="4488"/>
      <c r="P761" s="4494"/>
      <c r="Q761" s="4495">
        <v>122000000000</v>
      </c>
      <c r="R761" s="4496">
        <v>80100000000</v>
      </c>
      <c r="S761" s="4461">
        <f t="shared" si="8"/>
        <v>49957553058.676651</v>
      </c>
      <c r="T761" s="4452" t="s">
        <v>5840</v>
      </c>
      <c r="U761" s="4491"/>
      <c r="V761" s="4497">
        <f>142</f>
        <v>142</v>
      </c>
      <c r="W761" s="4498"/>
      <c r="X761" s="1291"/>
      <c r="Y761" s="1291"/>
      <c r="Z761" s="1291"/>
      <c r="AA761" s="1291"/>
      <c r="AB761" s="1291"/>
      <c r="AC761" s="1291"/>
      <c r="AD761" s="1291"/>
      <c r="AE761" s="1291"/>
      <c r="AF761" s="1291"/>
      <c r="AG761" s="1291"/>
      <c r="AH761" s="1291"/>
      <c r="AI761" s="1291"/>
      <c r="AJ761" s="1291"/>
      <c r="AK761" s="1291"/>
      <c r="AL761" s="1291"/>
      <c r="AM761" s="1291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</row>
    <row r="762" spans="1:61" ht="24.75" customHeight="1">
      <c r="A762" s="4499" t="s">
        <v>1549</v>
      </c>
      <c r="B762" s="4499" t="s">
        <v>5800</v>
      </c>
      <c r="C762" s="4500" t="s">
        <v>5801</v>
      </c>
      <c r="D762" s="4499" t="s">
        <v>5794</v>
      </c>
      <c r="E762" s="4500" t="s">
        <v>2228</v>
      </c>
      <c r="F762" s="4501" t="s">
        <v>5881</v>
      </c>
      <c r="G762" s="4502">
        <v>704</v>
      </c>
      <c r="H762" s="4500" t="s">
        <v>2228</v>
      </c>
      <c r="I762" s="4499">
        <v>704</v>
      </c>
      <c r="J762" s="4499" t="s">
        <v>5799</v>
      </c>
      <c r="K762" s="4503"/>
      <c r="L762" s="4499" t="s">
        <v>5437</v>
      </c>
      <c r="M762" s="4504">
        <v>42657</v>
      </c>
      <c r="N762" s="4505">
        <v>800</v>
      </c>
      <c r="O762" s="4501"/>
      <c r="P762" s="4506"/>
      <c r="Q762" s="4507">
        <v>433000000000000</v>
      </c>
      <c r="R762" s="4508">
        <v>80100000000</v>
      </c>
      <c r="S762" s="4509">
        <f t="shared" si="8"/>
        <v>177308364544319.59</v>
      </c>
      <c r="T762" s="4499" t="s">
        <v>5840</v>
      </c>
      <c r="U762" s="4510"/>
      <c r="V762" s="4511">
        <f>145-1</f>
        <v>144</v>
      </c>
      <c r="W762" s="4512"/>
      <c r="X762" s="3897"/>
      <c r="Y762" s="3897"/>
      <c r="Z762" s="3897"/>
      <c r="AA762" s="3897"/>
      <c r="AB762" s="3897"/>
      <c r="AC762" s="3897"/>
      <c r="AD762" s="3897"/>
      <c r="AE762" s="3897"/>
      <c r="AF762" s="3897"/>
      <c r="AG762" s="3897"/>
      <c r="AH762" s="3897"/>
      <c r="AI762" s="3897"/>
      <c r="AJ762" s="3897"/>
      <c r="AK762" s="3897"/>
      <c r="AL762" s="3897"/>
      <c r="AM762" s="3897"/>
      <c r="AN762" s="3897"/>
      <c r="AO762" s="3897"/>
      <c r="AP762" s="3897"/>
      <c r="AQ762" s="3897"/>
      <c r="AR762" s="3897"/>
      <c r="AS762" s="3897"/>
      <c r="AT762" s="3897"/>
      <c r="AU762" s="3897"/>
      <c r="AV762" s="3897"/>
      <c r="AW762" s="3897"/>
      <c r="AX762" s="3897"/>
      <c r="AY762" s="3897"/>
      <c r="AZ762" s="3897"/>
      <c r="BA762" s="3897"/>
      <c r="BB762" s="3897"/>
      <c r="BC762" s="3897"/>
      <c r="BD762" s="3897"/>
      <c r="BE762" s="3897"/>
      <c r="BF762" s="3897"/>
      <c r="BG762" s="3897"/>
      <c r="BH762" s="3897"/>
      <c r="BI762" s="3897"/>
    </row>
    <row r="763" spans="1:61" ht="24.75" customHeight="1">
      <c r="A763" s="3526" t="s">
        <v>1343</v>
      </c>
      <c r="B763" s="3526" t="s">
        <v>5882</v>
      </c>
      <c r="C763" s="3527" t="s">
        <v>1967</v>
      </c>
      <c r="D763" s="3526" t="s">
        <v>5547</v>
      </c>
      <c r="E763" s="3528" t="str">
        <f>VLOOKUP(F763,plasmids!$A$2:$B$891,2)</f>
        <v>AAV9 2YF</v>
      </c>
      <c r="F763" s="3529">
        <v>168</v>
      </c>
      <c r="G763" s="3530"/>
      <c r="H763" s="4142" t="str">
        <f>VLOOKUP(I763,plasmids!$A$2:$B$891,2)</f>
        <v>pscAAV-hRho-GFP</v>
      </c>
      <c r="I763" s="3526">
        <v>588</v>
      </c>
      <c r="J763" s="3531"/>
      <c r="K763" s="3532"/>
      <c r="L763" s="3752"/>
      <c r="M763" s="3534">
        <v>42664</v>
      </c>
      <c r="N763" s="3535">
        <v>801</v>
      </c>
      <c r="O763" s="3529"/>
      <c r="P763" s="3536"/>
      <c r="Q763" s="4144">
        <v>341000000000000</v>
      </c>
      <c r="R763" s="4145">
        <v>33500000000</v>
      </c>
      <c r="S763" s="4337">
        <f t="shared" si="8"/>
        <v>333874626865671.62</v>
      </c>
      <c r="T763" s="3526" t="s">
        <v>5754</v>
      </c>
      <c r="U763" s="3531"/>
      <c r="V763" s="4146">
        <f>168</f>
        <v>168</v>
      </c>
      <c r="W763" s="3756" t="s">
        <v>2812</v>
      </c>
      <c r="X763" s="3541"/>
      <c r="Y763" s="3541"/>
      <c r="Z763" s="3541"/>
      <c r="AA763" s="3541"/>
      <c r="AB763" s="3541"/>
      <c r="AC763" s="3541"/>
      <c r="AD763" s="3541"/>
      <c r="AE763" s="3541"/>
      <c r="AF763" s="3541"/>
      <c r="AG763" s="3541"/>
      <c r="AH763" s="3541"/>
      <c r="AI763" s="3541"/>
      <c r="AJ763" s="3541"/>
      <c r="AK763" s="3541"/>
      <c r="AL763" s="3541"/>
      <c r="AM763" s="3541"/>
      <c r="AN763" s="3541"/>
      <c r="AO763" s="3541"/>
      <c r="AP763" s="3541"/>
      <c r="AQ763" s="3541"/>
      <c r="AR763" s="3541"/>
      <c r="AS763" s="3541"/>
      <c r="AT763" s="3541"/>
      <c r="AU763" s="3541"/>
      <c r="AV763" s="3541"/>
      <c r="AW763" s="3541"/>
      <c r="AX763" s="3541"/>
      <c r="AY763" s="3541"/>
      <c r="AZ763" s="3541"/>
      <c r="BA763" s="3541"/>
      <c r="BB763" s="3541"/>
      <c r="BC763" s="3541"/>
      <c r="BD763" s="3541"/>
      <c r="BE763" s="3541"/>
      <c r="BF763" s="3541"/>
      <c r="BG763" s="3541"/>
      <c r="BH763" s="3541"/>
      <c r="BI763" s="3541"/>
    </row>
    <row r="764" spans="1:61" ht="24">
      <c r="A764" s="4189" t="s">
        <v>5469</v>
      </c>
      <c r="B764" s="4187" t="s">
        <v>5883</v>
      </c>
      <c r="C764" s="4188" t="s">
        <v>1967</v>
      </c>
      <c r="D764" s="4187" t="s">
        <v>3782</v>
      </c>
      <c r="E764" s="4190" t="str">
        <f>VLOOKUP(F764,plasmids!$A$2:$B$891,2)</f>
        <v>pAAV2/8</v>
      </c>
      <c r="F764" s="4191">
        <v>122</v>
      </c>
      <c r="G764" s="4192"/>
      <c r="H764" s="4192" t="str">
        <f>VLOOKUP(I764,plasmids!$A$2:$B$1191,2)</f>
        <v>pAAV-Opsin-GFP</v>
      </c>
      <c r="I764" s="4187">
        <v>702</v>
      </c>
      <c r="J764" s="4193"/>
      <c r="K764" s="4513"/>
      <c r="L764" s="4194"/>
      <c r="M764" s="4195">
        <v>42664</v>
      </c>
      <c r="N764" s="4514">
        <v>802</v>
      </c>
      <c r="O764" s="4515"/>
      <c r="P764" s="4516">
        <v>3</v>
      </c>
      <c r="Q764" s="4517">
        <v>129000000000000</v>
      </c>
      <c r="R764" s="4516">
        <v>33500000000</v>
      </c>
      <c r="S764" s="4518">
        <f t="shared" si="8"/>
        <v>126304477611940.3</v>
      </c>
      <c r="T764" s="4193"/>
      <c r="U764" s="4193"/>
      <c r="V764" s="4515">
        <f>210</f>
        <v>210</v>
      </c>
      <c r="W764" s="4519" t="s">
        <v>2812</v>
      </c>
      <c r="X764" s="4203"/>
      <c r="Y764" s="4520">
        <v>42760</v>
      </c>
      <c r="Z764" s="4203"/>
      <c r="AA764" s="4203"/>
      <c r="AB764" s="4203"/>
      <c r="AC764" s="4203"/>
      <c r="AD764" s="4203"/>
      <c r="AE764" s="4203"/>
      <c r="AF764" s="4203"/>
      <c r="AG764" s="4203"/>
      <c r="AH764" s="4203"/>
      <c r="AI764" s="4203"/>
      <c r="AJ764" s="4203"/>
      <c r="AK764" s="4203"/>
      <c r="AL764" s="4203"/>
      <c r="AM764" s="4203"/>
      <c r="AN764" s="4203"/>
      <c r="AO764" s="4203"/>
      <c r="AP764" s="4203"/>
      <c r="AQ764" s="4203"/>
      <c r="AR764" s="4203"/>
      <c r="AS764" s="4203"/>
      <c r="AT764" s="4203"/>
      <c r="AU764" s="4203"/>
      <c r="AV764" s="4203"/>
      <c r="AW764" s="4203"/>
      <c r="AX764" s="4203"/>
      <c r="AY764" s="4203"/>
      <c r="AZ764" s="4203"/>
      <c r="BA764" s="4203"/>
      <c r="BB764" s="4203"/>
      <c r="BC764" s="4203"/>
      <c r="BD764" s="4203"/>
      <c r="BE764" s="4203"/>
      <c r="BF764" s="4203"/>
      <c r="BG764" s="4203"/>
      <c r="BH764" s="4203"/>
      <c r="BI764" s="4203"/>
    </row>
    <row r="765" spans="1:61" ht="22.5" customHeight="1">
      <c r="A765" s="4521" t="s">
        <v>707</v>
      </c>
      <c r="B765" s="4522" t="s">
        <v>5704</v>
      </c>
      <c r="C765" s="4523" t="s">
        <v>5783</v>
      </c>
      <c r="D765" s="4522" t="s">
        <v>5655</v>
      </c>
      <c r="E765" s="4524" t="str">
        <f>VLOOKUP(F765,plasmids!$A$2:$B$891,2)</f>
        <v>AAV9 7M8 (AA------)</v>
      </c>
      <c r="F765" s="4525">
        <v>170</v>
      </c>
      <c r="G765" s="4526"/>
      <c r="H765" s="4527" t="str">
        <f>VLOOKUP(I765,plasmids!$A$2:$B$891,2)</f>
        <v>pssAAV-pR1.7-GFP</v>
      </c>
      <c r="I765" s="4522">
        <v>566</v>
      </c>
      <c r="J765" s="4528"/>
      <c r="K765" s="4529"/>
      <c r="L765" s="4530"/>
      <c r="M765" s="4531">
        <v>42664</v>
      </c>
      <c r="N765" s="4532">
        <v>803</v>
      </c>
      <c r="O765" s="4533"/>
      <c r="P765" s="4534"/>
      <c r="Q765" s="4535">
        <v>394000000000</v>
      </c>
      <c r="R765" s="4536">
        <v>33500000000</v>
      </c>
      <c r="S765" s="4537">
        <f t="shared" si="8"/>
        <v>385767164179.10449</v>
      </c>
      <c r="T765" s="4538" t="s">
        <v>5840</v>
      </c>
      <c r="U765" s="4528"/>
      <c r="V765" s="4539">
        <f>181</f>
        <v>181</v>
      </c>
      <c r="W765" s="4528"/>
      <c r="X765" s="4528"/>
      <c r="Y765" s="4528"/>
      <c r="Z765" s="4528"/>
      <c r="AA765" s="4528"/>
      <c r="AB765" s="4528"/>
      <c r="AC765" s="4528"/>
      <c r="AD765" s="4528"/>
      <c r="AE765" s="4528"/>
      <c r="AF765" s="4528"/>
      <c r="AG765" s="4528"/>
      <c r="AH765" s="4528"/>
      <c r="AI765" s="4528"/>
      <c r="AJ765" s="4528"/>
      <c r="AK765" s="4528"/>
      <c r="AL765" s="4528"/>
      <c r="AM765" s="4528"/>
      <c r="AN765" s="4528"/>
      <c r="AO765" s="4528"/>
      <c r="AP765" s="4528"/>
      <c r="AQ765" s="4528"/>
      <c r="AR765" s="4528"/>
      <c r="AS765" s="4528"/>
      <c r="AT765" s="4528"/>
      <c r="AU765" s="4528"/>
      <c r="AV765" s="4528"/>
      <c r="AW765" s="4528"/>
      <c r="AX765" s="4528"/>
      <c r="AY765" s="4528"/>
      <c r="AZ765" s="4528"/>
      <c r="BA765" s="4528"/>
      <c r="BB765" s="4528"/>
      <c r="BC765" s="4528"/>
      <c r="BD765" s="4528"/>
      <c r="BE765" s="4528"/>
      <c r="BF765" s="4528"/>
      <c r="BG765" s="4540"/>
      <c r="BH765" s="4541"/>
      <c r="BI765" s="4541"/>
    </row>
    <row r="766" spans="1:61" ht="24">
      <c r="A766" s="3422" t="s">
        <v>707</v>
      </c>
      <c r="B766" s="3422" t="s">
        <v>5704</v>
      </c>
      <c r="C766" s="4078" t="s">
        <v>1967</v>
      </c>
      <c r="D766" s="3422" t="s">
        <v>5655</v>
      </c>
      <c r="E766" s="3424" t="str">
        <f>VLOOKUP(F766,plasmids!$A$2:$B$891,2)</f>
        <v>AAV2-7m8</v>
      </c>
      <c r="F766" s="3425">
        <v>178</v>
      </c>
      <c r="G766" s="3500"/>
      <c r="H766" s="3426" t="str">
        <f>VLOOKUP(I766,plasmids!$A$2:$B$640,2)</f>
        <v>pssAAV-pR1.7-Jaws-GFP</v>
      </c>
      <c r="I766" s="3436">
        <v>596</v>
      </c>
      <c r="J766" s="3255"/>
      <c r="K766" s="3427"/>
      <c r="L766" s="3428"/>
      <c r="M766" s="3429">
        <v>42664</v>
      </c>
      <c r="N766" s="3430">
        <v>804</v>
      </c>
      <c r="O766" s="3425"/>
      <c r="P766" s="3431"/>
      <c r="Q766" s="3501">
        <v>29100000000000</v>
      </c>
      <c r="R766" s="4542">
        <v>33500000000</v>
      </c>
      <c r="S766" s="3785">
        <f t="shared" si="8"/>
        <v>28491940298507.461</v>
      </c>
      <c r="T766" s="3435" t="s">
        <v>5840</v>
      </c>
      <c r="U766" s="3255"/>
      <c r="V766" s="3436">
        <v>70</v>
      </c>
      <c r="W766" s="4441"/>
      <c r="X766" s="3437"/>
      <c r="Y766" s="3437"/>
      <c r="Z766" s="3437"/>
      <c r="AA766" s="3437"/>
      <c r="AB766" s="3437"/>
      <c r="AC766" s="3437"/>
      <c r="AD766" s="3437"/>
      <c r="AE766" s="3437"/>
      <c r="AF766" s="3437"/>
      <c r="AG766" s="3437"/>
      <c r="AH766" s="3437"/>
      <c r="AI766" s="3437"/>
      <c r="AJ766" s="3437"/>
      <c r="AK766" s="3437"/>
      <c r="AL766" s="3437"/>
      <c r="AM766" s="3437"/>
      <c r="AN766" s="3437"/>
      <c r="AO766" s="3437"/>
      <c r="AP766" s="3437"/>
      <c r="AQ766" s="3437"/>
      <c r="AR766" s="3437"/>
      <c r="AS766" s="3437"/>
      <c r="AT766" s="3437"/>
      <c r="AU766" s="3437"/>
      <c r="AV766" s="3437"/>
      <c r="AW766" s="3437"/>
      <c r="AX766" s="3437"/>
      <c r="AY766" s="3437"/>
      <c r="AZ766" s="3437"/>
      <c r="BA766" s="3437"/>
      <c r="BB766" s="3437"/>
      <c r="BC766" s="3437"/>
      <c r="BD766" s="3437"/>
      <c r="BE766" s="3437"/>
      <c r="BF766" s="3437"/>
      <c r="BG766" s="3437"/>
      <c r="BH766" s="3437"/>
      <c r="BI766" s="3437"/>
    </row>
    <row r="767" spans="1:61" ht="24.75" customHeight="1">
      <c r="A767" s="3526" t="s">
        <v>1343</v>
      </c>
      <c r="B767" s="3526" t="s">
        <v>5707</v>
      </c>
      <c r="C767" s="3527" t="s">
        <v>5708</v>
      </c>
      <c r="D767" s="3526" t="s">
        <v>3782</v>
      </c>
      <c r="E767" s="3528" t="str">
        <f>VLOOKUP(F767,plasmids!$A$2:$B$891,2)</f>
        <v>AAV2-7m8</v>
      </c>
      <c r="F767" s="3529">
        <v>178</v>
      </c>
      <c r="G767" s="3530"/>
      <c r="H767" s="3530" t="str">
        <f>VLOOKUP(I767,plasmids!$A$2:$B$891,2)</f>
        <v>pssAAV-pr1.7-sv40sasd-FLAG-Jaws-KGC-ER2-hghpA</v>
      </c>
      <c r="I767" s="3526">
        <v>676</v>
      </c>
      <c r="J767" s="3531"/>
      <c r="K767" s="3532"/>
      <c r="L767" s="3752"/>
      <c r="M767" s="3534">
        <v>42664</v>
      </c>
      <c r="N767" s="3535">
        <v>805</v>
      </c>
      <c r="O767" s="3529"/>
      <c r="P767" s="3536"/>
      <c r="Q767" s="4144">
        <v>26700000000000</v>
      </c>
      <c r="R767" s="4145">
        <v>33500000000</v>
      </c>
      <c r="S767" s="4337">
        <f t="shared" si="8"/>
        <v>26142089552238.805</v>
      </c>
      <c r="T767" s="3526" t="s">
        <v>5840</v>
      </c>
      <c r="U767" s="3531"/>
      <c r="V767" s="4146">
        <f>189</f>
        <v>189</v>
      </c>
      <c r="W767" s="3756" t="s">
        <v>2812</v>
      </c>
      <c r="X767" s="3541"/>
      <c r="Y767" s="3541"/>
      <c r="Z767" s="3541"/>
      <c r="AA767" s="3541"/>
      <c r="AB767" s="3541"/>
      <c r="AC767" s="3541"/>
      <c r="AD767" s="3541"/>
      <c r="AE767" s="3541"/>
      <c r="AF767" s="3541"/>
      <c r="AG767" s="3541"/>
      <c r="AH767" s="3541"/>
      <c r="AI767" s="3541"/>
      <c r="AJ767" s="3541"/>
      <c r="AK767" s="3541"/>
      <c r="AL767" s="3541"/>
      <c r="AM767" s="3541"/>
      <c r="AN767" s="3541"/>
      <c r="AO767" s="3541"/>
      <c r="AP767" s="3541"/>
      <c r="AQ767" s="3541"/>
      <c r="AR767" s="3541"/>
      <c r="AS767" s="3541"/>
      <c r="AT767" s="3541"/>
      <c r="AU767" s="3541"/>
      <c r="AV767" s="3541"/>
      <c r="AW767" s="3541"/>
      <c r="AX767" s="3541"/>
      <c r="AY767" s="3541"/>
      <c r="AZ767" s="3541"/>
      <c r="BA767" s="3541"/>
      <c r="BB767" s="3541"/>
      <c r="BC767" s="3541"/>
      <c r="BD767" s="3541"/>
      <c r="BE767" s="3541"/>
      <c r="BF767" s="3541"/>
      <c r="BG767" s="3541"/>
      <c r="BH767" s="3541"/>
      <c r="BI767" s="3541"/>
    </row>
    <row r="768" spans="1:61" ht="21" customHeight="1">
      <c r="A768" s="1179" t="s">
        <v>5768</v>
      </c>
      <c r="B768" s="1179" t="s">
        <v>5812</v>
      </c>
      <c r="C768" s="1177" t="s">
        <v>1967</v>
      </c>
      <c r="D768" s="1175" t="s">
        <v>4867</v>
      </c>
      <c r="E768" s="3957" t="str">
        <f>VLOOKUP(F768,plasmids!$A$2:$B$891,2)</f>
        <v>AAV2-7m8</v>
      </c>
      <c r="F768" s="1223">
        <v>178</v>
      </c>
      <c r="G768" s="3958"/>
      <c r="H768" s="1223" t="str">
        <f>VLOOKUP(I768,plasmids!$A$2:$B$740,2)</f>
        <v>AAV2.1.CMV.eGFP V2 J Bennet</v>
      </c>
      <c r="I768" s="1223">
        <v>654</v>
      </c>
      <c r="J768" s="1253"/>
      <c r="K768" s="1183"/>
      <c r="L768" s="1183"/>
      <c r="M768" s="1220">
        <v>42671</v>
      </c>
      <c r="N768" s="1328">
        <v>806</v>
      </c>
      <c r="O768" s="1223"/>
      <c r="P768" s="1242"/>
      <c r="Q768" s="4543">
        <v>9130000000000</v>
      </c>
      <c r="R768" s="4544">
        <v>13100000000</v>
      </c>
      <c r="S768" s="4545">
        <f t="shared" si="8"/>
        <v>22859847328244.277</v>
      </c>
      <c r="T768" s="3962"/>
      <c r="U768" s="1253"/>
      <c r="V768" s="1179">
        <f>172</f>
        <v>172</v>
      </c>
      <c r="W768" s="3963"/>
      <c r="X768" s="1259"/>
      <c r="Y768" s="1259"/>
      <c r="Z768" s="1259"/>
      <c r="AA768" s="1259"/>
      <c r="AB768" s="1259"/>
      <c r="AC768" s="1259"/>
      <c r="AD768" s="1259"/>
      <c r="AE768" s="1259"/>
      <c r="AF768" s="1259"/>
      <c r="AG768" s="1259"/>
      <c r="AH768" s="1259"/>
      <c r="AI768" s="1259"/>
      <c r="AJ768" s="1259"/>
      <c r="AK768" s="1259"/>
      <c r="AL768" s="1259"/>
      <c r="AM768" s="1259"/>
      <c r="AN768" s="1259"/>
      <c r="AO768" s="1259"/>
      <c r="AP768" s="1259"/>
      <c r="AQ768" s="1259"/>
      <c r="AR768" s="1259"/>
      <c r="AS768" s="1259"/>
      <c r="AT768" s="1259"/>
      <c r="AU768" s="1259"/>
      <c r="AV768" s="1259"/>
      <c r="AW768" s="1259"/>
      <c r="AX768" s="1259"/>
      <c r="AY768" s="1259"/>
      <c r="AZ768" s="1259"/>
      <c r="BA768" s="1259"/>
      <c r="BB768" s="1259"/>
      <c r="BC768" s="1259"/>
      <c r="BD768" s="1259"/>
      <c r="BE768" s="1259"/>
      <c r="BF768" s="1259"/>
      <c r="BG768" s="1259"/>
      <c r="BH768" s="1259"/>
      <c r="BI768" s="1259"/>
    </row>
    <row r="769" spans="1:61" ht="23.25" customHeight="1">
      <c r="A769" s="4546" t="s">
        <v>5884</v>
      </c>
      <c r="B769" s="4546" t="s">
        <v>5885</v>
      </c>
      <c r="C769" s="4546" t="s">
        <v>5886</v>
      </c>
      <c r="D769" s="4546" t="s">
        <v>1088</v>
      </c>
      <c r="E769" s="1761" t="str">
        <f>VLOOKUP(F769,plasmids!$A$2:$B$891,2)</f>
        <v>AAV2-7m8</v>
      </c>
      <c r="F769" s="4546">
        <v>178</v>
      </c>
      <c r="G769" s="4547"/>
      <c r="H769" s="3487" t="s">
        <v>2233</v>
      </c>
      <c r="I769" s="4546">
        <v>706</v>
      </c>
      <c r="J769" s="4547"/>
      <c r="K769" s="4547"/>
      <c r="L769" s="4547"/>
      <c r="M769" s="4548">
        <v>42671</v>
      </c>
      <c r="N769" s="4549">
        <v>807</v>
      </c>
      <c r="O769" s="4547"/>
      <c r="P769" s="4547"/>
      <c r="Q769" s="4550">
        <v>41000000000000</v>
      </c>
      <c r="R769" s="4551">
        <v>13100000000</v>
      </c>
      <c r="S769" s="4552">
        <f t="shared" si="8"/>
        <v>102656488549618.33</v>
      </c>
      <c r="T769" s="4547"/>
      <c r="U769" s="4547"/>
      <c r="V769" s="4547">
        <f>183-55</f>
        <v>128</v>
      </c>
      <c r="W769" s="4547"/>
      <c r="X769" s="4547"/>
      <c r="Y769" s="4547"/>
      <c r="Z769" s="4547"/>
      <c r="AA769" s="4547"/>
      <c r="AB769" s="4547"/>
      <c r="AC769" s="4547"/>
      <c r="AD769" s="4547"/>
      <c r="AE769" s="4547"/>
      <c r="AF769" s="4547"/>
      <c r="AG769" s="4547"/>
      <c r="AH769" s="4547"/>
      <c r="AI769" s="4547"/>
      <c r="AJ769" s="4547"/>
      <c r="AK769" s="4547"/>
      <c r="AL769" s="4547"/>
      <c r="AM769" s="4547"/>
      <c r="AN769" s="4547"/>
      <c r="AO769" s="4547"/>
      <c r="AP769" s="4547"/>
      <c r="AQ769" s="4547"/>
      <c r="AR769" s="4547"/>
      <c r="AS769" s="4547"/>
      <c r="AT769" s="4547"/>
      <c r="AU769" s="4547"/>
      <c r="AV769" s="4547"/>
      <c r="AW769" s="4547"/>
      <c r="AX769" s="4547"/>
      <c r="AY769" s="4547"/>
      <c r="AZ769" s="4547"/>
      <c r="BA769" s="4547"/>
      <c r="BB769" s="4547"/>
      <c r="BC769" s="4547"/>
      <c r="BD769" s="4547"/>
      <c r="BE769" s="4547"/>
      <c r="BF769" s="4547"/>
      <c r="BG769" s="4547"/>
      <c r="BH769" s="4547"/>
      <c r="BI769" s="4547"/>
    </row>
    <row r="770" spans="1:61" ht="24.75" customHeight="1">
      <c r="A770" s="4546" t="s">
        <v>5884</v>
      </c>
      <c r="B770" s="4546" t="s">
        <v>5885</v>
      </c>
      <c r="C770" s="4546" t="s">
        <v>5886</v>
      </c>
      <c r="D770" s="4546" t="s">
        <v>1088</v>
      </c>
      <c r="E770" s="1761" t="str">
        <f>VLOOKUP(F770,plasmids!$A$2:$B$891,2)</f>
        <v>pXR1</v>
      </c>
      <c r="F770" s="3269">
        <v>110</v>
      </c>
      <c r="G770" s="1763"/>
      <c r="H770" s="3487" t="s">
        <v>4439</v>
      </c>
      <c r="I770" s="3486">
        <v>707</v>
      </c>
      <c r="J770" s="2856"/>
      <c r="K770" s="3270"/>
      <c r="L770" s="3483"/>
      <c r="M770" s="4548">
        <v>42671</v>
      </c>
      <c r="N770" s="2798">
        <v>808</v>
      </c>
      <c r="O770" s="3269"/>
      <c r="P770" s="2859"/>
      <c r="Q770" s="4550">
        <v>203000000000000</v>
      </c>
      <c r="R770" s="4551">
        <v>13100000000</v>
      </c>
      <c r="S770" s="4552">
        <f t="shared" si="8"/>
        <v>508274809160305.38</v>
      </c>
      <c r="T770" s="3486"/>
      <c r="U770" s="2856"/>
      <c r="V770" s="3547">
        <f>187</f>
        <v>187</v>
      </c>
      <c r="W770" s="2851"/>
      <c r="X770" s="2863"/>
      <c r="Y770" s="2863"/>
      <c r="Z770" s="2863"/>
      <c r="AA770" s="2863"/>
      <c r="AB770" s="2863"/>
      <c r="AC770" s="2863"/>
      <c r="AD770" s="2863"/>
      <c r="AE770" s="2863"/>
      <c r="AF770" s="2863"/>
      <c r="AG770" s="2863"/>
      <c r="AH770" s="2863"/>
      <c r="AI770" s="2863"/>
      <c r="AJ770" s="2863"/>
      <c r="AK770" s="2863"/>
      <c r="AL770" s="2863"/>
      <c r="AM770" s="2863"/>
      <c r="AN770" s="2863"/>
      <c r="AO770" s="2863"/>
      <c r="AP770" s="2863"/>
      <c r="AQ770" s="2863"/>
      <c r="AR770" s="2863"/>
      <c r="AS770" s="2863"/>
      <c r="AT770" s="2863"/>
      <c r="AU770" s="2863"/>
      <c r="AV770" s="2863"/>
      <c r="AW770" s="2863"/>
      <c r="AX770" s="2863"/>
      <c r="AY770" s="2863"/>
      <c r="AZ770" s="2863"/>
      <c r="BA770" s="2863"/>
      <c r="BB770" s="2863"/>
      <c r="BC770" s="2863"/>
      <c r="BD770" s="2863"/>
      <c r="BE770" s="2863"/>
      <c r="BF770" s="2863"/>
      <c r="BG770" s="2863"/>
      <c r="BH770" s="2863"/>
      <c r="BI770" s="2863"/>
    </row>
    <row r="771" spans="1:61" ht="24.75" customHeight="1">
      <c r="A771" s="4546" t="s">
        <v>5884</v>
      </c>
      <c r="B771" s="4546" t="s">
        <v>5885</v>
      </c>
      <c r="C771" s="4546" t="s">
        <v>5886</v>
      </c>
      <c r="D771" s="4546" t="s">
        <v>1088</v>
      </c>
      <c r="E771" s="1761" t="str">
        <f>VLOOKUP(F771,plasmids!$A$2:$B$891,2)</f>
        <v>AAV2-7m8</v>
      </c>
      <c r="F771" s="3269">
        <v>178</v>
      </c>
      <c r="G771" s="1763"/>
      <c r="H771" s="3546" t="s">
        <v>4440</v>
      </c>
      <c r="I771" s="3486">
        <v>334</v>
      </c>
      <c r="J771" s="2856"/>
      <c r="K771" s="3270"/>
      <c r="L771" s="3483"/>
      <c r="M771" s="4548">
        <v>42671</v>
      </c>
      <c r="N771" s="2798">
        <v>809</v>
      </c>
      <c r="O771" s="3269"/>
      <c r="P771" s="2859"/>
      <c r="Q771" s="4550">
        <v>9940000000000</v>
      </c>
      <c r="R771" s="4551">
        <v>13100000000</v>
      </c>
      <c r="S771" s="4552">
        <f t="shared" si="8"/>
        <v>24887938931297.711</v>
      </c>
      <c r="T771" s="3486"/>
      <c r="U771" s="2856"/>
      <c r="V771" s="3547">
        <f>150</f>
        <v>150</v>
      </c>
      <c r="W771" s="2851"/>
      <c r="X771" s="2863"/>
      <c r="Y771" s="2863"/>
      <c r="Z771" s="2863"/>
      <c r="AA771" s="2863"/>
      <c r="AB771" s="2863"/>
      <c r="AC771" s="2863"/>
      <c r="AD771" s="2863"/>
      <c r="AE771" s="2863"/>
      <c r="AF771" s="2863"/>
      <c r="AG771" s="2863"/>
      <c r="AH771" s="2863"/>
      <c r="AI771" s="2863"/>
      <c r="AJ771" s="2863"/>
      <c r="AK771" s="2863"/>
      <c r="AL771" s="2863"/>
      <c r="AM771" s="2863"/>
      <c r="AN771" s="2863"/>
      <c r="AO771" s="2863"/>
      <c r="AP771" s="2863"/>
      <c r="AQ771" s="2863"/>
      <c r="AR771" s="2863"/>
      <c r="AS771" s="2863"/>
      <c r="AT771" s="2863"/>
      <c r="AU771" s="2863"/>
      <c r="AV771" s="2863"/>
      <c r="AW771" s="2863"/>
      <c r="AX771" s="2863"/>
      <c r="AY771" s="2863"/>
      <c r="AZ771" s="2863"/>
      <c r="BA771" s="2863"/>
      <c r="BB771" s="2863"/>
      <c r="BC771" s="2863"/>
      <c r="BD771" s="2863"/>
      <c r="BE771" s="2863"/>
      <c r="BF771" s="2863"/>
      <c r="BG771" s="2863"/>
      <c r="BH771" s="2863"/>
      <c r="BI771" s="2863"/>
    </row>
    <row r="772" spans="1:61" ht="24.75" customHeight="1">
      <c r="A772" s="3526" t="s">
        <v>1343</v>
      </c>
      <c r="B772" s="3526" t="s">
        <v>5707</v>
      </c>
      <c r="C772" s="3527" t="s">
        <v>5708</v>
      </c>
      <c r="D772" s="3526" t="s">
        <v>3782</v>
      </c>
      <c r="E772" s="3528" t="str">
        <f>VLOOKUP(F772,plasmids!$A$2:$B$891,2)</f>
        <v>AAV2-7m8</v>
      </c>
      <c r="F772" s="3529">
        <v>178</v>
      </c>
      <c r="G772" s="3530"/>
      <c r="H772" s="3530" t="str">
        <f>VLOOKUP(I772,plasmids!$A$2:$B$891,2)</f>
        <v>pssAAV-pR1.7-Jaws-GFP</v>
      </c>
      <c r="I772" s="3526">
        <v>596</v>
      </c>
      <c r="J772" s="3531"/>
      <c r="K772" s="3532"/>
      <c r="L772" s="3752"/>
      <c r="M772" s="3534">
        <v>42678</v>
      </c>
      <c r="N772" s="3535">
        <v>810</v>
      </c>
      <c r="O772" s="4143"/>
      <c r="P772" s="3536"/>
      <c r="Q772" s="4553">
        <v>11500000000000</v>
      </c>
      <c r="R772" s="4145">
        <v>13100000000</v>
      </c>
      <c r="S772" s="3539">
        <f t="shared" si="8"/>
        <v>28793893129770.996</v>
      </c>
      <c r="T772" s="3526" t="s">
        <v>5754</v>
      </c>
      <c r="U772" s="3531"/>
      <c r="V772" s="4146">
        <f>175</f>
        <v>175</v>
      </c>
      <c r="W772" s="3756" t="s">
        <v>2812</v>
      </c>
      <c r="X772" s="3541"/>
      <c r="Y772" s="3541"/>
      <c r="Z772" s="3541"/>
      <c r="AA772" s="3541"/>
      <c r="AB772" s="3541"/>
      <c r="AC772" s="3541"/>
      <c r="AD772" s="3541"/>
      <c r="AE772" s="3541"/>
      <c r="AF772" s="3541"/>
      <c r="AG772" s="3541"/>
      <c r="AH772" s="3541"/>
      <c r="AI772" s="3541"/>
      <c r="AJ772" s="3541"/>
      <c r="AK772" s="3541"/>
      <c r="AL772" s="3541"/>
      <c r="AM772" s="3541"/>
      <c r="AN772" s="3541"/>
      <c r="AO772" s="3541"/>
      <c r="AP772" s="3541"/>
      <c r="AQ772" s="3541"/>
      <c r="AR772" s="3541"/>
      <c r="AS772" s="3541"/>
      <c r="AT772" s="3541"/>
      <c r="AU772" s="3541"/>
      <c r="AV772" s="3541"/>
      <c r="AW772" s="3541"/>
      <c r="AX772" s="3541"/>
      <c r="AY772" s="3541"/>
      <c r="AZ772" s="3541"/>
      <c r="BA772" s="3541"/>
      <c r="BB772" s="3541"/>
      <c r="BC772" s="3541"/>
      <c r="BD772" s="3541"/>
      <c r="BE772" s="3541"/>
      <c r="BF772" s="3541"/>
      <c r="BG772" s="3541"/>
      <c r="BH772" s="3541"/>
      <c r="BI772" s="3541"/>
    </row>
    <row r="773" spans="1:61" ht="30.75" customHeight="1">
      <c r="A773" s="4554" t="s">
        <v>4846</v>
      </c>
      <c r="B773" s="4554" t="s">
        <v>4847</v>
      </c>
      <c r="C773" s="4555" t="s">
        <v>178</v>
      </c>
      <c r="D773" s="4554" t="s">
        <v>288</v>
      </c>
      <c r="E773" s="4554" t="s">
        <v>58</v>
      </c>
      <c r="F773" s="4556">
        <v>178</v>
      </c>
      <c r="G773" s="4557"/>
      <c r="H773" s="4557" t="str">
        <f>VLOOKUP(I773,plasmids!$A$2:$B$1191,2)</f>
        <v>pAAV-1xGrm6-Grm6</v>
      </c>
      <c r="I773" s="4554">
        <v>397</v>
      </c>
      <c r="J773" s="4554"/>
      <c r="K773" s="4558"/>
      <c r="L773" s="4559"/>
      <c r="M773" s="4560">
        <v>42678</v>
      </c>
      <c r="N773" s="4561">
        <v>811</v>
      </c>
      <c r="O773" s="4562"/>
      <c r="P773" s="4563"/>
      <c r="Q773" s="4564">
        <v>21100000000000</v>
      </c>
      <c r="R773" s="4565">
        <v>13100000000</v>
      </c>
      <c r="S773" s="4566">
        <f t="shared" si="8"/>
        <v>52830534351145.039</v>
      </c>
      <c r="T773" s="4567" t="s">
        <v>5789</v>
      </c>
      <c r="U773" s="4568"/>
      <c r="V773" s="4562">
        <f>186</f>
        <v>186</v>
      </c>
      <c r="W773" s="4569"/>
      <c r="X773" s="4570"/>
      <c r="Y773" s="4569"/>
      <c r="Z773" s="4569"/>
      <c r="AA773" s="4569"/>
      <c r="AB773" s="4569"/>
      <c r="AC773" s="4569"/>
      <c r="AD773" s="4569"/>
      <c r="AE773" s="4569"/>
      <c r="AF773" s="4569"/>
      <c r="AG773" s="4569"/>
      <c r="AH773" s="4569"/>
      <c r="AI773" s="4569"/>
      <c r="AJ773" s="4569"/>
      <c r="AK773" s="4569"/>
      <c r="AL773" s="4569"/>
      <c r="AM773" s="4569"/>
      <c r="AN773" s="4569"/>
      <c r="AO773" s="4569"/>
      <c r="AP773" s="4569"/>
      <c r="AQ773" s="4569"/>
      <c r="AR773" s="4569"/>
      <c r="AS773" s="4569"/>
      <c r="AT773" s="4569"/>
      <c r="AU773" s="4569"/>
      <c r="AV773" s="4569"/>
      <c r="AW773" s="4569"/>
      <c r="AX773" s="4569"/>
      <c r="AY773" s="4569"/>
      <c r="AZ773" s="4569"/>
      <c r="BA773" s="4569"/>
      <c r="BB773" s="4569"/>
      <c r="BC773" s="4569"/>
      <c r="BD773" s="4569"/>
      <c r="BE773" s="4569"/>
      <c r="BF773" s="4569"/>
      <c r="BG773" s="4569"/>
      <c r="BH773" s="4569"/>
      <c r="BI773" s="4569"/>
    </row>
    <row r="774" spans="1:61" ht="27" customHeight="1">
      <c r="A774" s="235" t="s">
        <v>52</v>
      </c>
      <c r="B774" s="235" t="s">
        <v>177</v>
      </c>
      <c r="C774" s="236" t="s">
        <v>1967</v>
      </c>
      <c r="D774" s="235" t="s">
        <v>5547</v>
      </c>
      <c r="E774" s="3502" t="str">
        <f>VLOOKUP(F774,plasmids!$A$2:$B$351,2)</f>
        <v>AAV2-7m8</v>
      </c>
      <c r="F774" s="237">
        <v>178</v>
      </c>
      <c r="G774" s="3503"/>
      <c r="H774" s="3503" t="str">
        <f>VLOOKUP(I774,plasmids!$A$2:$B$1011,2)</f>
        <v>pAAV-hRho-Killer Red</v>
      </c>
      <c r="I774" s="235">
        <v>434</v>
      </c>
      <c r="J774" s="235"/>
      <c r="K774" s="252"/>
      <c r="L774" s="238"/>
      <c r="M774" s="241">
        <v>42678</v>
      </c>
      <c r="N774" s="1379">
        <v>812</v>
      </c>
      <c r="O774" s="235"/>
      <c r="P774" s="248"/>
      <c r="Q774" s="4571">
        <v>11800000000000</v>
      </c>
      <c r="R774" s="3505">
        <v>13100000000</v>
      </c>
      <c r="S774" s="250">
        <f t="shared" si="8"/>
        <v>29545038167938.934</v>
      </c>
      <c r="T774" s="3506"/>
      <c r="U774" s="3507"/>
      <c r="V774" s="237">
        <f t="shared" ref="V774:V775" si="9">176</f>
        <v>176</v>
      </c>
      <c r="W774" s="4444"/>
      <c r="X774" s="3509"/>
      <c r="Y774" s="244"/>
      <c r="Z774" s="248"/>
      <c r="AA774" s="248"/>
      <c r="AB774" s="248"/>
      <c r="AC774" s="248"/>
      <c r="AD774" s="252"/>
      <c r="AE774" s="237">
        <v>200</v>
      </c>
      <c r="AF774" s="255"/>
      <c r="AG774" s="255"/>
      <c r="AH774" s="255"/>
      <c r="AI774" s="255"/>
      <c r="AJ774" s="255"/>
      <c r="AK774" s="255"/>
      <c r="AL774" s="255"/>
      <c r="AM774" s="255"/>
      <c r="AN774" s="255"/>
      <c r="AO774" s="255"/>
      <c r="AP774" s="255"/>
      <c r="AQ774" s="255"/>
      <c r="AR774" s="255"/>
      <c r="AS774" s="255"/>
      <c r="AT774" s="255"/>
      <c r="AU774" s="255"/>
      <c r="AV774" s="255"/>
      <c r="AW774" s="255"/>
      <c r="AX774" s="255"/>
      <c r="AY774" s="255"/>
      <c r="AZ774" s="255"/>
      <c r="BA774" s="255"/>
      <c r="BB774" s="255"/>
      <c r="BC774" s="255"/>
      <c r="BD774" s="255"/>
      <c r="BE774" s="255"/>
      <c r="BF774" s="255"/>
      <c r="BG774" s="255"/>
      <c r="BH774" s="255"/>
      <c r="BI774" s="255"/>
    </row>
    <row r="775" spans="1:61" ht="24.75" customHeight="1">
      <c r="A775" s="4572" t="s">
        <v>707</v>
      </c>
      <c r="B775" s="4572" t="s">
        <v>3973</v>
      </c>
      <c r="C775" s="4573" t="s">
        <v>1967</v>
      </c>
      <c r="D775" s="4572" t="s">
        <v>4867</v>
      </c>
      <c r="E775" s="4574" t="str">
        <f>VLOOKUP(F775,plasmids!$A$2:$B$891,2)</f>
        <v>AAV9 2YF</v>
      </c>
      <c r="F775" s="4575">
        <v>168</v>
      </c>
      <c r="G775" s="4576"/>
      <c r="H775" s="4577" t="str">
        <f>VLOOKUP(I775,plasmids!$A$2:$B$891,2)</f>
        <v xml:space="preserve">pTR-scCAG-RdCVFs </v>
      </c>
      <c r="I775" s="4578">
        <v>187</v>
      </c>
      <c r="J775" s="4579"/>
      <c r="K775" s="4580"/>
      <c r="L775" s="4581"/>
      <c r="M775" s="4582">
        <v>42678</v>
      </c>
      <c r="N775" s="4583">
        <v>813</v>
      </c>
      <c r="O775" s="4575"/>
      <c r="P775" s="4584"/>
      <c r="Q775" s="4585">
        <v>232000000000000</v>
      </c>
      <c r="R775" s="4586">
        <v>13100000000</v>
      </c>
      <c r="S775" s="4587">
        <f t="shared" si="8"/>
        <v>580885496183206.12</v>
      </c>
      <c r="T775" s="4578"/>
      <c r="U775" s="4579"/>
      <c r="V775" s="4588">
        <f t="shared" si="9"/>
        <v>176</v>
      </c>
      <c r="W775" s="4589"/>
      <c r="X775" s="4590"/>
      <c r="Y775" s="4590"/>
      <c r="Z775" s="4590"/>
      <c r="AA775" s="4590"/>
      <c r="AB775" s="4590"/>
      <c r="AC775" s="4590"/>
      <c r="AD775" s="4590"/>
      <c r="AE775" s="4590"/>
      <c r="AF775" s="4590"/>
      <c r="AG775" s="4590"/>
      <c r="AH775" s="4590"/>
      <c r="AI775" s="4590"/>
      <c r="AJ775" s="4590"/>
      <c r="AK775" s="4590"/>
      <c r="AL775" s="4590"/>
      <c r="AM775" s="4590"/>
      <c r="AN775" s="4590"/>
      <c r="AO775" s="4590"/>
      <c r="AP775" s="4590"/>
      <c r="AQ775" s="4590"/>
      <c r="AR775" s="4590"/>
      <c r="AS775" s="4590"/>
      <c r="AT775" s="4590"/>
      <c r="AU775" s="4590"/>
      <c r="AV775" s="4590"/>
      <c r="AW775" s="4590"/>
      <c r="AX775" s="4590"/>
      <c r="AY775" s="4590"/>
      <c r="AZ775" s="4590"/>
      <c r="BA775" s="4590"/>
      <c r="BB775" s="4590"/>
      <c r="BC775" s="4590"/>
      <c r="BD775" s="4590"/>
      <c r="BE775" s="4590"/>
      <c r="BF775" s="4590"/>
      <c r="BG775" s="4590"/>
      <c r="BH775" s="4590"/>
      <c r="BI775" s="4590"/>
    </row>
    <row r="776" spans="1:61" ht="33" customHeight="1">
      <c r="A776" s="4442" t="s">
        <v>707</v>
      </c>
      <c r="B776" s="3984" t="s">
        <v>5762</v>
      </c>
      <c r="C776" s="3985" t="s">
        <v>178</v>
      </c>
      <c r="D776" s="3986" t="s">
        <v>4261</v>
      </c>
      <c r="E776" s="3987" t="str">
        <f>VLOOKUP(F776,plasmids!$A$2:$B$891,2)</f>
        <v>pAAV2/8</v>
      </c>
      <c r="F776" s="3984">
        <v>122</v>
      </c>
      <c r="G776" s="3730"/>
      <c r="H776" s="3731" t="str">
        <f>VLOOKUP(I776,plasmids!$A$2:$B$891,2)</f>
        <v>pTR-scCAG-RS1</v>
      </c>
      <c r="I776" s="3466">
        <v>183</v>
      </c>
      <c r="J776" s="3986"/>
      <c r="K776" s="3988"/>
      <c r="L776" s="1126"/>
      <c r="M776" s="173">
        <v>42678</v>
      </c>
      <c r="N776" s="3989">
        <v>814</v>
      </c>
      <c r="O776" s="3990"/>
      <c r="P776" s="3991"/>
      <c r="Q776" s="4591">
        <v>160000000000000</v>
      </c>
      <c r="R776" s="3648">
        <v>13100000000</v>
      </c>
      <c r="S776" s="182">
        <f t="shared" si="8"/>
        <v>400610687022900.81</v>
      </c>
      <c r="T776" s="3992" t="s">
        <v>5789</v>
      </c>
      <c r="U776" s="3993"/>
      <c r="V776" s="3994" t="s">
        <v>5887</v>
      </c>
      <c r="W776" s="4592" t="s">
        <v>5888</v>
      </c>
      <c r="X776" s="3993"/>
      <c r="Y776" s="3993"/>
      <c r="Z776" s="3993"/>
      <c r="AA776" s="3993"/>
      <c r="AB776" s="3993"/>
      <c r="AC776" s="3993"/>
      <c r="AD776" s="3993"/>
      <c r="AE776" s="3993"/>
      <c r="AF776" s="3993"/>
      <c r="AG776" s="3993"/>
      <c r="AH776" s="3993"/>
      <c r="AI776" s="3993"/>
      <c r="AJ776" s="3993"/>
      <c r="AK776" s="3993"/>
      <c r="AL776" s="3993"/>
      <c r="AM776" s="3993"/>
      <c r="AN776" s="3993"/>
      <c r="AO776" s="3993"/>
      <c r="AP776" s="3993"/>
      <c r="AQ776" s="3993"/>
      <c r="AR776" s="3993"/>
      <c r="AS776" s="3993"/>
      <c r="AT776" s="3993"/>
      <c r="AU776" s="3993"/>
      <c r="AV776" s="3993"/>
      <c r="AW776" s="3993"/>
      <c r="AX776" s="3993"/>
      <c r="AY776" s="3993"/>
      <c r="AZ776" s="3993"/>
      <c r="BA776" s="3993"/>
      <c r="BB776" s="3993"/>
      <c r="BC776" s="3993"/>
      <c r="BD776" s="3993"/>
      <c r="BE776" s="3993"/>
      <c r="BF776" s="3993"/>
      <c r="BG776" s="3993"/>
      <c r="BH776" s="3993"/>
      <c r="BI776" s="3993"/>
    </row>
    <row r="777" spans="1:61" ht="24.75" customHeight="1">
      <c r="A777" s="4593" t="s">
        <v>707</v>
      </c>
      <c r="B777" s="4593" t="s">
        <v>3973</v>
      </c>
      <c r="C777" s="4594" t="s">
        <v>1236</v>
      </c>
      <c r="D777" s="4593" t="s">
        <v>5655</v>
      </c>
      <c r="E777" s="4595" t="str">
        <f>VLOOKUP(F777,plasmids!$A$2:$B$891,2)</f>
        <v>AAV9 7M8 (AA------)</v>
      </c>
      <c r="F777" s="4596">
        <v>170</v>
      </c>
      <c r="G777" s="4597"/>
      <c r="H777" s="4597" t="str">
        <f>VLOOKUP(I777,plasmids!$A$2:$B$640,2)</f>
        <v>pssAAV-pR1.7-Jaws-GFP</v>
      </c>
      <c r="I777" s="4593">
        <v>596</v>
      </c>
      <c r="J777" s="4598"/>
      <c r="K777" s="4599"/>
      <c r="L777" s="4600"/>
      <c r="M777" s="4601">
        <v>42684</v>
      </c>
      <c r="N777" s="4602">
        <v>815</v>
      </c>
      <c r="O777" s="4603" t="s">
        <v>5889</v>
      </c>
      <c r="P777" s="4604"/>
      <c r="Q777" s="4605">
        <v>919000000000</v>
      </c>
      <c r="R777" s="4606">
        <v>10700000000</v>
      </c>
      <c r="S777" s="4607">
        <f t="shared" si="8"/>
        <v>2817121495327.1025</v>
      </c>
      <c r="T777" s="4593" t="s">
        <v>5890</v>
      </c>
      <c r="U777" s="4598"/>
      <c r="V777" s="4608">
        <f>170-1</f>
        <v>169</v>
      </c>
      <c r="W777" s="3250" t="s">
        <v>5638</v>
      </c>
      <c r="X777" s="4609"/>
      <c r="Y777" s="4609"/>
      <c r="Z777" s="4609"/>
      <c r="AA777" s="4609"/>
      <c r="AB777" s="4609"/>
      <c r="AC777" s="4609"/>
      <c r="AD777" s="4609"/>
      <c r="AE777" s="4609"/>
      <c r="AF777" s="4609"/>
      <c r="AG777" s="4609"/>
      <c r="AH777" s="4609"/>
      <c r="AI777" s="4609"/>
      <c r="AJ777" s="4609"/>
      <c r="AK777" s="4609"/>
      <c r="AL777" s="4609"/>
      <c r="AM777" s="4609"/>
      <c r="AN777" s="4609"/>
      <c r="AO777" s="4609"/>
      <c r="AP777" s="4609"/>
      <c r="AQ777" s="4609"/>
      <c r="AR777" s="4609"/>
      <c r="AS777" s="4609"/>
      <c r="AT777" s="4609"/>
      <c r="AU777" s="4609"/>
      <c r="AV777" s="4609"/>
      <c r="AW777" s="4609"/>
      <c r="AX777" s="4609"/>
      <c r="AY777" s="4609"/>
      <c r="AZ777" s="4609"/>
      <c r="BA777" s="4609"/>
      <c r="BB777" s="4609"/>
      <c r="BC777" s="4609"/>
      <c r="BD777" s="4609"/>
      <c r="BE777" s="4609"/>
      <c r="BF777" s="4609"/>
      <c r="BG777" s="4609"/>
      <c r="BH777" s="4609"/>
      <c r="BI777" s="4609"/>
    </row>
    <row r="778" spans="1:61" ht="24.75" customHeight="1">
      <c r="A778" s="4593" t="s">
        <v>707</v>
      </c>
      <c r="B778" s="4593" t="s">
        <v>3973</v>
      </c>
      <c r="C778" s="4594" t="s">
        <v>1236</v>
      </c>
      <c r="D778" s="4593" t="s">
        <v>5655</v>
      </c>
      <c r="E778" s="4595" t="str">
        <f>VLOOKUP(F778,plasmids!$A$2:$B$891,2)</f>
        <v>AAV2-7m8</v>
      </c>
      <c r="F778" s="4596">
        <v>178</v>
      </c>
      <c r="G778" s="4597"/>
      <c r="H778" s="4597" t="str">
        <f>VLOOKUP(I778,plasmids!$A$2:$B$891,2)</f>
        <v xml:space="preserve">pTR-scCAG-RdCVFs </v>
      </c>
      <c r="I778" s="4593">
        <v>187</v>
      </c>
      <c r="J778" s="4597"/>
      <c r="K778" s="4599"/>
      <c r="L778" s="4600"/>
      <c r="M778" s="4601">
        <v>42684</v>
      </c>
      <c r="N778" s="4602">
        <v>816</v>
      </c>
      <c r="O778" s="4603"/>
      <c r="P778" s="4604"/>
      <c r="Q778" s="4605">
        <v>2134000000000</v>
      </c>
      <c r="R778" s="4606">
        <v>10700000000</v>
      </c>
      <c r="S778" s="4607">
        <f t="shared" si="8"/>
        <v>6541607476635.5137</v>
      </c>
      <c r="T778" s="4593" t="s">
        <v>5840</v>
      </c>
      <c r="U778" s="4598"/>
      <c r="V778" s="4608">
        <v>30</v>
      </c>
      <c r="W778" s="4610" t="s">
        <v>5888</v>
      </c>
      <c r="X778" s="4609"/>
      <c r="Y778" s="4609"/>
      <c r="Z778" s="4609"/>
      <c r="AA778" s="4609"/>
      <c r="AB778" s="4609"/>
      <c r="AC778" s="4609"/>
      <c r="AD778" s="4609"/>
      <c r="AE778" s="4609"/>
      <c r="AF778" s="4609"/>
      <c r="AG778" s="4609"/>
      <c r="AH778" s="4609"/>
      <c r="AI778" s="4609"/>
      <c r="AJ778" s="4609"/>
      <c r="AK778" s="4609"/>
      <c r="AL778" s="4609"/>
      <c r="AM778" s="4609"/>
      <c r="AN778" s="4609"/>
      <c r="AO778" s="4609"/>
      <c r="AP778" s="4609"/>
      <c r="AQ778" s="4609"/>
      <c r="AR778" s="4609"/>
      <c r="AS778" s="4609"/>
      <c r="AT778" s="4609"/>
      <c r="AU778" s="4609"/>
      <c r="AV778" s="4609"/>
      <c r="AW778" s="4609"/>
      <c r="AX778" s="4609"/>
      <c r="AY778" s="4609"/>
      <c r="AZ778" s="4609"/>
      <c r="BA778" s="4609"/>
      <c r="BB778" s="4609"/>
      <c r="BC778" s="4609"/>
      <c r="BD778" s="4609"/>
      <c r="BE778" s="4609"/>
      <c r="BF778" s="4609"/>
      <c r="BG778" s="4609"/>
      <c r="BH778" s="4609"/>
      <c r="BI778" s="4609"/>
    </row>
    <row r="779" spans="1:61" ht="22.5" customHeight="1">
      <c r="A779" s="4204" t="s">
        <v>707</v>
      </c>
      <c r="B779" s="4204" t="s">
        <v>5704</v>
      </c>
      <c r="C779" s="4205" t="s">
        <v>1236</v>
      </c>
      <c r="D779" s="4204" t="s">
        <v>5655</v>
      </c>
      <c r="E779" s="4206" t="str">
        <f>VLOOKUP(F779,plasmids!$A$2:$B$891,2)</f>
        <v>AAV2-7m8</v>
      </c>
      <c r="F779" s="4207">
        <v>178</v>
      </c>
      <c r="G779" s="4208"/>
      <c r="H779" s="4209" t="str">
        <f>VLOOKUP(I779,plasmids!$A$2:$B$740,2)</f>
        <v>pssAAV-CMV-GFP (GW)</v>
      </c>
      <c r="I779" s="4210">
        <v>212</v>
      </c>
      <c r="J779" s="4211"/>
      <c r="K779" s="4212"/>
      <c r="L779" s="4213"/>
      <c r="M779" s="4214">
        <v>42684</v>
      </c>
      <c r="N779" s="4215">
        <v>817</v>
      </c>
      <c r="O779" s="4207"/>
      <c r="P779" s="4216"/>
      <c r="Q779" s="4217">
        <v>4940000000000</v>
      </c>
      <c r="R779" s="4218">
        <v>10700000000</v>
      </c>
      <c r="S779" s="4219">
        <f t="shared" si="8"/>
        <v>15143177570093.457</v>
      </c>
      <c r="T779" s="4210" t="s">
        <v>5890</v>
      </c>
      <c r="U779" s="4211"/>
      <c r="V779" s="4210">
        <f>205-1-76.39-7.64</f>
        <v>119.97</v>
      </c>
      <c r="W779" s="3250" t="s">
        <v>5638</v>
      </c>
      <c r="X779" s="4211"/>
      <c r="Y779" s="4211"/>
      <c r="Z779" s="4211"/>
      <c r="AA779" s="4211"/>
      <c r="AB779" s="4211"/>
      <c r="AC779" s="4211"/>
      <c r="AD779" s="4211"/>
      <c r="AE779" s="4211"/>
      <c r="AF779" s="4211"/>
      <c r="AG779" s="4211"/>
      <c r="AH779" s="4211"/>
      <c r="AI779" s="4211"/>
      <c r="AJ779" s="4211"/>
      <c r="AK779" s="4211"/>
      <c r="AL779" s="4211"/>
      <c r="AM779" s="4211"/>
      <c r="AN779" s="4211"/>
      <c r="AO779" s="4211"/>
      <c r="AP779" s="4211"/>
      <c r="AQ779" s="4211"/>
      <c r="AR779" s="4211"/>
      <c r="AS779" s="4211"/>
      <c r="AT779" s="4211"/>
      <c r="AU779" s="4211"/>
      <c r="AV779" s="4211"/>
      <c r="AW779" s="4211"/>
      <c r="AX779" s="4211"/>
      <c r="AY779" s="4211"/>
      <c r="AZ779" s="4211"/>
      <c r="BA779" s="4211"/>
      <c r="BB779" s="4211"/>
      <c r="BC779" s="4211"/>
      <c r="BD779" s="4211"/>
      <c r="BE779" s="4211"/>
      <c r="BF779" s="4211"/>
      <c r="BG779" s="4211"/>
      <c r="BH779" s="3781"/>
      <c r="BI779" s="3781"/>
    </row>
    <row r="780" spans="1:61" ht="22.5" customHeight="1">
      <c r="A780" s="4611" t="s">
        <v>707</v>
      </c>
      <c r="B780" s="4611" t="s">
        <v>5704</v>
      </c>
      <c r="C780" s="4612" t="s">
        <v>1236</v>
      </c>
      <c r="D780" s="4611" t="s">
        <v>5655</v>
      </c>
      <c r="E780" s="4613" t="str">
        <f>VLOOKUP(F780,plasmids!$A$2:$B$891,2)</f>
        <v>AAV2-7m8</v>
      </c>
      <c r="F780" s="4614">
        <v>178</v>
      </c>
      <c r="G780" s="4615"/>
      <c r="H780" s="4616" t="str">
        <f>VLOOKUP(I780,plasmids!$A$2:$B$740,2)</f>
        <v>pssAAV-CMV-GFP (GW)</v>
      </c>
      <c r="I780" s="4617">
        <v>212</v>
      </c>
      <c r="J780" s="4618"/>
      <c r="K780" s="4619"/>
      <c r="L780" s="4620"/>
      <c r="M780" s="4621">
        <v>42684</v>
      </c>
      <c r="N780" s="4622">
        <v>818</v>
      </c>
      <c r="O780" s="4614"/>
      <c r="P780" s="4623"/>
      <c r="Q780" s="4624">
        <v>8515000000000</v>
      </c>
      <c r="R780" s="4086">
        <v>10700000000</v>
      </c>
      <c r="S780" s="4087">
        <f t="shared" si="8"/>
        <v>26102056074766.355</v>
      </c>
      <c r="T780" s="4625" t="s">
        <v>3833</v>
      </c>
      <c r="U780" s="4618"/>
      <c r="V780" s="4626" t="s">
        <v>5891</v>
      </c>
      <c r="W780" s="3494" t="s">
        <v>5638</v>
      </c>
      <c r="X780" s="4618"/>
      <c r="Y780" s="4618"/>
      <c r="Z780" s="4618"/>
      <c r="AA780" s="4618"/>
      <c r="AB780" s="4618"/>
      <c r="AC780" s="4618"/>
      <c r="AD780" s="4618"/>
      <c r="AE780" s="4618"/>
      <c r="AF780" s="4618"/>
      <c r="AG780" s="4618"/>
      <c r="AH780" s="4618"/>
      <c r="AI780" s="4618"/>
      <c r="AJ780" s="4618"/>
      <c r="AK780" s="4618"/>
      <c r="AL780" s="4618"/>
      <c r="AM780" s="4618"/>
      <c r="AN780" s="4618"/>
      <c r="AO780" s="4618"/>
      <c r="AP780" s="4618"/>
      <c r="AQ780" s="4618"/>
      <c r="AR780" s="4618"/>
      <c r="AS780" s="4618"/>
      <c r="AT780" s="4618"/>
      <c r="AU780" s="4618"/>
      <c r="AV780" s="4618"/>
      <c r="AW780" s="4618"/>
      <c r="AX780" s="4618"/>
      <c r="AY780" s="4618"/>
      <c r="AZ780" s="4618"/>
      <c r="BA780" s="4618"/>
      <c r="BB780" s="4618"/>
      <c r="BC780" s="4618"/>
      <c r="BD780" s="4618"/>
      <c r="BE780" s="4618"/>
      <c r="BF780" s="4618"/>
      <c r="BG780" s="4618"/>
      <c r="BH780" s="3765"/>
      <c r="BI780" s="3765"/>
    </row>
    <row r="781" spans="1:61" ht="22.5" customHeight="1">
      <c r="A781" s="4204" t="s">
        <v>707</v>
      </c>
      <c r="B781" s="4204" t="s">
        <v>5704</v>
      </c>
      <c r="C781" s="4205" t="s">
        <v>1236</v>
      </c>
      <c r="D781" s="4204" t="s">
        <v>5655</v>
      </c>
      <c r="E781" s="4206" t="str">
        <f>VLOOKUP(F781,plasmids!$A$2:$B$891,2)</f>
        <v>AAV2-7m8</v>
      </c>
      <c r="F781" s="4207">
        <v>178</v>
      </c>
      <c r="G781" s="4208"/>
      <c r="H781" s="4209" t="str">
        <f>VLOOKUP(I781,plasmids!$A$2:$B$891,2)</f>
        <v>pssAAV-pR1.7-GFP</v>
      </c>
      <c r="I781" s="4210">
        <v>566</v>
      </c>
      <c r="J781" s="4211"/>
      <c r="K781" s="4212"/>
      <c r="L781" s="4213"/>
      <c r="M781" s="4214">
        <v>42684</v>
      </c>
      <c r="N781" s="4215">
        <v>819</v>
      </c>
      <c r="O781" s="4207"/>
      <c r="P781" s="4216"/>
      <c r="Q781" s="4217">
        <v>6220000000000</v>
      </c>
      <c r="R781" s="4218">
        <v>10700000000</v>
      </c>
      <c r="S781" s="4219">
        <f t="shared" si="8"/>
        <v>19066915887850.465</v>
      </c>
      <c r="T781" s="4627" t="s">
        <v>5840</v>
      </c>
      <c r="U781" s="4211"/>
      <c r="V781" s="4210" t="s">
        <v>5892</v>
      </c>
      <c r="W781" s="4628" t="s">
        <v>5893</v>
      </c>
      <c r="X781" s="4211"/>
      <c r="Y781" s="4211"/>
      <c r="Z781" s="4211"/>
      <c r="AA781" s="4211"/>
      <c r="AB781" s="4211"/>
      <c r="AC781" s="4211"/>
      <c r="AD781" s="4211"/>
      <c r="AE781" s="4211"/>
      <c r="AF781" s="4211"/>
      <c r="AG781" s="4211"/>
      <c r="AH781" s="4211"/>
      <c r="AI781" s="4211"/>
      <c r="AJ781" s="4211"/>
      <c r="AK781" s="4211"/>
      <c r="AL781" s="4211"/>
      <c r="AM781" s="4211"/>
      <c r="AN781" s="4211"/>
      <c r="AO781" s="4211"/>
      <c r="AP781" s="4211"/>
      <c r="AQ781" s="4211"/>
      <c r="AR781" s="4211"/>
      <c r="AS781" s="4211"/>
      <c r="AT781" s="4211"/>
      <c r="AU781" s="4211"/>
      <c r="AV781" s="4211"/>
      <c r="AW781" s="4211"/>
      <c r="AX781" s="4211"/>
      <c r="AY781" s="4211"/>
      <c r="AZ781" s="4211"/>
      <c r="BA781" s="4211"/>
      <c r="BB781" s="4211"/>
      <c r="BC781" s="4211"/>
      <c r="BD781" s="4211"/>
      <c r="BE781" s="4211"/>
      <c r="BF781" s="4211"/>
      <c r="BG781" s="4211"/>
      <c r="BH781" s="3781"/>
      <c r="BI781" s="3781"/>
    </row>
    <row r="782" spans="1:61" ht="24.75" customHeight="1">
      <c r="A782" s="4593" t="s">
        <v>707</v>
      </c>
      <c r="B782" s="4593" t="s">
        <v>3973</v>
      </c>
      <c r="C782" s="4594" t="s">
        <v>1236</v>
      </c>
      <c r="D782" s="4593" t="s">
        <v>5894</v>
      </c>
      <c r="E782" s="4595" t="str">
        <f>VLOOKUP(F782,plasmids!$A$2:$B$891,2)</f>
        <v>AAV9</v>
      </c>
      <c r="F782" s="4596">
        <v>166</v>
      </c>
      <c r="G782" s="4597"/>
      <c r="H782" s="4597" t="str">
        <f>VLOOKUP(I782,plasmids!$A$2:$B$640,2)</f>
        <v>pssAAV-pR1.7-Jaws-GFP</v>
      </c>
      <c r="I782" s="4593">
        <v>596</v>
      </c>
      <c r="J782" s="4598"/>
      <c r="K782" s="4599"/>
      <c r="L782" s="4600"/>
      <c r="M782" s="4601">
        <v>42692</v>
      </c>
      <c r="N782" s="4602">
        <v>820</v>
      </c>
      <c r="O782" s="4603"/>
      <c r="P782" s="4604"/>
      <c r="Q782" s="4605">
        <v>424100000000000</v>
      </c>
      <c r="R782" s="4606">
        <v>10700000000</v>
      </c>
      <c r="S782" s="4629">
        <f t="shared" si="8"/>
        <v>1300044859813084</v>
      </c>
      <c r="T782" s="4593" t="s">
        <v>5890</v>
      </c>
      <c r="U782" s="4598"/>
      <c r="V782" s="4608">
        <f>136</f>
        <v>136</v>
      </c>
      <c r="W782" s="3250" t="s">
        <v>5638</v>
      </c>
      <c r="X782" s="4609"/>
      <c r="Y782" s="4609"/>
      <c r="Z782" s="4609"/>
      <c r="AA782" s="4609"/>
      <c r="AB782" s="4609"/>
      <c r="AC782" s="4609"/>
      <c r="AD782" s="4609"/>
      <c r="AE782" s="4609"/>
      <c r="AF782" s="4609"/>
      <c r="AG782" s="4609"/>
      <c r="AH782" s="4609"/>
      <c r="AI782" s="4609"/>
      <c r="AJ782" s="4609"/>
      <c r="AK782" s="4609"/>
      <c r="AL782" s="4609"/>
      <c r="AM782" s="4609"/>
      <c r="AN782" s="4609"/>
      <c r="AO782" s="4609"/>
      <c r="AP782" s="4609"/>
      <c r="AQ782" s="4609"/>
      <c r="AR782" s="4609"/>
      <c r="AS782" s="4609"/>
      <c r="AT782" s="4609"/>
      <c r="AU782" s="4609"/>
      <c r="AV782" s="4609"/>
      <c r="AW782" s="4609"/>
      <c r="AX782" s="4609"/>
      <c r="AY782" s="4609"/>
      <c r="AZ782" s="4609"/>
      <c r="BA782" s="4609"/>
      <c r="BB782" s="4609"/>
      <c r="BC782" s="4609"/>
      <c r="BD782" s="4609"/>
      <c r="BE782" s="4609"/>
      <c r="BF782" s="4609"/>
      <c r="BG782" s="4609"/>
      <c r="BH782" s="4609"/>
      <c r="BI782" s="4609"/>
    </row>
    <row r="783" spans="1:61" ht="22.5" customHeight="1">
      <c r="A783" s="4593" t="s">
        <v>707</v>
      </c>
      <c r="B783" s="4593" t="s">
        <v>3973</v>
      </c>
      <c r="C783" s="4594" t="s">
        <v>1236</v>
      </c>
      <c r="D783" s="4593" t="s">
        <v>5894</v>
      </c>
      <c r="E783" s="4595" t="str">
        <f>VLOOKUP(F783,plasmids!$A$2:$B$891,2)</f>
        <v>AAV9 7M8 (AA------)</v>
      </c>
      <c r="F783" s="4596">
        <v>170</v>
      </c>
      <c r="G783" s="4630" t="s">
        <v>5895</v>
      </c>
      <c r="H783" s="4597" t="str">
        <f>VLOOKUP(I783,plasmids!$A$2:$B$640,2)</f>
        <v>pssAAV-pR1.7-Jaws-GFP</v>
      </c>
      <c r="I783" s="4593">
        <v>596</v>
      </c>
      <c r="J783" s="4598"/>
      <c r="K783" s="4599"/>
      <c r="L783" s="4600"/>
      <c r="M783" s="4601">
        <v>42692</v>
      </c>
      <c r="N783" s="4602">
        <v>821</v>
      </c>
      <c r="O783" s="4603"/>
      <c r="P783" s="4604"/>
      <c r="Q783" s="4605">
        <v>3360000000000</v>
      </c>
      <c r="R783" s="4606">
        <v>10700000000</v>
      </c>
      <c r="S783" s="4629">
        <f t="shared" si="8"/>
        <v>10299813084112.148</v>
      </c>
      <c r="T783" s="4593" t="s">
        <v>5840</v>
      </c>
      <c r="U783" s="4598"/>
      <c r="V783" s="4608">
        <v>50</v>
      </c>
      <c r="W783" s="4610" t="s">
        <v>5896</v>
      </c>
      <c r="X783" s="4609"/>
      <c r="Y783" s="4609"/>
      <c r="Z783" s="4609"/>
      <c r="AA783" s="4609"/>
      <c r="AB783" s="4609"/>
      <c r="AC783" s="4609"/>
      <c r="AD783" s="4609"/>
      <c r="AE783" s="4609"/>
      <c r="AF783" s="4609"/>
      <c r="AG783" s="4609"/>
      <c r="AH783" s="4609"/>
      <c r="AI783" s="4609"/>
      <c r="AJ783" s="4609"/>
      <c r="AK783" s="4609"/>
      <c r="AL783" s="4609"/>
      <c r="AM783" s="4609"/>
      <c r="AN783" s="4609"/>
      <c r="AO783" s="4609"/>
      <c r="AP783" s="4609"/>
      <c r="AQ783" s="4609"/>
      <c r="AR783" s="4609"/>
      <c r="AS783" s="4609"/>
      <c r="AT783" s="4609"/>
      <c r="AU783" s="4609"/>
      <c r="AV783" s="4609"/>
      <c r="AW783" s="4609"/>
      <c r="AX783" s="4609"/>
      <c r="AY783" s="4609"/>
      <c r="AZ783" s="4609"/>
      <c r="BA783" s="4609"/>
      <c r="BB783" s="4609"/>
      <c r="BC783" s="4609"/>
      <c r="BD783" s="4609"/>
      <c r="BE783" s="4609"/>
      <c r="BF783" s="4609"/>
      <c r="BG783" s="4609"/>
      <c r="BH783" s="4609"/>
      <c r="BI783" s="4609"/>
    </row>
    <row r="784" spans="1:61" ht="24.75" customHeight="1">
      <c r="A784" s="4593" t="s">
        <v>707</v>
      </c>
      <c r="B784" s="4593" t="s">
        <v>3973</v>
      </c>
      <c r="C784" s="4594" t="s">
        <v>1236</v>
      </c>
      <c r="D784" s="4593" t="s">
        <v>5894</v>
      </c>
      <c r="E784" s="4595" t="str">
        <f>VLOOKUP(F784,plasmids!$A$2:$B$891,2)</f>
        <v>AAV9 7M8 (LA-------)</v>
      </c>
      <c r="F784" s="4596">
        <v>169</v>
      </c>
      <c r="G784" s="4630" t="s">
        <v>5895</v>
      </c>
      <c r="H784" s="4597" t="str">
        <f>VLOOKUP(I784,plasmids!$A$2:$B$640,2)</f>
        <v>pssAAV-pR1.7-Jaws-GFP</v>
      </c>
      <c r="I784" s="4593">
        <v>596</v>
      </c>
      <c r="J784" s="4598"/>
      <c r="K784" s="4599"/>
      <c r="L784" s="4600"/>
      <c r="M784" s="4601">
        <v>42692</v>
      </c>
      <c r="N784" s="4602">
        <v>822</v>
      </c>
      <c r="O784" s="4603" t="s">
        <v>5889</v>
      </c>
      <c r="P784" s="4604"/>
      <c r="Q784" s="4605">
        <v>169700000000</v>
      </c>
      <c r="R784" s="4606">
        <v>10700000000</v>
      </c>
      <c r="S784" s="4629">
        <f t="shared" si="8"/>
        <v>520201869158.87848</v>
      </c>
      <c r="T784" s="4593" t="s">
        <v>5890</v>
      </c>
      <c r="U784" s="4598"/>
      <c r="V784" s="4608">
        <f>187</f>
        <v>187</v>
      </c>
      <c r="W784" s="3250" t="s">
        <v>5638</v>
      </c>
      <c r="X784" s="4609"/>
      <c r="Y784" s="4609"/>
      <c r="Z784" s="4609"/>
      <c r="AA784" s="4609"/>
      <c r="AB784" s="4609"/>
      <c r="AC784" s="4609"/>
      <c r="AD784" s="4609"/>
      <c r="AE784" s="4609"/>
      <c r="AF784" s="4609"/>
      <c r="AG784" s="4609"/>
      <c r="AH784" s="4609"/>
      <c r="AI784" s="4609"/>
      <c r="AJ784" s="4609"/>
      <c r="AK784" s="4609"/>
      <c r="AL784" s="4609"/>
      <c r="AM784" s="4609"/>
      <c r="AN784" s="4609"/>
      <c r="AO784" s="4609"/>
      <c r="AP784" s="4609"/>
      <c r="AQ784" s="4609"/>
      <c r="AR784" s="4609"/>
      <c r="AS784" s="4609"/>
      <c r="AT784" s="4609"/>
      <c r="AU784" s="4609"/>
      <c r="AV784" s="4609"/>
      <c r="AW784" s="4609"/>
      <c r="AX784" s="4609"/>
      <c r="AY784" s="4609"/>
      <c r="AZ784" s="4609"/>
      <c r="BA784" s="4609"/>
      <c r="BB784" s="4609"/>
      <c r="BC784" s="4609"/>
      <c r="BD784" s="4609"/>
      <c r="BE784" s="4609"/>
      <c r="BF784" s="4609"/>
      <c r="BG784" s="4609"/>
      <c r="BH784" s="4609"/>
      <c r="BI784" s="4609"/>
    </row>
    <row r="785" spans="1:61" ht="24.75" customHeight="1">
      <c r="A785" s="4631" t="s">
        <v>5897</v>
      </c>
      <c r="B785" s="4631" t="s">
        <v>5898</v>
      </c>
      <c r="C785" s="4632" t="s">
        <v>5899</v>
      </c>
      <c r="D785" s="4631" t="s">
        <v>568</v>
      </c>
      <c r="E785" s="4633" t="str">
        <f>VLOOKUP(F785,plasmids!$A$2:$B$351,2)</f>
        <v>AAV2-7m8</v>
      </c>
      <c r="F785" s="4631">
        <v>178</v>
      </c>
      <c r="G785" s="4634"/>
      <c r="H785" s="4634" t="str">
        <f>VLOOKUP(I785,plasmids!$A$2:$B$351,2)</f>
        <v>sc-CAG-GFP</v>
      </c>
      <c r="I785" s="4631">
        <v>120</v>
      </c>
      <c r="J785" s="4635"/>
      <c r="K785" s="4636"/>
      <c r="L785" s="4637"/>
      <c r="M785" s="4638">
        <v>42692</v>
      </c>
      <c r="N785" s="4639">
        <v>823</v>
      </c>
      <c r="O785" s="4640"/>
      <c r="P785" s="4641"/>
      <c r="Q785" s="4642">
        <v>14600000000000</v>
      </c>
      <c r="R785" s="4643">
        <v>47000000000</v>
      </c>
      <c r="S785" s="4644">
        <f t="shared" si="8"/>
        <v>10188936170212.766</v>
      </c>
      <c r="T785" s="4645" t="s">
        <v>5900</v>
      </c>
      <c r="U785" s="4635"/>
      <c r="V785" s="4646">
        <f>158</f>
        <v>158</v>
      </c>
      <c r="W785" s="4647"/>
      <c r="X785" s="4648"/>
      <c r="Y785" s="4648"/>
      <c r="Z785" s="4648"/>
      <c r="AA785" s="4648"/>
      <c r="AB785" s="4648"/>
      <c r="AC785" s="4648"/>
      <c r="AD785" s="4648"/>
      <c r="AE785" s="4648"/>
      <c r="AF785" s="4648"/>
      <c r="AG785" s="4648"/>
      <c r="AH785" s="4648"/>
      <c r="AI785" s="4648"/>
      <c r="AJ785" s="4648"/>
      <c r="AK785" s="4648"/>
      <c r="AL785" s="4648"/>
      <c r="AM785" s="4648"/>
      <c r="AN785" s="4648"/>
      <c r="AO785" s="4648"/>
      <c r="AP785" s="4648"/>
      <c r="AQ785" s="4648"/>
      <c r="AR785" s="4648"/>
      <c r="AS785" s="4648"/>
      <c r="AT785" s="4648"/>
      <c r="AU785" s="4648"/>
      <c r="AV785" s="4648"/>
      <c r="AW785" s="4648"/>
      <c r="AX785" s="4648"/>
      <c r="AY785" s="4648"/>
      <c r="AZ785" s="4648"/>
      <c r="BA785" s="4648"/>
      <c r="BB785" s="4648"/>
      <c r="BC785" s="4648"/>
      <c r="BD785" s="4648"/>
      <c r="BE785" s="4648"/>
      <c r="BF785" s="4648"/>
      <c r="BG785" s="4648"/>
      <c r="BH785" s="4648"/>
      <c r="BI785" s="4648"/>
    </row>
    <row r="786" spans="1:61" ht="24.75" customHeight="1">
      <c r="A786" s="4649" t="s">
        <v>5897</v>
      </c>
      <c r="B786" s="4649" t="s">
        <v>5898</v>
      </c>
      <c r="C786" s="4650" t="s">
        <v>5899</v>
      </c>
      <c r="D786" s="4649" t="s">
        <v>568</v>
      </c>
      <c r="E786" s="4651" t="str">
        <f>VLOOKUP(F786,plasmids!$A$2:$B$351,2)</f>
        <v>AAV2-7m8</v>
      </c>
      <c r="F786" s="4649">
        <v>178</v>
      </c>
      <c r="G786" s="4652"/>
      <c r="H786" s="4652" t="str">
        <f>VLOOKUP(I786,plasmids!$A$2:$B$951,2)</f>
        <v>pssAAV-pR1.7-GFP</v>
      </c>
      <c r="I786" s="4649">
        <v>566</v>
      </c>
      <c r="J786" s="4653"/>
      <c r="K786" s="4654"/>
      <c r="L786" s="4655"/>
      <c r="M786" s="4656">
        <v>42692</v>
      </c>
      <c r="N786" s="4657">
        <v>824</v>
      </c>
      <c r="O786" s="4658"/>
      <c r="P786" s="4659"/>
      <c r="Q786" s="4660">
        <v>8040000000000</v>
      </c>
      <c r="R786" s="4661">
        <v>47000000000</v>
      </c>
      <c r="S786" s="4662">
        <f t="shared" si="8"/>
        <v>5610893617021.2764</v>
      </c>
      <c r="T786" s="4649" t="s">
        <v>5840</v>
      </c>
      <c r="U786" s="4653"/>
      <c r="V786" s="4663">
        <f>129</f>
        <v>129</v>
      </c>
      <c r="W786" s="4664"/>
      <c r="X786" s="4665"/>
      <c r="Y786" s="4665"/>
      <c r="Z786" s="4665"/>
      <c r="AA786" s="4665"/>
      <c r="AB786" s="4665"/>
      <c r="AC786" s="4665"/>
      <c r="AD786" s="4665"/>
      <c r="AE786" s="4665"/>
      <c r="AF786" s="4665"/>
      <c r="AG786" s="4665"/>
      <c r="AH786" s="4665"/>
      <c r="AI786" s="4665"/>
      <c r="AJ786" s="4665"/>
      <c r="AK786" s="4665"/>
      <c r="AL786" s="4665"/>
      <c r="AM786" s="4665"/>
      <c r="AN786" s="4665"/>
      <c r="AO786" s="4665"/>
      <c r="AP786" s="4665"/>
      <c r="AQ786" s="4665"/>
      <c r="AR786" s="4665"/>
      <c r="AS786" s="4665"/>
      <c r="AT786" s="4665"/>
      <c r="AU786" s="4665"/>
      <c r="AV786" s="4665"/>
      <c r="AW786" s="4665"/>
      <c r="AX786" s="4665"/>
      <c r="AY786" s="4665"/>
      <c r="AZ786" s="4665"/>
      <c r="BA786" s="4665"/>
      <c r="BB786" s="4665"/>
      <c r="BC786" s="4665"/>
      <c r="BD786" s="4665"/>
      <c r="BE786" s="4665"/>
      <c r="BF786" s="4665"/>
      <c r="BG786" s="4665"/>
      <c r="BH786" s="4665"/>
      <c r="BI786" s="4665"/>
    </row>
    <row r="787" spans="1:61" ht="24.75" customHeight="1">
      <c r="A787" s="4649" t="s">
        <v>5897</v>
      </c>
      <c r="B787" s="4649" t="s">
        <v>5898</v>
      </c>
      <c r="C787" s="4650" t="s">
        <v>5899</v>
      </c>
      <c r="D787" s="4649" t="s">
        <v>568</v>
      </c>
      <c r="E787" s="4651" t="str">
        <f>VLOOKUP(F787,plasmids!$A$2:$B$351,2)</f>
        <v>AAV2-7m8</v>
      </c>
      <c r="F787" s="4649">
        <v>178</v>
      </c>
      <c r="G787" s="4652"/>
      <c r="H787" s="4652" t="str">
        <f>VLOOKUP(I787,plasmids!$A$2:$B$351,2)</f>
        <v>sc-CAG-GFP</v>
      </c>
      <c r="I787" s="4649">
        <v>120</v>
      </c>
      <c r="J787" s="4653"/>
      <c r="K787" s="4654"/>
      <c r="L787" s="4655"/>
      <c r="M787" s="4656">
        <v>42692</v>
      </c>
      <c r="N787" s="4657">
        <v>825</v>
      </c>
      <c r="O787" s="4658"/>
      <c r="P787" s="4659"/>
      <c r="Q787" s="4660">
        <v>614000000000</v>
      </c>
      <c r="R787" s="4661">
        <v>47000000000</v>
      </c>
      <c r="S787" s="4662">
        <f t="shared" si="8"/>
        <v>428493617021.27661</v>
      </c>
      <c r="T787" s="4649" t="s">
        <v>5840</v>
      </c>
      <c r="U787" s="4653"/>
      <c r="V787" s="4663">
        <f>145</f>
        <v>145</v>
      </c>
      <c r="W787" s="4664"/>
      <c r="X787" s="4665"/>
      <c r="Y787" s="4665"/>
      <c r="Z787" s="4665"/>
      <c r="AA787" s="4665"/>
      <c r="AB787" s="4665"/>
      <c r="AC787" s="4665"/>
      <c r="AD787" s="4665"/>
      <c r="AE787" s="4665"/>
      <c r="AF787" s="4665"/>
      <c r="AG787" s="4665"/>
      <c r="AH787" s="4665"/>
      <c r="AI787" s="4665"/>
      <c r="AJ787" s="4665"/>
      <c r="AK787" s="4665"/>
      <c r="AL787" s="4665"/>
      <c r="AM787" s="4665"/>
      <c r="AN787" s="4665"/>
      <c r="AO787" s="4665"/>
      <c r="AP787" s="4665"/>
      <c r="AQ787" s="4665"/>
      <c r="AR787" s="4665"/>
      <c r="AS787" s="4665"/>
      <c r="AT787" s="4665"/>
      <c r="AU787" s="4665"/>
      <c r="AV787" s="4665"/>
      <c r="AW787" s="4665"/>
      <c r="AX787" s="4665"/>
      <c r="AY787" s="4665"/>
      <c r="AZ787" s="4665"/>
      <c r="BA787" s="4665"/>
      <c r="BB787" s="4665"/>
      <c r="BC787" s="4665"/>
      <c r="BD787" s="4665"/>
      <c r="BE787" s="4665"/>
      <c r="BF787" s="4665"/>
      <c r="BG787" s="4665"/>
      <c r="BH787" s="4665"/>
      <c r="BI787" s="4665"/>
    </row>
    <row r="788" spans="1:61" ht="18" customHeight="1">
      <c r="A788" s="3466" t="s">
        <v>5901</v>
      </c>
      <c r="B788" s="165" t="s">
        <v>491</v>
      </c>
      <c r="C788" s="3647" t="s">
        <v>96</v>
      </c>
      <c r="D788" s="165" t="s">
        <v>187</v>
      </c>
      <c r="E788" s="165" t="s">
        <v>58</v>
      </c>
      <c r="F788" s="169">
        <v>178</v>
      </c>
      <c r="G788" s="167"/>
      <c r="H788" s="167" t="s">
        <v>476</v>
      </c>
      <c r="I788" s="165">
        <v>121</v>
      </c>
      <c r="J788" s="165"/>
      <c r="K788" s="171"/>
      <c r="L788" s="171"/>
      <c r="M788" s="173">
        <v>42692</v>
      </c>
      <c r="N788" s="175">
        <v>826</v>
      </c>
      <c r="O788" s="176"/>
      <c r="P788" s="178">
        <v>1400000000000000</v>
      </c>
      <c r="Q788" s="179">
        <v>17500000000000</v>
      </c>
      <c r="R788" s="181">
        <v>10700000000</v>
      </c>
      <c r="S788" s="182">
        <f t="shared" si="8"/>
        <v>53644859813084.109</v>
      </c>
      <c r="T788" s="165" t="s">
        <v>5840</v>
      </c>
      <c r="U788" s="183"/>
      <c r="V788" s="185">
        <f>155-10-35</f>
        <v>110</v>
      </c>
      <c r="W788" s="186"/>
      <c r="X788" s="187"/>
      <c r="Y788" s="186"/>
      <c r="Z788" s="186"/>
      <c r="AA788" s="186"/>
      <c r="AB788" s="186"/>
      <c r="AC788" s="186"/>
      <c r="AD788" s="186"/>
      <c r="AE788" s="186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</row>
    <row r="789" spans="1:61" ht="25.5" customHeight="1">
      <c r="A789" s="1927" t="s">
        <v>5902</v>
      </c>
      <c r="B789" s="1786" t="s">
        <v>4080</v>
      </c>
      <c r="C789" s="1787" t="s">
        <v>178</v>
      </c>
      <c r="D789" s="1786" t="s">
        <v>1088</v>
      </c>
      <c r="E789" s="1788" t="str">
        <f>VLOOKUP(F789,plasmids!$A$2:$B$751,2)</f>
        <v>pAAV-Retro</v>
      </c>
      <c r="F789" s="2255">
        <v>703</v>
      </c>
      <c r="G789" s="1789"/>
      <c r="H789" s="1789" t="str">
        <f>VLOOKUP(I789,plasmids!$A$2:$B$351,2)</f>
        <v>pssAAV CMV-hCatCH-GFP</v>
      </c>
      <c r="I789" s="1786">
        <v>257</v>
      </c>
      <c r="J789" s="1790"/>
      <c r="K789" s="1791"/>
      <c r="L789" s="1792"/>
      <c r="M789" s="1793">
        <v>42692</v>
      </c>
      <c r="N789" s="4666">
        <v>827</v>
      </c>
      <c r="O789" s="1798"/>
      <c r="P789" s="1624"/>
      <c r="Q789" s="2228">
        <v>13800000000</v>
      </c>
      <c r="R789" s="2228">
        <v>5090000000</v>
      </c>
      <c r="S789" s="2653">
        <f t="shared" si="8"/>
        <v>88927308447.937134</v>
      </c>
      <c r="T789" s="2654" t="s">
        <v>5840</v>
      </c>
      <c r="U789" s="1790"/>
      <c r="V789" s="1803">
        <f>107</f>
        <v>107</v>
      </c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</row>
    <row r="790" spans="1:61" ht="24.75" customHeight="1">
      <c r="A790" s="4649" t="s">
        <v>5897</v>
      </c>
      <c r="B790" s="4649" t="s">
        <v>5898</v>
      </c>
      <c r="C790" s="4650" t="s">
        <v>5899</v>
      </c>
      <c r="D790" s="4649" t="s">
        <v>568</v>
      </c>
      <c r="E790" s="4651" t="str">
        <f>VLOOKUP(F790,plasmids!$A$2:$B$351,2)</f>
        <v>AAV2-7m8</v>
      </c>
      <c r="F790" s="4649">
        <v>178</v>
      </c>
      <c r="G790" s="4652"/>
      <c r="H790" s="4652" t="str">
        <f>VLOOKUP(I790,plasmids!$A$2:$B$951,2)</f>
        <v>pssAAV-pR1.7-GFP</v>
      </c>
      <c r="I790" s="4649">
        <v>566</v>
      </c>
      <c r="J790" s="4653"/>
      <c r="K790" s="4654"/>
      <c r="L790" s="4655"/>
      <c r="M790" s="4656">
        <v>42699</v>
      </c>
      <c r="N790" s="4657">
        <v>828</v>
      </c>
      <c r="O790" s="4658"/>
      <c r="P790" s="4659"/>
      <c r="Q790" s="4667">
        <v>4060000000000</v>
      </c>
      <c r="R790" s="4668">
        <v>47000000000</v>
      </c>
      <c r="S790" s="4662">
        <f t="shared" si="8"/>
        <v>2833361702127.6597</v>
      </c>
      <c r="T790" s="4649" t="s">
        <v>5840</v>
      </c>
      <c r="U790" s="4653"/>
      <c r="V790" s="4663">
        <f>168</f>
        <v>168</v>
      </c>
      <c r="W790" s="4664"/>
      <c r="X790" s="4665"/>
      <c r="Y790" s="4665"/>
      <c r="Z790" s="4665"/>
      <c r="AA790" s="4665"/>
      <c r="AB790" s="4665"/>
      <c r="AC790" s="4665"/>
      <c r="AD790" s="4665"/>
      <c r="AE790" s="4665"/>
      <c r="AF790" s="4665"/>
      <c r="AG790" s="4665"/>
      <c r="AH790" s="4665"/>
      <c r="AI790" s="4665"/>
      <c r="AJ790" s="4665"/>
      <c r="AK790" s="4665"/>
      <c r="AL790" s="4665"/>
      <c r="AM790" s="4665"/>
      <c r="AN790" s="4665"/>
      <c r="AO790" s="4665"/>
      <c r="AP790" s="4665"/>
      <c r="AQ790" s="4665"/>
      <c r="AR790" s="4665"/>
      <c r="AS790" s="4665"/>
      <c r="AT790" s="4665"/>
      <c r="AU790" s="4665"/>
      <c r="AV790" s="4665"/>
      <c r="AW790" s="4665"/>
      <c r="AX790" s="4665"/>
      <c r="AY790" s="4665"/>
      <c r="AZ790" s="4665"/>
      <c r="BA790" s="4665"/>
      <c r="BB790" s="4665"/>
      <c r="BC790" s="4665"/>
      <c r="BD790" s="4665"/>
      <c r="BE790" s="4665"/>
      <c r="BF790" s="4665"/>
      <c r="BG790" s="4665"/>
      <c r="BH790" s="4665"/>
      <c r="BI790" s="4665"/>
    </row>
    <row r="791" spans="1:61" ht="24.75" customHeight="1">
      <c r="A791" s="3526" t="s">
        <v>1343</v>
      </c>
      <c r="B791" s="3526" t="s">
        <v>5732</v>
      </c>
      <c r="C791" s="3527" t="s">
        <v>5708</v>
      </c>
      <c r="D791" s="3526" t="s">
        <v>568</v>
      </c>
      <c r="E791" s="3528" t="str">
        <f>VLOOKUP(F791,plasmids!$A$2:$B$891,2)</f>
        <v>AAV2-7m8</v>
      </c>
      <c r="F791" s="3529">
        <v>178</v>
      </c>
      <c r="G791" s="3530"/>
      <c r="H791" s="4142" t="str">
        <f>VLOOKUP(I791,plasmids!$A$2:$B$891,2)</f>
        <v>pssAAV-mCAR-Jaws-GFP</v>
      </c>
      <c r="I791" s="3526">
        <v>89</v>
      </c>
      <c r="J791" s="3531"/>
      <c r="K791" s="3532"/>
      <c r="L791" s="3752"/>
      <c r="M791" s="3534">
        <v>42699</v>
      </c>
      <c r="N791" s="3535">
        <v>829</v>
      </c>
      <c r="O791" s="3529"/>
      <c r="P791" s="3536"/>
      <c r="Q791" s="4337">
        <v>12600000000000</v>
      </c>
      <c r="R791" s="4337">
        <v>11800000000</v>
      </c>
      <c r="S791" s="4337">
        <f t="shared" si="8"/>
        <v>35023728813559.324</v>
      </c>
      <c r="T791" s="3526"/>
      <c r="U791" s="3531"/>
      <c r="V791" s="4146">
        <f>131</f>
        <v>131</v>
      </c>
      <c r="W791" s="3756" t="s">
        <v>2812</v>
      </c>
      <c r="X791" s="3541"/>
      <c r="Y791" s="3541"/>
      <c r="Z791" s="3541"/>
      <c r="AA791" s="3541"/>
      <c r="AB791" s="3541"/>
      <c r="AC791" s="3541"/>
      <c r="AD791" s="3541"/>
      <c r="AE791" s="3541"/>
      <c r="AF791" s="3541"/>
      <c r="AG791" s="3541"/>
      <c r="AH791" s="3541"/>
      <c r="AI791" s="3541"/>
      <c r="AJ791" s="3541"/>
      <c r="AK791" s="3541"/>
      <c r="AL791" s="3541"/>
      <c r="AM791" s="3541"/>
      <c r="AN791" s="3541"/>
      <c r="AO791" s="3541"/>
      <c r="AP791" s="3541"/>
      <c r="AQ791" s="3541"/>
      <c r="AR791" s="3541"/>
      <c r="AS791" s="3541"/>
      <c r="AT791" s="3541"/>
      <c r="AU791" s="3541"/>
      <c r="AV791" s="3541"/>
      <c r="AW791" s="3541"/>
      <c r="AX791" s="3541"/>
      <c r="AY791" s="3541"/>
      <c r="AZ791" s="3541"/>
      <c r="BA791" s="3541"/>
      <c r="BB791" s="3541"/>
      <c r="BC791" s="3541"/>
      <c r="BD791" s="3541"/>
      <c r="BE791" s="3541"/>
      <c r="BF791" s="3541"/>
      <c r="BG791" s="3541"/>
      <c r="BH791" s="3541"/>
      <c r="BI791" s="3541"/>
    </row>
    <row r="792" spans="1:61" ht="24.75" customHeight="1">
      <c r="A792" s="4649" t="s">
        <v>5897</v>
      </c>
      <c r="B792" s="4649" t="s">
        <v>5898</v>
      </c>
      <c r="C792" s="4650" t="s">
        <v>5899</v>
      </c>
      <c r="D792" s="4649" t="s">
        <v>568</v>
      </c>
      <c r="E792" s="4651" t="str">
        <f>VLOOKUP(F792,plasmids!$A$2:$B$351,2)</f>
        <v>AAV9 7M8 (AA------)</v>
      </c>
      <c r="F792" s="4649">
        <v>170</v>
      </c>
      <c r="G792" s="4652"/>
      <c r="H792" s="4652" t="str">
        <f>VLOOKUP(I792,plasmids!$A$2:$B$951,2)</f>
        <v>pssAAV-pR1.7-GFP</v>
      </c>
      <c r="I792" s="4649">
        <v>566</v>
      </c>
      <c r="J792" s="4653"/>
      <c r="K792" s="4654"/>
      <c r="L792" s="4655"/>
      <c r="M792" s="4669">
        <v>42699</v>
      </c>
      <c r="N792" s="4670">
        <v>830</v>
      </c>
      <c r="O792" s="4658"/>
      <c r="P792" s="4659"/>
      <c r="Q792" s="4660">
        <v>4760000000000</v>
      </c>
      <c r="R792" s="4668">
        <v>47000000000</v>
      </c>
      <c r="S792" s="4662">
        <f t="shared" si="8"/>
        <v>3321872340425.5317</v>
      </c>
      <c r="T792" s="4649" t="s">
        <v>5840</v>
      </c>
      <c r="U792" s="4653"/>
      <c r="V792" s="4663">
        <f>116</f>
        <v>116</v>
      </c>
      <c r="W792" s="4664"/>
      <c r="X792" s="4665"/>
      <c r="Y792" s="4665"/>
      <c r="Z792" s="4665"/>
      <c r="AA792" s="4665"/>
      <c r="AB792" s="4665"/>
      <c r="AC792" s="4665"/>
      <c r="AD792" s="4665"/>
      <c r="AE792" s="4665"/>
      <c r="AF792" s="4665"/>
      <c r="AG792" s="4665"/>
      <c r="AH792" s="4665"/>
      <c r="AI792" s="4665"/>
      <c r="AJ792" s="4665"/>
      <c r="AK792" s="4665"/>
      <c r="AL792" s="4665"/>
      <c r="AM792" s="4665"/>
      <c r="AN792" s="4665"/>
      <c r="AO792" s="4665"/>
      <c r="AP792" s="4665"/>
      <c r="AQ792" s="4665"/>
      <c r="AR792" s="4665"/>
      <c r="AS792" s="4665"/>
      <c r="AT792" s="4665"/>
      <c r="AU792" s="4665"/>
      <c r="AV792" s="4665"/>
      <c r="AW792" s="4665"/>
      <c r="AX792" s="4665"/>
      <c r="AY792" s="4665"/>
      <c r="AZ792" s="4665"/>
      <c r="BA792" s="4665"/>
      <c r="BB792" s="4665"/>
      <c r="BC792" s="4665"/>
      <c r="BD792" s="4665"/>
      <c r="BE792" s="4665"/>
      <c r="BF792" s="4665"/>
      <c r="BG792" s="4665"/>
      <c r="BH792" s="4665"/>
      <c r="BI792" s="4665"/>
    </row>
    <row r="793" spans="1:61" ht="24" customHeight="1">
      <c r="A793" s="3526" t="s">
        <v>1343</v>
      </c>
      <c r="B793" s="3526" t="s">
        <v>5732</v>
      </c>
      <c r="C793" s="3527" t="s">
        <v>1967</v>
      </c>
      <c r="D793" s="3540" t="s">
        <v>5655</v>
      </c>
      <c r="E793" s="3528" t="str">
        <f>VLOOKUP(F793,plasmids!$A$2:$B$891,2)</f>
        <v>AAV2-7m8</v>
      </c>
      <c r="F793" s="3529">
        <v>178</v>
      </c>
      <c r="G793" s="4671"/>
      <c r="H793" s="3530" t="str">
        <f>VLOOKUP(I793,plasmids!$A$2:$B$640,2)</f>
        <v>pssAAV-pR1.7-Jaws-GFP</v>
      </c>
      <c r="I793" s="3526">
        <v>596</v>
      </c>
      <c r="J793" s="3531"/>
      <c r="K793" s="3532"/>
      <c r="L793" s="3752"/>
      <c r="M793" s="3534">
        <v>42699</v>
      </c>
      <c r="N793" s="3535">
        <v>831</v>
      </c>
      <c r="O793" s="3529"/>
      <c r="P793" s="3536"/>
      <c r="Q793" s="4337">
        <v>842000000000</v>
      </c>
      <c r="R793" s="4337">
        <v>11800000000</v>
      </c>
      <c r="S793" s="4337">
        <f t="shared" si="8"/>
        <v>2340474576271.1865</v>
      </c>
      <c r="T793" s="3533"/>
      <c r="U793" s="3531"/>
      <c r="V793" s="3526">
        <f>138</f>
        <v>138</v>
      </c>
      <c r="W793" s="3756" t="s">
        <v>2812</v>
      </c>
      <c r="X793" s="3541"/>
      <c r="Y793" s="3541"/>
      <c r="Z793" s="3541"/>
      <c r="AA793" s="3541"/>
      <c r="AB793" s="3541"/>
      <c r="AC793" s="3541"/>
      <c r="AD793" s="3541"/>
      <c r="AE793" s="3541"/>
      <c r="AF793" s="3541"/>
      <c r="AG793" s="3541"/>
      <c r="AH793" s="3541"/>
      <c r="AI793" s="3541"/>
      <c r="AJ793" s="3541"/>
      <c r="AK793" s="3541"/>
      <c r="AL793" s="3541"/>
      <c r="AM793" s="3541"/>
      <c r="AN793" s="3541"/>
      <c r="AO793" s="3541"/>
      <c r="AP793" s="3541"/>
      <c r="AQ793" s="3541"/>
      <c r="AR793" s="3541"/>
      <c r="AS793" s="3541"/>
      <c r="AT793" s="3541"/>
      <c r="AU793" s="3541"/>
      <c r="AV793" s="3541"/>
      <c r="AW793" s="3541"/>
      <c r="AX793" s="3541"/>
      <c r="AY793" s="3541"/>
      <c r="AZ793" s="3541"/>
      <c r="BA793" s="3541"/>
      <c r="BB793" s="3541"/>
      <c r="BC793" s="3541"/>
      <c r="BD793" s="3541"/>
      <c r="BE793" s="3541"/>
      <c r="BF793" s="3541"/>
      <c r="BG793" s="3541"/>
      <c r="BH793" s="3541"/>
      <c r="BI793" s="3541"/>
    </row>
    <row r="794" spans="1:61" ht="21.75" customHeight="1">
      <c r="A794" s="4672" t="s">
        <v>1731</v>
      </c>
      <c r="B794" s="4673" t="s">
        <v>200</v>
      </c>
      <c r="C794" s="4674" t="s">
        <v>1967</v>
      </c>
      <c r="D794" s="4675" t="s">
        <v>70</v>
      </c>
      <c r="E794" s="4676" t="str">
        <f>VLOOKUP(F794,plasmids!$A$2:$B$351,2)</f>
        <v>AAV2-7m8</v>
      </c>
      <c r="F794" s="4675">
        <v>178</v>
      </c>
      <c r="G794" s="4677"/>
      <c r="H794" s="4677" t="str">
        <f>VLOOKUP(I794,plasmids!$A$2:$B$891,2)</f>
        <v>pAAV2,1,MG6,hChR2(H134R)-GFP</v>
      </c>
      <c r="I794" s="4675">
        <v>190</v>
      </c>
      <c r="J794" s="4678"/>
      <c r="K794" s="4679"/>
      <c r="L794" s="4680"/>
      <c r="M794" s="4681">
        <v>42699</v>
      </c>
      <c r="N794" s="4682">
        <v>832</v>
      </c>
      <c r="O794" s="4683"/>
      <c r="P794" s="4684"/>
      <c r="Q794" s="3809">
        <v>1540000000000</v>
      </c>
      <c r="R794" s="4551">
        <v>11800000000</v>
      </c>
      <c r="S794" s="4551">
        <f t="shared" si="8"/>
        <v>4280677966101.6953</v>
      </c>
      <c r="T794" s="4685" t="s">
        <v>5840</v>
      </c>
      <c r="U794" s="4685"/>
      <c r="V794" s="4686">
        <f>116</f>
        <v>116</v>
      </c>
      <c r="W794" s="4672" t="s">
        <v>2812</v>
      </c>
      <c r="X794" s="4687"/>
      <c r="Y794" s="4688">
        <v>42760</v>
      </c>
      <c r="Z794" s="4687"/>
      <c r="AA794" s="4687"/>
      <c r="AB794" s="4687"/>
      <c r="AC794" s="4687"/>
      <c r="AD794" s="4687"/>
      <c r="AE794" s="4687"/>
      <c r="AF794" s="4687"/>
      <c r="AG794" s="4687"/>
      <c r="AH794" s="4687"/>
      <c r="AI794" s="4687"/>
      <c r="AJ794" s="4687"/>
      <c r="AK794" s="4687"/>
      <c r="AL794" s="4687"/>
      <c r="AM794" s="4687"/>
      <c r="AN794" s="4687"/>
      <c r="AO794" s="4687"/>
      <c r="AP794" s="4687"/>
      <c r="AQ794" s="4687"/>
      <c r="AR794" s="4687"/>
      <c r="AS794" s="4687"/>
      <c r="AT794" s="4687"/>
      <c r="AU794" s="4687"/>
      <c r="AV794" s="4687"/>
      <c r="AW794" s="4687"/>
      <c r="AX794" s="4687"/>
      <c r="AY794" s="4687"/>
      <c r="AZ794" s="4687"/>
      <c r="BA794" s="4687"/>
      <c r="BB794" s="4687"/>
      <c r="BC794" s="4687"/>
      <c r="BD794" s="4687"/>
      <c r="BE794" s="4687"/>
      <c r="BF794" s="4687"/>
      <c r="BG794" s="4687"/>
      <c r="BH794" s="234"/>
      <c r="BI794" s="234"/>
    </row>
    <row r="795" spans="1:61" ht="24.75" customHeight="1">
      <c r="A795" s="3375" t="s">
        <v>5690</v>
      </c>
      <c r="B795" s="3375" t="s">
        <v>5903</v>
      </c>
      <c r="C795" s="3551" t="s">
        <v>178</v>
      </c>
      <c r="D795" s="3375" t="s">
        <v>5904</v>
      </c>
      <c r="E795" s="1788" t="str">
        <f>VLOOKUP(F795,plasmids!$A$2:$B$351,2)</f>
        <v>AAV9</v>
      </c>
      <c r="F795" s="2655">
        <v>166</v>
      </c>
      <c r="G795" s="2596"/>
      <c r="H795" s="1789" t="str">
        <f>VLOOKUP(I795,plasmids!$A$2:$B$951,2)</f>
        <v>CAG-Dp71</v>
      </c>
      <c r="I795" s="3375">
        <v>522</v>
      </c>
      <c r="J795" s="2648"/>
      <c r="K795" s="3147"/>
      <c r="L795" s="2785"/>
      <c r="M795" s="1793">
        <v>42706</v>
      </c>
      <c r="N795" s="2649">
        <v>833</v>
      </c>
      <c r="P795" s="2651"/>
      <c r="Q795" s="4689">
        <v>14300000</v>
      </c>
      <c r="R795" s="3553"/>
      <c r="S795" s="1407"/>
      <c r="T795" s="3375" t="s">
        <v>5905</v>
      </c>
      <c r="U795" s="2648"/>
      <c r="V795" s="3554">
        <f>133</f>
        <v>133</v>
      </c>
      <c r="W795" s="3150"/>
      <c r="X795" s="2656"/>
      <c r="Y795" s="2656"/>
      <c r="Z795" s="2656"/>
      <c r="AA795" s="2656"/>
      <c r="AB795" s="2656"/>
      <c r="AC795" s="2656"/>
      <c r="AD795" s="2656"/>
      <c r="AE795" s="2656"/>
      <c r="AF795" s="2656"/>
      <c r="AG795" s="2656"/>
      <c r="AH795" s="2656"/>
      <c r="AI795" s="2656"/>
      <c r="AJ795" s="2656"/>
      <c r="AK795" s="2656"/>
      <c r="AL795" s="2656"/>
      <c r="AM795" s="2656"/>
      <c r="AN795" s="2656"/>
      <c r="AO795" s="2656"/>
      <c r="AP795" s="2656"/>
      <c r="AQ795" s="2656"/>
      <c r="AR795" s="2656"/>
      <c r="AS795" s="2656"/>
      <c r="AT795" s="2656"/>
      <c r="AU795" s="2656"/>
      <c r="AV795" s="2656"/>
      <c r="AW795" s="2656"/>
      <c r="AX795" s="2656"/>
      <c r="AY795" s="2656"/>
      <c r="AZ795" s="2656"/>
      <c r="BA795" s="2656"/>
      <c r="BB795" s="2656"/>
      <c r="BC795" s="2656"/>
      <c r="BD795" s="2656"/>
      <c r="BE795" s="2656"/>
      <c r="BF795" s="2656"/>
      <c r="BG795" s="2656"/>
      <c r="BH795" s="2656"/>
      <c r="BI795" s="2656"/>
    </row>
    <row r="796" spans="1:61" ht="24.75" customHeight="1">
      <c r="A796" s="3375" t="s">
        <v>5690</v>
      </c>
      <c r="B796" s="3375" t="s">
        <v>5903</v>
      </c>
      <c r="C796" s="3551" t="s">
        <v>178</v>
      </c>
      <c r="D796" s="3375" t="s">
        <v>5904</v>
      </c>
      <c r="E796" s="1788" t="str">
        <f>VLOOKUP(F796,plasmids!$A$2:$B$351,2)</f>
        <v>AAV9</v>
      </c>
      <c r="F796" s="2655">
        <v>166</v>
      </c>
      <c r="G796" s="2596"/>
      <c r="H796" s="1789" t="str">
        <f>VLOOKUP(I796,plasmids!$A$2:$B$951,2)</f>
        <v>pss-smCBA-GFP-2A-DP71</v>
      </c>
      <c r="I796" s="3375">
        <v>710</v>
      </c>
      <c r="J796" s="2648"/>
      <c r="K796" s="3147"/>
      <c r="L796" s="2785"/>
      <c r="M796" s="1793">
        <v>42706</v>
      </c>
      <c r="N796" s="2649">
        <v>834</v>
      </c>
      <c r="P796" s="2651"/>
      <c r="Q796" s="4689">
        <v>2100000000</v>
      </c>
      <c r="R796" s="3553"/>
      <c r="S796" s="1407"/>
      <c r="T796" s="3375" t="s">
        <v>5905</v>
      </c>
      <c r="U796" s="2648"/>
      <c r="V796" s="3554">
        <f>164</f>
        <v>164</v>
      </c>
      <c r="W796" s="3150"/>
      <c r="X796" s="2656"/>
      <c r="Y796" s="2656"/>
      <c r="Z796" s="2656"/>
      <c r="AA796" s="2656"/>
      <c r="AB796" s="2656"/>
      <c r="AC796" s="2656"/>
      <c r="AD796" s="2656"/>
      <c r="AE796" s="2656"/>
      <c r="AF796" s="2656"/>
      <c r="AG796" s="2656"/>
      <c r="AH796" s="2656"/>
      <c r="AI796" s="2656"/>
      <c r="AJ796" s="2656"/>
      <c r="AK796" s="2656"/>
      <c r="AL796" s="2656"/>
      <c r="AM796" s="2656"/>
      <c r="AN796" s="2656"/>
      <c r="AO796" s="2656"/>
      <c r="AP796" s="2656"/>
      <c r="AQ796" s="2656"/>
      <c r="AR796" s="2656"/>
      <c r="AS796" s="2656"/>
      <c r="AT796" s="2656"/>
      <c r="AU796" s="2656"/>
      <c r="AV796" s="2656"/>
      <c r="AW796" s="2656"/>
      <c r="AX796" s="2656"/>
      <c r="AY796" s="2656"/>
      <c r="AZ796" s="2656"/>
      <c r="BA796" s="2656"/>
      <c r="BB796" s="2656"/>
      <c r="BC796" s="2656"/>
      <c r="BD796" s="2656"/>
      <c r="BE796" s="2656"/>
      <c r="BF796" s="2656"/>
      <c r="BG796" s="2656"/>
      <c r="BH796" s="2656"/>
      <c r="BI796" s="2656"/>
    </row>
    <row r="797" spans="1:61" ht="24.75" customHeight="1">
      <c r="A797" s="1875" t="s">
        <v>3891</v>
      </c>
      <c r="B797" s="1880" t="s">
        <v>5765</v>
      </c>
      <c r="C797" s="4690" t="s">
        <v>567</v>
      </c>
      <c r="D797" s="1880" t="s">
        <v>5766</v>
      </c>
      <c r="E797" s="4691" t="str">
        <f>VLOOKUP(F797,plasmids!$A$2:$B$891,2)</f>
        <v>AAV2-7m8</v>
      </c>
      <c r="F797" s="4692">
        <v>178</v>
      </c>
      <c r="G797" s="4693"/>
      <c r="H797" s="4694" t="str">
        <f>VLOOKUP(I797,plasmids!$A$2:$B$891,2)</f>
        <v>pAAV-ss-hSyn-FLEX-ReaChR-Citrine</v>
      </c>
      <c r="I797" s="1875">
        <v>303</v>
      </c>
      <c r="J797" s="516"/>
      <c r="K797" s="4695"/>
      <c r="L797" s="4696"/>
      <c r="M797" s="4697">
        <v>42706</v>
      </c>
      <c r="N797" s="4698">
        <v>835</v>
      </c>
      <c r="P797" s="4699"/>
      <c r="Q797" s="1879">
        <v>20600000000000</v>
      </c>
      <c r="R797" s="2228">
        <v>11800000000</v>
      </c>
      <c r="S797" s="2228">
        <f t="shared" ref="S797:S844" si="10">(32800000000/R797)*Q797</f>
        <v>57261016949152.547</v>
      </c>
      <c r="T797" s="4700" t="s">
        <v>5905</v>
      </c>
      <c r="U797" s="516"/>
      <c r="V797" s="4701">
        <f>209-40</f>
        <v>169</v>
      </c>
      <c r="W797" s="4702"/>
      <c r="X797" s="516"/>
      <c r="Y797" s="516"/>
      <c r="Z797" s="516"/>
      <c r="AA797" s="516"/>
      <c r="AB797" s="516"/>
      <c r="AC797" s="516"/>
      <c r="AD797" s="516"/>
      <c r="AE797" s="516"/>
      <c r="AF797" s="516"/>
      <c r="AG797" s="516"/>
      <c r="AH797" s="516"/>
      <c r="AI797" s="516"/>
      <c r="AJ797" s="516"/>
      <c r="AK797" s="516"/>
      <c r="AL797" s="516"/>
      <c r="AM797" s="516"/>
      <c r="AN797" s="516"/>
      <c r="AO797" s="516"/>
      <c r="AP797" s="516"/>
      <c r="AQ797" s="516"/>
      <c r="AR797" s="516"/>
      <c r="AS797" s="516"/>
      <c r="AT797" s="516"/>
      <c r="AU797" s="516"/>
      <c r="AV797" s="516"/>
      <c r="AW797" s="516"/>
      <c r="AX797" s="516"/>
      <c r="AY797" s="516"/>
      <c r="AZ797" s="516"/>
      <c r="BA797" s="516"/>
      <c r="BB797" s="516"/>
      <c r="BC797" s="516"/>
      <c r="BD797" s="516"/>
      <c r="BE797" s="516"/>
      <c r="BF797" s="516"/>
      <c r="BG797" s="516"/>
      <c r="BH797" s="516"/>
      <c r="BI797" s="516"/>
    </row>
    <row r="798" spans="1:61" ht="26.25" customHeight="1">
      <c r="A798" s="1785" t="s">
        <v>3891</v>
      </c>
      <c r="B798" s="1786" t="s">
        <v>508</v>
      </c>
      <c r="C798" s="1787" t="s">
        <v>178</v>
      </c>
      <c r="D798" s="1786" t="s">
        <v>70</v>
      </c>
      <c r="E798" s="1788" t="str">
        <f>VLOOKUP(F798,plasmids!$A$2:$B$351,2)</f>
        <v>AAV2</v>
      </c>
      <c r="F798" s="1786">
        <v>140</v>
      </c>
      <c r="G798" s="2596"/>
      <c r="H798" s="2596" t="str">
        <f>VLOOKUP(I798,plasmids!$A$2:$B$351,2)</f>
        <v>pAAV2-hSyn-ReaChR-Citrine</v>
      </c>
      <c r="I798" s="1786">
        <v>304</v>
      </c>
      <c r="J798" s="1790"/>
      <c r="K798" s="1791"/>
      <c r="L798" s="1792"/>
      <c r="M798" s="1793">
        <v>42706</v>
      </c>
      <c r="N798" s="1">
        <v>836</v>
      </c>
      <c r="P798" s="1624"/>
      <c r="Q798" s="1879">
        <v>59700000000000</v>
      </c>
      <c r="R798" s="2228">
        <v>11800000000</v>
      </c>
      <c r="S798" s="2228">
        <f t="shared" si="10"/>
        <v>165945762711864.41</v>
      </c>
      <c r="T798" s="1786"/>
      <c r="U798" s="1790"/>
      <c r="V798" s="1803">
        <f>158</f>
        <v>158</v>
      </c>
      <c r="W798" s="1927" t="s">
        <v>2812</v>
      </c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</row>
    <row r="799" spans="1:61" ht="24.75" customHeight="1">
      <c r="A799" s="3526" t="s">
        <v>1343</v>
      </c>
      <c r="B799" s="3526" t="s">
        <v>5732</v>
      </c>
      <c r="C799" s="3527" t="s">
        <v>5708</v>
      </c>
      <c r="D799" s="3526" t="s">
        <v>1088</v>
      </c>
      <c r="E799" s="3528" t="str">
        <f>VLOOKUP(F799,plasmids!$A$2:$B$891,2)</f>
        <v>AAV2-7m8</v>
      </c>
      <c r="F799" s="3529">
        <v>178</v>
      </c>
      <c r="G799" s="3530"/>
      <c r="H799" s="4142" t="str">
        <f>VLOOKUP(I799,plasmids!$A$2:$B$891,2)</f>
        <v>pTR-scCAG-GFP-2A-hRdCVFs</v>
      </c>
      <c r="I799" s="3526">
        <v>185</v>
      </c>
      <c r="J799" s="3531"/>
      <c r="K799" s="3532"/>
      <c r="L799" s="3752"/>
      <c r="M799" s="3534">
        <v>42683</v>
      </c>
      <c r="N799" s="3535">
        <v>837</v>
      </c>
      <c r="O799" s="3529"/>
      <c r="P799" s="3536"/>
      <c r="Q799" s="4337">
        <v>8510000000000</v>
      </c>
      <c r="R799" s="4337">
        <v>11800000000</v>
      </c>
      <c r="S799" s="4337">
        <f t="shared" si="10"/>
        <v>23654915254237.289</v>
      </c>
      <c r="T799" s="4703" t="s">
        <v>5754</v>
      </c>
      <c r="U799" s="3531"/>
      <c r="V799" s="4146">
        <f>144</f>
        <v>144</v>
      </c>
      <c r="W799" s="4077" t="s">
        <v>2812</v>
      </c>
      <c r="X799" s="3541"/>
      <c r="Y799" s="3541"/>
      <c r="Z799" s="3541"/>
      <c r="AA799" s="3541"/>
      <c r="AB799" s="3541"/>
      <c r="AC799" s="3541"/>
      <c r="AD799" s="3541"/>
      <c r="AE799" s="3541"/>
      <c r="AF799" s="3541"/>
      <c r="AG799" s="3541"/>
      <c r="AH799" s="3541"/>
      <c r="AI799" s="3541"/>
      <c r="AJ799" s="3541"/>
      <c r="AK799" s="3541"/>
      <c r="AL799" s="3541"/>
      <c r="AM799" s="3541"/>
      <c r="AN799" s="3541"/>
      <c r="AO799" s="3541"/>
      <c r="AP799" s="3541"/>
      <c r="AQ799" s="3541"/>
      <c r="AR799" s="3541"/>
      <c r="AS799" s="3541"/>
      <c r="AT799" s="3541"/>
      <c r="AU799" s="3541"/>
      <c r="AV799" s="3541"/>
      <c r="AW799" s="3541"/>
      <c r="AX799" s="3541"/>
      <c r="AY799" s="3541"/>
      <c r="AZ799" s="3541"/>
      <c r="BA799" s="3541"/>
      <c r="BB799" s="3541"/>
      <c r="BC799" s="3541"/>
      <c r="BD799" s="3541"/>
      <c r="BE799" s="3541"/>
      <c r="BF799" s="3541"/>
      <c r="BG799" s="3541"/>
      <c r="BH799" s="3541"/>
      <c r="BI799" s="3541"/>
    </row>
    <row r="800" spans="1:61" ht="26.25" customHeight="1">
      <c r="A800" s="1785" t="s">
        <v>3891</v>
      </c>
      <c r="B800" s="1786" t="s">
        <v>508</v>
      </c>
      <c r="C800" s="1787" t="s">
        <v>178</v>
      </c>
      <c r="D800" s="1786" t="s">
        <v>70</v>
      </c>
      <c r="E800" s="1788" t="str">
        <f>VLOOKUP(F800,plasmids!$A$2:$B$351,2)</f>
        <v>AAV2-7m8</v>
      </c>
      <c r="F800" s="2255">
        <v>178</v>
      </c>
      <c r="G800" s="2596"/>
      <c r="H800" s="2596" t="str">
        <f>VLOOKUP(I800,plasmids!$A$2:$B$951,2)</f>
        <v>scCAG-ReachR-GFP</v>
      </c>
      <c r="I800" s="2255">
        <v>353</v>
      </c>
      <c r="J800" s="1790"/>
      <c r="K800" s="1791"/>
      <c r="L800" s="1792"/>
      <c r="M800" s="1793">
        <v>42713</v>
      </c>
      <c r="N800" s="1">
        <v>838</v>
      </c>
      <c r="O800" s="1798"/>
      <c r="P800" s="1624"/>
      <c r="Q800" s="4704">
        <v>5560000000000</v>
      </c>
      <c r="R800" s="2228">
        <v>11800000000</v>
      </c>
      <c r="S800" s="2228">
        <f t="shared" si="10"/>
        <v>15454915254237.289</v>
      </c>
      <c r="T800" s="1786"/>
      <c r="U800" s="1790"/>
      <c r="V800" s="1803">
        <f>168</f>
        <v>168</v>
      </c>
      <c r="W800" s="1927" t="s">
        <v>2812</v>
      </c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</row>
    <row r="801" spans="1:61" ht="26.25" customHeight="1">
      <c r="A801" s="3526" t="s">
        <v>1343</v>
      </c>
      <c r="B801" s="3526" t="s">
        <v>5707</v>
      </c>
      <c r="C801" s="3527" t="s">
        <v>5708</v>
      </c>
      <c r="D801" s="3526" t="s">
        <v>3782</v>
      </c>
      <c r="E801" s="3528" t="str">
        <f>VLOOKUP(F801,plasmids!$A$2:$B$891,2)</f>
        <v>AAV2-7m8</v>
      </c>
      <c r="F801" s="3529">
        <v>178</v>
      </c>
      <c r="G801" s="3530"/>
      <c r="H801" s="3530" t="str">
        <f>VLOOKUP(I801,plasmids!$A$2:$B$891,2)</f>
        <v>pssAAV-pR1.7-GFP</v>
      </c>
      <c r="I801" s="3526">
        <v>566</v>
      </c>
      <c r="J801" s="3531"/>
      <c r="K801" s="3532"/>
      <c r="L801" s="3752"/>
      <c r="M801" s="3534">
        <v>42713</v>
      </c>
      <c r="N801" s="3535">
        <v>839</v>
      </c>
      <c r="O801" s="3529"/>
      <c r="P801" s="3536"/>
      <c r="Q801" s="4337">
        <v>23400000000000</v>
      </c>
      <c r="R801" s="4337">
        <v>11800000000</v>
      </c>
      <c r="S801" s="4337">
        <f t="shared" si="10"/>
        <v>65044067796610.172</v>
      </c>
      <c r="T801" s="3533"/>
      <c r="U801" s="3531"/>
      <c r="V801" s="3526">
        <f>138</f>
        <v>138</v>
      </c>
      <c r="W801" s="4077" t="s">
        <v>2812</v>
      </c>
      <c r="X801" s="3541"/>
      <c r="Y801" s="3541"/>
      <c r="Z801" s="3541"/>
      <c r="AA801" s="3541"/>
      <c r="AB801" s="3541"/>
      <c r="AC801" s="3541"/>
      <c r="AD801" s="3541"/>
      <c r="AE801" s="3541"/>
      <c r="AF801" s="3541"/>
      <c r="AG801" s="3541"/>
      <c r="AH801" s="3541"/>
      <c r="AI801" s="3541"/>
      <c r="AJ801" s="3541"/>
      <c r="AK801" s="3541"/>
      <c r="AL801" s="3541"/>
      <c r="AM801" s="3541"/>
      <c r="AN801" s="3541"/>
      <c r="AO801" s="3541"/>
      <c r="AP801" s="3541"/>
      <c r="AQ801" s="3541"/>
      <c r="AR801" s="3541"/>
      <c r="AS801" s="3541"/>
      <c r="AT801" s="3541"/>
      <c r="AU801" s="3541"/>
      <c r="AV801" s="3541"/>
      <c r="AW801" s="3541"/>
      <c r="AX801" s="3541"/>
      <c r="AY801" s="3541"/>
      <c r="AZ801" s="3541"/>
      <c r="BA801" s="3541"/>
      <c r="BB801" s="3541"/>
      <c r="BC801" s="3541"/>
      <c r="BD801" s="3541"/>
      <c r="BE801" s="3541"/>
      <c r="BF801" s="3541"/>
      <c r="BG801" s="3541"/>
      <c r="BH801" s="3541"/>
      <c r="BI801" s="3541"/>
    </row>
    <row r="802" spans="1:61" ht="26.25" customHeight="1">
      <c r="A802" s="3526" t="s">
        <v>1343</v>
      </c>
      <c r="B802" s="3540" t="s">
        <v>5704</v>
      </c>
      <c r="C802" s="3527" t="s">
        <v>1967</v>
      </c>
      <c r="D802" s="3540" t="s">
        <v>5655</v>
      </c>
      <c r="E802" s="3528" t="str">
        <f>VLOOKUP(F802,plasmids!$A$2:$B$891,2)</f>
        <v>AAV2-7m8</v>
      </c>
      <c r="F802" s="3529">
        <v>178</v>
      </c>
      <c r="G802" s="4671"/>
      <c r="H802" s="3530" t="str">
        <f>VLOOKUP(I802,plasmids!$A$2:$B$640,2)</f>
        <v>pssAAV-pR1.7-Jaws-GFP</v>
      </c>
      <c r="I802" s="3526">
        <v>596</v>
      </c>
      <c r="J802" s="3531"/>
      <c r="K802" s="3532"/>
      <c r="L802" s="3752"/>
      <c r="M802" s="3534">
        <v>42713</v>
      </c>
      <c r="N802" s="3535">
        <v>840</v>
      </c>
      <c r="O802" s="3529"/>
      <c r="P802" s="3536"/>
      <c r="Q802" s="4337">
        <v>16900000000000</v>
      </c>
      <c r="R802" s="4337">
        <v>11800000000</v>
      </c>
      <c r="S802" s="4337">
        <f t="shared" si="10"/>
        <v>46976271186440.68</v>
      </c>
      <c r="T802" s="3533"/>
      <c r="U802" s="3531"/>
      <c r="V802" s="3526">
        <f>108</f>
        <v>108</v>
      </c>
      <c r="W802" s="3525" t="s">
        <v>2812</v>
      </c>
      <c r="X802" s="3524"/>
      <c r="Y802" s="3524"/>
      <c r="Z802" s="3524"/>
      <c r="AA802" s="3524"/>
      <c r="AB802" s="3524"/>
      <c r="AC802" s="3524"/>
      <c r="AD802" s="3524"/>
      <c r="AE802" s="3524"/>
      <c r="AF802" s="3524"/>
      <c r="AG802" s="3524"/>
      <c r="AH802" s="3524"/>
      <c r="AI802" s="3524"/>
      <c r="AJ802" s="3524"/>
      <c r="AK802" s="3524"/>
      <c r="AL802" s="3524"/>
      <c r="AM802" s="3524"/>
      <c r="AN802" s="3524"/>
      <c r="AO802" s="3524"/>
      <c r="AP802" s="3524"/>
      <c r="AQ802" s="3524"/>
      <c r="AR802" s="3524"/>
      <c r="AS802" s="3524"/>
      <c r="AT802" s="3524"/>
      <c r="AU802" s="3524"/>
      <c r="AV802" s="3524"/>
      <c r="AW802" s="3524"/>
      <c r="AX802" s="3524"/>
      <c r="AY802" s="3524"/>
      <c r="AZ802" s="3524"/>
      <c r="BA802" s="3524"/>
      <c r="BB802" s="3524"/>
      <c r="BC802" s="3524"/>
      <c r="BD802" s="3524"/>
      <c r="BE802" s="3524"/>
      <c r="BF802" s="3524"/>
      <c r="BG802" s="3524"/>
      <c r="BH802" s="3524"/>
      <c r="BI802" s="3524"/>
    </row>
    <row r="803" spans="1:61" ht="24.75" customHeight="1">
      <c r="A803" s="4631" t="s">
        <v>5897</v>
      </c>
      <c r="B803" s="4631" t="s">
        <v>5898</v>
      </c>
      <c r="C803" s="4632" t="s">
        <v>5899</v>
      </c>
      <c r="D803" s="4631" t="s">
        <v>568</v>
      </c>
      <c r="E803" s="4633" t="str">
        <f>VLOOKUP(F803,plasmids!$A$2:$B$351,2)</f>
        <v>AAV2-7m8</v>
      </c>
      <c r="F803" s="4631">
        <v>178</v>
      </c>
      <c r="G803" s="4634"/>
      <c r="H803" s="4634" t="str">
        <f>VLOOKUP(I803,plasmids!$A$2:$B$351,2)</f>
        <v>sc-CAG-GFP</v>
      </c>
      <c r="I803" s="4631">
        <v>120</v>
      </c>
      <c r="J803" s="4635"/>
      <c r="K803" s="4636"/>
      <c r="L803" s="4637"/>
      <c r="M803" s="4638">
        <v>42720</v>
      </c>
      <c r="N803" s="4639">
        <v>841</v>
      </c>
      <c r="O803" s="4640"/>
      <c r="P803" s="4641"/>
      <c r="Q803" s="4642">
        <v>9290000000000</v>
      </c>
      <c r="R803" s="4642">
        <v>11800000000</v>
      </c>
      <c r="S803" s="4642">
        <f t="shared" si="10"/>
        <v>25823050847457.629</v>
      </c>
      <c r="T803" s="4645" t="s">
        <v>5900</v>
      </c>
      <c r="U803" s="4635"/>
      <c r="V803" s="4646">
        <f>105</f>
        <v>105</v>
      </c>
      <c r="W803" s="4647"/>
      <c r="X803" s="4648"/>
      <c r="Y803" s="4648"/>
      <c r="Z803" s="4648"/>
      <c r="AA803" s="4648"/>
      <c r="AB803" s="4648"/>
      <c r="AC803" s="4648"/>
      <c r="AD803" s="4648"/>
      <c r="AE803" s="4648"/>
      <c r="AF803" s="4648"/>
      <c r="AG803" s="4648"/>
      <c r="AH803" s="4648"/>
      <c r="AI803" s="4648"/>
      <c r="AJ803" s="4648"/>
      <c r="AK803" s="4648"/>
      <c r="AL803" s="4648"/>
      <c r="AM803" s="4648"/>
      <c r="AN803" s="4648"/>
      <c r="AO803" s="4648"/>
      <c r="AP803" s="4648"/>
      <c r="AQ803" s="4648"/>
      <c r="AR803" s="4648"/>
      <c r="AS803" s="4648"/>
      <c r="AT803" s="4648"/>
      <c r="AU803" s="4648"/>
      <c r="AV803" s="4648"/>
      <c r="AW803" s="4648"/>
      <c r="AX803" s="4648"/>
      <c r="AY803" s="4648"/>
      <c r="AZ803" s="4648"/>
      <c r="BA803" s="4648"/>
      <c r="BB803" s="4648"/>
      <c r="BC803" s="4648"/>
      <c r="BD803" s="4648"/>
      <c r="BE803" s="4648"/>
      <c r="BF803" s="4648"/>
      <c r="BG803" s="4648"/>
      <c r="BH803" s="4648"/>
      <c r="BI803" s="4648"/>
    </row>
    <row r="804" spans="1:61" ht="24.75" customHeight="1">
      <c r="A804" s="4649" t="s">
        <v>5897</v>
      </c>
      <c r="B804" s="4649" t="s">
        <v>5898</v>
      </c>
      <c r="C804" s="4650" t="s">
        <v>5899</v>
      </c>
      <c r="D804" s="4649" t="s">
        <v>568</v>
      </c>
      <c r="E804" s="4651" t="str">
        <f>VLOOKUP(F804,plasmids!$A$2:$B$351,2)</f>
        <v>AAV2-7m8</v>
      </c>
      <c r="F804" s="4649">
        <v>178</v>
      </c>
      <c r="G804" s="4652"/>
      <c r="H804" s="4652" t="str">
        <f>VLOOKUP(I804,plasmids!$A$2:$B$951,2)</f>
        <v>pssAAV-pR1.7-GFP</v>
      </c>
      <c r="I804" s="4649">
        <v>566</v>
      </c>
      <c r="J804" s="4653"/>
      <c r="K804" s="4654"/>
      <c r="L804" s="4655"/>
      <c r="M804" s="4656">
        <v>42720</v>
      </c>
      <c r="N804" s="4657">
        <v>842</v>
      </c>
      <c r="O804" s="4658"/>
      <c r="P804" s="4659"/>
      <c r="Q804" s="4660">
        <v>4710000000000</v>
      </c>
      <c r="R804" s="4660">
        <v>11800000000</v>
      </c>
      <c r="S804" s="4660">
        <f t="shared" si="10"/>
        <v>13092203389830.51</v>
      </c>
      <c r="T804" s="4649" t="s">
        <v>5905</v>
      </c>
      <c r="U804" s="4653"/>
      <c r="V804" s="4663">
        <f>133</f>
        <v>133</v>
      </c>
      <c r="W804" s="4664"/>
      <c r="X804" s="4665"/>
      <c r="Y804" s="4665"/>
      <c r="Z804" s="4665"/>
      <c r="AA804" s="4665"/>
      <c r="AB804" s="4665"/>
      <c r="AC804" s="4665"/>
      <c r="AD804" s="4665"/>
      <c r="AE804" s="4665"/>
      <c r="AF804" s="4665"/>
      <c r="AG804" s="4665"/>
      <c r="AH804" s="4665"/>
      <c r="AI804" s="4665"/>
      <c r="AJ804" s="4665"/>
      <c r="AK804" s="4665"/>
      <c r="AL804" s="4665"/>
      <c r="AM804" s="4665"/>
      <c r="AN804" s="4665"/>
      <c r="AO804" s="4665"/>
      <c r="AP804" s="4665"/>
      <c r="AQ804" s="4665"/>
      <c r="AR804" s="4665"/>
      <c r="AS804" s="4665"/>
      <c r="AT804" s="4665"/>
      <c r="AU804" s="4665"/>
      <c r="AV804" s="4665"/>
      <c r="AW804" s="4665"/>
      <c r="AX804" s="4665"/>
      <c r="AY804" s="4665"/>
      <c r="AZ804" s="4665"/>
      <c r="BA804" s="4665"/>
      <c r="BB804" s="4665"/>
      <c r="BC804" s="4665"/>
      <c r="BD804" s="4665"/>
      <c r="BE804" s="4665"/>
      <c r="BF804" s="4665"/>
      <c r="BG804" s="4665"/>
      <c r="BH804" s="4665"/>
      <c r="BI804" s="4665"/>
    </row>
    <row r="805" spans="1:61" ht="24.75" customHeight="1">
      <c r="A805" s="4649" t="s">
        <v>5897</v>
      </c>
      <c r="B805" s="4649" t="s">
        <v>5898</v>
      </c>
      <c r="C805" s="4650" t="s">
        <v>5899</v>
      </c>
      <c r="D805" s="4649" t="s">
        <v>568</v>
      </c>
      <c r="E805" s="4651" t="str">
        <f>VLOOKUP(F805,plasmids!$A$2:$B$351,2)</f>
        <v>AAV9 7M8 (AA------)</v>
      </c>
      <c r="F805" s="4649">
        <v>170</v>
      </c>
      <c r="G805" s="4652"/>
      <c r="H805" s="4652" t="str">
        <f>VLOOKUP(I805,plasmids!$A$2:$B$951,2)</f>
        <v>pssAAV-pR1.7-GFP</v>
      </c>
      <c r="I805" s="4649">
        <v>566</v>
      </c>
      <c r="J805" s="4653"/>
      <c r="K805" s="4654"/>
      <c r="L805" s="4655"/>
      <c r="M805" s="4656">
        <v>42720</v>
      </c>
      <c r="N805" s="4705">
        <v>843</v>
      </c>
      <c r="O805" s="4658"/>
      <c r="P805" s="4659"/>
      <c r="Q805" s="4660">
        <v>237000000000</v>
      </c>
      <c r="R805" s="4660">
        <v>11800000000</v>
      </c>
      <c r="S805" s="4660">
        <f t="shared" si="10"/>
        <v>658779661016.94922</v>
      </c>
      <c r="T805" s="4649" t="s">
        <v>5905</v>
      </c>
      <c r="U805" s="4653"/>
      <c r="V805" s="4663">
        <v>17</v>
      </c>
      <c r="W805" s="4664"/>
      <c r="X805" s="4665"/>
      <c r="Y805" s="4665"/>
      <c r="Z805" s="4665"/>
      <c r="AA805" s="4665"/>
      <c r="AB805" s="4665"/>
      <c r="AC805" s="4665"/>
      <c r="AD805" s="4665"/>
      <c r="AE805" s="4665"/>
      <c r="AF805" s="4665"/>
      <c r="AG805" s="4665"/>
      <c r="AH805" s="4665"/>
      <c r="AI805" s="4665"/>
      <c r="AJ805" s="4665"/>
      <c r="AK805" s="4665"/>
      <c r="AL805" s="4665"/>
      <c r="AM805" s="4665"/>
      <c r="AN805" s="4665"/>
      <c r="AO805" s="4665"/>
      <c r="AP805" s="4665"/>
      <c r="AQ805" s="4665"/>
      <c r="AR805" s="4665"/>
      <c r="AS805" s="4665"/>
      <c r="AT805" s="4665"/>
      <c r="AU805" s="4665"/>
      <c r="AV805" s="4665"/>
      <c r="AW805" s="4665"/>
      <c r="AX805" s="4665"/>
      <c r="AY805" s="4665"/>
      <c r="AZ805" s="4665"/>
      <c r="BA805" s="4665"/>
      <c r="BB805" s="4665"/>
      <c r="BC805" s="4665"/>
      <c r="BD805" s="4665"/>
      <c r="BE805" s="4665"/>
      <c r="BF805" s="4665"/>
      <c r="BG805" s="4665"/>
      <c r="BH805" s="4665"/>
      <c r="BI805" s="4665"/>
    </row>
    <row r="806" spans="1:61" ht="24.75" customHeight="1">
      <c r="A806" s="4649" t="s">
        <v>5897</v>
      </c>
      <c r="B806" s="4649" t="s">
        <v>5898</v>
      </c>
      <c r="C806" s="4650" t="s">
        <v>5899</v>
      </c>
      <c r="D806" s="4649" t="s">
        <v>568</v>
      </c>
      <c r="E806" s="4651" t="str">
        <f>VLOOKUP(F806,plasmids!$A$2:$B$351,2)</f>
        <v>AAV9 7M8 (AA------)</v>
      </c>
      <c r="F806" s="4649">
        <v>170</v>
      </c>
      <c r="G806" s="4652"/>
      <c r="H806" s="4652" t="str">
        <f>VLOOKUP(I806,plasmids!$A$2:$B$951,2)</f>
        <v>sc-CAG-GFP</v>
      </c>
      <c r="I806" s="4649">
        <v>120</v>
      </c>
      <c r="J806" s="4653"/>
      <c r="K806" s="4654"/>
      <c r="L806" s="4655"/>
      <c r="M806" s="4656">
        <v>42720</v>
      </c>
      <c r="N806" s="4705">
        <v>844</v>
      </c>
      <c r="O806" s="4658"/>
      <c r="P806" s="4659"/>
      <c r="Q806" s="4660">
        <v>467000000000</v>
      </c>
      <c r="R806" s="4660">
        <v>11800000000</v>
      </c>
      <c r="S806" s="4660">
        <f t="shared" si="10"/>
        <v>1298101694915.2544</v>
      </c>
      <c r="T806" s="4649" t="s">
        <v>5905</v>
      </c>
      <c r="U806" s="4653"/>
      <c r="V806" s="4663">
        <f>132</f>
        <v>132</v>
      </c>
      <c r="W806" s="4664"/>
      <c r="X806" s="4665"/>
      <c r="Y806" s="4665"/>
      <c r="Z806" s="4665"/>
      <c r="AA806" s="4665"/>
      <c r="AB806" s="4665"/>
      <c r="AC806" s="4665"/>
      <c r="AD806" s="4665"/>
      <c r="AE806" s="4665"/>
      <c r="AF806" s="4665"/>
      <c r="AG806" s="4665"/>
      <c r="AH806" s="4665"/>
      <c r="AI806" s="4665"/>
      <c r="AJ806" s="4665"/>
      <c r="AK806" s="4665"/>
      <c r="AL806" s="4665"/>
      <c r="AM806" s="4665"/>
      <c r="AN806" s="4665"/>
      <c r="AO806" s="4665"/>
      <c r="AP806" s="4665"/>
      <c r="AQ806" s="4665"/>
      <c r="AR806" s="4665"/>
      <c r="AS806" s="4665"/>
      <c r="AT806" s="4665"/>
      <c r="AU806" s="4665"/>
      <c r="AV806" s="4665"/>
      <c r="AW806" s="4665"/>
      <c r="AX806" s="4665"/>
      <c r="AY806" s="4665"/>
      <c r="AZ806" s="4665"/>
      <c r="BA806" s="4665"/>
      <c r="BB806" s="4665"/>
      <c r="BC806" s="4665"/>
      <c r="BD806" s="4665"/>
      <c r="BE806" s="4665"/>
      <c r="BF806" s="4665"/>
      <c r="BG806" s="4665"/>
      <c r="BH806" s="4665"/>
      <c r="BI806" s="4665"/>
    </row>
    <row r="807" spans="1:61" ht="24.75" customHeight="1">
      <c r="A807" s="4706" t="s">
        <v>1800</v>
      </c>
      <c r="B807" s="4706" t="s">
        <v>1050</v>
      </c>
      <c r="C807" s="4707" t="s">
        <v>1967</v>
      </c>
      <c r="D807" s="4706" t="s">
        <v>568</v>
      </c>
      <c r="E807" s="4708" t="str">
        <f>VLOOKUP(F807,plasmids!$A$2:$B$351,2)</f>
        <v>pAAV2/8</v>
      </c>
      <c r="F807" s="4709">
        <v>122</v>
      </c>
      <c r="G807" s="4710"/>
      <c r="H807" s="4711" t="s">
        <v>1467</v>
      </c>
      <c r="I807" s="4712">
        <v>709</v>
      </c>
      <c r="J807" s="4712"/>
      <c r="K807" s="4713"/>
      <c r="L807" s="4714"/>
      <c r="M807" s="4715">
        <v>42741</v>
      </c>
      <c r="N807" s="4716">
        <v>845</v>
      </c>
      <c r="O807" s="4709"/>
      <c r="P807" s="4717"/>
      <c r="Q807" s="4718">
        <v>203000000000000</v>
      </c>
      <c r="R807" s="4719">
        <v>8810000000</v>
      </c>
      <c r="S807" s="4720">
        <f t="shared" si="10"/>
        <v>755777525539160</v>
      </c>
      <c r="T807" s="4721" t="s">
        <v>5905</v>
      </c>
      <c r="U807" s="4712"/>
      <c r="V807" s="4706" t="s">
        <v>5906</v>
      </c>
      <c r="W807" s="4722"/>
      <c r="X807" s="4722"/>
      <c r="Y807" s="4722"/>
      <c r="Z807" s="4722"/>
      <c r="AA807" s="4722"/>
      <c r="AB807" s="4722"/>
      <c r="AC807" s="4722"/>
      <c r="AD807" s="4722"/>
      <c r="AE807" s="4722"/>
      <c r="AF807" s="4722"/>
      <c r="AG807" s="4722"/>
      <c r="AH807" s="4722"/>
      <c r="AI807" s="4722"/>
      <c r="AJ807" s="4722"/>
      <c r="AK807" s="4722"/>
      <c r="AL807" s="4722"/>
      <c r="AM807" s="4722"/>
      <c r="AN807" s="4722"/>
      <c r="AO807" s="4722"/>
      <c r="AP807" s="4722"/>
      <c r="AQ807" s="4722"/>
      <c r="AR807" s="4722"/>
      <c r="AS807" s="4722"/>
      <c r="AT807" s="4722"/>
      <c r="AU807" s="4722"/>
      <c r="AV807" s="4722"/>
      <c r="AW807" s="4722"/>
      <c r="AX807" s="4722"/>
      <c r="AY807" s="4722"/>
      <c r="AZ807" s="4722"/>
      <c r="BA807" s="4722"/>
      <c r="BB807" s="4722"/>
      <c r="BC807" s="4722"/>
      <c r="BD807" s="4722"/>
      <c r="BE807" s="4722"/>
      <c r="BF807" s="4722"/>
      <c r="BG807" s="4722"/>
      <c r="BH807" s="4722"/>
      <c r="BI807" s="4722"/>
    </row>
    <row r="808" spans="1:61" ht="24.75" customHeight="1">
      <c r="A808" s="4706" t="s">
        <v>1800</v>
      </c>
      <c r="B808" s="4706" t="s">
        <v>1050</v>
      </c>
      <c r="C808" s="4707" t="s">
        <v>1967</v>
      </c>
      <c r="D808" s="4706" t="s">
        <v>568</v>
      </c>
      <c r="E808" s="4708" t="str">
        <f>VLOOKUP(F808,plasmids!$A$2:$B$351,2)</f>
        <v>pAAV2/8</v>
      </c>
      <c r="F808" s="4709">
        <v>122</v>
      </c>
      <c r="G808" s="4710"/>
      <c r="H808" s="4711" t="s">
        <v>1433</v>
      </c>
      <c r="I808" s="4712">
        <v>708</v>
      </c>
      <c r="J808" s="4712"/>
      <c r="K808" s="4713"/>
      <c r="L808" s="4714"/>
      <c r="M808" s="4715">
        <v>42741</v>
      </c>
      <c r="N808" s="4716">
        <v>846</v>
      </c>
      <c r="O808" s="4709"/>
      <c r="P808" s="4717"/>
      <c r="Q808" s="4718">
        <v>282000000000000</v>
      </c>
      <c r="R808" s="4719">
        <v>8810000000</v>
      </c>
      <c r="S808" s="4720">
        <f t="shared" si="10"/>
        <v>1049897843359818.4</v>
      </c>
      <c r="T808" s="4721" t="s">
        <v>5905</v>
      </c>
      <c r="U808" s="4712"/>
      <c r="V808" s="4706" t="s">
        <v>6050</v>
      </c>
      <c r="W808" s="4722"/>
      <c r="X808" s="4722"/>
      <c r="Y808" s="4722"/>
      <c r="Z808" s="4722"/>
      <c r="AA808" s="4722"/>
      <c r="AB808" s="4722"/>
      <c r="AC808" s="4722"/>
      <c r="AD808" s="4722"/>
      <c r="AE808" s="4722"/>
      <c r="AF808" s="4722"/>
      <c r="AG808" s="4722"/>
      <c r="AH808" s="4722"/>
      <c r="AI808" s="4722"/>
      <c r="AJ808" s="4722"/>
      <c r="AK808" s="4722"/>
      <c r="AL808" s="4722"/>
      <c r="AM808" s="4722"/>
      <c r="AN808" s="4722"/>
      <c r="AO808" s="4722"/>
      <c r="AP808" s="4722"/>
      <c r="AQ808" s="4722"/>
      <c r="AR808" s="4722"/>
      <c r="AS808" s="4722"/>
      <c r="AT808" s="4722"/>
      <c r="AU808" s="4722"/>
      <c r="AV808" s="4722"/>
      <c r="AW808" s="4722"/>
      <c r="AX808" s="4722"/>
      <c r="AY808" s="4722"/>
      <c r="AZ808" s="4722"/>
      <c r="BA808" s="4722"/>
      <c r="BB808" s="4722"/>
      <c r="BC808" s="4722"/>
      <c r="BD808" s="4722"/>
      <c r="BE808" s="4722"/>
      <c r="BF808" s="4722"/>
      <c r="BG808" s="4722"/>
      <c r="BH808" s="4722"/>
      <c r="BI808" s="4722"/>
    </row>
    <row r="809" spans="1:61" ht="24.75" customHeight="1">
      <c r="A809" s="4706" t="s">
        <v>1800</v>
      </c>
      <c r="B809" s="4706" t="s">
        <v>1050</v>
      </c>
      <c r="C809" s="4707" t="s">
        <v>1967</v>
      </c>
      <c r="D809" s="4706" t="s">
        <v>568</v>
      </c>
      <c r="E809" s="4708" t="str">
        <f>VLOOKUP(F809,plasmids!$A$2:$B$351,2)</f>
        <v>AAV2-7m8</v>
      </c>
      <c r="F809" s="4709">
        <v>178</v>
      </c>
      <c r="G809" s="4710"/>
      <c r="H809" s="4711" t="s">
        <v>1467</v>
      </c>
      <c r="I809" s="4712">
        <v>709</v>
      </c>
      <c r="J809" s="4712"/>
      <c r="K809" s="4713"/>
      <c r="L809" s="4714"/>
      <c r="M809" s="4715">
        <v>42741</v>
      </c>
      <c r="N809" s="4716">
        <v>847</v>
      </c>
      <c r="O809" s="4709"/>
      <c r="P809" s="4717"/>
      <c r="Q809" s="4720">
        <v>2730000000000</v>
      </c>
      <c r="R809" s="4723">
        <v>8810000000</v>
      </c>
      <c r="S809" s="4720">
        <f t="shared" si="10"/>
        <v>10163904653802.496</v>
      </c>
      <c r="T809" s="4706" t="s">
        <v>5905</v>
      </c>
      <c r="U809" s="4712"/>
      <c r="V809" s="4724">
        <f>117-14</f>
        <v>103</v>
      </c>
      <c r="W809" s="4725"/>
      <c r="X809" s="4722"/>
      <c r="Y809" s="4722"/>
      <c r="Z809" s="4722"/>
      <c r="AA809" s="4722"/>
      <c r="AB809" s="4722"/>
      <c r="AC809" s="4722"/>
      <c r="AD809" s="4722"/>
      <c r="AE809" s="4722"/>
      <c r="AF809" s="4722"/>
      <c r="AG809" s="4722"/>
      <c r="AH809" s="4722"/>
      <c r="AI809" s="4722"/>
      <c r="AJ809" s="4722"/>
      <c r="AK809" s="4722"/>
      <c r="AL809" s="4722"/>
      <c r="AM809" s="4722"/>
      <c r="AN809" s="4722"/>
      <c r="AO809" s="4722"/>
      <c r="AP809" s="4722"/>
      <c r="AQ809" s="4722"/>
      <c r="AR809" s="4722"/>
      <c r="AS809" s="4722"/>
      <c r="AT809" s="4722"/>
      <c r="AU809" s="4722"/>
      <c r="AV809" s="4722"/>
      <c r="AW809" s="4722"/>
      <c r="AX809" s="4722"/>
      <c r="AY809" s="4722"/>
      <c r="AZ809" s="4722"/>
      <c r="BA809" s="4722"/>
      <c r="BB809" s="4722"/>
      <c r="BC809" s="4722"/>
      <c r="BD809" s="4722"/>
      <c r="BE809" s="4722"/>
      <c r="BF809" s="4722"/>
      <c r="BG809" s="4722"/>
      <c r="BH809" s="4722"/>
      <c r="BI809" s="4722"/>
    </row>
    <row r="810" spans="1:61" ht="24.75" customHeight="1">
      <c r="A810" s="4726" t="s">
        <v>1549</v>
      </c>
      <c r="B810" s="4726" t="s">
        <v>5800</v>
      </c>
      <c r="C810" s="4727" t="s">
        <v>5801</v>
      </c>
      <c r="D810" s="4726" t="s">
        <v>5794</v>
      </c>
      <c r="E810" s="4727" t="s">
        <v>2253</v>
      </c>
      <c r="F810" s="4728">
        <v>714</v>
      </c>
      <c r="G810" s="4729"/>
      <c r="H810" s="4727" t="s">
        <v>2253</v>
      </c>
      <c r="I810" s="4726">
        <v>714</v>
      </c>
      <c r="J810" s="4726" t="s">
        <v>5799</v>
      </c>
      <c r="K810" s="4730"/>
      <c r="L810" s="4726"/>
      <c r="M810" s="4731">
        <v>42741</v>
      </c>
      <c r="N810" s="4732">
        <v>848</v>
      </c>
      <c r="O810" s="4733" t="s">
        <v>5685</v>
      </c>
      <c r="P810" s="4734"/>
      <c r="Q810" s="4735">
        <v>448000000000000</v>
      </c>
      <c r="R810" s="4736">
        <v>8810000000</v>
      </c>
      <c r="S810" s="4737">
        <f t="shared" si="10"/>
        <v>1667922814982973.8</v>
      </c>
      <c r="T810" s="4726"/>
      <c r="U810" s="4738"/>
      <c r="V810" s="4739">
        <v>189</v>
      </c>
      <c r="W810" s="4740" t="s">
        <v>2812</v>
      </c>
      <c r="X810" s="4741"/>
      <c r="Y810" s="4741"/>
      <c r="Z810" s="4741"/>
      <c r="AA810" s="4741"/>
      <c r="AB810" s="4741"/>
      <c r="AC810" s="4741"/>
      <c r="AD810" s="4741"/>
      <c r="AE810" s="4741"/>
      <c r="AF810" s="4741"/>
      <c r="AG810" s="4741"/>
      <c r="AH810" s="4741"/>
      <c r="AI810" s="4741"/>
      <c r="AJ810" s="4741"/>
      <c r="AK810" s="4741"/>
      <c r="AL810" s="4741"/>
      <c r="AM810" s="4741"/>
      <c r="AN810" s="4741"/>
      <c r="AO810" s="4741"/>
      <c r="AP810" s="4741"/>
      <c r="AQ810" s="4741"/>
      <c r="AR810" s="4741"/>
      <c r="AS810" s="4741"/>
      <c r="AT810" s="4741"/>
      <c r="AU810" s="4741"/>
      <c r="AV810" s="4741"/>
      <c r="AW810" s="4741"/>
      <c r="AX810" s="4741"/>
      <c r="AY810" s="4741"/>
      <c r="AZ810" s="4741"/>
      <c r="BA810" s="4741"/>
      <c r="BB810" s="4741"/>
      <c r="BC810" s="4741"/>
      <c r="BD810" s="4741"/>
      <c r="BE810" s="4741"/>
      <c r="BF810" s="4741"/>
      <c r="BG810" s="4741"/>
      <c r="BH810" s="4742"/>
      <c r="BI810" s="4742"/>
    </row>
    <row r="811" spans="1:61" ht="24.75" customHeight="1">
      <c r="A811" s="3375" t="s">
        <v>5690</v>
      </c>
      <c r="B811" s="3375" t="s">
        <v>5903</v>
      </c>
      <c r="C811" s="3551" t="s">
        <v>178</v>
      </c>
      <c r="D811" s="3375" t="s">
        <v>5904</v>
      </c>
      <c r="E811" s="1788" t="str">
        <f>VLOOKUP(F811,plasmids!$A$2:$B$351,2)</f>
        <v>AAV9</v>
      </c>
      <c r="F811" s="2655">
        <v>166</v>
      </c>
      <c r="G811" s="2596"/>
      <c r="H811" s="1789" t="str">
        <f>VLOOKUP(I811,plasmids!$A$2:$B$951,2)</f>
        <v>CAG-Dp71</v>
      </c>
      <c r="I811" s="3375">
        <v>522</v>
      </c>
      <c r="J811" s="2648"/>
      <c r="K811" s="3147"/>
      <c r="L811" s="2785"/>
      <c r="M811" s="2695">
        <v>42748</v>
      </c>
      <c r="N811" s="2649">
        <v>849</v>
      </c>
      <c r="O811" s="2655"/>
      <c r="P811" s="2651"/>
      <c r="Q811" s="4743">
        <v>4560000000</v>
      </c>
      <c r="R811" s="4744">
        <v>12500000000</v>
      </c>
      <c r="S811" s="4745">
        <f t="shared" si="10"/>
        <v>11965440000</v>
      </c>
      <c r="T811" s="3375" t="s">
        <v>5907</v>
      </c>
      <c r="U811" s="2648"/>
      <c r="V811" s="3554">
        <v>150</v>
      </c>
      <c r="W811" s="3150"/>
      <c r="X811" s="2656"/>
      <c r="Y811" s="2656"/>
      <c r="Z811" s="2656"/>
      <c r="AA811" s="2656"/>
      <c r="AB811" s="2656"/>
      <c r="AC811" s="2656"/>
      <c r="AD811" s="2656"/>
      <c r="AE811" s="2656"/>
      <c r="AF811" s="2656"/>
      <c r="AG811" s="2656"/>
      <c r="AH811" s="2656"/>
      <c r="AI811" s="2656"/>
      <c r="AJ811" s="2656"/>
      <c r="AK811" s="2656"/>
      <c r="AL811" s="2656"/>
      <c r="AM811" s="2656"/>
      <c r="AN811" s="2656"/>
      <c r="AO811" s="2656"/>
      <c r="AP811" s="2656"/>
      <c r="AQ811" s="2656"/>
      <c r="AR811" s="2656"/>
      <c r="AS811" s="2656"/>
      <c r="AT811" s="2656"/>
      <c r="AU811" s="2656"/>
      <c r="AV811" s="2656"/>
      <c r="AW811" s="2656"/>
      <c r="AX811" s="2656"/>
      <c r="AY811" s="2656"/>
      <c r="AZ811" s="2656"/>
      <c r="BA811" s="2656"/>
      <c r="BB811" s="2656"/>
      <c r="BC811" s="2656"/>
      <c r="BD811" s="2656"/>
      <c r="BE811" s="2656"/>
      <c r="BF811" s="2656"/>
      <c r="BG811" s="2656"/>
      <c r="BH811" s="2656"/>
      <c r="BI811" s="2656"/>
    </row>
    <row r="812" spans="1:61" ht="24.75" customHeight="1">
      <c r="A812" s="3375" t="s">
        <v>5690</v>
      </c>
      <c r="B812" s="3375" t="s">
        <v>5903</v>
      </c>
      <c r="C812" s="3551" t="s">
        <v>178</v>
      </c>
      <c r="D812" s="3375" t="s">
        <v>5904</v>
      </c>
      <c r="E812" s="1788" t="str">
        <f>VLOOKUP(F812,plasmids!$A$2:$B$351,2)</f>
        <v>AAV9</v>
      </c>
      <c r="F812" s="2655">
        <v>166</v>
      </c>
      <c r="G812" s="2596"/>
      <c r="H812" s="1789" t="str">
        <f>VLOOKUP(I812,plasmids!$A$2:$B$951,2)</f>
        <v>pss-smCBA-GFP-2A-DP71</v>
      </c>
      <c r="I812" s="3375">
        <v>710</v>
      </c>
      <c r="J812" s="2648"/>
      <c r="K812" s="3147"/>
      <c r="L812" s="2785"/>
      <c r="M812" s="2695">
        <v>42748</v>
      </c>
      <c r="N812" s="2649">
        <v>850</v>
      </c>
      <c r="O812" s="2655"/>
      <c r="P812" s="2651"/>
      <c r="Q812" s="4743">
        <v>80800000000000</v>
      </c>
      <c r="R812" s="4744">
        <v>12500000000</v>
      </c>
      <c r="S812" s="4745">
        <f t="shared" si="10"/>
        <v>212019200000000</v>
      </c>
      <c r="T812" s="4746">
        <v>42795</v>
      </c>
      <c r="U812" s="2648"/>
      <c r="V812" s="3554">
        <v>135</v>
      </c>
      <c r="W812" s="3150"/>
      <c r="X812" s="2656"/>
      <c r="Y812" s="2656"/>
      <c r="Z812" s="2656"/>
      <c r="AA812" s="2656"/>
      <c r="AB812" s="2656"/>
      <c r="AC812" s="2656"/>
      <c r="AD812" s="2656"/>
      <c r="AE812" s="2656"/>
      <c r="AF812" s="2656"/>
      <c r="AG812" s="2656"/>
      <c r="AH812" s="2656"/>
      <c r="AI812" s="2656"/>
      <c r="AJ812" s="2656"/>
      <c r="AK812" s="2656"/>
      <c r="AL812" s="2656"/>
      <c r="AM812" s="2656"/>
      <c r="AN812" s="2656"/>
      <c r="AO812" s="2656"/>
      <c r="AP812" s="2656"/>
      <c r="AQ812" s="2656"/>
      <c r="AR812" s="2656"/>
      <c r="AS812" s="2656"/>
      <c r="AT812" s="2656"/>
      <c r="AU812" s="2656"/>
      <c r="AV812" s="2656"/>
      <c r="AW812" s="2656"/>
      <c r="AX812" s="2656"/>
      <c r="AY812" s="2656"/>
      <c r="AZ812" s="2656"/>
      <c r="BA812" s="2656"/>
      <c r="BB812" s="2656"/>
      <c r="BC812" s="2656"/>
      <c r="BD812" s="2656"/>
      <c r="BE812" s="2656"/>
      <c r="BF812" s="2656"/>
      <c r="BG812" s="2656"/>
      <c r="BH812" s="2656"/>
      <c r="BI812" s="2656"/>
    </row>
    <row r="813" spans="1:61" ht="24.75" customHeight="1">
      <c r="A813" s="4221" t="s">
        <v>1549</v>
      </c>
      <c r="B813" s="4221" t="s">
        <v>5908</v>
      </c>
      <c r="C813" s="4222" t="s">
        <v>2510</v>
      </c>
      <c r="D813" s="4221" t="s">
        <v>5794</v>
      </c>
      <c r="E813" s="4222" t="s">
        <v>2254</v>
      </c>
      <c r="F813" s="4224">
        <v>715</v>
      </c>
      <c r="G813" s="4226"/>
      <c r="H813" s="4222" t="s">
        <v>2254</v>
      </c>
      <c r="I813" s="4221">
        <v>715</v>
      </c>
      <c r="J813" s="4221" t="s">
        <v>5799</v>
      </c>
      <c r="K813" s="4228"/>
      <c r="L813" s="4221"/>
      <c r="M813" s="4230">
        <v>42748</v>
      </c>
      <c r="N813" s="4231">
        <v>851</v>
      </c>
      <c r="O813" s="4224"/>
      <c r="P813" s="4232"/>
      <c r="Q813" s="4747">
        <v>121000000000</v>
      </c>
      <c r="R813" s="4748">
        <v>12500000000</v>
      </c>
      <c r="S813" s="4749">
        <f t="shared" si="10"/>
        <v>317504000000</v>
      </c>
      <c r="T813" s="4221" t="s">
        <v>5909</v>
      </c>
      <c r="U813" s="4227"/>
      <c r="V813" s="4223">
        <v>150</v>
      </c>
      <c r="W813" s="4236"/>
      <c r="X813" s="4237"/>
      <c r="Y813" s="4237"/>
      <c r="Z813" s="4237"/>
      <c r="AA813" s="4237"/>
      <c r="AB813" s="4237"/>
      <c r="AC813" s="4237"/>
      <c r="AD813" s="4237"/>
      <c r="AE813" s="4237"/>
      <c r="AF813" s="4237"/>
      <c r="AG813" s="4237"/>
      <c r="AH813" s="4237"/>
      <c r="AI813" s="4237"/>
      <c r="AJ813" s="4237"/>
      <c r="AK813" s="4237"/>
      <c r="AL813" s="4237"/>
      <c r="AM813" s="4237"/>
      <c r="AN813" s="4237"/>
      <c r="AO813" s="4237"/>
      <c r="AP813" s="4237"/>
      <c r="AQ813" s="4237"/>
      <c r="AR813" s="4237"/>
      <c r="AS813" s="4237"/>
      <c r="AT813" s="4237"/>
      <c r="AU813" s="4237"/>
      <c r="AV813" s="4237"/>
      <c r="AW813" s="4237"/>
      <c r="AX813" s="4237"/>
      <c r="AY813" s="4237"/>
      <c r="AZ813" s="4237"/>
      <c r="BA813" s="4237"/>
      <c r="BB813" s="4237"/>
      <c r="BC813" s="4237"/>
      <c r="BD813" s="4237"/>
      <c r="BE813" s="4237"/>
      <c r="BF813" s="4237"/>
      <c r="BG813" s="4237"/>
      <c r="BH813" s="4237"/>
      <c r="BI813" s="4237"/>
    </row>
    <row r="814" spans="1:61" ht="24.75" customHeight="1">
      <c r="A814" s="4221" t="s">
        <v>1549</v>
      </c>
      <c r="B814" s="4221" t="s">
        <v>5910</v>
      </c>
      <c r="C814" s="4222" t="s">
        <v>2510</v>
      </c>
      <c r="D814" s="4221" t="s">
        <v>5794</v>
      </c>
      <c r="E814" s="4222" t="s">
        <v>2256</v>
      </c>
      <c r="F814" s="4224">
        <v>716</v>
      </c>
      <c r="G814" s="4226"/>
      <c r="H814" s="4222" t="s">
        <v>2256</v>
      </c>
      <c r="I814" s="4221">
        <v>716</v>
      </c>
      <c r="J814" s="4221" t="s">
        <v>5799</v>
      </c>
      <c r="K814" s="4228"/>
      <c r="L814" s="4221"/>
      <c r="M814" s="4230">
        <v>42748</v>
      </c>
      <c r="N814" s="4231">
        <v>852</v>
      </c>
      <c r="O814" s="4224"/>
      <c r="P814" s="4232"/>
      <c r="Q814" s="4747">
        <v>500000000000</v>
      </c>
      <c r="R814" s="4748">
        <v>12500000000</v>
      </c>
      <c r="S814" s="4749">
        <f t="shared" si="10"/>
        <v>1312000000000</v>
      </c>
      <c r="T814" s="4221" t="s">
        <v>5909</v>
      </c>
      <c r="U814" s="4227"/>
      <c r="V814" s="4223">
        <v>155</v>
      </c>
      <c r="W814" s="4236"/>
      <c r="X814" s="4237"/>
      <c r="Y814" s="4237"/>
      <c r="Z814" s="4237"/>
      <c r="AA814" s="4237"/>
      <c r="AB814" s="4237"/>
      <c r="AC814" s="4237"/>
      <c r="AD814" s="4237"/>
      <c r="AE814" s="4237"/>
      <c r="AF814" s="4237"/>
      <c r="AG814" s="4237"/>
      <c r="AH814" s="4237"/>
      <c r="AI814" s="4237"/>
      <c r="AJ814" s="4237"/>
      <c r="AK814" s="4237"/>
      <c r="AL814" s="4237"/>
      <c r="AM814" s="4237"/>
      <c r="AN814" s="4237"/>
      <c r="AO814" s="4237"/>
      <c r="AP814" s="4237"/>
      <c r="AQ814" s="4237"/>
      <c r="AR814" s="4237"/>
      <c r="AS814" s="4237"/>
      <c r="AT814" s="4237"/>
      <c r="AU814" s="4237"/>
      <c r="AV814" s="4237"/>
      <c r="AW814" s="4237"/>
      <c r="AX814" s="4237"/>
      <c r="AY814" s="4237"/>
      <c r="AZ814" s="4237"/>
      <c r="BA814" s="4237"/>
      <c r="BB814" s="4237"/>
      <c r="BC814" s="4237"/>
      <c r="BD814" s="4237"/>
      <c r="BE814" s="4237"/>
      <c r="BF814" s="4237"/>
      <c r="BG814" s="4237"/>
      <c r="BH814" s="4237"/>
      <c r="BI814" s="4237"/>
    </row>
    <row r="815" spans="1:61" ht="25">
      <c r="A815" s="3422" t="s">
        <v>707</v>
      </c>
      <c r="B815" s="3422" t="s">
        <v>5704</v>
      </c>
      <c r="C815" s="3423" t="s">
        <v>1967</v>
      </c>
      <c r="D815" s="3422" t="s">
        <v>5655</v>
      </c>
      <c r="E815" s="3424" t="str">
        <f>VLOOKUP(F815,plasmids!$A$2:$B$891,2)</f>
        <v>AAV2-7m8</v>
      </c>
      <c r="F815" s="3425">
        <v>178</v>
      </c>
      <c r="G815" s="3500"/>
      <c r="H815" s="3500" t="s">
        <v>1940</v>
      </c>
      <c r="I815" s="3436">
        <v>564</v>
      </c>
      <c r="J815" s="3255"/>
      <c r="K815" s="3427"/>
      <c r="L815" s="3428"/>
      <c r="M815" s="3429">
        <v>42748</v>
      </c>
      <c r="N815" s="3430">
        <v>853</v>
      </c>
      <c r="O815" s="4750" t="s">
        <v>5911</v>
      </c>
      <c r="P815" s="3431"/>
      <c r="Q815" s="4751">
        <v>9480000000000</v>
      </c>
      <c r="R815" s="4752">
        <v>12500000000</v>
      </c>
      <c r="S815" s="4753">
        <f t="shared" si="10"/>
        <v>24875520000000</v>
      </c>
      <c r="T815" s="3436" t="s">
        <v>5912</v>
      </c>
      <c r="U815" s="3255"/>
      <c r="V815" s="3436">
        <f>130-23</f>
        <v>107</v>
      </c>
      <c r="W815" s="3437"/>
      <c r="X815" s="3437"/>
      <c r="Y815" s="3437"/>
      <c r="Z815" s="3437"/>
      <c r="AA815" s="3437"/>
      <c r="AB815" s="3437"/>
      <c r="AC815" s="3437"/>
      <c r="AD815" s="3437"/>
      <c r="AE815" s="3437"/>
      <c r="AF815" s="3437"/>
      <c r="AG815" s="3437"/>
      <c r="AH815" s="3437"/>
      <c r="AI815" s="3437"/>
      <c r="AJ815" s="3437"/>
      <c r="AK815" s="3437"/>
      <c r="AL815" s="3437"/>
      <c r="AM815" s="3437"/>
      <c r="AN815" s="3437"/>
      <c r="AO815" s="3437"/>
      <c r="AP815" s="3437"/>
      <c r="AQ815" s="3437"/>
      <c r="AR815" s="3437"/>
      <c r="AS815" s="3437"/>
      <c r="AT815" s="3437"/>
      <c r="AU815" s="3437"/>
      <c r="AV815" s="3437"/>
      <c r="AW815" s="3437"/>
      <c r="AX815" s="3437"/>
      <c r="AY815" s="3437"/>
      <c r="AZ815" s="3437"/>
      <c r="BA815" s="3437"/>
      <c r="BB815" s="3437"/>
      <c r="BC815" s="3437"/>
      <c r="BD815" s="3437"/>
      <c r="BE815" s="3437"/>
      <c r="BF815" s="3437"/>
      <c r="BG815" s="3437"/>
      <c r="BH815" s="3437"/>
      <c r="BI815" s="3437"/>
    </row>
    <row r="816" spans="1:61" ht="21" customHeight="1">
      <c r="A816" s="3422" t="s">
        <v>707</v>
      </c>
      <c r="B816" s="3422" t="s">
        <v>5704</v>
      </c>
      <c r="C816" s="3423" t="s">
        <v>1967</v>
      </c>
      <c r="D816" s="3422" t="s">
        <v>5655</v>
      </c>
      <c r="E816" s="3424" t="str">
        <f>VLOOKUP(F816,plasmids!$A$2:$B$891,2)</f>
        <v>AAV2-7m8</v>
      </c>
      <c r="F816" s="3425">
        <v>178</v>
      </c>
      <c r="G816" s="3426"/>
      <c r="H816" s="3426" t="str">
        <f>VLOOKUP(I816,plasmids!$A$2:$B$891,2)</f>
        <v>pssAAV-mCAR-GFP</v>
      </c>
      <c r="I816" s="3422">
        <v>93</v>
      </c>
      <c r="J816" s="3255"/>
      <c r="K816" s="3427"/>
      <c r="L816" s="3428"/>
      <c r="M816" s="4754">
        <v>42748</v>
      </c>
      <c r="N816" s="3430">
        <v>854</v>
      </c>
      <c r="O816" s="4750" t="s">
        <v>5911</v>
      </c>
      <c r="P816" s="3431"/>
      <c r="Q816" s="4751">
        <v>2680000000000</v>
      </c>
      <c r="R816" s="4752">
        <v>12500000000</v>
      </c>
      <c r="S816" s="4753">
        <f t="shared" si="10"/>
        <v>7032320000000</v>
      </c>
      <c r="T816" s="3436" t="s">
        <v>5912</v>
      </c>
      <c r="U816" s="3436"/>
      <c r="V816" s="3436">
        <f>135-75</f>
        <v>60</v>
      </c>
      <c r="W816" s="4441"/>
      <c r="X816" s="3437"/>
      <c r="Y816" s="3437"/>
      <c r="Z816" s="3437"/>
      <c r="AA816" s="3437"/>
      <c r="AB816" s="3437"/>
      <c r="AC816" s="3437"/>
      <c r="AD816" s="3437"/>
      <c r="AE816" s="3437"/>
      <c r="AF816" s="3437"/>
      <c r="AG816" s="3437"/>
      <c r="AH816" s="3437"/>
      <c r="AI816" s="3437"/>
      <c r="AJ816" s="3437"/>
      <c r="AK816" s="3437"/>
      <c r="AL816" s="3437"/>
      <c r="AM816" s="3437"/>
      <c r="AN816" s="3437"/>
      <c r="AO816" s="3437"/>
      <c r="AP816" s="3437"/>
      <c r="AQ816" s="3437"/>
      <c r="AR816" s="3437"/>
      <c r="AS816" s="3437"/>
      <c r="AT816" s="3437"/>
      <c r="AU816" s="3437"/>
      <c r="AV816" s="3437"/>
      <c r="AW816" s="3437"/>
      <c r="AX816" s="3437"/>
      <c r="AY816" s="3437"/>
      <c r="AZ816" s="3437"/>
      <c r="BA816" s="3437"/>
      <c r="BB816" s="3437"/>
      <c r="BC816" s="3437"/>
      <c r="BD816" s="3437"/>
      <c r="BE816" s="3437"/>
      <c r="BF816" s="3437"/>
      <c r="BG816" s="3437"/>
      <c r="BH816" s="3437"/>
      <c r="BI816" s="3437"/>
    </row>
    <row r="817" spans="1:61" ht="32.25" customHeight="1">
      <c r="A817" s="3422" t="s">
        <v>707</v>
      </c>
      <c r="B817" s="3422" t="s">
        <v>3973</v>
      </c>
      <c r="C817" s="3423" t="s">
        <v>1967</v>
      </c>
      <c r="D817" s="3422" t="s">
        <v>5655</v>
      </c>
      <c r="E817" s="3424" t="str">
        <f>VLOOKUP(F817,plasmids!$A$2:$B$891,2)</f>
        <v>AAV2-7m8</v>
      </c>
      <c r="F817" s="3425">
        <v>178</v>
      </c>
      <c r="G817" s="3426"/>
      <c r="H817" s="3426" t="str">
        <f>VLOOKUP(I817,plasmids!$A$2:$B$891,2)</f>
        <v>pssAAV-pR1.7-GFP</v>
      </c>
      <c r="I817" s="3422">
        <v>566</v>
      </c>
      <c r="J817" s="3255"/>
      <c r="K817" s="3427"/>
      <c r="L817" s="3428"/>
      <c r="M817" s="4754">
        <v>42748</v>
      </c>
      <c r="N817" s="4755">
        <v>855</v>
      </c>
      <c r="O817" s="4750" t="s">
        <v>5911</v>
      </c>
      <c r="P817" s="3431"/>
      <c r="Q817" s="4751">
        <v>15700000000000</v>
      </c>
      <c r="R817" s="4752">
        <v>12500000000</v>
      </c>
      <c r="S817" s="4753">
        <f t="shared" si="10"/>
        <v>41196800000000</v>
      </c>
      <c r="T817" s="3436" t="s">
        <v>5912</v>
      </c>
      <c r="U817" s="3436"/>
      <c r="V817" s="3436">
        <f>300-15</f>
        <v>285</v>
      </c>
      <c r="W817" s="4441"/>
      <c r="X817" s="3437"/>
      <c r="Y817" s="3437"/>
      <c r="Z817" s="3437"/>
      <c r="AA817" s="3437"/>
      <c r="AB817" s="3437"/>
      <c r="AC817" s="3437"/>
      <c r="AD817" s="3437"/>
      <c r="AE817" s="3437"/>
      <c r="AF817" s="3437"/>
      <c r="AG817" s="3437"/>
      <c r="AH817" s="3437"/>
      <c r="AI817" s="3437"/>
      <c r="AJ817" s="3437"/>
      <c r="AK817" s="3437"/>
      <c r="AL817" s="3437"/>
      <c r="AM817" s="3437"/>
      <c r="AN817" s="3437"/>
      <c r="AO817" s="3437"/>
      <c r="AP817" s="3437"/>
      <c r="AQ817" s="3437"/>
      <c r="AR817" s="3437"/>
      <c r="AS817" s="3437"/>
      <c r="AT817" s="3437"/>
      <c r="AU817" s="3437"/>
      <c r="AV817" s="3437"/>
      <c r="AW817" s="3437"/>
      <c r="AX817" s="3437"/>
      <c r="AY817" s="3437"/>
      <c r="AZ817" s="3437"/>
      <c r="BA817" s="3437"/>
      <c r="BB817" s="3437"/>
      <c r="BC817" s="3437"/>
      <c r="BD817" s="3437"/>
      <c r="BE817" s="3437"/>
      <c r="BF817" s="3437"/>
      <c r="BG817" s="3437"/>
      <c r="BH817" s="3437"/>
      <c r="BI817" s="3437"/>
    </row>
    <row r="818" spans="1:61" ht="25.5" customHeight="1">
      <c r="A818" s="1927" t="s">
        <v>5902</v>
      </c>
      <c r="B818" s="1786" t="s">
        <v>4080</v>
      </c>
      <c r="C818" s="1787" t="s">
        <v>178</v>
      </c>
      <c r="D818" s="1786" t="s">
        <v>1088</v>
      </c>
      <c r="E818" s="1788" t="str">
        <f>VLOOKUP(F818,plasmids!$A$2:$B$751,2)</f>
        <v>pAAV-Retro</v>
      </c>
      <c r="F818" s="2255">
        <v>703</v>
      </c>
      <c r="G818" s="1789"/>
      <c r="H818" s="1789" t="str">
        <f>VLOOKUP(I818,plasmids!$A$2:$B$351,2)</f>
        <v>pssAAV CMV-hCatCH-GFP</v>
      </c>
      <c r="I818" s="1786">
        <v>257</v>
      </c>
      <c r="J818" s="1790"/>
      <c r="K818" s="1791"/>
      <c r="L818" s="1792"/>
      <c r="M818" s="1793">
        <v>42382</v>
      </c>
      <c r="N818" s="4756">
        <v>856</v>
      </c>
      <c r="O818" s="1798"/>
      <c r="P818" s="1624"/>
      <c r="Q818" s="4743">
        <v>24400000000</v>
      </c>
      <c r="R818" s="4744">
        <v>12500000000</v>
      </c>
      <c r="S818" s="3148">
        <f t="shared" si="10"/>
        <v>64025600000</v>
      </c>
      <c r="T818" s="2255" t="s">
        <v>5909</v>
      </c>
      <c r="U818" s="1790"/>
      <c r="V818" s="3947">
        <v>120</v>
      </c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</row>
    <row r="819" spans="1:61" ht="24.75" customHeight="1">
      <c r="A819" s="4649" t="s">
        <v>5897</v>
      </c>
      <c r="B819" s="4649" t="s">
        <v>5898</v>
      </c>
      <c r="C819" s="4650" t="s">
        <v>5899</v>
      </c>
      <c r="D819" s="4649" t="s">
        <v>568</v>
      </c>
      <c r="E819" s="4651" t="str">
        <f>VLOOKUP(F819,plasmids!$A$2:$B$351,2)</f>
        <v>AAV9 7M8 (AA------)</v>
      </c>
      <c r="F819" s="4649">
        <v>170</v>
      </c>
      <c r="G819" s="4652"/>
      <c r="H819" s="4652" t="str">
        <f>VLOOKUP(I819,plasmids!$A$2:$B$951,2)</f>
        <v>sc-CAG-GFP</v>
      </c>
      <c r="I819" s="4649">
        <v>120</v>
      </c>
      <c r="J819" s="4653"/>
      <c r="K819" s="4654"/>
      <c r="L819" s="4655"/>
      <c r="M819" s="4656">
        <v>42748</v>
      </c>
      <c r="N819" s="4705">
        <v>857</v>
      </c>
      <c r="O819" s="4658"/>
      <c r="P819" s="4659"/>
      <c r="Q819" s="4757">
        <v>5150000000</v>
      </c>
      <c r="R819" s="4758">
        <v>12500000000</v>
      </c>
      <c r="S819" s="4759">
        <f t="shared" si="10"/>
        <v>13513600000</v>
      </c>
      <c r="T819" s="4649" t="s">
        <v>5913</v>
      </c>
      <c r="U819" s="4653"/>
      <c r="V819" s="4663">
        <v>162</v>
      </c>
      <c r="W819" s="4664"/>
      <c r="X819" s="4665"/>
      <c r="Y819" s="4665"/>
      <c r="Z819" s="4665"/>
      <c r="AA819" s="4665"/>
      <c r="AB819" s="4665"/>
      <c r="AC819" s="4665"/>
      <c r="AD819" s="4665"/>
      <c r="AE819" s="4665"/>
      <c r="AF819" s="4665"/>
      <c r="AG819" s="4665"/>
      <c r="AH819" s="4665"/>
      <c r="AI819" s="4665"/>
      <c r="AJ819" s="4665"/>
      <c r="AK819" s="4665"/>
      <c r="AL819" s="4665"/>
      <c r="AM819" s="4665"/>
      <c r="AN819" s="4665"/>
      <c r="AO819" s="4665"/>
      <c r="AP819" s="4665"/>
      <c r="AQ819" s="4665"/>
      <c r="AR819" s="4665"/>
      <c r="AS819" s="4665"/>
      <c r="AT819" s="4665"/>
      <c r="AU819" s="4665"/>
      <c r="AV819" s="4665"/>
      <c r="AW819" s="4665"/>
      <c r="AX819" s="4665"/>
      <c r="AY819" s="4665"/>
      <c r="AZ819" s="4665"/>
      <c r="BA819" s="4665"/>
      <c r="BB819" s="4665"/>
      <c r="BC819" s="4665"/>
      <c r="BD819" s="4665"/>
      <c r="BE819" s="4665"/>
      <c r="BF819" s="4665"/>
      <c r="BG819" s="4665"/>
      <c r="BH819" s="4665"/>
      <c r="BI819" s="4665"/>
    </row>
    <row r="820" spans="1:61" ht="24.75" customHeight="1">
      <c r="A820" s="4649" t="s">
        <v>5897</v>
      </c>
      <c r="B820" s="4649" t="s">
        <v>5898</v>
      </c>
      <c r="C820" s="4650" t="s">
        <v>5899</v>
      </c>
      <c r="D820" s="4649" t="s">
        <v>568</v>
      </c>
      <c r="E820" s="4651" t="str">
        <f>VLOOKUP(F820,plasmids!$A$2:$B$351,2)</f>
        <v>AAV9 7M8 (AA------)</v>
      </c>
      <c r="F820" s="4649">
        <v>170</v>
      </c>
      <c r="G820" s="4652"/>
      <c r="H820" s="4652" t="str">
        <f>VLOOKUP(I820,plasmids!$A$2:$B$951,2)</f>
        <v>pssAAV-pR1.7-GFP</v>
      </c>
      <c r="I820" s="4649">
        <v>566</v>
      </c>
      <c r="J820" s="4653"/>
      <c r="K820" s="4654"/>
      <c r="L820" s="4655"/>
      <c r="M820" s="4656">
        <v>42748</v>
      </c>
      <c r="N820" s="4705">
        <v>858</v>
      </c>
      <c r="O820" s="4658"/>
      <c r="P820" s="4659"/>
      <c r="Q820" s="4757">
        <v>946000000000</v>
      </c>
      <c r="R820" s="4758">
        <v>12500000000</v>
      </c>
      <c r="S820" s="4759">
        <f t="shared" si="10"/>
        <v>2482304000000</v>
      </c>
      <c r="T820" s="4649" t="s">
        <v>5913</v>
      </c>
      <c r="U820" s="4653"/>
      <c r="V820" s="4663">
        <v>140</v>
      </c>
      <c r="W820" s="4664"/>
      <c r="X820" s="4665"/>
      <c r="Y820" s="4665"/>
      <c r="Z820" s="4665"/>
      <c r="AA820" s="4665"/>
      <c r="AB820" s="4665"/>
      <c r="AC820" s="4665"/>
      <c r="AD820" s="4665"/>
      <c r="AE820" s="4665"/>
      <c r="AF820" s="4665"/>
      <c r="AG820" s="4665"/>
      <c r="AH820" s="4665"/>
      <c r="AI820" s="4665"/>
      <c r="AJ820" s="4665"/>
      <c r="AK820" s="4665"/>
      <c r="AL820" s="4665"/>
      <c r="AM820" s="4665"/>
      <c r="AN820" s="4665"/>
      <c r="AO820" s="4665"/>
      <c r="AP820" s="4665"/>
      <c r="AQ820" s="4665"/>
      <c r="AR820" s="4665"/>
      <c r="AS820" s="4665"/>
      <c r="AT820" s="4665"/>
      <c r="AU820" s="4665"/>
      <c r="AV820" s="4665"/>
      <c r="AW820" s="4665"/>
      <c r="AX820" s="4665"/>
      <c r="AY820" s="4665"/>
      <c r="AZ820" s="4665"/>
      <c r="BA820" s="4665"/>
      <c r="BB820" s="4665"/>
      <c r="BC820" s="4665"/>
      <c r="BD820" s="4665"/>
      <c r="BE820" s="4665"/>
      <c r="BF820" s="4665"/>
      <c r="BG820" s="4665"/>
      <c r="BH820" s="4665"/>
      <c r="BI820" s="4665"/>
    </row>
    <row r="821" spans="1:61" ht="22.5" customHeight="1">
      <c r="A821" s="4631" t="s">
        <v>5897</v>
      </c>
      <c r="B821" s="4631" t="s">
        <v>5898</v>
      </c>
      <c r="C821" s="4632" t="s">
        <v>5899</v>
      </c>
      <c r="D821" s="4631" t="s">
        <v>568</v>
      </c>
      <c r="E821" s="4633" t="str">
        <f>VLOOKUP(F821,plasmids!$A$2:$B$351,2)</f>
        <v>AAV2-7m8</v>
      </c>
      <c r="F821" s="4631">
        <v>178</v>
      </c>
      <c r="G821" s="4634"/>
      <c r="H821" s="4634" t="str">
        <f>VLOOKUP(I821,plasmids!$A$2:$B$351,2)</f>
        <v>sc-CAG-GFP</v>
      </c>
      <c r="I821" s="4631">
        <v>120</v>
      </c>
      <c r="J821" s="4635"/>
      <c r="K821" s="4636"/>
      <c r="L821" s="4631" t="s">
        <v>5914</v>
      </c>
      <c r="M821" s="4638"/>
      <c r="N821" s="4760">
        <v>859</v>
      </c>
      <c r="O821" s="4640"/>
      <c r="P821" s="4761"/>
      <c r="Q821" s="4762">
        <v>13500000000000</v>
      </c>
      <c r="R821" s="4763">
        <v>12500000000</v>
      </c>
      <c r="S821" s="4764">
        <f t="shared" si="10"/>
        <v>35424000000000</v>
      </c>
      <c r="T821" s="4631" t="s">
        <v>5915</v>
      </c>
      <c r="U821" s="4635"/>
      <c r="V821" s="4765">
        <f>230-229</f>
        <v>1</v>
      </c>
      <c r="W821" s="4648"/>
      <c r="X821" s="4647" t="s">
        <v>5916</v>
      </c>
      <c r="Y821" s="4648"/>
      <c r="Z821" s="4648"/>
      <c r="AA821" s="4648"/>
      <c r="AB821" s="4648"/>
      <c r="AC821" s="4648"/>
      <c r="AD821" s="4648"/>
      <c r="AE821" s="4648"/>
      <c r="AF821" s="4648"/>
      <c r="AG821" s="4648"/>
      <c r="AH821" s="4648"/>
      <c r="AI821" s="4648"/>
      <c r="AJ821" s="4648"/>
      <c r="AK821" s="4648"/>
      <c r="AL821" s="4648"/>
      <c r="AM821" s="4648"/>
      <c r="AN821" s="4648"/>
      <c r="AO821" s="4648"/>
      <c r="AP821" s="4648"/>
      <c r="AQ821" s="4648"/>
      <c r="AR821" s="4648"/>
      <c r="AS821" s="4648"/>
      <c r="AT821" s="4648"/>
      <c r="AU821" s="4648"/>
      <c r="AV821" s="4648"/>
      <c r="AW821" s="4648"/>
      <c r="AX821" s="4648"/>
      <c r="AY821" s="4648"/>
      <c r="AZ821" s="4648"/>
      <c r="BA821" s="4648"/>
      <c r="BB821" s="4648"/>
      <c r="BC821" s="4648"/>
      <c r="BD821" s="4648"/>
      <c r="BE821" s="4648"/>
      <c r="BF821" s="4648"/>
      <c r="BG821" s="4648"/>
      <c r="BH821" s="4648"/>
      <c r="BI821" s="4648"/>
    </row>
    <row r="822" spans="1:61" ht="22.5" customHeight="1">
      <c r="A822" s="1594" t="s">
        <v>600</v>
      </c>
      <c r="B822" s="1594" t="s">
        <v>5917</v>
      </c>
      <c r="C822" s="3549" t="s">
        <v>55</v>
      </c>
      <c r="D822" s="1594" t="s">
        <v>70</v>
      </c>
      <c r="E822" s="2058" t="str">
        <f>VLOOKUP(F822,plasmids!$A$2:$B$891,2)</f>
        <v>AAV2-7m8</v>
      </c>
      <c r="F822" s="973">
        <v>178</v>
      </c>
      <c r="G822" s="2059"/>
      <c r="H822" s="2059" t="str">
        <f>VLOOKUP(I822,plasmids!$A$2:$B$891,2)</f>
        <v>pssAAV-SNCG-ChrimsonR-tdTomato</v>
      </c>
      <c r="I822" s="1594">
        <v>573</v>
      </c>
      <c r="J822" s="978"/>
      <c r="K822" s="1614"/>
      <c r="L822" s="2183"/>
      <c r="M822" s="971">
        <v>42755</v>
      </c>
      <c r="N822" s="972">
        <v>860</v>
      </c>
      <c r="O822" s="973"/>
      <c r="P822" s="974"/>
      <c r="Q822" s="3550">
        <v>12700000000000</v>
      </c>
      <c r="R822" s="3291">
        <v>10300000000</v>
      </c>
      <c r="S822" s="977">
        <f t="shared" si="10"/>
        <v>40442718446601.938</v>
      </c>
      <c r="T822" s="1594" t="s">
        <v>5915</v>
      </c>
      <c r="U822" s="978"/>
      <c r="V822" s="3587">
        <v>280</v>
      </c>
      <c r="W822" s="932"/>
      <c r="X822" s="932"/>
      <c r="Y822" s="932"/>
      <c r="Z822" s="932"/>
      <c r="AA822" s="932"/>
      <c r="AB822" s="932"/>
      <c r="AC822" s="932"/>
      <c r="AD822" s="932"/>
      <c r="AE822" s="932"/>
      <c r="AF822" s="932"/>
      <c r="AG822" s="932"/>
      <c r="AH822" s="932"/>
      <c r="AI822" s="932"/>
      <c r="AJ822" s="932"/>
      <c r="AK822" s="932"/>
      <c r="AL822" s="932"/>
      <c r="AM822" s="932"/>
      <c r="AN822" s="932"/>
      <c r="AO822" s="932"/>
      <c r="AP822" s="932"/>
      <c r="AQ822" s="932"/>
      <c r="AR822" s="932"/>
      <c r="AS822" s="932"/>
      <c r="AT822" s="932"/>
      <c r="AU822" s="932"/>
      <c r="AV822" s="932"/>
      <c r="AW822" s="932"/>
      <c r="AX822" s="932"/>
      <c r="AY822" s="932"/>
      <c r="AZ822" s="932"/>
      <c r="BA822" s="932"/>
      <c r="BB822" s="932"/>
      <c r="BC822" s="932"/>
      <c r="BD822" s="932"/>
      <c r="BE822" s="932"/>
      <c r="BF822" s="932"/>
      <c r="BG822" s="932"/>
      <c r="BH822" s="932"/>
      <c r="BI822" s="932"/>
    </row>
    <row r="823" spans="1:61" ht="24.75" customHeight="1">
      <c r="A823" s="4706" t="s">
        <v>1800</v>
      </c>
      <c r="B823" s="4706" t="s">
        <v>1050</v>
      </c>
      <c r="C823" s="4707" t="s">
        <v>1967</v>
      </c>
      <c r="D823" s="4706" t="s">
        <v>568</v>
      </c>
      <c r="E823" s="4708" t="str">
        <f>VLOOKUP(F823,plasmids!$A$2:$B$351,2)</f>
        <v>AAV2-7m8</v>
      </c>
      <c r="F823" s="4709">
        <v>178</v>
      </c>
      <c r="G823" s="4710"/>
      <c r="H823" s="4711" t="s">
        <v>1467</v>
      </c>
      <c r="I823" s="4712">
        <v>709</v>
      </c>
      <c r="J823" s="4712"/>
      <c r="K823" s="4713"/>
      <c r="L823" s="4714"/>
      <c r="M823" s="4715">
        <v>42755</v>
      </c>
      <c r="N823" s="4716">
        <v>861</v>
      </c>
      <c r="O823" s="4709"/>
      <c r="P823" s="4717"/>
      <c r="Q823" s="4766">
        <v>7620000000000</v>
      </c>
      <c r="R823" s="4723">
        <v>10300000000</v>
      </c>
      <c r="S823" s="4767">
        <f t="shared" si="10"/>
        <v>24265631067961.164</v>
      </c>
      <c r="T823" s="4706" t="s">
        <v>5915</v>
      </c>
      <c r="U823" s="4712"/>
      <c r="V823" s="4724" t="s">
        <v>5918</v>
      </c>
      <c r="W823" s="4725"/>
      <c r="X823" s="4722"/>
      <c r="Y823" s="4722"/>
      <c r="Z823" s="4722"/>
      <c r="AA823" s="4722"/>
      <c r="AB823" s="4722"/>
      <c r="AC823" s="4722"/>
      <c r="AD823" s="4722"/>
      <c r="AE823" s="4722"/>
      <c r="AF823" s="4722"/>
      <c r="AG823" s="4722"/>
      <c r="AH823" s="4722"/>
      <c r="AI823" s="4722"/>
      <c r="AJ823" s="4722"/>
      <c r="AK823" s="4722"/>
      <c r="AL823" s="4722"/>
      <c r="AM823" s="4722"/>
      <c r="AN823" s="4722"/>
      <c r="AO823" s="4722"/>
      <c r="AP823" s="4722"/>
      <c r="AQ823" s="4722"/>
      <c r="AR823" s="4722"/>
      <c r="AS823" s="4722"/>
      <c r="AT823" s="4722"/>
      <c r="AU823" s="4722"/>
      <c r="AV823" s="4722"/>
      <c r="AW823" s="4722"/>
      <c r="AX823" s="4722"/>
      <c r="AY823" s="4722"/>
      <c r="AZ823" s="4722"/>
      <c r="BA823" s="4722"/>
      <c r="BB823" s="4722"/>
      <c r="BC823" s="4722"/>
      <c r="BD823" s="4722"/>
      <c r="BE823" s="4722"/>
      <c r="BF823" s="4722"/>
      <c r="BG823" s="4722"/>
      <c r="BH823" s="4722"/>
      <c r="BI823" s="4722"/>
    </row>
    <row r="824" spans="1:61" ht="24.75" customHeight="1">
      <c r="A824" s="4649" t="s">
        <v>5897</v>
      </c>
      <c r="B824" s="4649" t="s">
        <v>5898</v>
      </c>
      <c r="C824" s="4650" t="s">
        <v>5899</v>
      </c>
      <c r="D824" s="4649" t="s">
        <v>568</v>
      </c>
      <c r="E824" s="4651" t="str">
        <f>VLOOKUP(F824,plasmids!$A$2:$B$351,2)</f>
        <v>AAV9</v>
      </c>
      <c r="F824" s="4649">
        <v>166</v>
      </c>
      <c r="G824" s="4652"/>
      <c r="H824" s="4652" t="str">
        <f>VLOOKUP(I824,plasmids!$A$2:$B$951,2)</f>
        <v>pTR-scCMV-luciférase</v>
      </c>
      <c r="I824" s="4649">
        <v>131</v>
      </c>
      <c r="J824" s="4653"/>
      <c r="K824" s="4654"/>
      <c r="L824" s="4655"/>
      <c r="M824" s="4656">
        <v>42755</v>
      </c>
      <c r="N824" s="4705">
        <v>862</v>
      </c>
      <c r="O824" s="4658"/>
      <c r="P824" s="4659"/>
      <c r="Q824" s="4668">
        <v>28800000000000</v>
      </c>
      <c r="R824" s="4668">
        <v>10300000000</v>
      </c>
      <c r="S824" s="4668">
        <f t="shared" si="10"/>
        <v>91712621359223.297</v>
      </c>
      <c r="T824" s="4768" t="s">
        <v>5754</v>
      </c>
      <c r="U824" s="4768"/>
      <c r="V824" s="4663">
        <f>228-100</f>
        <v>128</v>
      </c>
      <c r="W824" s="4664" t="s">
        <v>5919</v>
      </c>
      <c r="X824" s="4665"/>
      <c r="Y824" s="4665"/>
      <c r="Z824" s="4665"/>
      <c r="AA824" s="4665"/>
      <c r="AB824" s="4665"/>
      <c r="AC824" s="4665"/>
      <c r="AD824" s="4665"/>
      <c r="AE824" s="4665"/>
      <c r="AF824" s="4665"/>
      <c r="AG824" s="4665"/>
      <c r="AH824" s="4665"/>
      <c r="AI824" s="4665"/>
      <c r="AJ824" s="4665"/>
      <c r="AK824" s="4665"/>
      <c r="AL824" s="4665"/>
      <c r="AM824" s="4665"/>
      <c r="AN824" s="4665"/>
      <c r="AO824" s="4665"/>
      <c r="AP824" s="4665"/>
      <c r="AQ824" s="4665"/>
      <c r="AR824" s="4665"/>
      <c r="AS824" s="4665"/>
      <c r="AT824" s="4665"/>
      <c r="AU824" s="4665"/>
      <c r="AV824" s="4665"/>
      <c r="AW824" s="4665"/>
      <c r="AX824" s="4665"/>
      <c r="AY824" s="4665"/>
      <c r="AZ824" s="4665"/>
      <c r="BA824" s="4665"/>
      <c r="BB824" s="4665"/>
      <c r="BC824" s="4665"/>
      <c r="BD824" s="4665"/>
      <c r="BE824" s="4665"/>
      <c r="BF824" s="4665"/>
      <c r="BG824" s="4665"/>
      <c r="BH824" s="4665"/>
      <c r="BI824" s="4665"/>
    </row>
    <row r="825" spans="1:61" ht="24.75" customHeight="1">
      <c r="A825" s="3486" t="s">
        <v>5690</v>
      </c>
      <c r="B825" s="3486" t="s">
        <v>5903</v>
      </c>
      <c r="C825" s="4140" t="s">
        <v>178</v>
      </c>
      <c r="D825" s="3486" t="s">
        <v>5904</v>
      </c>
      <c r="E825" s="1761" t="str">
        <f>VLOOKUP(F825,plasmids!$A$2:$B$351,2)</f>
        <v>AAV9</v>
      </c>
      <c r="F825" s="3269">
        <v>166</v>
      </c>
      <c r="G825" s="1763"/>
      <c r="H825" s="3017" t="str">
        <f>VLOOKUP(I825,plasmids!$A$2:$B$951,2)</f>
        <v>pscAAV-CAG-tdTomato-bghPA</v>
      </c>
      <c r="I825" s="3486">
        <v>454</v>
      </c>
      <c r="J825" s="2856"/>
      <c r="K825" s="3270"/>
      <c r="L825" s="3483"/>
      <c r="M825" s="3022">
        <v>42755</v>
      </c>
      <c r="N825" s="2798">
        <v>863</v>
      </c>
      <c r="O825" s="3269"/>
      <c r="P825" s="2859"/>
      <c r="Q825" s="4116">
        <v>87500000000000</v>
      </c>
      <c r="R825" s="4117">
        <v>10300000000</v>
      </c>
      <c r="S825" s="4552">
        <f t="shared" si="10"/>
        <v>278640776699029.12</v>
      </c>
      <c r="T825" s="3486"/>
      <c r="U825" s="2856"/>
      <c r="V825" s="3547">
        <v>255</v>
      </c>
      <c r="W825" s="2851" t="s">
        <v>5920</v>
      </c>
      <c r="X825" s="2863"/>
      <c r="Y825" s="2863"/>
      <c r="Z825" s="2863"/>
      <c r="AA825" s="2863"/>
      <c r="AB825" s="2863"/>
      <c r="AC825" s="2863"/>
      <c r="AD825" s="2863"/>
      <c r="AE825" s="2863"/>
      <c r="AF825" s="2863"/>
      <c r="AG825" s="2863"/>
      <c r="AH825" s="2863"/>
      <c r="AI825" s="2863"/>
      <c r="AJ825" s="2863"/>
      <c r="AK825" s="2863"/>
      <c r="AL825" s="2863"/>
      <c r="AM825" s="2863"/>
      <c r="AN825" s="2863"/>
      <c r="AO825" s="2863"/>
      <c r="AP825" s="2863"/>
      <c r="AQ825" s="2863"/>
      <c r="AR825" s="2863"/>
      <c r="AS825" s="2863"/>
      <c r="AT825" s="2863"/>
      <c r="AU825" s="2863"/>
      <c r="AV825" s="2863"/>
      <c r="AW825" s="2863"/>
      <c r="AX825" s="2863"/>
      <c r="AY825" s="2863"/>
      <c r="AZ825" s="2863"/>
      <c r="BA825" s="2863"/>
      <c r="BB825" s="2863"/>
      <c r="BC825" s="2863"/>
      <c r="BD825" s="2863"/>
      <c r="BE825" s="2863"/>
      <c r="BF825" s="2863"/>
      <c r="BG825" s="2863"/>
      <c r="BH825" s="2863"/>
      <c r="BI825" s="2863"/>
    </row>
    <row r="826" spans="1:61" ht="24.75" customHeight="1">
      <c r="A826" s="3486" t="s">
        <v>5690</v>
      </c>
      <c r="B826" s="3486" t="s">
        <v>5903</v>
      </c>
      <c r="C826" s="4140" t="s">
        <v>178</v>
      </c>
      <c r="D826" s="3486" t="s">
        <v>5904</v>
      </c>
      <c r="E826" s="1761" t="str">
        <f>VLOOKUP(F826,plasmids!$A$2:$B$351,2)</f>
        <v>AAV9</v>
      </c>
      <c r="F826" s="3269">
        <v>166</v>
      </c>
      <c r="G826" s="1763"/>
      <c r="H826" s="3017" t="str">
        <f>VLOOKUP(I826,plasmids!$A$2:$B$951,2)</f>
        <v>sc-CAG-GFP</v>
      </c>
      <c r="I826" s="3486">
        <v>120</v>
      </c>
      <c r="J826" s="2856"/>
      <c r="K826" s="3270"/>
      <c r="L826" s="3483"/>
      <c r="M826" s="1770">
        <v>42755</v>
      </c>
      <c r="N826" s="2798">
        <v>864</v>
      </c>
      <c r="O826" s="3269"/>
      <c r="P826" s="2859"/>
      <c r="Q826" s="4116">
        <v>138000000000000</v>
      </c>
      <c r="R826" s="4117">
        <v>10300000000</v>
      </c>
      <c r="S826" s="4552">
        <f t="shared" si="10"/>
        <v>439456310679611.62</v>
      </c>
      <c r="T826" s="3486"/>
      <c r="U826" s="2856"/>
      <c r="V826" s="3547">
        <v>303</v>
      </c>
      <c r="W826" s="2851" t="s">
        <v>5920</v>
      </c>
      <c r="X826" s="2863"/>
      <c r="Y826" s="2863"/>
      <c r="Z826" s="2863"/>
      <c r="AA826" s="2863"/>
      <c r="AB826" s="2863"/>
      <c r="AC826" s="2863"/>
      <c r="AD826" s="2863"/>
      <c r="AE826" s="2863"/>
      <c r="AF826" s="2863"/>
      <c r="AG826" s="2863"/>
      <c r="AH826" s="2863"/>
      <c r="AI826" s="2863"/>
      <c r="AJ826" s="2863"/>
      <c r="AK826" s="2863"/>
      <c r="AL826" s="2863"/>
      <c r="AM826" s="2863"/>
      <c r="AN826" s="2863"/>
      <c r="AO826" s="2863"/>
      <c r="AP826" s="2863"/>
      <c r="AQ826" s="2863"/>
      <c r="AR826" s="2863"/>
      <c r="AS826" s="2863"/>
      <c r="AT826" s="2863"/>
      <c r="AU826" s="2863"/>
      <c r="AV826" s="2863"/>
      <c r="AW826" s="2863"/>
      <c r="AX826" s="2863"/>
      <c r="AY826" s="2863"/>
      <c r="AZ826" s="2863"/>
      <c r="BA826" s="2863"/>
      <c r="BB826" s="2863"/>
      <c r="BC826" s="2863"/>
      <c r="BD826" s="2863"/>
      <c r="BE826" s="2863"/>
      <c r="BF826" s="2863"/>
      <c r="BG826" s="2863"/>
      <c r="BH826" s="2863"/>
      <c r="BI826" s="2863"/>
    </row>
    <row r="827" spans="1:61" ht="24.75" customHeight="1">
      <c r="A827" s="3486" t="s">
        <v>5690</v>
      </c>
      <c r="B827" s="3486" t="s">
        <v>5903</v>
      </c>
      <c r="C827" s="4140" t="s">
        <v>178</v>
      </c>
      <c r="D827" s="3486" t="s">
        <v>5904</v>
      </c>
      <c r="E827" s="1761" t="str">
        <f>VLOOKUP(F827,plasmids!$A$2:$B$351,2)</f>
        <v>AAV9</v>
      </c>
      <c r="F827" s="3269">
        <v>166</v>
      </c>
      <c r="G827" s="1763"/>
      <c r="H827" s="3017" t="str">
        <f>VLOOKUP(I827,plasmids!$A$2:$B$951,2)</f>
        <v>sc-CAG-GFP</v>
      </c>
      <c r="I827" s="3486">
        <v>120</v>
      </c>
      <c r="J827" s="2856"/>
      <c r="K827" s="3270"/>
      <c r="L827" s="3483"/>
      <c r="M827" s="1770">
        <v>42755</v>
      </c>
      <c r="N827" s="2798">
        <v>865</v>
      </c>
      <c r="O827" s="3269"/>
      <c r="P827" s="2859"/>
      <c r="Q827" s="4116">
        <v>136000000000000</v>
      </c>
      <c r="R827" s="4117">
        <v>10300000000</v>
      </c>
      <c r="S827" s="4552">
        <f t="shared" si="10"/>
        <v>433087378640776.69</v>
      </c>
      <c r="T827" s="3486"/>
      <c r="U827" s="2856"/>
      <c r="V827" s="3547">
        <v>245</v>
      </c>
      <c r="W827" s="2851" t="s">
        <v>5920</v>
      </c>
      <c r="X827" s="2863"/>
      <c r="Y827" s="2863"/>
      <c r="Z827" s="2863"/>
      <c r="AA827" s="2863"/>
      <c r="AB827" s="2863"/>
      <c r="AC827" s="2863"/>
      <c r="AD827" s="2863"/>
      <c r="AE827" s="2863"/>
      <c r="AF827" s="2863"/>
      <c r="AG827" s="2863"/>
      <c r="AH827" s="2863"/>
      <c r="AI827" s="2863"/>
      <c r="AJ827" s="2863"/>
      <c r="AK827" s="2863"/>
      <c r="AL827" s="2863"/>
      <c r="AM827" s="2863"/>
      <c r="AN827" s="2863"/>
      <c r="AO827" s="2863"/>
      <c r="AP827" s="2863"/>
      <c r="AQ827" s="2863"/>
      <c r="AR827" s="2863"/>
      <c r="AS827" s="2863"/>
      <c r="AT827" s="2863"/>
      <c r="AU827" s="2863"/>
      <c r="AV827" s="2863"/>
      <c r="AW827" s="2863"/>
      <c r="AX827" s="2863"/>
      <c r="AY827" s="2863"/>
      <c r="AZ827" s="2863"/>
      <c r="BA827" s="2863"/>
      <c r="BB827" s="2863"/>
      <c r="BC827" s="2863"/>
      <c r="BD827" s="2863"/>
      <c r="BE827" s="2863"/>
      <c r="BF827" s="2863"/>
      <c r="BG827" s="2863"/>
      <c r="BH827" s="2863"/>
      <c r="BI827" s="2863"/>
    </row>
    <row r="828" spans="1:61" ht="24.75" customHeight="1">
      <c r="A828" s="4769" t="s">
        <v>5897</v>
      </c>
      <c r="B828" s="4769" t="s">
        <v>5898</v>
      </c>
      <c r="C828" s="4770" t="s">
        <v>5899</v>
      </c>
      <c r="D828" s="4769" t="s">
        <v>568</v>
      </c>
      <c r="E828" s="4771" t="str">
        <f>VLOOKUP(F828,plasmids!$A$2:$B$351,2)</f>
        <v>AAV2-7m8</v>
      </c>
      <c r="F828" s="4769">
        <v>178</v>
      </c>
      <c r="G828" s="4772"/>
      <c r="H828" s="4772" t="str">
        <f>VLOOKUP(I828,plasmids!$A$2:$B$951,2)</f>
        <v>pssAAV-pR1.7-GFP</v>
      </c>
      <c r="I828" s="4769">
        <v>566</v>
      </c>
      <c r="J828" s="4773"/>
      <c r="K828" s="4774"/>
      <c r="L828" s="4775"/>
      <c r="M828" s="4776">
        <v>42755</v>
      </c>
      <c r="N828" s="4777">
        <v>866</v>
      </c>
      <c r="O828" s="4778"/>
      <c r="P828" s="4779"/>
      <c r="Q828" s="4780">
        <v>6600000000000</v>
      </c>
      <c r="R828" s="4780">
        <v>10300000000</v>
      </c>
      <c r="S828" s="4780">
        <f t="shared" si="10"/>
        <v>21017475728155.34</v>
      </c>
      <c r="T828" s="4769" t="s">
        <v>5915</v>
      </c>
      <c r="U828" s="4773"/>
      <c r="V828" s="4781" t="s">
        <v>5921</v>
      </c>
      <c r="W828" s="4782"/>
      <c r="X828" s="4783"/>
      <c r="Y828" s="4783"/>
      <c r="Z828" s="4783"/>
      <c r="AA828" s="4783"/>
      <c r="AB828" s="4783"/>
      <c r="AC828" s="4783"/>
      <c r="AD828" s="4783"/>
      <c r="AE828" s="4783"/>
      <c r="AF828" s="4783"/>
      <c r="AG828" s="4783"/>
      <c r="AH828" s="4783"/>
      <c r="AI828" s="4783"/>
      <c r="AJ828" s="4783"/>
      <c r="AK828" s="4783"/>
      <c r="AL828" s="4783"/>
      <c r="AM828" s="4783"/>
      <c r="AN828" s="4783"/>
      <c r="AO828" s="4783"/>
      <c r="AP828" s="4783"/>
      <c r="AQ828" s="4783"/>
      <c r="AR828" s="4783"/>
      <c r="AS828" s="4783"/>
      <c r="AT828" s="4783"/>
      <c r="AU828" s="4783"/>
      <c r="AV828" s="4783"/>
      <c r="AW828" s="4783"/>
      <c r="AX828" s="4783"/>
      <c r="AY828" s="4783"/>
      <c r="AZ828" s="4783"/>
      <c r="BA828" s="4783"/>
      <c r="BB828" s="4783"/>
      <c r="BC828" s="4783"/>
      <c r="BD828" s="4783"/>
      <c r="BE828" s="4783"/>
      <c r="BF828" s="4783"/>
      <c r="BG828" s="4783"/>
      <c r="BH828" s="4783"/>
      <c r="BI828" s="4783"/>
    </row>
    <row r="829" spans="1:61" ht="22.5" customHeight="1">
      <c r="A829" s="4706" t="s">
        <v>1800</v>
      </c>
      <c r="B829" s="4706" t="s">
        <v>1050</v>
      </c>
      <c r="C829" s="4707" t="s">
        <v>1967</v>
      </c>
      <c r="D829" s="4706" t="s">
        <v>70</v>
      </c>
      <c r="E829" s="4708" t="str">
        <f>VLOOKUP(F829,plasmids!$A$2:$B$891,2)</f>
        <v>AAV2</v>
      </c>
      <c r="F829" s="4709">
        <v>140</v>
      </c>
      <c r="G829" s="4784"/>
      <c r="H829" s="4784" t="str">
        <f>VLOOKUP(I829,plasmids!$A$2:$B$891,2)</f>
        <v>pscAAV-CAG-SWO-GFP</v>
      </c>
      <c r="I829" s="4706">
        <v>541</v>
      </c>
      <c r="J829" s="4712"/>
      <c r="K829" s="4713"/>
      <c r="L829" s="4713"/>
      <c r="M829" s="4715">
        <v>42755</v>
      </c>
      <c r="N829" s="4716">
        <v>867</v>
      </c>
      <c r="O829" s="4709"/>
      <c r="P829" s="4717"/>
      <c r="Q829" s="4785">
        <v>24200000000000</v>
      </c>
      <c r="R829" s="4786">
        <v>10300000000</v>
      </c>
      <c r="S829" s="4787">
        <f t="shared" si="10"/>
        <v>77064077669902.906</v>
      </c>
      <c r="T829" s="4788" t="s">
        <v>5915</v>
      </c>
      <c r="U829" s="4712"/>
      <c r="V829" s="4709" t="s">
        <v>5922</v>
      </c>
      <c r="W829" s="4722"/>
      <c r="X829" s="4722"/>
      <c r="Y829" s="4722"/>
      <c r="Z829" s="4722"/>
      <c r="AA829" s="4722"/>
      <c r="AB829" s="4722"/>
      <c r="AC829" s="4722"/>
      <c r="AD829" s="4722"/>
      <c r="AE829" s="4722"/>
      <c r="AF829" s="4722"/>
      <c r="AG829" s="4722"/>
      <c r="AH829" s="4722"/>
      <c r="AI829" s="4722"/>
      <c r="AJ829" s="4722"/>
      <c r="AK829" s="4722"/>
      <c r="AL829" s="4722"/>
      <c r="AM829" s="4722"/>
      <c r="AN829" s="4722"/>
      <c r="AO829" s="4722"/>
      <c r="AP829" s="4722"/>
      <c r="AQ829" s="4722"/>
      <c r="AR829" s="4722"/>
      <c r="AS829" s="4722"/>
      <c r="AT829" s="4722"/>
      <c r="AU829" s="4722"/>
      <c r="AV829" s="4722"/>
      <c r="AW829" s="4722"/>
      <c r="AX829" s="4722"/>
      <c r="AY829" s="4722"/>
      <c r="AZ829" s="4722"/>
      <c r="BA829" s="4722"/>
      <c r="BB829" s="4722"/>
      <c r="BC829" s="4722"/>
      <c r="BD829" s="4722"/>
      <c r="BE829" s="4722"/>
      <c r="BF829" s="4722"/>
      <c r="BG829" s="4722"/>
      <c r="BH829" s="4722"/>
      <c r="BI829" s="4722"/>
    </row>
    <row r="830" spans="1:61" ht="22.5" customHeight="1">
      <c r="A830" s="4706" t="s">
        <v>1800</v>
      </c>
      <c r="B830" s="4706" t="s">
        <v>1050</v>
      </c>
      <c r="C830" s="4707" t="s">
        <v>1967</v>
      </c>
      <c r="D830" s="4706" t="s">
        <v>70</v>
      </c>
      <c r="E830" s="4708" t="str">
        <f>VLOOKUP(F830,plasmids!$A$2:$B$891,2)</f>
        <v>AAV2</v>
      </c>
      <c r="F830" s="4709">
        <v>140</v>
      </c>
      <c r="G830" s="4784"/>
      <c r="H830" s="4784" t="str">
        <f>VLOOKUP(I830,plasmids!$A$2:$B$891,2)</f>
        <v>pscAAV-CAG-Lwo-GFP</v>
      </c>
      <c r="I830" s="4706">
        <v>538</v>
      </c>
      <c r="J830" s="4712"/>
      <c r="K830" s="4713"/>
      <c r="L830" s="4713"/>
      <c r="M830" s="4715">
        <v>42755</v>
      </c>
      <c r="N830" s="4716">
        <v>868</v>
      </c>
      <c r="O830" s="4709"/>
      <c r="P830" s="4717"/>
      <c r="Q830" s="4785">
        <v>9930000000000</v>
      </c>
      <c r="R830" s="4786">
        <v>10300000000</v>
      </c>
      <c r="S830" s="4787">
        <f t="shared" si="10"/>
        <v>31621747572815.531</v>
      </c>
      <c r="T830" s="4788" t="s">
        <v>5915</v>
      </c>
      <c r="U830" s="4712"/>
      <c r="V830" s="4709" t="s">
        <v>5923</v>
      </c>
      <c r="W830" s="4722"/>
      <c r="X830" s="4722"/>
      <c r="Y830" s="4722"/>
      <c r="Z830" s="4722"/>
      <c r="AA830" s="4722"/>
      <c r="AB830" s="4722"/>
      <c r="AC830" s="4722"/>
      <c r="AD830" s="4722"/>
      <c r="AE830" s="4722"/>
      <c r="AF830" s="4722"/>
      <c r="AG830" s="4722"/>
      <c r="AH830" s="4722"/>
      <c r="AI830" s="4722"/>
      <c r="AJ830" s="4722"/>
      <c r="AK830" s="4722"/>
      <c r="AL830" s="4722"/>
      <c r="AM830" s="4722"/>
      <c r="AN830" s="4722"/>
      <c r="AO830" s="4722"/>
      <c r="AP830" s="4722"/>
      <c r="AQ830" s="4722"/>
      <c r="AR830" s="4722"/>
      <c r="AS830" s="4722"/>
      <c r="AT830" s="4722"/>
      <c r="AU830" s="4722"/>
      <c r="AV830" s="4722"/>
      <c r="AW830" s="4722"/>
      <c r="AX830" s="4722"/>
      <c r="AY830" s="4722"/>
      <c r="AZ830" s="4722"/>
      <c r="BA830" s="4722"/>
      <c r="BB830" s="4722"/>
      <c r="BC830" s="4722"/>
      <c r="BD830" s="4722"/>
      <c r="BE830" s="4722"/>
      <c r="BF830" s="4722"/>
      <c r="BG830" s="4722"/>
      <c r="BH830" s="4722"/>
      <c r="BI830" s="4722"/>
    </row>
    <row r="831" spans="1:61" ht="24.75" customHeight="1">
      <c r="A831" s="4789" t="s">
        <v>5924</v>
      </c>
      <c r="B831" s="4789" t="s">
        <v>5925</v>
      </c>
      <c r="C831" s="4790" t="s">
        <v>2510</v>
      </c>
      <c r="D831" s="4789" t="s">
        <v>5547</v>
      </c>
      <c r="E831" s="4791" t="s">
        <v>2590</v>
      </c>
      <c r="F831" s="4792">
        <v>154</v>
      </c>
      <c r="G831" s="4793"/>
      <c r="H831" s="4794" t="s">
        <v>1616</v>
      </c>
      <c r="I831" s="4789">
        <v>434</v>
      </c>
      <c r="J831" s="4795"/>
      <c r="K831" s="4796"/>
      <c r="L831" s="4797"/>
      <c r="M831" s="4669">
        <v>42755</v>
      </c>
      <c r="N831" s="4798">
        <v>869</v>
      </c>
      <c r="O831" s="4792"/>
      <c r="P831" s="4799"/>
      <c r="Q831" s="4800">
        <v>95500000000000</v>
      </c>
      <c r="R831" s="4801">
        <v>10300000000</v>
      </c>
      <c r="S831" s="4802">
        <f t="shared" si="10"/>
        <v>304116504854368.94</v>
      </c>
      <c r="T831" s="4789" t="s">
        <v>5915</v>
      </c>
      <c r="U831" s="4795"/>
      <c r="V831" s="4791">
        <f>271-10</f>
        <v>261</v>
      </c>
      <c r="W831" s="4803"/>
      <c r="X831" s="4804"/>
      <c r="Y831" s="4804"/>
      <c r="Z831" s="4804"/>
      <c r="AA831" s="4804"/>
      <c r="AB831" s="4804"/>
      <c r="AC831" s="4804"/>
      <c r="AD831" s="4804"/>
      <c r="AE831" s="4804"/>
      <c r="AF831" s="4804"/>
      <c r="AG831" s="4804"/>
      <c r="AH831" s="4804"/>
      <c r="AI831" s="4804"/>
      <c r="AJ831" s="4804"/>
      <c r="AK831" s="4804"/>
      <c r="AL831" s="4804"/>
      <c r="AM831" s="4804"/>
      <c r="AN831" s="4804"/>
      <c r="AO831" s="4804"/>
      <c r="AP831" s="4804"/>
      <c r="AQ831" s="4804"/>
      <c r="AR831" s="4804"/>
      <c r="AS831" s="4804"/>
      <c r="AT831" s="4804"/>
      <c r="AU831" s="4804"/>
      <c r="AV831" s="4804"/>
      <c r="AW831" s="4804"/>
      <c r="AX831" s="4804"/>
      <c r="AY831" s="4804"/>
      <c r="AZ831" s="4804"/>
      <c r="BA831" s="4804"/>
      <c r="BB831" s="4804"/>
      <c r="BC831" s="4804"/>
      <c r="BD831" s="4804"/>
      <c r="BE831" s="4804"/>
      <c r="BF831" s="4804"/>
      <c r="BG831" s="4804"/>
      <c r="BH831" s="4804"/>
      <c r="BI831" s="4804"/>
    </row>
    <row r="832" spans="1:61" ht="24.75" customHeight="1">
      <c r="A832" s="4789" t="s">
        <v>5924</v>
      </c>
      <c r="B832" s="4789" t="s">
        <v>5925</v>
      </c>
      <c r="C832" s="4790" t="s">
        <v>2510</v>
      </c>
      <c r="D832" s="4789" t="s">
        <v>5547</v>
      </c>
      <c r="E832" s="4791" t="s">
        <v>575</v>
      </c>
      <c r="F832" s="4792">
        <v>122</v>
      </c>
      <c r="G832" s="4793"/>
      <c r="H832" s="4794" t="s">
        <v>1616</v>
      </c>
      <c r="I832" s="4789">
        <v>434</v>
      </c>
      <c r="J832" s="4795"/>
      <c r="K832" s="4796"/>
      <c r="L832" s="4797"/>
      <c r="M832" s="4669">
        <v>42755</v>
      </c>
      <c r="N832" s="4798">
        <v>870</v>
      </c>
      <c r="O832" s="4792"/>
      <c r="P832" s="4799"/>
      <c r="Q832" s="4800">
        <v>246000000000000</v>
      </c>
      <c r="R832" s="4801">
        <v>10300000000</v>
      </c>
      <c r="S832" s="4802">
        <f t="shared" si="10"/>
        <v>783378640776699</v>
      </c>
      <c r="T832" s="4789" t="s">
        <v>5915</v>
      </c>
      <c r="U832" s="4795"/>
      <c r="V832" s="4791">
        <v>269</v>
      </c>
      <c r="W832" s="4803"/>
      <c r="X832" s="4804"/>
      <c r="Y832" s="4804"/>
      <c r="Z832" s="4804"/>
      <c r="AA832" s="4804"/>
      <c r="AB832" s="4804"/>
      <c r="AC832" s="4804"/>
      <c r="AD832" s="4804"/>
      <c r="AE832" s="4804"/>
      <c r="AF832" s="4804"/>
      <c r="AG832" s="4804"/>
      <c r="AH832" s="4804"/>
      <c r="AI832" s="4804"/>
      <c r="AJ832" s="4804"/>
      <c r="AK832" s="4804"/>
      <c r="AL832" s="4804"/>
      <c r="AM832" s="4804"/>
      <c r="AN832" s="4804"/>
      <c r="AO832" s="4804"/>
      <c r="AP832" s="4804"/>
      <c r="AQ832" s="4804"/>
      <c r="AR832" s="4804"/>
      <c r="AS832" s="4804"/>
      <c r="AT832" s="4804"/>
      <c r="AU832" s="4804"/>
      <c r="AV832" s="4804"/>
      <c r="AW832" s="4804"/>
      <c r="AX832" s="4804"/>
      <c r="AY832" s="4804"/>
      <c r="AZ832" s="4804"/>
      <c r="BA832" s="4804"/>
      <c r="BB832" s="4804"/>
      <c r="BC832" s="4804"/>
      <c r="BD832" s="4804"/>
      <c r="BE832" s="4804"/>
      <c r="BF832" s="4804"/>
      <c r="BG832" s="4804"/>
      <c r="BH832" s="4804"/>
      <c r="BI832" s="4804"/>
    </row>
    <row r="833" spans="1:61" ht="24.75" customHeight="1">
      <c r="A833" s="4789" t="s">
        <v>5924</v>
      </c>
      <c r="B833" s="4789" t="s">
        <v>5925</v>
      </c>
      <c r="C833" s="4790" t="s">
        <v>2510</v>
      </c>
      <c r="D833" s="4789" t="s">
        <v>5547</v>
      </c>
      <c r="E833" s="4791" t="s">
        <v>2590</v>
      </c>
      <c r="F833" s="4792">
        <v>154</v>
      </c>
      <c r="G833" s="4793"/>
      <c r="H833" s="4794" t="s">
        <v>5926</v>
      </c>
      <c r="I833" s="4789">
        <v>588</v>
      </c>
      <c r="J833" s="4795"/>
      <c r="K833" s="4796"/>
      <c r="L833" s="4797"/>
      <c r="M833" s="4669">
        <v>42755</v>
      </c>
      <c r="N833" s="4798">
        <v>871</v>
      </c>
      <c r="O833" s="4792"/>
      <c r="P833" s="4799"/>
      <c r="Q833" s="4800">
        <v>108000000000000</v>
      </c>
      <c r="R833" s="4801">
        <v>10300000000</v>
      </c>
      <c r="S833" s="4802">
        <f t="shared" si="10"/>
        <v>343922330097087.38</v>
      </c>
      <c r="T833" s="4789" t="s">
        <v>5915</v>
      </c>
      <c r="U833" s="4795"/>
      <c r="V833" s="4791">
        <v>241</v>
      </c>
      <c r="W833" s="4803"/>
      <c r="X833" s="4804"/>
      <c r="Y833" s="4804"/>
      <c r="Z833" s="4804"/>
      <c r="AA833" s="4804"/>
      <c r="AB833" s="4804"/>
      <c r="AC833" s="4804"/>
      <c r="AD833" s="4804"/>
      <c r="AE833" s="4804"/>
      <c r="AF833" s="4804"/>
      <c r="AG833" s="4804"/>
      <c r="AH833" s="4804"/>
      <c r="AI833" s="4804"/>
      <c r="AJ833" s="4804"/>
      <c r="AK833" s="4804"/>
      <c r="AL833" s="4804"/>
      <c r="AM833" s="4804"/>
      <c r="AN833" s="4804"/>
      <c r="AO833" s="4804"/>
      <c r="AP833" s="4804"/>
      <c r="AQ833" s="4804"/>
      <c r="AR833" s="4804"/>
      <c r="AS833" s="4804"/>
      <c r="AT833" s="4804"/>
      <c r="AU833" s="4804"/>
      <c r="AV833" s="4804"/>
      <c r="AW833" s="4804"/>
      <c r="AX833" s="4804"/>
      <c r="AY833" s="4804"/>
      <c r="AZ833" s="4804"/>
      <c r="BA833" s="4804"/>
      <c r="BB833" s="4804"/>
      <c r="BC833" s="4804"/>
      <c r="BD833" s="4804"/>
      <c r="BE833" s="4804"/>
      <c r="BF833" s="4804"/>
      <c r="BG833" s="4804"/>
      <c r="BH833" s="4804"/>
      <c r="BI833" s="4804"/>
    </row>
    <row r="834" spans="1:61" ht="24.75" customHeight="1">
      <c r="A834" s="3870" t="s">
        <v>1549</v>
      </c>
      <c r="B834" s="3870" t="s">
        <v>5767</v>
      </c>
      <c r="C834" s="3871" t="s">
        <v>1967</v>
      </c>
      <c r="D834" s="3870" t="s">
        <v>5794</v>
      </c>
      <c r="E834" s="3872" t="str">
        <f>VLOOKUP(F834,plasmids!$A$2:$B$891,2)</f>
        <v>pAV2-7mC</v>
      </c>
      <c r="F834" s="3873">
        <v>669</v>
      </c>
      <c r="G834" s="4289"/>
      <c r="H834" s="4289" t="str">
        <f>VLOOKUP(I834,plasmids!$A$2:$B$891,2)</f>
        <v>pssAAV-CAG-tdTomato</v>
      </c>
      <c r="I834" s="3870">
        <v>481</v>
      </c>
      <c r="J834" s="3875"/>
      <c r="K834" s="3876"/>
      <c r="L834" s="4290"/>
      <c r="M834" s="3877">
        <v>42755</v>
      </c>
      <c r="N834" s="3878">
        <v>872</v>
      </c>
      <c r="O834" s="3873"/>
      <c r="P834" s="4291"/>
      <c r="Q834" s="4332">
        <v>10400000000000</v>
      </c>
      <c r="R834" s="4333">
        <v>10300000000</v>
      </c>
      <c r="S834" s="4334">
        <f t="shared" si="10"/>
        <v>33118446601941.746</v>
      </c>
      <c r="T834" s="3870" t="s">
        <v>5915</v>
      </c>
      <c r="U834" s="3875"/>
      <c r="V834" s="3872" t="s">
        <v>5927</v>
      </c>
      <c r="W834" s="3883"/>
      <c r="X834" s="3680"/>
      <c r="Y834" s="3680"/>
      <c r="Z834" s="3680"/>
      <c r="AA834" s="3680"/>
      <c r="AB834" s="3680"/>
      <c r="AC834" s="3680"/>
      <c r="AD834" s="3680"/>
      <c r="AE834" s="3680"/>
      <c r="AF834" s="3680"/>
      <c r="AG834" s="3680"/>
      <c r="AH834" s="3680"/>
      <c r="AI834" s="3680"/>
      <c r="AJ834" s="3680"/>
      <c r="AK834" s="3680"/>
      <c r="AL834" s="3680"/>
      <c r="AM834" s="3680"/>
      <c r="AN834" s="3680"/>
      <c r="AO834" s="3680"/>
      <c r="AP834" s="3680"/>
      <c r="AQ834" s="3680"/>
      <c r="AR834" s="3680"/>
      <c r="AS834" s="3680"/>
      <c r="AT834" s="3680"/>
      <c r="AU834" s="3680"/>
      <c r="AV834" s="3680"/>
      <c r="AW834" s="3680"/>
      <c r="AX834" s="3680"/>
      <c r="AY834" s="3680"/>
      <c r="AZ834" s="3680"/>
      <c r="BA834" s="3680"/>
      <c r="BB834" s="3680"/>
      <c r="BC834" s="3680"/>
      <c r="BD834" s="3680"/>
      <c r="BE834" s="3680"/>
      <c r="BF834" s="3680"/>
      <c r="BG834" s="3680"/>
      <c r="BH834" s="3680"/>
      <c r="BI834" s="3680"/>
    </row>
    <row r="835" spans="1:61" ht="24.75" customHeight="1">
      <c r="A835" s="3870" t="s">
        <v>1549</v>
      </c>
      <c r="B835" s="3870" t="s">
        <v>5767</v>
      </c>
      <c r="C835" s="3871" t="s">
        <v>1967</v>
      </c>
      <c r="D835" s="3870" t="s">
        <v>5794</v>
      </c>
      <c r="E835" s="3872" t="str">
        <f>VLOOKUP(F835,plasmids!$A$2:$B$891,2)</f>
        <v>pAV2-7mD</v>
      </c>
      <c r="F835" s="3873">
        <v>670</v>
      </c>
      <c r="G835" s="4289"/>
      <c r="H835" s="4289" t="str">
        <f>VLOOKUP(I835,plasmids!$A$2:$B$891,2)</f>
        <v>pssAAV-CAG-tdTomato</v>
      </c>
      <c r="I835" s="3870">
        <v>481</v>
      </c>
      <c r="J835" s="3875"/>
      <c r="K835" s="3876"/>
      <c r="L835" s="4290"/>
      <c r="M835" s="3877">
        <v>42755</v>
      </c>
      <c r="N835" s="3878">
        <v>873</v>
      </c>
      <c r="O835" s="3873"/>
      <c r="P835" s="4291"/>
      <c r="Q835" s="4332">
        <v>8930000000000</v>
      </c>
      <c r="R835" s="4333">
        <v>10300000000</v>
      </c>
      <c r="S835" s="4333">
        <f t="shared" si="10"/>
        <v>28437281553398.059</v>
      </c>
      <c r="T835" s="3870" t="s">
        <v>5915</v>
      </c>
      <c r="U835" s="3875"/>
      <c r="V835" s="3872" t="s">
        <v>5928</v>
      </c>
      <c r="W835" s="3883"/>
      <c r="X835" s="3680"/>
      <c r="Y835" s="3680"/>
      <c r="Z835" s="3680"/>
      <c r="AA835" s="3680"/>
      <c r="AB835" s="3680"/>
      <c r="AC835" s="3680"/>
      <c r="AD835" s="3680"/>
      <c r="AE835" s="3680"/>
      <c r="AF835" s="3680"/>
      <c r="AG835" s="3680"/>
      <c r="AH835" s="3680"/>
      <c r="AI835" s="3680"/>
      <c r="AJ835" s="3680"/>
      <c r="AK835" s="3680"/>
      <c r="AL835" s="3680"/>
      <c r="AM835" s="3680"/>
      <c r="AN835" s="3680"/>
      <c r="AO835" s="3680"/>
      <c r="AP835" s="3680"/>
      <c r="AQ835" s="3680"/>
      <c r="AR835" s="3680"/>
      <c r="AS835" s="3680"/>
      <c r="AT835" s="3680"/>
      <c r="AU835" s="3680"/>
      <c r="AV835" s="3680"/>
      <c r="AW835" s="3680"/>
      <c r="AX835" s="3680"/>
      <c r="AY835" s="3680"/>
      <c r="AZ835" s="3680"/>
      <c r="BA835" s="3680"/>
      <c r="BB835" s="3680"/>
      <c r="BC835" s="3680"/>
      <c r="BD835" s="3680"/>
      <c r="BE835" s="3680"/>
      <c r="BF835" s="3680"/>
      <c r="BG835" s="3680"/>
      <c r="BH835" s="3680"/>
      <c r="BI835" s="3680"/>
    </row>
    <row r="836" spans="1:61" ht="24.75" customHeight="1">
      <c r="A836" s="1873" t="s">
        <v>707</v>
      </c>
      <c r="B836" s="1873" t="s">
        <v>5929</v>
      </c>
      <c r="C836" s="4805" t="s">
        <v>1967</v>
      </c>
      <c r="D836" s="1873" t="s">
        <v>5930</v>
      </c>
      <c r="E836" s="4806" t="str">
        <f>VLOOKUP(F836,plasmids!$A$2:$B$351,2)</f>
        <v>AAV2-7m8</v>
      </c>
      <c r="F836" s="4692">
        <v>178</v>
      </c>
      <c r="G836" s="4693"/>
      <c r="H836" s="4807" t="str">
        <f>VLOOKUP(I836,plasmids!$A$2:$B$1011,2)</f>
        <v>pssAAV-IRBP_GNAT-ReachR-GFP</v>
      </c>
      <c r="I836" s="4808">
        <v>705</v>
      </c>
      <c r="J836" s="4809"/>
      <c r="K836" s="4810"/>
      <c r="L836" s="4811"/>
      <c r="M836" s="4812">
        <v>42765</v>
      </c>
      <c r="N836" s="4756">
        <v>874</v>
      </c>
      <c r="O836" s="4813"/>
      <c r="P836" s="4814"/>
      <c r="Q836" s="1731">
        <v>16100000000000</v>
      </c>
      <c r="R836" s="4815">
        <v>31900000000</v>
      </c>
      <c r="S836" s="4815">
        <f t="shared" si="10"/>
        <v>16554231974921.631</v>
      </c>
      <c r="T836" s="4816" t="s">
        <v>5915</v>
      </c>
      <c r="U836" s="4809"/>
      <c r="V836" s="4817" t="s">
        <v>5931</v>
      </c>
      <c r="W836" s="4818" t="s">
        <v>5932</v>
      </c>
      <c r="Y836" s="4809"/>
      <c r="Z836" s="4809"/>
      <c r="AA836" s="4809"/>
      <c r="AB836" s="4809"/>
      <c r="AC836" s="4809"/>
      <c r="AD836" s="4809"/>
      <c r="AE836" s="4809"/>
      <c r="AF836" s="4809"/>
      <c r="AG836" s="4809"/>
      <c r="AH836" s="4809"/>
      <c r="AI836" s="4809"/>
      <c r="AJ836" s="4809"/>
      <c r="AK836" s="4809"/>
      <c r="AL836" s="4809"/>
      <c r="AM836" s="4809"/>
      <c r="AN836" s="4809"/>
      <c r="AO836" s="4809"/>
      <c r="AP836" s="4809"/>
      <c r="AQ836" s="4809"/>
      <c r="AR836" s="4809"/>
      <c r="AS836" s="4809"/>
      <c r="AT836" s="4809"/>
      <c r="AU836" s="4809"/>
      <c r="AV836" s="4809"/>
      <c r="AW836" s="4809"/>
      <c r="AX836" s="4809"/>
      <c r="AY836" s="4809"/>
      <c r="AZ836" s="4809"/>
      <c r="BA836" s="4809"/>
      <c r="BB836" s="4809"/>
      <c r="BC836" s="4809"/>
      <c r="BD836" s="4809"/>
      <c r="BE836" s="4809"/>
      <c r="BF836" s="4809"/>
      <c r="BG836" s="4809"/>
      <c r="BH836" s="4809"/>
      <c r="BI836" s="4809"/>
    </row>
    <row r="837" spans="1:61" ht="24.75" customHeight="1">
      <c r="A837" s="3526" t="s">
        <v>1343</v>
      </c>
      <c r="B837" s="3540" t="s">
        <v>5704</v>
      </c>
      <c r="C837" s="3527" t="s">
        <v>1967</v>
      </c>
      <c r="D837" s="3540" t="s">
        <v>5655</v>
      </c>
      <c r="E837" s="3528" t="str">
        <f>VLOOKUP(F837,plasmids!$A$2:$B$891,2)</f>
        <v>AAV2-7m8</v>
      </c>
      <c r="F837" s="3529">
        <v>178</v>
      </c>
      <c r="G837" s="4671"/>
      <c r="H837" s="3530" t="str">
        <f>VLOOKUP(I837,plasmids!$A$2:$B$640,2)</f>
        <v>pssAAV-pR1.7-Jaws-GFP</v>
      </c>
      <c r="I837" s="3526">
        <v>596</v>
      </c>
      <c r="J837" s="3531"/>
      <c r="K837" s="3532"/>
      <c r="L837" s="3752"/>
      <c r="M837" s="3534">
        <v>42765</v>
      </c>
      <c r="N837" s="3535">
        <v>875</v>
      </c>
      <c r="O837" s="3529"/>
      <c r="P837" s="3536"/>
      <c r="Q837" s="4819">
        <v>25200000000000</v>
      </c>
      <c r="R837" s="4145">
        <v>31900000000</v>
      </c>
      <c r="S837" s="4145">
        <f t="shared" si="10"/>
        <v>25910971786833.855</v>
      </c>
      <c r="T837" s="3526" t="s">
        <v>5915</v>
      </c>
      <c r="U837" s="3515"/>
      <c r="V837" s="4820">
        <f>313</f>
        <v>313</v>
      </c>
      <c r="W837" s="3525" t="s">
        <v>2812</v>
      </c>
      <c r="X837" s="3524"/>
      <c r="Y837" s="3524"/>
      <c r="Z837" s="3524"/>
      <c r="AA837" s="3524"/>
      <c r="AB837" s="3524"/>
      <c r="AC837" s="3524"/>
      <c r="AD837" s="3524"/>
      <c r="AE837" s="3524"/>
      <c r="AF837" s="3524"/>
      <c r="AG837" s="3524"/>
      <c r="AH837" s="3524"/>
      <c r="AI837" s="3524"/>
      <c r="AJ837" s="3524"/>
      <c r="AK837" s="3524"/>
      <c r="AL837" s="3524"/>
      <c r="AM837" s="3524"/>
      <c r="AN837" s="3524"/>
      <c r="AO837" s="3524"/>
      <c r="AP837" s="3524"/>
      <c r="AQ837" s="3524"/>
      <c r="AR837" s="3524"/>
      <c r="AS837" s="3524"/>
      <c r="AT837" s="3524"/>
      <c r="AU837" s="3524"/>
      <c r="AV837" s="3524"/>
      <c r="AW837" s="3524"/>
      <c r="AX837" s="3524"/>
      <c r="AY837" s="3524"/>
      <c r="AZ837" s="3524"/>
      <c r="BA837" s="3524"/>
      <c r="BB837" s="3524"/>
      <c r="BC837" s="3524"/>
      <c r="BD837" s="3524"/>
      <c r="BE837" s="3524"/>
      <c r="BF837" s="3524"/>
      <c r="BG837" s="3524"/>
      <c r="BH837" s="3524"/>
      <c r="BI837" s="3524"/>
    </row>
    <row r="838" spans="1:61" ht="24.75" customHeight="1">
      <c r="A838" s="3526" t="s">
        <v>1343</v>
      </c>
      <c r="B838" s="3526" t="s">
        <v>5707</v>
      </c>
      <c r="C838" s="3527" t="s">
        <v>5708</v>
      </c>
      <c r="D838" s="3526" t="s">
        <v>3782</v>
      </c>
      <c r="E838" s="3528" t="str">
        <f>VLOOKUP(F838,plasmids!$A$2:$B$891,2)</f>
        <v>AAV2-7m8</v>
      </c>
      <c r="F838" s="3529">
        <v>178</v>
      </c>
      <c r="G838" s="3530"/>
      <c r="H838" s="3530" t="str">
        <f>VLOOKUP(I838,plasmids!$A$2:$B$891,2)</f>
        <v>pssAAV-pR1.7-GFP</v>
      </c>
      <c r="I838" s="3526">
        <v>566</v>
      </c>
      <c r="J838" s="3531"/>
      <c r="K838" s="3532"/>
      <c r="L838" s="3752"/>
      <c r="M838" s="3534">
        <v>42765</v>
      </c>
      <c r="N838" s="3535">
        <v>876</v>
      </c>
      <c r="O838" s="3529"/>
      <c r="P838" s="3536"/>
      <c r="Q838" s="4819">
        <v>585000000000</v>
      </c>
      <c r="R838" s="4145">
        <v>31900000000</v>
      </c>
      <c r="S838" s="4145">
        <f t="shared" si="10"/>
        <v>601504702194.35742</v>
      </c>
      <c r="T838" s="3526" t="s">
        <v>5915</v>
      </c>
      <c r="U838" s="3515"/>
      <c r="V838" s="4820">
        <f>337</f>
        <v>337</v>
      </c>
      <c r="W838" s="3525" t="s">
        <v>2812</v>
      </c>
      <c r="X838" s="3524"/>
      <c r="Y838" s="3524"/>
      <c r="Z838" s="3524"/>
      <c r="AA838" s="3524"/>
      <c r="AB838" s="3524"/>
      <c r="AC838" s="3524"/>
      <c r="AD838" s="3524"/>
      <c r="AE838" s="3524"/>
      <c r="AF838" s="3524"/>
      <c r="AG838" s="3524"/>
      <c r="AH838" s="3524"/>
      <c r="AI838" s="3524"/>
      <c r="AJ838" s="3524"/>
      <c r="AK838" s="3524"/>
      <c r="AL838" s="3524"/>
      <c r="AM838" s="3524"/>
      <c r="AN838" s="3524"/>
      <c r="AO838" s="3524"/>
      <c r="AP838" s="3524"/>
      <c r="AQ838" s="3524"/>
      <c r="AR838" s="3524"/>
      <c r="AS838" s="3524"/>
      <c r="AT838" s="3524"/>
      <c r="AU838" s="3524"/>
      <c r="AV838" s="3524"/>
      <c r="AW838" s="3524"/>
      <c r="AX838" s="3524"/>
      <c r="AY838" s="3524"/>
      <c r="AZ838" s="3524"/>
      <c r="BA838" s="3524"/>
      <c r="BB838" s="3524"/>
      <c r="BC838" s="3524"/>
      <c r="BD838" s="3524"/>
      <c r="BE838" s="3524"/>
      <c r="BF838" s="3524"/>
      <c r="BG838" s="3524"/>
      <c r="BH838" s="3524"/>
      <c r="BI838" s="3524"/>
    </row>
    <row r="839" spans="1:61" ht="24.75" customHeight="1">
      <c r="A839" s="4706" t="s">
        <v>1800</v>
      </c>
      <c r="B839" s="4706" t="s">
        <v>1050</v>
      </c>
      <c r="C839" s="4707" t="s">
        <v>1967</v>
      </c>
      <c r="D839" s="4706" t="s">
        <v>568</v>
      </c>
      <c r="E839" s="4708" t="str">
        <f>VLOOKUP(F839,plasmids!$A$2:$B$351,2)</f>
        <v>pAAV2/8</v>
      </c>
      <c r="F839" s="4709">
        <v>122</v>
      </c>
      <c r="G839" s="4710"/>
      <c r="H839" s="4711" t="str">
        <f>VLOOKUP(I839,plasmids!$A$2:$B$1011,2)</f>
        <v>pssAAV-pR1.7-GFP</v>
      </c>
      <c r="I839" s="4706">
        <v>566</v>
      </c>
      <c r="J839" s="4712"/>
      <c r="K839" s="4713"/>
      <c r="L839" s="4714"/>
      <c r="M839" s="4715">
        <v>42765</v>
      </c>
      <c r="N839" s="4716">
        <v>877</v>
      </c>
      <c r="O839" s="4709"/>
      <c r="P839" s="4717"/>
      <c r="Q839" s="4821">
        <v>27500000000000</v>
      </c>
      <c r="R839" s="4723">
        <v>31900000000</v>
      </c>
      <c r="S839" s="4723">
        <f t="shared" si="10"/>
        <v>28275862068965.52</v>
      </c>
      <c r="T839" s="4706" t="s">
        <v>5915</v>
      </c>
      <c r="U839" s="4712"/>
      <c r="V839" s="4724">
        <f>301-1</f>
        <v>300</v>
      </c>
      <c r="W839" s="4725"/>
      <c r="X839" s="4722"/>
      <c r="Y839" s="4722"/>
      <c r="Z839" s="4722"/>
      <c r="AA839" s="4722"/>
      <c r="AB839" s="4722"/>
      <c r="AC839" s="4722"/>
      <c r="AD839" s="4722"/>
      <c r="AE839" s="4722"/>
      <c r="AF839" s="4722"/>
      <c r="AG839" s="4722"/>
      <c r="AH839" s="4722"/>
      <c r="AI839" s="4722"/>
      <c r="AJ839" s="4722"/>
      <c r="AK839" s="4722"/>
      <c r="AL839" s="4722"/>
      <c r="AM839" s="4722"/>
      <c r="AN839" s="4722"/>
      <c r="AO839" s="4722"/>
      <c r="AP839" s="4722"/>
      <c r="AQ839" s="4722"/>
      <c r="AR839" s="4722"/>
      <c r="AS839" s="4722"/>
      <c r="AT839" s="4722"/>
      <c r="AU839" s="4722"/>
      <c r="AV839" s="4722"/>
      <c r="AW839" s="4722"/>
      <c r="AX839" s="4722"/>
      <c r="AY839" s="4722"/>
      <c r="AZ839" s="4722"/>
      <c r="BA839" s="4722"/>
      <c r="BB839" s="4722"/>
      <c r="BC839" s="4722"/>
      <c r="BD839" s="4722"/>
      <c r="BE839" s="4722"/>
      <c r="BF839" s="4722"/>
      <c r="BG839" s="4722"/>
      <c r="BH839" s="4722"/>
      <c r="BI839" s="4722"/>
    </row>
    <row r="840" spans="1:61" ht="24.75" customHeight="1">
      <c r="A840" s="3486" t="s">
        <v>5690</v>
      </c>
      <c r="B840" s="3486" t="s">
        <v>5903</v>
      </c>
      <c r="C840" s="4140" t="s">
        <v>178</v>
      </c>
      <c r="D840" s="3486" t="s">
        <v>5904</v>
      </c>
      <c r="E840" s="2854" t="str">
        <f>VLOOKUP(F840,plasmids!$A$2:$B$351,2)</f>
        <v>AAV9</v>
      </c>
      <c r="F840" s="3269">
        <v>166</v>
      </c>
      <c r="G840" s="1763"/>
      <c r="H840" s="1763" t="str">
        <f>VLOOKUP(I840,plasmids!$A$2:$B$951,2)</f>
        <v>pss-smCBA-GFP-2A-DP71</v>
      </c>
      <c r="I840" s="3486">
        <v>710</v>
      </c>
      <c r="J840" s="2856"/>
      <c r="K840" s="3270"/>
      <c r="L840" s="3483"/>
      <c r="M840" s="3022">
        <v>42769</v>
      </c>
      <c r="N840" s="2798">
        <v>878</v>
      </c>
      <c r="O840" s="3269"/>
      <c r="P840" s="2859"/>
      <c r="Q840" s="3809">
        <v>1350000000000000</v>
      </c>
      <c r="R840" s="4822">
        <v>31900000000</v>
      </c>
      <c r="S840" s="4822">
        <f t="shared" si="10"/>
        <v>1388087774294671</v>
      </c>
      <c r="T840" s="3486" t="s">
        <v>5915</v>
      </c>
      <c r="U840" s="2856"/>
      <c r="V840" s="3547">
        <f>251</f>
        <v>251</v>
      </c>
      <c r="W840" s="2851"/>
      <c r="X840" s="2863"/>
      <c r="Y840" s="2863"/>
      <c r="Z840" s="2863"/>
      <c r="AA840" s="2863"/>
      <c r="AB840" s="2863"/>
      <c r="AC840" s="2863"/>
      <c r="AD840" s="2863"/>
      <c r="AE840" s="2863"/>
      <c r="AF840" s="2863"/>
      <c r="AG840" s="2863"/>
      <c r="AH840" s="2863"/>
      <c r="AI840" s="2863"/>
      <c r="AJ840" s="2863"/>
      <c r="AK840" s="2863"/>
      <c r="AL840" s="2863"/>
      <c r="AM840" s="2863"/>
      <c r="AN840" s="2863"/>
      <c r="AO840" s="2863"/>
      <c r="AP840" s="2863"/>
      <c r="AQ840" s="2863"/>
      <c r="AR840" s="2863"/>
      <c r="AS840" s="2863"/>
      <c r="AT840" s="2863"/>
      <c r="AU840" s="2863"/>
      <c r="AV840" s="2863"/>
      <c r="AW840" s="2863"/>
      <c r="AX840" s="2863"/>
      <c r="AY840" s="2863"/>
      <c r="AZ840" s="2863"/>
      <c r="BA840" s="2863"/>
      <c r="BB840" s="2863"/>
      <c r="BC840" s="2863"/>
      <c r="BD840" s="2863"/>
      <c r="BE840" s="2863"/>
      <c r="BF840" s="2863"/>
      <c r="BG840" s="2863"/>
      <c r="BH840" s="2863"/>
      <c r="BI840" s="2863"/>
    </row>
    <row r="841" spans="1:61" ht="24.75" customHeight="1">
      <c r="A841" s="4823" t="s">
        <v>1343</v>
      </c>
      <c r="B841" s="4823" t="s">
        <v>5933</v>
      </c>
      <c r="C841" s="4824" t="s">
        <v>1236</v>
      </c>
      <c r="D841" s="4823" t="s">
        <v>5655</v>
      </c>
      <c r="E841" s="4825" t="str">
        <f>VLOOKUP(F841,plasmids!$A$2:$B$891,2)</f>
        <v>AAV2-7m8</v>
      </c>
      <c r="F841" s="4826">
        <v>178</v>
      </c>
      <c r="G841" s="4827"/>
      <c r="H841" s="3530" t="str">
        <f>VLOOKUP(I841,plasmids!$A$2:$B$951,2)</f>
        <v>pAAV-CAG-hRdCVFs</v>
      </c>
      <c r="I841" s="4823">
        <v>718</v>
      </c>
      <c r="J841" s="4828"/>
      <c r="K841" s="4829"/>
      <c r="L841" s="4830"/>
      <c r="M841" s="4831">
        <v>42769</v>
      </c>
      <c r="N841" s="4832">
        <v>879</v>
      </c>
      <c r="O841" s="4833"/>
      <c r="P841" s="4834"/>
      <c r="Q841" s="4819">
        <v>15100000000000</v>
      </c>
      <c r="R841" s="4835">
        <v>31900000000</v>
      </c>
      <c r="S841" s="4835">
        <f t="shared" si="10"/>
        <v>15526018808777.43</v>
      </c>
      <c r="T841" s="4823" t="s">
        <v>5915</v>
      </c>
      <c r="U841" s="4836"/>
      <c r="V841" s="4837">
        <f>289</f>
        <v>289</v>
      </c>
      <c r="W841" s="4838" t="s">
        <v>5934</v>
      </c>
      <c r="X841" s="4839"/>
      <c r="Y841" s="4839"/>
      <c r="Z841" s="4839"/>
      <c r="AA841" s="4839"/>
      <c r="AB841" s="4839"/>
      <c r="AC841" s="4839"/>
      <c r="AD841" s="4839"/>
      <c r="AE841" s="4839"/>
      <c r="AF841" s="4839"/>
      <c r="AG841" s="4839"/>
      <c r="AH841" s="4839"/>
      <c r="AI841" s="4839"/>
      <c r="AJ841" s="4839"/>
      <c r="AK841" s="4839"/>
      <c r="AL841" s="4839"/>
      <c r="AM841" s="4839"/>
      <c r="AN841" s="4839"/>
      <c r="AO841" s="4839"/>
      <c r="AP841" s="4839"/>
      <c r="AQ841" s="4839"/>
      <c r="AR841" s="4839"/>
      <c r="AS841" s="4839"/>
      <c r="AT841" s="4839"/>
      <c r="AU841" s="4839"/>
      <c r="AV841" s="4839"/>
      <c r="AW841" s="4839"/>
      <c r="AX841" s="4839"/>
      <c r="AY841" s="4839"/>
      <c r="AZ841" s="4839"/>
      <c r="BA841" s="4839"/>
      <c r="BB841" s="4839"/>
      <c r="BC841" s="4839"/>
      <c r="BD841" s="4839"/>
      <c r="BE841" s="4839"/>
      <c r="BF841" s="4839"/>
      <c r="BG841" s="4839"/>
      <c r="BH841" s="4839"/>
      <c r="BI841" s="4839"/>
    </row>
    <row r="842" spans="1:61" ht="19.5" customHeight="1">
      <c r="A842" s="4840" t="s">
        <v>5935</v>
      </c>
      <c r="B842" s="4840" t="s">
        <v>5812</v>
      </c>
      <c r="C842" s="4841" t="s">
        <v>1967</v>
      </c>
      <c r="D842" s="4842" t="s">
        <v>5936</v>
      </c>
      <c r="E842" s="4842" t="str">
        <f>VLOOKUP(F842,plasmids!$A$2:$B$891,2)</f>
        <v>pAAV2/8</v>
      </c>
      <c r="F842" s="4843">
        <v>122</v>
      </c>
      <c r="G842" s="4842"/>
      <c r="H842" s="4842" t="str">
        <f>VLOOKUP(I842,plasmids!$A$2:$B$951,2)</f>
        <v>RdCVF-Stuffer (CT37)</v>
      </c>
      <c r="I842" s="4840">
        <v>711</v>
      </c>
      <c r="J842" s="4844"/>
      <c r="K842" s="4845"/>
      <c r="L842" s="4846"/>
      <c r="M842" s="4847">
        <v>42769</v>
      </c>
      <c r="N842" s="4848">
        <v>880</v>
      </c>
      <c r="O842" s="4843"/>
      <c r="P842" s="4849"/>
      <c r="Q842" s="4850">
        <v>68800000000000</v>
      </c>
      <c r="R842" s="4851">
        <v>31900000000</v>
      </c>
      <c r="S842" s="4851">
        <f t="shared" si="10"/>
        <v>70741065830721</v>
      </c>
      <c r="T842" s="4852" t="s">
        <v>5915</v>
      </c>
      <c r="U842" s="4844"/>
      <c r="V842" s="4840">
        <f>293</f>
        <v>293</v>
      </c>
      <c r="W842" s="4853" t="s">
        <v>5934</v>
      </c>
      <c r="X842" s="4854"/>
      <c r="Y842" s="4854"/>
      <c r="Z842" s="4854"/>
      <c r="AA842" s="4854"/>
      <c r="AB842" s="4854"/>
      <c r="AC842" s="4854"/>
      <c r="AD842" s="4854"/>
      <c r="AE842" s="4854"/>
      <c r="AF842" s="4854"/>
      <c r="AG842" s="4854"/>
      <c r="AH842" s="4854"/>
      <c r="AI842" s="4854"/>
      <c r="AJ842" s="4854"/>
      <c r="AK842" s="4854"/>
      <c r="AL842" s="4854"/>
      <c r="AM842" s="4854"/>
      <c r="AN842" s="4854"/>
      <c r="AO842" s="4854"/>
      <c r="AP842" s="4854"/>
      <c r="AQ842" s="4854"/>
      <c r="AR842" s="4854"/>
      <c r="AS842" s="4854"/>
      <c r="AT842" s="4854"/>
      <c r="AU842" s="4854"/>
      <c r="AV842" s="4854"/>
      <c r="AW842" s="4854"/>
      <c r="AX842" s="4854"/>
      <c r="AY842" s="4854"/>
      <c r="AZ842" s="4854"/>
      <c r="BA842" s="4854"/>
      <c r="BB842" s="4854"/>
      <c r="BC842" s="4854"/>
      <c r="BD842" s="4854"/>
      <c r="BE842" s="4854"/>
      <c r="BF842" s="4854"/>
      <c r="BG842" s="4854"/>
      <c r="BH842" s="4854"/>
      <c r="BI842" s="4854"/>
    </row>
    <row r="843" spans="1:61" ht="19.5" customHeight="1">
      <c r="A843" s="4840" t="s">
        <v>5935</v>
      </c>
      <c r="B843" s="4840" t="s">
        <v>5812</v>
      </c>
      <c r="C843" s="4841" t="s">
        <v>1967</v>
      </c>
      <c r="D843" s="4842" t="s">
        <v>5936</v>
      </c>
      <c r="E843" s="4842" t="str">
        <f>VLOOKUP(F843,plasmids!$A$2:$B$891,2)</f>
        <v>AAV2</v>
      </c>
      <c r="F843" s="4843">
        <v>140</v>
      </c>
      <c r="G843" s="4842"/>
      <c r="H843" s="4842" t="str">
        <f>VLOOKUP(I843,plasmids!$A$2:$B$951,2)</f>
        <v>RdCVF-Stuffer (CT37)</v>
      </c>
      <c r="I843" s="4840">
        <v>711</v>
      </c>
      <c r="J843" s="4844"/>
      <c r="K843" s="4845"/>
      <c r="L843" s="4846"/>
      <c r="M843" s="4847">
        <v>42769</v>
      </c>
      <c r="N843" s="4848">
        <v>881</v>
      </c>
      <c r="O843" s="4843"/>
      <c r="P843" s="4849"/>
      <c r="Q843" s="4850">
        <v>38700000000000</v>
      </c>
      <c r="R843" s="4851">
        <v>31900000000</v>
      </c>
      <c r="S843" s="4851">
        <f t="shared" si="10"/>
        <v>39791849529780.562</v>
      </c>
      <c r="T843" s="4852" t="s">
        <v>5915</v>
      </c>
      <c r="U843" s="4844"/>
      <c r="V843" s="4840">
        <f>360</f>
        <v>360</v>
      </c>
      <c r="W843" s="4853" t="s">
        <v>5934</v>
      </c>
      <c r="X843" s="4854"/>
      <c r="Y843" s="4854"/>
      <c r="Z843" s="4854"/>
      <c r="AA843" s="4854"/>
      <c r="AB843" s="4854"/>
      <c r="AC843" s="4854"/>
      <c r="AD843" s="4854"/>
      <c r="AE843" s="4854"/>
      <c r="AF843" s="4854"/>
      <c r="AG843" s="4854"/>
      <c r="AH843" s="4854"/>
      <c r="AI843" s="4854"/>
      <c r="AJ843" s="4854"/>
      <c r="AK843" s="4854"/>
      <c r="AL843" s="4854"/>
      <c r="AM843" s="4854"/>
      <c r="AN843" s="4854"/>
      <c r="AO843" s="4854"/>
      <c r="AP843" s="4854"/>
      <c r="AQ843" s="4854"/>
      <c r="AR843" s="4854"/>
      <c r="AS843" s="4854"/>
      <c r="AT843" s="4854"/>
      <c r="AU843" s="4854"/>
      <c r="AV843" s="4854"/>
      <c r="AW843" s="4854"/>
      <c r="AX843" s="4854"/>
      <c r="AY843" s="4854"/>
      <c r="AZ843" s="4854"/>
      <c r="BA843" s="4854"/>
      <c r="BB843" s="4854"/>
      <c r="BC843" s="4854"/>
      <c r="BD843" s="4854"/>
      <c r="BE843" s="4854"/>
      <c r="BF843" s="4854"/>
      <c r="BG843" s="4854"/>
      <c r="BH843" s="4854"/>
      <c r="BI843" s="4854"/>
    </row>
    <row r="844" spans="1:61" ht="24.75" customHeight="1">
      <c r="A844" s="4789" t="s">
        <v>5924</v>
      </c>
      <c r="B844" s="4789" t="s">
        <v>5925</v>
      </c>
      <c r="C844" s="4790" t="s">
        <v>2510</v>
      </c>
      <c r="D844" s="4789" t="s">
        <v>5547</v>
      </c>
      <c r="E844" s="4855" t="s">
        <v>58</v>
      </c>
      <c r="F844" s="4792">
        <v>178</v>
      </c>
      <c r="G844" s="4793"/>
      <c r="H844" s="4793" t="str">
        <f>VLOOKUP(I844,plasmids!$A$2:$B$951,2)</f>
        <v>pssAAV-hRho-SuperNova</v>
      </c>
      <c r="I844" s="4856">
        <v>721</v>
      </c>
      <c r="J844" s="4795"/>
      <c r="K844" s="4796"/>
      <c r="L844" s="4797"/>
      <c r="M844" s="4669">
        <v>42769</v>
      </c>
      <c r="N844" s="4798">
        <v>882</v>
      </c>
      <c r="O844" s="4792"/>
      <c r="P844" s="4799"/>
      <c r="Q844" s="4857">
        <v>8890000000000</v>
      </c>
      <c r="R844" s="4801">
        <v>31900000000</v>
      </c>
      <c r="S844" s="4801">
        <f t="shared" si="10"/>
        <v>9140815047021.9434</v>
      </c>
      <c r="T844" s="4789" t="s">
        <v>5915</v>
      </c>
      <c r="U844" s="4795"/>
      <c r="V844" s="4791" t="s">
        <v>5937</v>
      </c>
      <c r="W844" s="4803"/>
      <c r="X844" s="4804"/>
      <c r="Y844" s="4804"/>
      <c r="Z844" s="4804"/>
      <c r="AA844" s="4804"/>
      <c r="AB844" s="4804"/>
      <c r="AC844" s="4804"/>
      <c r="AD844" s="4804"/>
      <c r="AE844" s="4804"/>
      <c r="AF844" s="4804"/>
      <c r="AG844" s="4804"/>
      <c r="AH844" s="4804"/>
      <c r="AI844" s="4804"/>
      <c r="AJ844" s="4804"/>
      <c r="AK844" s="4804"/>
      <c r="AL844" s="4804"/>
      <c r="AM844" s="4804"/>
      <c r="AN844" s="4804"/>
      <c r="AO844" s="4804"/>
      <c r="AP844" s="4804"/>
      <c r="AQ844" s="4804"/>
      <c r="AR844" s="4804"/>
      <c r="AS844" s="4804"/>
      <c r="AT844" s="4804"/>
      <c r="AU844" s="4804"/>
      <c r="AV844" s="4804"/>
      <c r="AW844" s="4804"/>
      <c r="AX844" s="4804"/>
      <c r="AY844" s="4804"/>
      <c r="AZ844" s="4804"/>
      <c r="BA844" s="4804"/>
      <c r="BB844" s="4804"/>
      <c r="BC844" s="4804"/>
      <c r="BD844" s="4804"/>
      <c r="BE844" s="4804"/>
      <c r="BF844" s="4804"/>
      <c r="BG844" s="4804"/>
      <c r="BH844" s="4804"/>
      <c r="BI844" s="4804"/>
    </row>
    <row r="845" spans="1:61" ht="44.25" customHeight="1">
      <c r="A845" s="4593" t="s">
        <v>707</v>
      </c>
      <c r="B845" s="4593" t="s">
        <v>3973</v>
      </c>
      <c r="C845" s="4594" t="s">
        <v>1236</v>
      </c>
      <c r="D845" s="4593" t="s">
        <v>5894</v>
      </c>
      <c r="E845" s="4595" t="str">
        <f>VLOOKUP(F845,plasmids!$A$2:$B$891,2)</f>
        <v>AAV9 7M8 (AA------)</v>
      </c>
      <c r="F845" s="4596">
        <v>170</v>
      </c>
      <c r="G845" s="4630" t="s">
        <v>5895</v>
      </c>
      <c r="H845" s="4597" t="str">
        <f>VLOOKUP(I845,plasmids!$A$2:$B$640,2)</f>
        <v>pssAAV-pR1.7-GFP</v>
      </c>
      <c r="I845" s="4593">
        <v>566</v>
      </c>
      <c r="J845" s="4593" t="s">
        <v>5938</v>
      </c>
      <c r="K845" s="4599"/>
      <c r="L845" s="4600"/>
      <c r="M845" s="4601">
        <v>42776</v>
      </c>
      <c r="N845" s="4602">
        <v>883</v>
      </c>
      <c r="O845" s="4603"/>
      <c r="P845" s="4604"/>
      <c r="Q845" s="4605">
        <v>154000000000</v>
      </c>
      <c r="R845" s="4606">
        <v>27000000000</v>
      </c>
      <c r="S845" s="4629">
        <v>187081481481.48148</v>
      </c>
      <c r="T845" s="4593"/>
      <c r="U845" s="4598"/>
      <c r="V845" s="4608" t="s">
        <v>5668</v>
      </c>
      <c r="W845" s="4858"/>
      <c r="X845" s="4610" t="s">
        <v>5939</v>
      </c>
      <c r="Y845" s="4609"/>
      <c r="Z845" s="4609"/>
      <c r="AA845" s="4609"/>
      <c r="AB845" s="4609"/>
      <c r="AC845" s="4609"/>
      <c r="AD845" s="4609"/>
      <c r="AE845" s="4609"/>
      <c r="AF845" s="4609"/>
      <c r="AG845" s="4609"/>
      <c r="AH845" s="4609"/>
      <c r="AI845" s="4609"/>
      <c r="AJ845" s="4609"/>
      <c r="AK845" s="4609"/>
      <c r="AL845" s="4609"/>
      <c r="AM845" s="4609"/>
      <c r="AN845" s="4609"/>
      <c r="AO845" s="4609"/>
      <c r="AP845" s="4609"/>
      <c r="AQ845" s="4609"/>
      <c r="AR845" s="4609"/>
      <c r="AS845" s="4609"/>
      <c r="AT845" s="4609"/>
      <c r="AU845" s="4609"/>
      <c r="AV845" s="4609"/>
      <c r="AW845" s="4609"/>
      <c r="AX845" s="4609"/>
      <c r="AY845" s="4609"/>
      <c r="AZ845" s="4609"/>
      <c r="BA845" s="4609"/>
      <c r="BB845" s="4609"/>
      <c r="BC845" s="4609"/>
      <c r="BD845" s="4609"/>
      <c r="BE845" s="4609"/>
      <c r="BF845" s="4609"/>
      <c r="BG845" s="4609"/>
      <c r="BH845" s="4609"/>
      <c r="BI845" s="4609"/>
    </row>
    <row r="846" spans="1:61" ht="21.75" customHeight="1">
      <c r="A846" s="64" t="s">
        <v>52</v>
      </c>
      <c r="B846" s="64" t="s">
        <v>177</v>
      </c>
      <c r="C846" s="66" t="s">
        <v>1967</v>
      </c>
      <c r="D846" s="64" t="s">
        <v>5547</v>
      </c>
      <c r="E846" s="2690" t="str">
        <f>VLOOKUP(F846,plasmids!$A$2:$B$351,2)</f>
        <v>AAV2-7m8</v>
      </c>
      <c r="F846" s="67">
        <v>178</v>
      </c>
      <c r="G846" s="2339"/>
      <c r="H846" s="2339" t="str">
        <f>VLOOKUP(I846,plasmids!$A$2:$B$1011,2)</f>
        <v>pAAV-hRho-Killer Red</v>
      </c>
      <c r="I846" s="64">
        <v>434</v>
      </c>
      <c r="J846" s="1372" t="s">
        <v>5940</v>
      </c>
      <c r="K846" s="84"/>
      <c r="L846" s="68"/>
      <c r="M846" s="70">
        <v>42776</v>
      </c>
      <c r="N846" s="71">
        <v>884</v>
      </c>
      <c r="O846" s="67"/>
      <c r="P846" s="78"/>
      <c r="Q846" s="4859">
        <v>4540000000000</v>
      </c>
      <c r="R846" s="4860">
        <v>27000000000</v>
      </c>
      <c r="S846" s="82">
        <v>5515259259259.2588</v>
      </c>
      <c r="T846" s="64" t="s">
        <v>5905</v>
      </c>
      <c r="U846" s="3376" t="s">
        <v>5941</v>
      </c>
      <c r="V846" s="3376">
        <f>451-80</f>
        <v>371</v>
      </c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3329"/>
      <c r="AN846" s="3329"/>
      <c r="AO846" s="3329"/>
      <c r="AP846" s="3329"/>
      <c r="AQ846" s="3329"/>
      <c r="AR846" s="3329"/>
      <c r="AS846" s="3329"/>
      <c r="AT846" s="3329"/>
      <c r="AU846" s="3329"/>
      <c r="AV846" s="3329"/>
      <c r="AW846" s="3329"/>
      <c r="AX846" s="3329"/>
      <c r="AY846" s="3329"/>
      <c r="AZ846" s="3329"/>
      <c r="BA846" s="3329"/>
      <c r="BB846" s="3329"/>
      <c r="BC846" s="3329"/>
      <c r="BD846" s="3329"/>
      <c r="BE846" s="3329"/>
      <c r="BF846" s="3329"/>
      <c r="BG846" s="3329"/>
      <c r="BH846" s="3329"/>
      <c r="BI846" s="3329"/>
    </row>
    <row r="847" spans="1:61" ht="19.5" customHeight="1">
      <c r="A847" s="4442" t="s">
        <v>5942</v>
      </c>
      <c r="B847" s="4442" t="s">
        <v>5880</v>
      </c>
      <c r="C847" s="3985"/>
      <c r="D847" s="4442"/>
      <c r="E847" s="3987" t="str">
        <f>VLOOKUP(F847,plasmids!$A$2:$B$891,2)</f>
        <v>AAV2-7m8</v>
      </c>
      <c r="F847" s="4442">
        <v>178</v>
      </c>
      <c r="G847" s="3730"/>
      <c r="H847" s="3731" t="str">
        <f>VLOOKUP(I847,plasmids!$A$2:$B$891,2)</f>
        <v>pTR-scCMV-luciférase</v>
      </c>
      <c r="I847" s="3466">
        <v>131</v>
      </c>
      <c r="J847" s="183"/>
      <c r="K847" s="2326"/>
      <c r="L847" s="2333"/>
      <c r="M847" s="173">
        <v>42776</v>
      </c>
      <c r="N847" s="175">
        <v>885</v>
      </c>
      <c r="O847" s="169"/>
      <c r="P847" s="326"/>
      <c r="Q847" s="179">
        <v>1070000000000</v>
      </c>
      <c r="R847" s="3648">
        <v>27000000000</v>
      </c>
      <c r="S847" s="182">
        <v>1299851851851.8518</v>
      </c>
      <c r="T847" s="183"/>
      <c r="U847" s="183"/>
      <c r="V847" s="3466"/>
      <c r="W847" s="4858" t="s">
        <v>5943</v>
      </c>
      <c r="X847" s="186"/>
      <c r="Y847" s="186"/>
      <c r="Z847" s="186"/>
      <c r="AA847" s="186"/>
      <c r="AB847" s="186"/>
      <c r="AC847" s="186"/>
      <c r="AD847" s="186"/>
      <c r="AE847" s="186"/>
      <c r="AF847" s="186"/>
      <c r="AG847" s="186"/>
      <c r="AH847" s="186"/>
      <c r="AI847" s="186"/>
      <c r="AJ847" s="186"/>
      <c r="AK847" s="186"/>
      <c r="AL847" s="186"/>
      <c r="AM847" s="186"/>
      <c r="AN847" s="186"/>
      <c r="AO847" s="186"/>
      <c r="AP847" s="186"/>
      <c r="AQ847" s="186"/>
      <c r="AR847" s="186"/>
      <c r="AS847" s="186"/>
      <c r="AT847" s="186"/>
      <c r="AU847" s="186"/>
      <c r="AV847" s="186"/>
      <c r="AW847" s="186"/>
      <c r="AX847" s="186"/>
      <c r="AY847" s="186"/>
      <c r="AZ847" s="186"/>
      <c r="BA847" s="186"/>
      <c r="BB847" s="186"/>
      <c r="BC847" s="186"/>
      <c r="BD847" s="186"/>
      <c r="BE847" s="186"/>
      <c r="BF847" s="186"/>
      <c r="BG847" s="186"/>
      <c r="BH847" s="186"/>
      <c r="BI847" s="186"/>
    </row>
    <row r="848" spans="1:61" ht="19.5" customHeight="1">
      <c r="A848" s="3925" t="s">
        <v>5944</v>
      </c>
      <c r="B848" s="3925" t="s">
        <v>5759</v>
      </c>
      <c r="C848" s="3926" t="s">
        <v>1967</v>
      </c>
      <c r="D848" s="3925" t="s">
        <v>1088</v>
      </c>
      <c r="E848" s="3300" t="str">
        <f>VLOOKUP(F848,plasmids!$A$2:$B$891,2)</f>
        <v>AAV9 2YF</v>
      </c>
      <c r="F848" s="3929">
        <v>168</v>
      </c>
      <c r="G848" s="3302"/>
      <c r="H848" s="4861" t="s">
        <v>2252</v>
      </c>
      <c r="I848" s="3925">
        <v>713</v>
      </c>
      <c r="J848" s="3932"/>
      <c r="K848" s="3933"/>
      <c r="L848" s="4862"/>
      <c r="M848" s="3935">
        <v>42776</v>
      </c>
      <c r="N848" s="4863">
        <v>886</v>
      </c>
      <c r="O848" s="3929"/>
      <c r="P848" s="3309"/>
      <c r="Q848" s="4864">
        <v>1500000000000</v>
      </c>
      <c r="R848" s="4865">
        <v>27000000000</v>
      </c>
      <c r="S848" s="4866">
        <v>1822222222222.2222</v>
      </c>
      <c r="T848" s="3932"/>
      <c r="U848" s="3932"/>
      <c r="V848" s="3925">
        <f>417</f>
        <v>417</v>
      </c>
      <c r="W848" s="4867" t="s">
        <v>5945</v>
      </c>
      <c r="X848" s="3942"/>
      <c r="Y848" s="3942"/>
      <c r="Z848" s="3942"/>
      <c r="AA848" s="3942"/>
      <c r="AB848" s="3942"/>
      <c r="AC848" s="3942"/>
      <c r="AD848" s="3942"/>
      <c r="AE848" s="3942"/>
      <c r="AF848" s="3942"/>
      <c r="AG848" s="3942"/>
      <c r="AH848" s="3942"/>
      <c r="AI848" s="3942"/>
      <c r="AJ848" s="3942"/>
      <c r="AK848" s="3942"/>
      <c r="AL848" s="3942"/>
      <c r="AM848" s="3942"/>
      <c r="AN848" s="3942"/>
      <c r="AO848" s="3942"/>
      <c r="AP848" s="3942"/>
      <c r="AQ848" s="3942"/>
      <c r="AR848" s="3942"/>
      <c r="AS848" s="3942"/>
      <c r="AT848" s="3942"/>
      <c r="AU848" s="3942"/>
      <c r="AV848" s="3942"/>
      <c r="AW848" s="3942"/>
      <c r="AX848" s="3942"/>
      <c r="AY848" s="3942"/>
      <c r="AZ848" s="3942"/>
      <c r="BA848" s="3942"/>
      <c r="BB848" s="3942"/>
      <c r="BC848" s="3942"/>
      <c r="BD848" s="3942"/>
      <c r="BE848" s="3942"/>
      <c r="BF848" s="3942"/>
      <c r="BG848" s="3942"/>
      <c r="BH848" s="3942"/>
      <c r="BI848" s="3942"/>
    </row>
    <row r="849" spans="1:61" ht="21.75" customHeight="1">
      <c r="A849" s="4442" t="s">
        <v>5942</v>
      </c>
      <c r="B849" s="4442" t="s">
        <v>5880</v>
      </c>
      <c r="C849" s="3985"/>
      <c r="D849" s="4442"/>
      <c r="E849" s="3987" t="str">
        <f>VLOOKUP(F849,plasmids!$A$2:$B$891,2)</f>
        <v>AAV9 7M8 (AA------)</v>
      </c>
      <c r="F849" s="4442">
        <v>170</v>
      </c>
      <c r="G849" s="3730"/>
      <c r="H849" s="3731" t="str">
        <f>VLOOKUP(I849,plasmids!$A$2:$B$891,2)</f>
        <v>pTR-scCMV-luciférase</v>
      </c>
      <c r="I849" s="3466">
        <v>131</v>
      </c>
      <c r="J849" s="183"/>
      <c r="K849" s="2326"/>
      <c r="L849" s="2333"/>
      <c r="M849" s="173">
        <v>42776</v>
      </c>
      <c r="N849" s="175">
        <v>887</v>
      </c>
      <c r="O849" s="169"/>
      <c r="P849" s="326"/>
      <c r="Q849" s="179">
        <v>137000000000</v>
      </c>
      <c r="R849" s="3648">
        <v>27000000000</v>
      </c>
      <c r="S849" s="182">
        <v>166429629629.62964</v>
      </c>
      <c r="T849" s="183"/>
      <c r="U849" s="183"/>
      <c r="V849" s="3466"/>
      <c r="W849" s="4858" t="s">
        <v>5943</v>
      </c>
      <c r="X849" s="186"/>
      <c r="Y849" s="186"/>
      <c r="Z849" s="186"/>
      <c r="AA849" s="186"/>
      <c r="AB849" s="186"/>
      <c r="AC849" s="186"/>
      <c r="AD849" s="186"/>
      <c r="AE849" s="186"/>
      <c r="AF849" s="186"/>
      <c r="AG849" s="186"/>
      <c r="AH849" s="186"/>
      <c r="AI849" s="186"/>
      <c r="AJ849" s="186"/>
      <c r="AK849" s="186"/>
      <c r="AL849" s="186"/>
      <c r="AM849" s="186"/>
      <c r="AN849" s="186"/>
      <c r="AO849" s="186"/>
      <c r="AP849" s="186"/>
      <c r="AQ849" s="186"/>
      <c r="AR849" s="186"/>
      <c r="AS849" s="186"/>
      <c r="AT849" s="186"/>
      <c r="AU849" s="186"/>
      <c r="AV849" s="186"/>
      <c r="AW849" s="186"/>
      <c r="AX849" s="186"/>
      <c r="AY849" s="186"/>
      <c r="AZ849" s="186"/>
      <c r="BA849" s="186"/>
      <c r="BB849" s="186"/>
      <c r="BC849" s="186"/>
      <c r="BD849" s="186"/>
      <c r="BE849" s="186"/>
      <c r="BF849" s="186"/>
      <c r="BG849" s="186"/>
      <c r="BH849" s="186"/>
      <c r="BI849" s="186"/>
    </row>
    <row r="850" spans="1:61" ht="24.75" customHeight="1">
      <c r="A850" s="3925" t="s">
        <v>5944</v>
      </c>
      <c r="B850" s="3925" t="s">
        <v>5759</v>
      </c>
      <c r="C850" s="3926" t="s">
        <v>1967</v>
      </c>
      <c r="D850" s="3925" t="s">
        <v>1088</v>
      </c>
      <c r="E850" s="3300" t="str">
        <f>VLOOKUP(F850,plasmids!$A$2:$B$891,2)</f>
        <v>AAV9 2YF</v>
      </c>
      <c r="F850" s="3301">
        <v>168</v>
      </c>
      <c r="G850" s="3302"/>
      <c r="H850" s="3302" t="str">
        <f>VLOOKUP(I850,plasmids!$A$2:$B$891,2)</f>
        <v>pAAV-CMV-DIO-vSWO-mCherry</v>
      </c>
      <c r="I850" s="3314">
        <v>580</v>
      </c>
      <c r="J850" s="4868"/>
      <c r="K850" s="4869"/>
      <c r="L850" s="3934"/>
      <c r="M850" s="3935">
        <v>42793</v>
      </c>
      <c r="N850" s="4870">
        <v>888</v>
      </c>
      <c r="O850" s="4871"/>
      <c r="P850" s="4872"/>
      <c r="Q850" s="3938">
        <v>122000000000000</v>
      </c>
      <c r="R850" s="3939">
        <v>33000000000</v>
      </c>
      <c r="S850" s="4866">
        <f t="shared" ref="S850:S892" si="11">(32800000000/R850)*Q850</f>
        <v>121260606060606.06</v>
      </c>
      <c r="T850" s="4873"/>
      <c r="U850" s="4874"/>
      <c r="V850" s="4871">
        <f>356</f>
        <v>356</v>
      </c>
      <c r="W850" s="4867" t="s">
        <v>5945</v>
      </c>
      <c r="X850" s="4874"/>
      <c r="Y850" s="4874"/>
      <c r="Z850" s="4874"/>
      <c r="AA850" s="4874"/>
      <c r="AB850" s="4874"/>
      <c r="AC850" s="4874"/>
      <c r="AD850" s="4874"/>
      <c r="AE850" s="4874"/>
      <c r="AF850" s="4874"/>
      <c r="AG850" s="4874"/>
      <c r="AH850" s="4874"/>
      <c r="AI850" s="4874"/>
      <c r="AJ850" s="4874"/>
      <c r="AK850" s="4874"/>
      <c r="AL850" s="4874"/>
      <c r="AM850" s="3745"/>
      <c r="AN850" s="3745"/>
      <c r="AO850" s="3745"/>
      <c r="AP850" s="3745"/>
      <c r="AQ850" s="3745"/>
      <c r="AR850" s="3745"/>
      <c r="AS850" s="3745"/>
      <c r="AT850" s="3745"/>
      <c r="AU850" s="3745"/>
      <c r="AV850" s="3745"/>
      <c r="AW850" s="3745"/>
      <c r="AX850" s="3745"/>
      <c r="AY850" s="3745"/>
      <c r="AZ850" s="3745"/>
      <c r="BA850" s="3745"/>
      <c r="BB850" s="3745"/>
      <c r="BC850" s="3745"/>
      <c r="BD850" s="3745"/>
      <c r="BE850" s="3745"/>
      <c r="BF850" s="3745"/>
      <c r="BG850" s="3745"/>
      <c r="BH850" s="3745"/>
      <c r="BI850" s="3745"/>
    </row>
    <row r="851" spans="1:61" ht="24" customHeight="1">
      <c r="A851" s="3925" t="s">
        <v>5944</v>
      </c>
      <c r="B851" s="3925" t="s">
        <v>5759</v>
      </c>
      <c r="C851" s="3926" t="s">
        <v>1967</v>
      </c>
      <c r="D851" s="3925" t="s">
        <v>1088</v>
      </c>
      <c r="E851" s="3300" t="str">
        <f>VLOOKUP(F851,plasmids!$A$2:$B$891,2)</f>
        <v>AAV9 2YF</v>
      </c>
      <c r="F851" s="3929">
        <v>168</v>
      </c>
      <c r="G851" s="3302"/>
      <c r="H851" s="3302" t="str">
        <f>VLOOKUP(I851,plasmids!$A$2:$B$891,2)</f>
        <v>pAAV-mOpn4L-GCamp6m</v>
      </c>
      <c r="I851" s="3925">
        <v>722</v>
      </c>
      <c r="J851" s="4868"/>
      <c r="K851" s="4869"/>
      <c r="L851" s="3934"/>
      <c r="M851" s="3935">
        <v>42793</v>
      </c>
      <c r="N851" s="4870">
        <v>889</v>
      </c>
      <c r="O851" s="4871"/>
      <c r="P851" s="4872"/>
      <c r="Q851" s="3938">
        <v>12100000000000</v>
      </c>
      <c r="R851" s="3939">
        <v>33000000000</v>
      </c>
      <c r="S851" s="4866">
        <f t="shared" si="11"/>
        <v>12026666666666.666</v>
      </c>
      <c r="T851" s="4867"/>
      <c r="U851" s="4874"/>
      <c r="V851" s="4871">
        <f>350</f>
        <v>350</v>
      </c>
      <c r="W851" s="4867" t="s">
        <v>5945</v>
      </c>
      <c r="X851" s="4874"/>
      <c r="Y851" s="4874"/>
      <c r="Z851" s="4874"/>
      <c r="AA851" s="4874"/>
      <c r="AB851" s="4874"/>
      <c r="AC851" s="4874"/>
      <c r="AD851" s="4874"/>
      <c r="AE851" s="4874"/>
      <c r="AF851" s="4874"/>
      <c r="AG851" s="4874"/>
      <c r="AH851" s="4874"/>
      <c r="AI851" s="4874"/>
      <c r="AJ851" s="4874"/>
      <c r="AK851" s="4874"/>
      <c r="AL851" s="4874"/>
      <c r="AM851" s="3745"/>
      <c r="AN851" s="3745"/>
      <c r="AO851" s="3745"/>
      <c r="AP851" s="3745"/>
      <c r="AQ851" s="3745"/>
      <c r="AR851" s="3745"/>
      <c r="AS851" s="3745"/>
      <c r="AT851" s="3745"/>
      <c r="AU851" s="3745"/>
      <c r="AV851" s="3745"/>
      <c r="AW851" s="3745"/>
      <c r="AX851" s="3745"/>
      <c r="AY851" s="3745"/>
      <c r="AZ851" s="3745"/>
      <c r="BA851" s="3745"/>
      <c r="BB851" s="3745"/>
      <c r="BC851" s="3745"/>
      <c r="BD851" s="3745"/>
      <c r="BE851" s="3745"/>
      <c r="BF851" s="3745"/>
      <c r="BG851" s="3745"/>
      <c r="BH851" s="3745"/>
      <c r="BI851" s="3745"/>
    </row>
    <row r="852" spans="1:61" ht="24" customHeight="1">
      <c r="A852" s="3925" t="s">
        <v>5944</v>
      </c>
      <c r="B852" s="3925" t="s">
        <v>5759</v>
      </c>
      <c r="C852" s="3926" t="s">
        <v>1967</v>
      </c>
      <c r="D852" s="3925" t="s">
        <v>1088</v>
      </c>
      <c r="E852" s="3300" t="str">
        <f>VLOOKUP(F852,plasmids!$A$2:$B$891,2)</f>
        <v>AAV9 2YF</v>
      </c>
      <c r="F852" s="3301">
        <v>168</v>
      </c>
      <c r="G852" s="3302"/>
      <c r="H852" s="3302" t="str">
        <f>VLOOKUP(I852,plasmids!$A$2:$B$891,2)</f>
        <v>pAAV-DIO-ef1a-hOpn4L-eGFP-2A</v>
      </c>
      <c r="I852" s="3314">
        <v>712</v>
      </c>
      <c r="J852" s="4868"/>
      <c r="K852" s="4869"/>
      <c r="L852" s="3934"/>
      <c r="M852" s="3935">
        <v>42793</v>
      </c>
      <c r="N852" s="4870">
        <v>890</v>
      </c>
      <c r="O852" s="4871"/>
      <c r="P852" s="4872"/>
      <c r="Q852" s="3938">
        <v>6630000000000</v>
      </c>
      <c r="R852" s="3939">
        <v>33000000000</v>
      </c>
      <c r="S852" s="4866">
        <f t="shared" si="11"/>
        <v>6589818181818.1816</v>
      </c>
      <c r="T852" s="1407"/>
      <c r="U852" s="4874"/>
      <c r="V852" s="4871">
        <f>337</f>
        <v>337</v>
      </c>
      <c r="W852" s="4867" t="s">
        <v>5945</v>
      </c>
      <c r="X852" s="4874"/>
      <c r="Y852" s="4874"/>
      <c r="Z852" s="4874"/>
      <c r="AA852" s="4874"/>
      <c r="AB852" s="4874"/>
      <c r="AC852" s="4874"/>
      <c r="AD852" s="4874"/>
      <c r="AE852" s="4874"/>
      <c r="AF852" s="4874"/>
      <c r="AG852" s="4874"/>
      <c r="AH852" s="4874"/>
      <c r="AI852" s="4874"/>
      <c r="AJ852" s="4874"/>
      <c r="AK852" s="4874"/>
      <c r="AL852" s="4874"/>
      <c r="AM852" s="3745"/>
      <c r="AN852" s="3745"/>
      <c r="AO852" s="3745"/>
      <c r="AP852" s="3745"/>
      <c r="AQ852" s="3745"/>
      <c r="AR852" s="3745"/>
      <c r="AS852" s="3745"/>
      <c r="AT852" s="3745"/>
      <c r="AU852" s="3745"/>
      <c r="AV852" s="3745"/>
      <c r="AW852" s="3745"/>
      <c r="AX852" s="3745"/>
      <c r="AY852" s="3745"/>
      <c r="AZ852" s="3745"/>
      <c r="BA852" s="3745"/>
      <c r="BB852" s="3745"/>
      <c r="BC852" s="3745"/>
      <c r="BD852" s="3745"/>
      <c r="BE852" s="3745"/>
      <c r="BF852" s="3745"/>
      <c r="BG852" s="3745"/>
      <c r="BH852" s="3745"/>
      <c r="BI852" s="3745"/>
    </row>
    <row r="853" spans="1:61" ht="24.75" customHeight="1">
      <c r="A853" s="3375" t="s">
        <v>5917</v>
      </c>
      <c r="B853" s="3375" t="s">
        <v>5946</v>
      </c>
      <c r="C853" s="3551" t="s">
        <v>178</v>
      </c>
      <c r="D853" s="3375" t="s">
        <v>70</v>
      </c>
      <c r="E853" s="3332" t="str">
        <f>VLOOKUP(F853,plasmids!$A$2:$B$891,2)</f>
        <v>AAV2-7m8</v>
      </c>
      <c r="F853" s="2655">
        <v>178</v>
      </c>
      <c r="G853" s="2596"/>
      <c r="H853" s="1789" t="str">
        <f>VLOOKUP(I853,plasmids!$A$2:$B$940,2)</f>
        <v>pssAAV-CAG-ChrimsonR-tdTomato</v>
      </c>
      <c r="I853" s="3375">
        <v>479</v>
      </c>
      <c r="J853" s="3375"/>
      <c r="K853" s="3147"/>
      <c r="L853" s="3375"/>
      <c r="M853" s="1793">
        <v>42793</v>
      </c>
      <c r="N853" s="2649">
        <v>891</v>
      </c>
      <c r="P853" s="2651"/>
      <c r="Q853" s="2228">
        <v>4050000000000</v>
      </c>
      <c r="R853" s="3553">
        <v>33000000000</v>
      </c>
      <c r="S853" s="1428">
        <f t="shared" si="11"/>
        <v>4025454545454.5454</v>
      </c>
      <c r="T853" s="3375" t="s">
        <v>5947</v>
      </c>
      <c r="U853" s="2648"/>
      <c r="V853" s="3554">
        <f>250</f>
        <v>250</v>
      </c>
      <c r="W853" s="3150"/>
      <c r="X853" s="2656"/>
      <c r="Y853" s="2656"/>
      <c r="Z853" s="2656"/>
      <c r="AA853" s="2656"/>
      <c r="AB853" s="2656"/>
      <c r="AC853" s="2656"/>
      <c r="AD853" s="2656"/>
      <c r="AE853" s="2656"/>
      <c r="AF853" s="2656"/>
      <c r="AG853" s="2656"/>
      <c r="AH853" s="2656"/>
      <c r="AI853" s="2656"/>
      <c r="AJ853" s="2656"/>
      <c r="AK853" s="2656"/>
      <c r="AL853" s="2656"/>
      <c r="AM853" s="2656"/>
      <c r="AN853" s="2656"/>
      <c r="AO853" s="2656"/>
      <c r="AP853" s="2656"/>
      <c r="AQ853" s="2656"/>
      <c r="AR853" s="2656"/>
      <c r="AS853" s="2656"/>
      <c r="AT853" s="2656"/>
      <c r="AU853" s="2656"/>
      <c r="AV853" s="2656"/>
      <c r="AW853" s="2656"/>
      <c r="AX853" s="2656"/>
      <c r="AY853" s="2656"/>
      <c r="AZ853" s="2656"/>
      <c r="BA853" s="2656"/>
      <c r="BB853" s="2656"/>
      <c r="BC853" s="2656"/>
      <c r="BD853" s="2656"/>
      <c r="BE853" s="2656"/>
      <c r="BF853" s="2656"/>
      <c r="BG853" s="2656"/>
      <c r="BH853" s="2656"/>
      <c r="BI853" s="2656"/>
    </row>
    <row r="854" spans="1:61" ht="22.5" customHeight="1">
      <c r="A854" s="4499" t="s">
        <v>1549</v>
      </c>
      <c r="B854" s="4499" t="s">
        <v>5800</v>
      </c>
      <c r="C854" s="4500" t="s">
        <v>5801</v>
      </c>
      <c r="D854" s="4499" t="s">
        <v>5794</v>
      </c>
      <c r="E854" s="4500" t="s">
        <v>2267</v>
      </c>
      <c r="F854" s="4501">
        <v>603</v>
      </c>
      <c r="G854" s="4500" t="s">
        <v>5127</v>
      </c>
      <c r="H854" s="4875" t="str">
        <f>VLOOKUP(I854,plasmids!$A$2:$B$940,2)</f>
        <v>pAAV2 Lib-RH-IV</v>
      </c>
      <c r="I854" s="4499">
        <v>720</v>
      </c>
      <c r="J854" s="4510"/>
      <c r="K854" s="4503"/>
      <c r="L854" s="4500"/>
      <c r="M854" s="4504">
        <v>42796</v>
      </c>
      <c r="N854" s="4505">
        <v>892</v>
      </c>
      <c r="O854" s="4501"/>
      <c r="P854" s="4876" t="s">
        <v>5799</v>
      </c>
      <c r="Q854" s="4877">
        <v>1210000000000000</v>
      </c>
      <c r="R854" s="4876">
        <v>33000000000</v>
      </c>
      <c r="S854" s="4878">
        <f t="shared" si="11"/>
        <v>1202666666666666.5</v>
      </c>
      <c r="T854" s="4499" t="s">
        <v>5948</v>
      </c>
      <c r="U854" s="4499" t="s">
        <v>5949</v>
      </c>
      <c r="V854" s="4501">
        <f>235</f>
        <v>235</v>
      </c>
      <c r="W854" s="3897"/>
      <c r="X854" s="4512" t="s">
        <v>5799</v>
      </c>
      <c r="Y854" s="3897"/>
      <c r="Z854" s="3897"/>
      <c r="AA854" s="3897"/>
      <c r="AB854" s="3897"/>
      <c r="AC854" s="3897"/>
      <c r="AD854" s="3897"/>
      <c r="AE854" s="3897"/>
      <c r="AF854" s="3897"/>
      <c r="AG854" s="3897"/>
      <c r="AH854" s="3897"/>
      <c r="AI854" s="3897"/>
      <c r="AJ854" s="3897"/>
      <c r="AK854" s="3897"/>
      <c r="AL854" s="3897"/>
      <c r="AM854" s="3897"/>
      <c r="AN854" s="3897"/>
      <c r="AO854" s="3897"/>
      <c r="AP854" s="3897"/>
      <c r="AQ854" s="3897"/>
      <c r="AR854" s="3897"/>
      <c r="AS854" s="3897"/>
      <c r="AT854" s="3897"/>
      <c r="AU854" s="3897"/>
      <c r="AV854" s="3897"/>
      <c r="AW854" s="3897"/>
      <c r="AX854" s="3897"/>
      <c r="AY854" s="3897"/>
      <c r="AZ854" s="3897"/>
      <c r="BA854" s="3897"/>
      <c r="BB854" s="3897"/>
      <c r="BC854" s="3897"/>
      <c r="BD854" s="3897"/>
      <c r="BE854" s="3897"/>
      <c r="BF854" s="3897"/>
      <c r="BG854" s="3897"/>
      <c r="BH854" s="3897"/>
      <c r="BI854" s="3897"/>
    </row>
    <row r="855" spans="1:61" ht="24" customHeight="1">
      <c r="A855" s="4879" t="s">
        <v>5897</v>
      </c>
      <c r="B855" s="4880" t="s">
        <v>5898</v>
      </c>
      <c r="C855" s="4881" t="s">
        <v>5899</v>
      </c>
      <c r="D855" s="4879" t="s">
        <v>568</v>
      </c>
      <c r="E855" s="4882" t="s">
        <v>516</v>
      </c>
      <c r="F855" s="4883">
        <v>140</v>
      </c>
      <c r="G855" s="4884"/>
      <c r="H855" s="4885" t="str">
        <f>VLOOKUP(I855,plasmids!$A$2:$B$951,2)</f>
        <v>pTR-scCMV-luciférase</v>
      </c>
      <c r="I855" s="4880">
        <v>131</v>
      </c>
      <c r="J855" s="4886" t="s">
        <v>5950</v>
      </c>
      <c r="K855" s="4887"/>
      <c r="L855" s="4888"/>
      <c r="M855" s="4889">
        <v>42796</v>
      </c>
      <c r="N855" s="4890">
        <v>893</v>
      </c>
      <c r="O855" s="4883"/>
      <c r="P855" s="4891"/>
      <c r="Q855" s="4892">
        <v>26700000000000</v>
      </c>
      <c r="R855" s="4893">
        <v>33000000000</v>
      </c>
      <c r="S855" s="4894">
        <f t="shared" si="11"/>
        <v>26538181818181.816</v>
      </c>
      <c r="T855" s="4895" t="s">
        <v>5905</v>
      </c>
      <c r="U855" s="4879"/>
      <c r="V855" s="4880">
        <f>412</f>
        <v>412</v>
      </c>
      <c r="W855" s="4896" t="s">
        <v>5357</v>
      </c>
      <c r="X855" s="4897"/>
      <c r="Y855" s="4897"/>
      <c r="Z855" s="4897"/>
      <c r="AA855" s="4897"/>
      <c r="AB855" s="4897"/>
      <c r="AC855" s="4897"/>
      <c r="AD855" s="4897"/>
      <c r="AE855" s="4897"/>
      <c r="AF855" s="4897"/>
      <c r="AG855" s="4897"/>
      <c r="AH855" s="4897"/>
      <c r="AI855" s="4897"/>
      <c r="AJ855" s="4897"/>
      <c r="AK855" s="4897"/>
      <c r="AL855" s="4897"/>
      <c r="AM855" s="4897"/>
      <c r="AN855" s="4897"/>
      <c r="AO855" s="4897"/>
      <c r="AP855" s="4897"/>
      <c r="AQ855" s="4897"/>
      <c r="AR855" s="4897"/>
      <c r="AS855" s="4897"/>
      <c r="AT855" s="4897"/>
      <c r="AU855" s="4897"/>
      <c r="AV855" s="4897"/>
      <c r="AW855" s="4897"/>
      <c r="AX855" s="4897"/>
      <c r="AY855" s="4897"/>
      <c r="AZ855" s="4897"/>
      <c r="BA855" s="4897"/>
      <c r="BB855" s="4897"/>
      <c r="BC855" s="4897"/>
      <c r="BD855" s="4897"/>
      <c r="BE855" s="4897"/>
      <c r="BF855" s="4897"/>
      <c r="BG855" s="4897"/>
      <c r="BH855" s="4897"/>
      <c r="BI855" s="4897"/>
    </row>
    <row r="856" spans="1:61" ht="24.75" customHeight="1">
      <c r="A856" s="4898" t="s">
        <v>600</v>
      </c>
      <c r="B856" s="4898" t="s">
        <v>5139</v>
      </c>
      <c r="C856" s="4899" t="s">
        <v>301</v>
      </c>
      <c r="D856" s="4898" t="s">
        <v>301</v>
      </c>
      <c r="E856" s="4900" t="str">
        <f>VLOOKUP(F856,plasmids!$A$2:$B$891,2)</f>
        <v>AAV2-7m8</v>
      </c>
      <c r="F856" s="4901">
        <v>178</v>
      </c>
      <c r="G856" s="4902"/>
      <c r="H856" s="4902" t="str">
        <f>VLOOKUP(I856,plasmids!$A$2:$B$891,2)</f>
        <v>sc-CAG-GFP</v>
      </c>
      <c r="I856" s="4898">
        <v>120</v>
      </c>
      <c r="J856" s="4903"/>
      <c r="K856" s="4904"/>
      <c r="L856" s="4905"/>
      <c r="M856" s="4906">
        <v>42796</v>
      </c>
      <c r="N856" s="4907">
        <v>894</v>
      </c>
      <c r="O856" s="4901"/>
      <c r="P856" s="4908"/>
      <c r="Q856" s="4909">
        <v>11600000000000</v>
      </c>
      <c r="R856" s="4910">
        <v>33000000000</v>
      </c>
      <c r="S856" s="4911">
        <f t="shared" si="11"/>
        <v>11529696969696.969</v>
      </c>
      <c r="T856" s="4898" t="s">
        <v>5905</v>
      </c>
      <c r="U856" s="4898" t="s">
        <v>5951</v>
      </c>
      <c r="V856" s="4912">
        <f>395-50-20-25</f>
        <v>300</v>
      </c>
      <c r="W856" s="4913" t="s">
        <v>5952</v>
      </c>
      <c r="X856" s="4913" t="s">
        <v>5953</v>
      </c>
      <c r="Y856" s="4914"/>
      <c r="Z856" s="4914"/>
      <c r="AA856" s="4914"/>
      <c r="AB856" s="4914"/>
      <c r="AC856" s="4914"/>
      <c r="AD856" s="4914"/>
      <c r="AE856" s="4914"/>
      <c r="AF856" s="4914"/>
      <c r="AG856" s="4914"/>
      <c r="AH856" s="4914"/>
      <c r="AI856" s="4914"/>
      <c r="AJ856" s="4914"/>
      <c r="AK856" s="4914"/>
      <c r="AL856" s="4914"/>
      <c r="AM856" s="4914"/>
      <c r="AN856" s="4914"/>
      <c r="AO856" s="4914"/>
      <c r="AP856" s="4914"/>
      <c r="AQ856" s="4914"/>
      <c r="AR856" s="4914"/>
      <c r="AS856" s="4914"/>
      <c r="AT856" s="4914"/>
      <c r="AU856" s="4914"/>
      <c r="AV856" s="4914"/>
      <c r="AW856" s="4914"/>
      <c r="AX856" s="4914"/>
      <c r="AY856" s="4914"/>
      <c r="AZ856" s="4914"/>
      <c r="BA856" s="4914"/>
      <c r="BB856" s="4914"/>
      <c r="BC856" s="4914"/>
      <c r="BD856" s="4914"/>
      <c r="BE856" s="4914"/>
      <c r="BF856" s="4914"/>
      <c r="BG856" s="4914"/>
      <c r="BH856" s="4914"/>
      <c r="BI856" s="4914"/>
    </row>
    <row r="857" spans="1:61" ht="22.5" customHeight="1">
      <c r="A857" s="4898" t="s">
        <v>5954</v>
      </c>
      <c r="B857" s="4898" t="s">
        <v>5815</v>
      </c>
      <c r="C857" s="4899" t="s">
        <v>1967</v>
      </c>
      <c r="D857" s="4898" t="s">
        <v>5816</v>
      </c>
      <c r="E857" s="4900" t="str">
        <f>VLOOKUP(F857,plasmids!$A$2:$B$891,2)</f>
        <v>pAnc80L65</v>
      </c>
      <c r="F857" s="4901">
        <v>622</v>
      </c>
      <c r="G857" s="4902"/>
      <c r="H857" s="4902" t="str">
        <f>VLOOKUP(I857,plasmids!$A$2:$B$891,2)</f>
        <v>sc-CAG-GFP</v>
      </c>
      <c r="I857" s="4898">
        <v>120</v>
      </c>
      <c r="J857" s="4903"/>
      <c r="K857" s="4904"/>
      <c r="L857" s="4904"/>
      <c r="M857" s="4906">
        <v>42796</v>
      </c>
      <c r="N857" s="4907">
        <v>895</v>
      </c>
      <c r="O857" s="4901"/>
      <c r="P857" s="4908"/>
      <c r="Q857" s="4915">
        <v>136000000000</v>
      </c>
      <c r="R857" s="4916">
        <v>33000000000</v>
      </c>
      <c r="S857" s="4917">
        <f t="shared" si="11"/>
        <v>135175757575.75757</v>
      </c>
      <c r="T857" s="4918" t="s">
        <v>5905</v>
      </c>
      <c r="U857" s="4903"/>
      <c r="V857" s="4919">
        <f>331</f>
        <v>331</v>
      </c>
      <c r="W857" s="4914"/>
      <c r="X857" s="4914"/>
      <c r="Y857" s="4920">
        <v>42524</v>
      </c>
      <c r="Z857" s="4914"/>
      <c r="AA857" s="4914"/>
      <c r="AB857" s="4914"/>
      <c r="AC857" s="4914"/>
      <c r="AD857" s="4914"/>
      <c r="AE857" s="4914"/>
      <c r="AF857" s="4914"/>
      <c r="AG857" s="4914"/>
      <c r="AH857" s="4914"/>
      <c r="AI857" s="4914"/>
      <c r="AJ857" s="4914"/>
      <c r="AK857" s="4914"/>
      <c r="AL857" s="4914"/>
      <c r="AM857" s="4914"/>
      <c r="AN857" s="4914"/>
      <c r="AO857" s="4914"/>
      <c r="AP857" s="4914"/>
      <c r="AQ857" s="4914"/>
      <c r="AR857" s="4914"/>
      <c r="AS857" s="4914"/>
      <c r="AT857" s="4914"/>
      <c r="AU857" s="4914"/>
      <c r="AV857" s="4914"/>
      <c r="AW857" s="4914"/>
      <c r="AX857" s="4914"/>
      <c r="AY857" s="4914"/>
      <c r="AZ857" s="4914"/>
      <c r="BA857" s="4914"/>
      <c r="BB857" s="4914"/>
      <c r="BC857" s="4914"/>
      <c r="BD857" s="4914"/>
      <c r="BE857" s="4914"/>
      <c r="BF857" s="4914"/>
      <c r="BG857" s="4914"/>
      <c r="BH857" s="4914"/>
      <c r="BI857" s="4914"/>
    </row>
    <row r="858" spans="1:61" ht="33" customHeight="1">
      <c r="A858" s="4442" t="s">
        <v>5942</v>
      </c>
      <c r="B858" s="4442" t="s">
        <v>4258</v>
      </c>
      <c r="C858" s="3985" t="s">
        <v>178</v>
      </c>
      <c r="D858" s="4442" t="s">
        <v>831</v>
      </c>
      <c r="E858" s="3987" t="str">
        <f>VLOOKUP(F858,plasmids!$A$2:$B$351,2)</f>
        <v>AAV2-7m8</v>
      </c>
      <c r="F858" s="4442">
        <v>178</v>
      </c>
      <c r="G858" s="3730"/>
      <c r="H858" s="3731" t="str">
        <f>VLOOKUP(I858,plasmids!$A$2:$B$940,2)</f>
        <v>pscAAV-flox-CAG-hCatCh-YFP</v>
      </c>
      <c r="I858" s="3466">
        <v>594</v>
      </c>
      <c r="J858" s="3986"/>
      <c r="K858" s="3988"/>
      <c r="L858" s="1126"/>
      <c r="M858" s="173">
        <v>42803</v>
      </c>
      <c r="N858" s="3989">
        <v>896</v>
      </c>
      <c r="O858" s="3990"/>
      <c r="P858" s="3991"/>
      <c r="Q858" s="179">
        <v>17700000000000</v>
      </c>
      <c r="R858" s="3648">
        <v>28400000000</v>
      </c>
      <c r="S858" s="3648">
        <f t="shared" si="11"/>
        <v>20442253521126.762</v>
      </c>
      <c r="T858" s="3992" t="s">
        <v>5840</v>
      </c>
      <c r="U858" s="3993"/>
      <c r="V858" s="3990">
        <f>351-30-20</f>
        <v>301</v>
      </c>
      <c r="W858" s="4921"/>
      <c r="X858" s="3993"/>
      <c r="Y858" s="3993"/>
      <c r="Z858" s="3993"/>
      <c r="AA858" s="3993"/>
      <c r="AB858" s="3993"/>
      <c r="AC858" s="3993"/>
      <c r="AD858" s="3993"/>
      <c r="AE858" s="3993"/>
      <c r="AF858" s="3993"/>
      <c r="AG858" s="3993"/>
      <c r="AH858" s="1880"/>
      <c r="AI858" s="1880"/>
      <c r="AJ858" s="1880"/>
      <c r="AK858" s="1880"/>
      <c r="AL858" s="1880"/>
      <c r="AM858" s="1880"/>
      <c r="AN858" s="1880"/>
      <c r="AO858" s="1880"/>
      <c r="AP858" s="1880"/>
      <c r="AQ858" s="1880"/>
      <c r="AR858" s="1880"/>
      <c r="AS858" s="1880"/>
      <c r="AT858" s="1880"/>
      <c r="AU858" s="1880"/>
      <c r="AV858" s="1880"/>
      <c r="AW858" s="1880"/>
      <c r="AX858" s="1880"/>
      <c r="AY858" s="1880"/>
      <c r="AZ858" s="1880"/>
      <c r="BA858" s="1880"/>
      <c r="BB858" s="1880"/>
      <c r="BC858" s="1880"/>
      <c r="BD858" s="1880"/>
      <c r="BE858" s="1880"/>
      <c r="BF858" s="1880"/>
      <c r="BG858" s="1880"/>
      <c r="BH858" s="1880"/>
      <c r="BI858" s="1880"/>
    </row>
    <row r="859" spans="1:61" ht="33" customHeight="1">
      <c r="A859" s="4442" t="s">
        <v>5942</v>
      </c>
      <c r="B859" s="4442" t="s">
        <v>4258</v>
      </c>
      <c r="C859" s="3985" t="s">
        <v>178</v>
      </c>
      <c r="D859" s="4442" t="s">
        <v>831</v>
      </c>
      <c r="E859" s="3987" t="str">
        <f>VLOOKUP(F859,plasmids!$A$2:$B$351,2)</f>
        <v>pAAV2/8</v>
      </c>
      <c r="F859" s="4442">
        <v>122</v>
      </c>
      <c r="G859" s="3730"/>
      <c r="H859" s="3731" t="str">
        <f>VLOOKUP(I859,plasmids!$A$2:$B$940,2)</f>
        <v>pTR-Rho-RS1</v>
      </c>
      <c r="I859" s="3466">
        <v>182</v>
      </c>
      <c r="J859" s="3986"/>
      <c r="K859" s="3988"/>
      <c r="L859" s="1126"/>
      <c r="M859" s="173">
        <v>42803</v>
      </c>
      <c r="N859" s="3989">
        <v>897</v>
      </c>
      <c r="O859" s="3990"/>
      <c r="P859" s="3991"/>
      <c r="Q859" s="179">
        <v>447000000000000</v>
      </c>
      <c r="R859" s="3648">
        <v>28400000000</v>
      </c>
      <c r="S859" s="3648">
        <f t="shared" si="11"/>
        <v>516253521126760.56</v>
      </c>
      <c r="T859" s="3992" t="s">
        <v>5840</v>
      </c>
      <c r="U859" s="3993"/>
      <c r="V859" s="3990">
        <f>477</f>
        <v>477</v>
      </c>
      <c r="W859" s="4921"/>
      <c r="X859" s="3993"/>
      <c r="Y859" s="3993"/>
      <c r="Z859" s="3993"/>
      <c r="AA859" s="3993"/>
      <c r="AB859" s="3993"/>
      <c r="AC859" s="3993"/>
      <c r="AD859" s="3993"/>
      <c r="AE859" s="3993"/>
      <c r="AF859" s="3993"/>
      <c r="AG859" s="3993"/>
      <c r="AH859" s="1880"/>
      <c r="AI859" s="1880"/>
      <c r="AJ859" s="1880"/>
      <c r="AK859" s="1880"/>
      <c r="AL859" s="1880"/>
      <c r="AM859" s="1880"/>
      <c r="AN859" s="1880"/>
      <c r="AO859" s="1880"/>
      <c r="AP859" s="1880"/>
      <c r="AQ859" s="1880"/>
      <c r="AR859" s="1880"/>
      <c r="AS859" s="1880"/>
      <c r="AT859" s="1880"/>
      <c r="AU859" s="1880"/>
      <c r="AV859" s="1880"/>
      <c r="AW859" s="1880"/>
      <c r="AX859" s="1880"/>
      <c r="AY859" s="1880"/>
      <c r="AZ859" s="1880"/>
      <c r="BA859" s="1880"/>
      <c r="BB859" s="1880"/>
      <c r="BC859" s="1880"/>
      <c r="BD859" s="1880"/>
      <c r="BE859" s="1880"/>
      <c r="BF859" s="1880"/>
      <c r="BG859" s="1880"/>
      <c r="BH859" s="1880"/>
      <c r="BI859" s="1880"/>
    </row>
    <row r="860" spans="1:61" ht="24">
      <c r="A860" s="3422" t="s">
        <v>707</v>
      </c>
      <c r="B860" s="3422" t="s">
        <v>5704</v>
      </c>
      <c r="C860" s="3423" t="s">
        <v>1967</v>
      </c>
      <c r="D860" s="3422" t="s">
        <v>5655</v>
      </c>
      <c r="E860" s="3424" t="str">
        <f>VLOOKUP(F860,plasmids!$A$2:$B$891,2)</f>
        <v>AAV2-7m8</v>
      </c>
      <c r="F860" s="3425">
        <v>178</v>
      </c>
      <c r="G860" s="3500"/>
      <c r="H860" s="3500" t="str">
        <f>VLOOKUP(I860,plasmids!$A$2:$B$940,2)</f>
        <v>pssAAV-pR2,1-GFP</v>
      </c>
      <c r="I860" s="3436">
        <v>564</v>
      </c>
      <c r="J860" s="3255"/>
      <c r="K860" s="3427"/>
      <c r="L860" s="3428"/>
      <c r="M860" s="3429">
        <v>42803</v>
      </c>
      <c r="N860" s="3430">
        <v>898</v>
      </c>
      <c r="O860" s="3425"/>
      <c r="P860" s="3431"/>
      <c r="Q860" s="3501">
        <v>25100000000000</v>
      </c>
      <c r="R860" s="3434">
        <v>28400000000</v>
      </c>
      <c r="S860" s="3434">
        <f t="shared" si="11"/>
        <v>28988732394366.199</v>
      </c>
      <c r="T860" s="3435" t="s">
        <v>5840</v>
      </c>
      <c r="U860" s="3255"/>
      <c r="V860" s="3436">
        <f>455</f>
        <v>455</v>
      </c>
      <c r="W860" s="4441" t="s">
        <v>2812</v>
      </c>
      <c r="X860" s="3437"/>
      <c r="Y860" s="3437"/>
      <c r="Z860" s="3437"/>
      <c r="AA860" s="3437"/>
      <c r="AB860" s="3437"/>
      <c r="AC860" s="3437"/>
      <c r="AD860" s="3437"/>
      <c r="AE860" s="3437"/>
      <c r="AF860" s="3437"/>
      <c r="AG860" s="3437"/>
      <c r="AH860" s="3437"/>
      <c r="AI860" s="3437"/>
      <c r="AJ860" s="3437"/>
      <c r="AK860" s="3437"/>
      <c r="AL860" s="3437"/>
      <c r="AM860" s="3437"/>
      <c r="AN860" s="3437"/>
      <c r="AO860" s="3437"/>
      <c r="AP860" s="3437"/>
      <c r="AQ860" s="3437"/>
      <c r="AR860" s="3437"/>
      <c r="AS860" s="3437"/>
      <c r="AT860" s="3437"/>
      <c r="AU860" s="3437"/>
      <c r="AV860" s="3437"/>
      <c r="AW860" s="3437"/>
      <c r="AX860" s="3437"/>
      <c r="AY860" s="3437"/>
      <c r="AZ860" s="3437"/>
      <c r="BA860" s="3437"/>
      <c r="BB860" s="3437"/>
      <c r="BC860" s="3437"/>
      <c r="BD860" s="3437"/>
      <c r="BE860" s="3437"/>
      <c r="BF860" s="3437"/>
      <c r="BG860" s="3437"/>
      <c r="BH860" s="3437"/>
      <c r="BI860" s="3437"/>
    </row>
    <row r="861" spans="1:61" ht="24">
      <c r="A861" s="3422" t="s">
        <v>707</v>
      </c>
      <c r="B861" s="3422" t="s">
        <v>5704</v>
      </c>
      <c r="C861" s="3423" t="s">
        <v>1967</v>
      </c>
      <c r="D861" s="3422" t="s">
        <v>5655</v>
      </c>
      <c r="E861" s="3424" t="str">
        <f>VLOOKUP(F861,plasmids!$A$2:$B$891,2)</f>
        <v>AAV2-7m8</v>
      </c>
      <c r="F861" s="3425">
        <v>178</v>
      </c>
      <c r="G861" s="3426"/>
      <c r="H861" s="3426" t="str">
        <f>VLOOKUP(I861,plasmids!$A$2:$B$940,2)</f>
        <v>pssAAV-mCAR-GFP</v>
      </c>
      <c r="I861" s="3422">
        <v>93</v>
      </c>
      <c r="J861" s="3255"/>
      <c r="K861" s="3427"/>
      <c r="L861" s="3428"/>
      <c r="M861" s="4754">
        <v>42803</v>
      </c>
      <c r="N861" s="3430">
        <v>899</v>
      </c>
      <c r="O861" s="3425"/>
      <c r="P861" s="3431"/>
      <c r="Q861" s="3501">
        <v>19800000000000</v>
      </c>
      <c r="R861" s="3434">
        <v>28400000000</v>
      </c>
      <c r="S861" s="3434">
        <f t="shared" si="11"/>
        <v>22867605633802.816</v>
      </c>
      <c r="T861" s="3435" t="s">
        <v>5840</v>
      </c>
      <c r="U861" s="3436"/>
      <c r="V861" s="3436">
        <f>324</f>
        <v>324</v>
      </c>
      <c r="W861" s="4441" t="s">
        <v>2812</v>
      </c>
      <c r="X861" s="3437"/>
      <c r="Y861" s="3437"/>
      <c r="Z861" s="3437"/>
      <c r="AA861" s="3437"/>
      <c r="AB861" s="3437"/>
      <c r="AC861" s="3437"/>
      <c r="AD861" s="3437"/>
      <c r="AE861" s="3437"/>
      <c r="AF861" s="3437"/>
      <c r="AG861" s="3437"/>
      <c r="AH861" s="3437"/>
      <c r="AI861" s="3437"/>
      <c r="AJ861" s="3437"/>
      <c r="AK861" s="3437"/>
      <c r="AL861" s="3437"/>
      <c r="AM861" s="3437"/>
      <c r="AN861" s="3437"/>
      <c r="AO861" s="3437"/>
      <c r="AP861" s="3437"/>
      <c r="AQ861" s="3437"/>
      <c r="AR861" s="3437"/>
      <c r="AS861" s="3437"/>
      <c r="AT861" s="3437"/>
      <c r="AU861" s="3437"/>
      <c r="AV861" s="3437"/>
      <c r="AW861" s="3437"/>
      <c r="AX861" s="3437"/>
      <c r="AY861" s="3437"/>
      <c r="AZ861" s="3437"/>
      <c r="BA861" s="3437"/>
      <c r="BB861" s="3437"/>
      <c r="BC861" s="3437"/>
      <c r="BD861" s="3437"/>
      <c r="BE861" s="3437"/>
      <c r="BF861" s="3437"/>
      <c r="BG861" s="3437"/>
      <c r="BH861" s="3437"/>
      <c r="BI861" s="3437"/>
    </row>
    <row r="862" spans="1:61" ht="24.75" customHeight="1">
      <c r="A862" s="4649" t="s">
        <v>5897</v>
      </c>
      <c r="B862" s="4649" t="s">
        <v>5898</v>
      </c>
      <c r="C862" s="4650" t="s">
        <v>5899</v>
      </c>
      <c r="D862" s="4649" t="s">
        <v>568</v>
      </c>
      <c r="E862" s="4651" t="str">
        <f>VLOOKUP(F862,plasmids!$A$2:$B$351,2)</f>
        <v>AAV9 7M8 (AA------)</v>
      </c>
      <c r="F862" s="4649">
        <v>170</v>
      </c>
      <c r="G862" s="4652"/>
      <c r="H862" s="4652" t="str">
        <f>VLOOKUP(I862,plasmids!$A$2:$B$951,2)</f>
        <v>sc-CAG-GFP</v>
      </c>
      <c r="I862" s="4649">
        <v>120</v>
      </c>
      <c r="J862" s="4653"/>
      <c r="K862" s="4654"/>
      <c r="L862" s="4655"/>
      <c r="M862" s="4656">
        <v>42803</v>
      </c>
      <c r="N862" s="4705">
        <v>900</v>
      </c>
      <c r="O862" s="4658"/>
      <c r="P862" s="4659"/>
      <c r="Q862" s="4757">
        <v>77700000000</v>
      </c>
      <c r="R862" s="4759">
        <v>28400000000</v>
      </c>
      <c r="S862" s="4759">
        <f t="shared" si="11"/>
        <v>89738028169.014084</v>
      </c>
      <c r="T862" s="4649" t="s">
        <v>5840</v>
      </c>
      <c r="U862" s="4653"/>
      <c r="V862" s="4663">
        <f>383</f>
        <v>383</v>
      </c>
      <c r="W862" s="4664"/>
      <c r="X862" s="4665"/>
      <c r="Y862" s="4665"/>
      <c r="Z862" s="4665"/>
      <c r="AA862" s="4665"/>
      <c r="AB862" s="4665"/>
      <c r="AC862" s="4665"/>
      <c r="AD862" s="4665"/>
      <c r="AE862" s="4665"/>
      <c r="AF862" s="4665"/>
      <c r="AG862" s="4665"/>
      <c r="AH862" s="4665"/>
      <c r="AI862" s="4665"/>
      <c r="AJ862" s="4665"/>
      <c r="AK862" s="4665"/>
      <c r="AL862" s="4665"/>
      <c r="AM862" s="4665"/>
      <c r="AN862" s="4665"/>
      <c r="AO862" s="4665"/>
      <c r="AP862" s="4665"/>
      <c r="AQ862" s="4665"/>
      <c r="AR862" s="4665"/>
      <c r="AS862" s="4665"/>
      <c r="AT862" s="4665"/>
      <c r="AU862" s="4665"/>
      <c r="AV862" s="4665"/>
      <c r="AW862" s="4665"/>
      <c r="AX862" s="4665"/>
      <c r="AY862" s="4665"/>
      <c r="AZ862" s="4665"/>
      <c r="BA862" s="4665"/>
      <c r="BB862" s="4665"/>
      <c r="BC862" s="4665"/>
      <c r="BD862" s="4665"/>
      <c r="BE862" s="4665"/>
      <c r="BF862" s="4665"/>
      <c r="BG862" s="4665"/>
      <c r="BH862" s="4665"/>
      <c r="BI862" s="4665"/>
    </row>
    <row r="863" spans="1:61" ht="24.75" customHeight="1">
      <c r="A863" s="4631" t="s">
        <v>5897</v>
      </c>
      <c r="B863" s="4631" t="s">
        <v>5898</v>
      </c>
      <c r="C863" s="4632" t="s">
        <v>5899</v>
      </c>
      <c r="D863" s="4631" t="s">
        <v>568</v>
      </c>
      <c r="E863" s="4633" t="str">
        <f>VLOOKUP(F863,plasmids!$A$2:$B$351,2)</f>
        <v>AAV9 7M8 (AA------)</v>
      </c>
      <c r="F863" s="4631">
        <v>170</v>
      </c>
      <c r="G863" s="4634"/>
      <c r="H863" s="4634" t="str">
        <f>VLOOKUP(I863,plasmids!$A$2:$B$1051,2)</f>
        <v>pssAAV-pR1.7-GFP</v>
      </c>
      <c r="I863" s="4631">
        <v>566</v>
      </c>
      <c r="J863" s="4635"/>
      <c r="K863" s="4636"/>
      <c r="L863" s="4637"/>
      <c r="M863" s="4638">
        <v>42803</v>
      </c>
      <c r="N863" s="4922">
        <v>901</v>
      </c>
      <c r="O863" s="4640"/>
      <c r="P863" s="4641"/>
      <c r="Q863" s="4762">
        <v>3820000000000</v>
      </c>
      <c r="R863" s="4764">
        <v>28400000000</v>
      </c>
      <c r="S863" s="4764">
        <f t="shared" si="11"/>
        <v>4411830985915.4932</v>
      </c>
      <c r="T863" s="4631" t="s">
        <v>5840</v>
      </c>
      <c r="U863" s="4635"/>
      <c r="V863" s="4646">
        <f>565</f>
        <v>565</v>
      </c>
      <c r="W863" s="4647" t="s">
        <v>5955</v>
      </c>
      <c r="X863" s="4648"/>
      <c r="Y863" s="4648"/>
      <c r="Z863" s="4648"/>
      <c r="AA863" s="4648"/>
      <c r="AB863" s="4648"/>
      <c r="AC863" s="4648"/>
      <c r="AD863" s="4648"/>
      <c r="AE863" s="4648"/>
      <c r="AF863" s="4648"/>
      <c r="AG863" s="4648"/>
      <c r="AH863" s="4648"/>
      <c r="AI863" s="4648"/>
      <c r="AJ863" s="4648"/>
      <c r="AK863" s="4648"/>
      <c r="AL863" s="4648"/>
      <c r="AM863" s="4648"/>
      <c r="AN863" s="4648"/>
      <c r="AO863" s="4648"/>
      <c r="AP863" s="4648"/>
      <c r="AQ863" s="4648"/>
      <c r="AR863" s="4648"/>
      <c r="AS863" s="4648"/>
      <c r="AT863" s="4648"/>
      <c r="AU863" s="4648"/>
      <c r="AV863" s="4648"/>
      <c r="AW863" s="4648"/>
      <c r="AX863" s="4648"/>
      <c r="AY863" s="4648"/>
      <c r="AZ863" s="4648"/>
      <c r="BA863" s="4648"/>
      <c r="BB863" s="4648"/>
      <c r="BC863" s="4648"/>
      <c r="BD863" s="4648"/>
      <c r="BE863" s="4648"/>
      <c r="BF863" s="4648"/>
      <c r="BG863" s="4648"/>
      <c r="BH863" s="4648"/>
      <c r="BI863" s="4648"/>
    </row>
    <row r="864" spans="1:61" ht="25.5" customHeight="1">
      <c r="A864" s="1927" t="s">
        <v>5902</v>
      </c>
      <c r="B864" s="1786" t="s">
        <v>4080</v>
      </c>
      <c r="C864" s="1787" t="s">
        <v>178</v>
      </c>
      <c r="D864" s="1786" t="s">
        <v>1088</v>
      </c>
      <c r="E864" s="1788" t="str">
        <f>VLOOKUP(F864,plasmids!$A$2:$B$751,2)</f>
        <v>pAAV-Retro</v>
      </c>
      <c r="F864" s="2255">
        <v>703</v>
      </c>
      <c r="G864" s="1789"/>
      <c r="H864" s="1789" t="str">
        <f>VLOOKUP(I864,plasmids!$A$2:$B$351,2)</f>
        <v>pssAAV CMV-hCatCH-GFP</v>
      </c>
      <c r="I864" s="1786">
        <v>257</v>
      </c>
      <c r="J864" s="1790"/>
      <c r="K864" s="1791"/>
      <c r="L864" s="1792"/>
      <c r="M864" s="1793">
        <v>42811</v>
      </c>
      <c r="N864" s="4756">
        <v>902</v>
      </c>
      <c r="O864" s="1798"/>
      <c r="P864" s="1624"/>
      <c r="Q864" s="4743">
        <v>3610000000000</v>
      </c>
      <c r="R864" s="4744">
        <v>16600000000</v>
      </c>
      <c r="S864" s="3148">
        <f t="shared" si="11"/>
        <v>7133012048192.7705</v>
      </c>
      <c r="T864" s="1802" t="s">
        <v>5789</v>
      </c>
      <c r="U864" s="1790"/>
      <c r="V864" s="3947">
        <f>520</f>
        <v>520</v>
      </c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</row>
    <row r="865" spans="1:61" ht="33" customHeight="1">
      <c r="A865" s="4442" t="s">
        <v>5879</v>
      </c>
      <c r="B865" s="4442" t="s">
        <v>5880</v>
      </c>
      <c r="C865" s="3985" t="s">
        <v>178</v>
      </c>
      <c r="D865" s="4442" t="s">
        <v>5956</v>
      </c>
      <c r="E865" s="3987" t="str">
        <f>VLOOKUP(F865,plasmids!$A$2:$B$891,2)</f>
        <v>pXR1</v>
      </c>
      <c r="F865" s="4442">
        <v>110</v>
      </c>
      <c r="G865" s="3730"/>
      <c r="H865" s="3731" t="str">
        <f>VLOOKUP(I865,plasmids!$A$2:$B$940,2)</f>
        <v>sc-CAG-GFP</v>
      </c>
      <c r="I865" s="3466">
        <v>120</v>
      </c>
      <c r="J865" s="3986"/>
      <c r="K865" s="3988"/>
      <c r="L865" s="1126"/>
      <c r="M865" s="4923">
        <v>42811</v>
      </c>
      <c r="N865" s="3989">
        <v>903</v>
      </c>
      <c r="O865" s="3990"/>
      <c r="P865" s="3991"/>
      <c r="Q865" s="179">
        <v>40400000000000</v>
      </c>
      <c r="R865" s="3648">
        <v>16600000000</v>
      </c>
      <c r="S865" s="182">
        <f t="shared" si="11"/>
        <v>79826506024096.375</v>
      </c>
      <c r="T865" s="3992" t="s">
        <v>5789</v>
      </c>
      <c r="U865" s="3993"/>
      <c r="V865" s="3990">
        <f>485-70-119-65</f>
        <v>231</v>
      </c>
      <c r="W865" s="3993"/>
      <c r="X865" s="3993"/>
      <c r="Y865" s="3993"/>
      <c r="Z865" s="3993"/>
      <c r="AA865" s="3993"/>
      <c r="AB865" s="3993"/>
      <c r="AC865" s="3993"/>
      <c r="AD865" s="3993"/>
      <c r="AE865" s="3993"/>
      <c r="AF865" s="3993"/>
      <c r="AG865" s="3993"/>
      <c r="AH865" s="1880"/>
      <c r="AI865" s="1880"/>
      <c r="AJ865" s="1880"/>
      <c r="AK865" s="1880"/>
      <c r="AL865" s="1880"/>
      <c r="AM865" s="1880"/>
      <c r="AN865" s="1880"/>
      <c r="AO865" s="1880"/>
      <c r="AP865" s="1880"/>
      <c r="AQ865" s="1880"/>
      <c r="AR865" s="1880"/>
      <c r="AS865" s="1880"/>
      <c r="AT865" s="1880"/>
      <c r="AU865" s="1880"/>
      <c r="AV865" s="1880"/>
      <c r="AW865" s="1880"/>
      <c r="AX865" s="1880"/>
      <c r="AY865" s="1880"/>
      <c r="AZ865" s="1880"/>
      <c r="BA865" s="1880"/>
      <c r="BB865" s="1880"/>
      <c r="BC865" s="1880"/>
      <c r="BD865" s="1880"/>
      <c r="BE865" s="1880"/>
      <c r="BF865" s="1880"/>
      <c r="BG865" s="1880"/>
      <c r="BH865" s="1880"/>
      <c r="BI865" s="1880"/>
    </row>
    <row r="866" spans="1:61" ht="21" customHeight="1">
      <c r="A866" s="4924" t="s">
        <v>1343</v>
      </c>
      <c r="B866" s="4924" t="s">
        <v>5732</v>
      </c>
      <c r="C866" s="4925" t="s">
        <v>5708</v>
      </c>
      <c r="D866" s="4924" t="s">
        <v>3782</v>
      </c>
      <c r="E866" s="4926" t="str">
        <f>VLOOKUP(F866,plasmids!$A$2:$B$891,2)</f>
        <v>AAV2-7m8</v>
      </c>
      <c r="F866" s="4927">
        <v>178</v>
      </c>
      <c r="G866" s="4928"/>
      <c r="H866" s="4928" t="str">
        <f>VLOOKUP(I866,plasmids!$A$2:$B$940,2)</f>
        <v>pssAAV-mCAR-Jaws-GFP</v>
      </c>
      <c r="I866" s="4924">
        <v>89</v>
      </c>
      <c r="J866" s="4929"/>
      <c r="K866" s="4930"/>
      <c r="L866" s="4931"/>
      <c r="M866" s="4932">
        <v>42811</v>
      </c>
      <c r="N866" s="4933">
        <v>904</v>
      </c>
      <c r="O866" s="4927"/>
      <c r="P866" s="4934"/>
      <c r="Q866" s="4935">
        <v>24400000000000</v>
      </c>
      <c r="R866" s="4936">
        <v>16600000000</v>
      </c>
      <c r="S866" s="4937">
        <f t="shared" si="11"/>
        <v>48212048192771.086</v>
      </c>
      <c r="T866" s="4938" t="s">
        <v>5789</v>
      </c>
      <c r="U866" s="4939"/>
      <c r="V866" s="4940">
        <f>395</f>
        <v>395</v>
      </c>
      <c r="W866" s="4940" t="s">
        <v>2812</v>
      </c>
      <c r="X866" s="4939"/>
      <c r="Y866" s="4939"/>
      <c r="Z866" s="4939"/>
      <c r="AA866" s="4939"/>
      <c r="AB866" s="4939"/>
      <c r="AC866" s="4939"/>
      <c r="AD866" s="4939"/>
      <c r="AE866" s="4939"/>
      <c r="AF866" s="4939"/>
      <c r="AG866" s="4939"/>
      <c r="AH866" s="4939"/>
      <c r="AI866" s="4939"/>
      <c r="AJ866" s="4939"/>
      <c r="AK866" s="4939"/>
      <c r="AL866" s="4939"/>
      <c r="AM866" s="4939"/>
      <c r="AN866" s="4939"/>
      <c r="AO866" s="4939"/>
      <c r="AP866" s="4939"/>
      <c r="AQ866" s="4939"/>
      <c r="AR866" s="4939"/>
      <c r="AS866" s="4939"/>
      <c r="AT866" s="4939"/>
      <c r="AU866" s="4939"/>
      <c r="AV866" s="4939"/>
      <c r="AW866" s="4939"/>
      <c r="AX866" s="4939"/>
      <c r="AY866" s="4939"/>
      <c r="AZ866" s="4939"/>
      <c r="BA866" s="4939"/>
      <c r="BB866" s="4939"/>
      <c r="BC866" s="4939"/>
      <c r="BD866" s="4939"/>
      <c r="BE866" s="4939"/>
      <c r="BF866" s="4939"/>
      <c r="BG866" s="4939"/>
      <c r="BH866" s="4939"/>
      <c r="BI866" s="4939"/>
    </row>
    <row r="867" spans="1:61" ht="24.75" customHeight="1">
      <c r="A867" s="4273" t="s">
        <v>1549</v>
      </c>
      <c r="B867" s="4273" t="s">
        <v>5767</v>
      </c>
      <c r="C867" s="4274" t="s">
        <v>1967</v>
      </c>
      <c r="D867" s="4273" t="s">
        <v>5794</v>
      </c>
      <c r="E867" s="4941" t="str">
        <f>VLOOKUP(F867,plasmids!$A$2:$B$891,2)</f>
        <v>pAV2-7mC</v>
      </c>
      <c r="F867" s="4276">
        <v>669</v>
      </c>
      <c r="G867" s="4277"/>
      <c r="H867" s="4277" t="str">
        <f>VLOOKUP(I867,plasmids!$A$2:$B$940,2)</f>
        <v>hSyn1-Cre-WPRE</v>
      </c>
      <c r="I867" s="4273">
        <v>739</v>
      </c>
      <c r="J867" s="4273"/>
      <c r="K867" s="4279"/>
      <c r="L867" s="4280"/>
      <c r="M867" s="4281">
        <v>42811</v>
      </c>
      <c r="N867" s="4282">
        <v>905</v>
      </c>
      <c r="O867" s="4276"/>
      <c r="P867" s="4283"/>
      <c r="Q867" s="4329">
        <v>2650000000000</v>
      </c>
      <c r="R867" s="4330">
        <v>16600000000</v>
      </c>
      <c r="S867" s="4331">
        <f t="shared" si="11"/>
        <v>5236144578313.2529</v>
      </c>
      <c r="T867" s="4273" t="s">
        <v>5789</v>
      </c>
      <c r="U867" s="4278"/>
      <c r="V867" s="4275">
        <f>530-10</f>
        <v>520</v>
      </c>
      <c r="W867" s="4287"/>
      <c r="X867" s="4288"/>
      <c r="Y867" s="4288"/>
      <c r="Z867" s="4288"/>
      <c r="AA867" s="4288"/>
      <c r="AB867" s="4288"/>
      <c r="AC867" s="4288"/>
      <c r="AD867" s="4288"/>
      <c r="AE867" s="4288"/>
      <c r="AF867" s="4288"/>
      <c r="AG867" s="4288"/>
      <c r="AH867" s="4288"/>
      <c r="AI867" s="4288"/>
      <c r="AJ867" s="4288"/>
      <c r="AK867" s="4288"/>
      <c r="AL867" s="4288"/>
      <c r="AM867" s="4288"/>
      <c r="AN867" s="4288"/>
      <c r="AO867" s="4288"/>
      <c r="AP867" s="4288"/>
      <c r="AQ867" s="4288"/>
      <c r="AR867" s="4288"/>
      <c r="AS867" s="4288"/>
      <c r="AT867" s="4288"/>
      <c r="AU867" s="4288"/>
      <c r="AV867" s="4288"/>
      <c r="AW867" s="4288"/>
      <c r="AX867" s="4288"/>
      <c r="AY867" s="4288"/>
      <c r="AZ867" s="4288"/>
      <c r="BA867" s="4288"/>
      <c r="BB867" s="4288"/>
      <c r="BC867" s="4288"/>
      <c r="BD867" s="4288"/>
      <c r="BE867" s="4288"/>
      <c r="BF867" s="4288"/>
      <c r="BG867" s="4288"/>
      <c r="BH867" s="3680"/>
      <c r="BI867" s="3680"/>
    </row>
    <row r="868" spans="1:61" ht="24.75" customHeight="1">
      <c r="A868" s="3870" t="s">
        <v>1549</v>
      </c>
      <c r="B868" s="3870" t="s">
        <v>5767</v>
      </c>
      <c r="C868" s="3871" t="s">
        <v>1967</v>
      </c>
      <c r="D868" s="3870" t="s">
        <v>5794</v>
      </c>
      <c r="E868" s="4942" t="str">
        <f>VLOOKUP(F868,plasmids!$A$2:$B$891,2)</f>
        <v>pAV2-7mD</v>
      </c>
      <c r="F868" s="3873">
        <v>670</v>
      </c>
      <c r="G868" s="4289"/>
      <c r="H868" s="4289" t="str">
        <f>VLOOKUP(I868,plasmids!$A$2:$B$940,2)</f>
        <v>hSyn1-Cre-WPRE</v>
      </c>
      <c r="I868" s="3870">
        <v>739</v>
      </c>
      <c r="J868" s="3870"/>
      <c r="K868" s="3876"/>
      <c r="L868" s="4290"/>
      <c r="M868" s="3877">
        <v>42811</v>
      </c>
      <c r="N868" s="3878">
        <v>906</v>
      </c>
      <c r="O868" s="3873"/>
      <c r="P868" s="4291"/>
      <c r="Q868" s="4332">
        <v>105000000000</v>
      </c>
      <c r="R868" s="4333">
        <v>16600000000</v>
      </c>
      <c r="S868" s="4334">
        <f t="shared" si="11"/>
        <v>207469879518.0723</v>
      </c>
      <c r="T868" s="3870" t="s">
        <v>5789</v>
      </c>
      <c r="U868" s="3875"/>
      <c r="V868" s="3872">
        <f>395</f>
        <v>395</v>
      </c>
      <c r="W868" s="3883"/>
      <c r="X868" s="3680"/>
      <c r="Y868" s="3680"/>
      <c r="Z868" s="3680"/>
      <c r="AA868" s="3680"/>
      <c r="AB868" s="3680"/>
      <c r="AC868" s="3680"/>
      <c r="AD868" s="3680"/>
      <c r="AE868" s="3680"/>
      <c r="AF868" s="3680"/>
      <c r="AG868" s="3680"/>
      <c r="AH868" s="3680"/>
      <c r="AI868" s="3680"/>
      <c r="AJ868" s="3680"/>
      <c r="AK868" s="3680"/>
      <c r="AL868" s="3680"/>
      <c r="AM868" s="3680"/>
      <c r="AN868" s="3680"/>
      <c r="AO868" s="3680"/>
      <c r="AP868" s="3680"/>
      <c r="AQ868" s="3680"/>
      <c r="AR868" s="3680"/>
      <c r="AS868" s="3680"/>
      <c r="AT868" s="3680"/>
      <c r="AU868" s="3680"/>
      <c r="AV868" s="3680"/>
      <c r="AW868" s="3680"/>
      <c r="AX868" s="3680"/>
      <c r="AY868" s="3680"/>
      <c r="AZ868" s="3680"/>
      <c r="BA868" s="3680"/>
      <c r="BB868" s="3680"/>
      <c r="BC868" s="3680"/>
      <c r="BD868" s="3680"/>
      <c r="BE868" s="3680"/>
      <c r="BF868" s="3680"/>
      <c r="BG868" s="3680"/>
      <c r="BH868" s="3680"/>
      <c r="BI868" s="3680"/>
    </row>
    <row r="869" spans="1:61" ht="24.75" customHeight="1">
      <c r="A869" s="3870" t="s">
        <v>1549</v>
      </c>
      <c r="B869" s="3870" t="s">
        <v>5767</v>
      </c>
      <c r="C869" s="3871" t="s">
        <v>1967</v>
      </c>
      <c r="D869" s="3870" t="s">
        <v>5794</v>
      </c>
      <c r="E869" s="4942" t="str">
        <f>VLOOKUP(F869,plasmids!$A$2:$B$891,2)</f>
        <v>pXR1</v>
      </c>
      <c r="F869" s="3873">
        <v>110</v>
      </c>
      <c r="G869" s="4289"/>
      <c r="H869" s="4289" t="str">
        <f>VLOOKUP(I869,plasmids!$A$2:$B$940,2)</f>
        <v>hSyn1-Cre-WPRE</v>
      </c>
      <c r="I869" s="3870">
        <v>739</v>
      </c>
      <c r="J869" s="3870"/>
      <c r="K869" s="3876"/>
      <c r="L869" s="4290"/>
      <c r="M869" s="3877">
        <v>42811</v>
      </c>
      <c r="N869" s="3878">
        <v>907</v>
      </c>
      <c r="O869" s="3873"/>
      <c r="P869" s="4291"/>
      <c r="Q869" s="4332">
        <v>123000000000000</v>
      </c>
      <c r="R869" s="4333">
        <v>16600000000</v>
      </c>
      <c r="S869" s="4334">
        <f t="shared" si="11"/>
        <v>243036144578313.25</v>
      </c>
      <c r="T869" s="3870" t="s">
        <v>5789</v>
      </c>
      <c r="U869" s="3875"/>
      <c r="V869" s="3872">
        <f>500-1.75</f>
        <v>498.25</v>
      </c>
      <c r="W869" s="3883"/>
      <c r="X869" s="3680"/>
      <c r="Y869" s="3680"/>
      <c r="Z869" s="3680"/>
      <c r="AA869" s="3680"/>
      <c r="AB869" s="3680"/>
      <c r="AC869" s="3680"/>
      <c r="AD869" s="3680"/>
      <c r="AE869" s="3680"/>
      <c r="AF869" s="3680"/>
      <c r="AG869" s="3680"/>
      <c r="AH869" s="3680"/>
      <c r="AI869" s="3680"/>
      <c r="AJ869" s="3680"/>
      <c r="AK869" s="3680"/>
      <c r="AL869" s="3680"/>
      <c r="AM869" s="3680"/>
      <c r="AN869" s="3680"/>
      <c r="AO869" s="3680"/>
      <c r="AP869" s="3680"/>
      <c r="AQ869" s="3680"/>
      <c r="AR869" s="3680"/>
      <c r="AS869" s="3680"/>
      <c r="AT869" s="3680"/>
      <c r="AU869" s="3680"/>
      <c r="AV869" s="3680"/>
      <c r="AW869" s="3680"/>
      <c r="AX869" s="3680"/>
      <c r="AY869" s="3680"/>
      <c r="AZ869" s="3680"/>
      <c r="BA869" s="3680"/>
      <c r="BB869" s="3680"/>
      <c r="BC869" s="3680"/>
      <c r="BD869" s="3680"/>
      <c r="BE869" s="3680"/>
      <c r="BF869" s="3680"/>
      <c r="BG869" s="3680"/>
      <c r="BH869" s="3680"/>
      <c r="BI869" s="3680"/>
    </row>
    <row r="870" spans="1:61" ht="24.75" customHeight="1">
      <c r="A870" s="3870" t="s">
        <v>1549</v>
      </c>
      <c r="B870" s="3870" t="s">
        <v>5767</v>
      </c>
      <c r="C870" s="3871" t="s">
        <v>1967</v>
      </c>
      <c r="D870" s="3870" t="s">
        <v>5794</v>
      </c>
      <c r="E870" s="4942" t="str">
        <f>VLOOKUP(F870,plasmids!$A$2:$B$891,2)</f>
        <v>pXR1</v>
      </c>
      <c r="F870" s="3873">
        <v>110</v>
      </c>
      <c r="G870" s="4289"/>
      <c r="H870" s="4289" t="str">
        <f>VLOOKUP(I870,plasmids!$A$2:$B$940,2)</f>
        <v>sc-CAG-GFP</v>
      </c>
      <c r="I870" s="3870">
        <v>120</v>
      </c>
      <c r="J870" s="3870"/>
      <c r="K870" s="3876"/>
      <c r="L870" s="4290"/>
      <c r="M870" s="3877">
        <v>42811</v>
      </c>
      <c r="N870" s="3878">
        <v>908</v>
      </c>
      <c r="O870" s="3873"/>
      <c r="P870" s="4291"/>
      <c r="Q870" s="4332">
        <v>54600000000000</v>
      </c>
      <c r="R870" s="4333">
        <v>16600000000</v>
      </c>
      <c r="S870" s="4334">
        <f t="shared" si="11"/>
        <v>107884337349397.59</v>
      </c>
      <c r="T870" s="3870" t="s">
        <v>5789</v>
      </c>
      <c r="U870" s="3875"/>
      <c r="V870" s="3872">
        <f>540-6.3</f>
        <v>533.70000000000005</v>
      </c>
      <c r="W870" s="3883"/>
      <c r="X870" s="3680"/>
      <c r="Y870" s="3680"/>
      <c r="Z870" s="3680"/>
      <c r="AA870" s="3680"/>
      <c r="AB870" s="3680"/>
      <c r="AC870" s="3680"/>
      <c r="AD870" s="3680"/>
      <c r="AE870" s="3680"/>
      <c r="AF870" s="3680"/>
      <c r="AG870" s="3680"/>
      <c r="AH870" s="3680"/>
      <c r="AI870" s="3680"/>
      <c r="AJ870" s="3680"/>
      <c r="AK870" s="3680"/>
      <c r="AL870" s="3680"/>
      <c r="AM870" s="3680"/>
      <c r="AN870" s="3680"/>
      <c r="AO870" s="3680"/>
      <c r="AP870" s="3680"/>
      <c r="AQ870" s="3680"/>
      <c r="AR870" s="3680"/>
      <c r="AS870" s="3680"/>
      <c r="AT870" s="3680"/>
      <c r="AU870" s="3680"/>
      <c r="AV870" s="3680"/>
      <c r="AW870" s="3680"/>
      <c r="AX870" s="3680"/>
      <c r="AY870" s="3680"/>
      <c r="AZ870" s="3680"/>
      <c r="BA870" s="3680"/>
      <c r="BB870" s="3680"/>
      <c r="BC870" s="3680"/>
      <c r="BD870" s="3680"/>
      <c r="BE870" s="3680"/>
      <c r="BF870" s="3680"/>
      <c r="BG870" s="3680"/>
      <c r="BH870" s="3680"/>
      <c r="BI870" s="3680"/>
    </row>
    <row r="871" spans="1:61" ht="24.75" customHeight="1">
      <c r="A871" s="4297" t="s">
        <v>1549</v>
      </c>
      <c r="B871" s="4297" t="s">
        <v>5767</v>
      </c>
      <c r="C871" s="4298" t="s">
        <v>1967</v>
      </c>
      <c r="D871" s="4297" t="s">
        <v>5794</v>
      </c>
      <c r="E871" s="4943" t="str">
        <f>VLOOKUP(F871,plasmids!$A$2:$B$891,2)</f>
        <v>AAV2</v>
      </c>
      <c r="F871" s="4300">
        <v>140</v>
      </c>
      <c r="G871" s="4301"/>
      <c r="H871" s="4301" t="str">
        <f>VLOOKUP(I871,plasmids!$A$2:$B$940,2)</f>
        <v>hSyn1-Cre-WPRE</v>
      </c>
      <c r="I871" s="4297">
        <v>739</v>
      </c>
      <c r="J871" s="4297"/>
      <c r="K871" s="4303"/>
      <c r="L871" s="4304"/>
      <c r="M871" s="4305">
        <v>42811</v>
      </c>
      <c r="N871" s="4306">
        <v>909</v>
      </c>
      <c r="O871" s="4300"/>
      <c r="P871" s="4944"/>
      <c r="Q871" s="4945">
        <v>15900000000000</v>
      </c>
      <c r="R871" s="4946">
        <v>16600000000</v>
      </c>
      <c r="S871" s="4947">
        <f t="shared" si="11"/>
        <v>31416867469879.516</v>
      </c>
      <c r="T871" s="4297" t="s">
        <v>5789</v>
      </c>
      <c r="U871" s="4302"/>
      <c r="V871" s="4299">
        <f>490-10</f>
        <v>480</v>
      </c>
      <c r="W871" s="4311"/>
      <c r="X871" s="4312"/>
      <c r="Y871" s="4312"/>
      <c r="Z871" s="4312"/>
      <c r="AA871" s="4312"/>
      <c r="AB871" s="4312"/>
      <c r="AC871" s="4312"/>
      <c r="AD871" s="4312"/>
      <c r="AE871" s="4312"/>
      <c r="AF871" s="4312"/>
      <c r="AG871" s="4312"/>
      <c r="AH871" s="4312"/>
      <c r="AI871" s="4312"/>
      <c r="AJ871" s="4312"/>
      <c r="AK871" s="4312"/>
      <c r="AL871" s="4312"/>
      <c r="AM871" s="4312"/>
      <c r="AN871" s="4312"/>
      <c r="AO871" s="4312"/>
      <c r="AP871" s="4312"/>
      <c r="AQ871" s="4312"/>
      <c r="AR871" s="4312"/>
      <c r="AS871" s="4312"/>
      <c r="AT871" s="4312"/>
      <c r="AU871" s="4312"/>
      <c r="AV871" s="4312"/>
      <c r="AW871" s="4312"/>
      <c r="AX871" s="4312"/>
      <c r="AY871" s="4312"/>
      <c r="AZ871" s="4312"/>
      <c r="BA871" s="4312"/>
      <c r="BB871" s="4312"/>
      <c r="BC871" s="4312"/>
      <c r="BD871" s="4312"/>
      <c r="BE871" s="4312"/>
      <c r="BF871" s="4312"/>
      <c r="BG871" s="4312"/>
      <c r="BH871" s="3680"/>
      <c r="BI871" s="3680"/>
    </row>
    <row r="872" spans="1:61" ht="24.75" customHeight="1">
      <c r="A872" s="3375" t="s">
        <v>52</v>
      </c>
      <c r="B872" s="3375" t="s">
        <v>139</v>
      </c>
      <c r="C872" s="3551" t="s">
        <v>178</v>
      </c>
      <c r="D872" s="3375" t="s">
        <v>70</v>
      </c>
      <c r="E872" s="1788" t="str">
        <f>VLOOKUP(F872,plasmids!$A$2:$B$351,2)</f>
        <v>AAV2-7m8</v>
      </c>
      <c r="F872" s="2655">
        <v>178</v>
      </c>
      <c r="G872" s="2596"/>
      <c r="H872" s="1789" t="str">
        <f>VLOOKUP(I872,plasmids!$A$2:$B$951,2)</f>
        <v>pscAAV-CAG-tdTomato-bghPA</v>
      </c>
      <c r="I872" s="3375">
        <v>454</v>
      </c>
      <c r="J872" s="2648"/>
      <c r="K872" s="3147"/>
      <c r="L872" s="2785"/>
      <c r="M872" s="2695">
        <v>42818</v>
      </c>
      <c r="N872" s="2649">
        <v>910</v>
      </c>
      <c r="O872" s="2655"/>
      <c r="P872" s="2651"/>
      <c r="Q872" s="4948">
        <v>6290000000000</v>
      </c>
      <c r="R872" s="1428">
        <v>34100000000</v>
      </c>
      <c r="S872" s="1428">
        <f t="shared" si="11"/>
        <v>6050205278592.376</v>
      </c>
      <c r="T872" s="3375" t="s">
        <v>2423</v>
      </c>
      <c r="U872" s="2648"/>
      <c r="V872" s="3554">
        <f>503-50-8-100</f>
        <v>345</v>
      </c>
      <c r="W872" s="3150"/>
      <c r="X872" s="2656"/>
      <c r="Y872" s="2656"/>
      <c r="Z872" s="2656"/>
      <c r="AA872" s="2656"/>
      <c r="AB872" s="2656"/>
      <c r="AC872" s="2656"/>
      <c r="AD872" s="2656"/>
      <c r="AE872" s="2656"/>
      <c r="AF872" s="2656"/>
      <c r="AG872" s="2656"/>
      <c r="AH872" s="2656"/>
      <c r="AI872" s="2656"/>
      <c r="AJ872" s="2656"/>
      <c r="AK872" s="2656"/>
      <c r="AL872" s="2656"/>
      <c r="AM872" s="2656"/>
      <c r="AN872" s="2656"/>
      <c r="AO872" s="2656"/>
      <c r="AP872" s="2656"/>
      <c r="AQ872" s="2656"/>
      <c r="AR872" s="2656"/>
      <c r="AS872" s="2656"/>
      <c r="AT872" s="2656"/>
      <c r="AU872" s="2656"/>
      <c r="AV872" s="2656"/>
      <c r="AW872" s="2656"/>
      <c r="AX872" s="2656"/>
      <c r="AY872" s="2656"/>
      <c r="AZ872" s="2656"/>
      <c r="BA872" s="2656"/>
      <c r="BB872" s="2656"/>
      <c r="BC872" s="2656"/>
      <c r="BD872" s="2656"/>
      <c r="BE872" s="2656"/>
      <c r="BF872" s="2656"/>
      <c r="BG872" s="2656"/>
      <c r="BH872" s="2656"/>
      <c r="BI872" s="2656"/>
    </row>
    <row r="873" spans="1:61" ht="24.75" customHeight="1">
      <c r="A873" s="3375" t="s">
        <v>52</v>
      </c>
      <c r="B873" s="3375" t="s">
        <v>139</v>
      </c>
      <c r="C873" s="3551" t="s">
        <v>567</v>
      </c>
      <c r="D873" s="3375" t="s">
        <v>1088</v>
      </c>
      <c r="E873" s="3013" t="str">
        <f>VLOOKUP(F873,plasmids!$A$2:$B$891,2)</f>
        <v>AAV2-7m8</v>
      </c>
      <c r="F873" s="2655">
        <v>178</v>
      </c>
      <c r="G873" s="2596"/>
      <c r="H873" s="2596" t="str">
        <f>VLOOKUP(I873,plasmids!$A$2:$B$940,2)</f>
        <v>pssAAV-CAG-ChrimsonR-tdTomato</v>
      </c>
      <c r="I873" s="3375">
        <v>479</v>
      </c>
      <c r="J873" s="2648"/>
      <c r="K873" s="3147"/>
      <c r="L873" s="2654"/>
      <c r="M873" s="1793">
        <v>42818</v>
      </c>
      <c r="N873" s="2649">
        <v>911</v>
      </c>
      <c r="O873" s="2655"/>
      <c r="P873" s="2651"/>
      <c r="Q873" s="4948">
        <v>14100000000000</v>
      </c>
      <c r="R873" s="3751">
        <v>34100000000</v>
      </c>
      <c r="S873" s="3751">
        <f t="shared" si="11"/>
        <v>13562463343108.504</v>
      </c>
      <c r="T873" s="1452" t="s">
        <v>2423</v>
      </c>
      <c r="U873" s="2648"/>
      <c r="V873" s="3554">
        <f>470-50-100</f>
        <v>320</v>
      </c>
      <c r="W873" s="3150"/>
      <c r="X873" s="2656"/>
      <c r="Y873" s="2656"/>
      <c r="Z873" s="2656"/>
      <c r="AA873" s="2656"/>
      <c r="AB873" s="2656"/>
      <c r="AC873" s="2656"/>
      <c r="AD873" s="2656"/>
      <c r="AE873" s="2656"/>
      <c r="AF873" s="2656"/>
      <c r="AG873" s="2656"/>
      <c r="AH873" s="2656"/>
      <c r="AI873" s="2656"/>
      <c r="AJ873" s="2656"/>
      <c r="AK873" s="2656"/>
      <c r="AL873" s="2656"/>
      <c r="AM873" s="2656"/>
      <c r="AN873" s="2656"/>
      <c r="AO873" s="2656"/>
      <c r="AP873" s="2656"/>
      <c r="AQ873" s="2656"/>
      <c r="AR873" s="2656"/>
      <c r="AS873" s="2656"/>
      <c r="AT873" s="2656"/>
      <c r="AU873" s="2656"/>
      <c r="AV873" s="2656"/>
      <c r="AW873" s="2656"/>
      <c r="AX873" s="2656"/>
      <c r="AY873" s="2656"/>
      <c r="AZ873" s="2656"/>
      <c r="BA873" s="2656"/>
      <c r="BB873" s="2656"/>
      <c r="BC873" s="2656"/>
      <c r="BD873" s="2656"/>
      <c r="BE873" s="2656"/>
      <c r="BF873" s="2656"/>
      <c r="BG873" s="2656"/>
      <c r="BH873" s="2656"/>
      <c r="BI873" s="2656"/>
    </row>
    <row r="874" spans="1:61" ht="22.5" customHeight="1">
      <c r="A874" s="4593" t="s">
        <v>707</v>
      </c>
      <c r="B874" s="4593" t="s">
        <v>3973</v>
      </c>
      <c r="C874" s="4594" t="s">
        <v>1236</v>
      </c>
      <c r="D874" s="4593" t="s">
        <v>5894</v>
      </c>
      <c r="E874" s="4595" t="str">
        <f>VLOOKUP(F874,plasmids!$A$2:$B$891,2)</f>
        <v>AAV9 7M8 (AA------)</v>
      </c>
      <c r="F874" s="4596">
        <v>170</v>
      </c>
      <c r="G874" s="4630" t="s">
        <v>5895</v>
      </c>
      <c r="H874" s="4597" t="str">
        <f>VLOOKUP(I874,plasmids!$A$2:$B$640,2)</f>
        <v>pssAAV-pR1.7-Jaws-GFP</v>
      </c>
      <c r="I874" s="4593">
        <v>596</v>
      </c>
      <c r="J874" s="4598"/>
      <c r="K874" s="4599"/>
      <c r="L874" s="4600"/>
      <c r="M874" s="4601">
        <v>42818</v>
      </c>
      <c r="N874" s="4602">
        <v>912</v>
      </c>
      <c r="O874" s="4603"/>
      <c r="P874" s="4604"/>
      <c r="Q874" s="4606">
        <v>627000000000</v>
      </c>
      <c r="R874" s="4629">
        <v>34100000000</v>
      </c>
      <c r="S874" s="4949">
        <f t="shared" si="11"/>
        <v>603096774193.54846</v>
      </c>
      <c r="T874" s="4593" t="s">
        <v>2423</v>
      </c>
      <c r="U874" s="4598"/>
      <c r="V874" s="4608">
        <f>580</f>
        <v>580</v>
      </c>
      <c r="W874" s="4610"/>
      <c r="X874" s="4609"/>
      <c r="Y874" s="4609"/>
      <c r="Z874" s="4609"/>
      <c r="AA874" s="4609"/>
      <c r="AB874" s="4609"/>
      <c r="AC874" s="4609"/>
      <c r="AD874" s="4609"/>
      <c r="AE874" s="4609"/>
      <c r="AF874" s="4609"/>
      <c r="AG874" s="4609"/>
      <c r="AH874" s="4609"/>
      <c r="AI874" s="4609"/>
      <c r="AJ874" s="4609"/>
      <c r="AK874" s="4609"/>
      <c r="AL874" s="4609"/>
      <c r="AM874" s="4609"/>
      <c r="AN874" s="4609"/>
      <c r="AO874" s="4609"/>
      <c r="AP874" s="4609"/>
      <c r="AQ874" s="4609"/>
      <c r="AR874" s="4609"/>
      <c r="AS874" s="4609"/>
      <c r="AT874" s="4609"/>
      <c r="AU874" s="4609"/>
      <c r="AV874" s="4609"/>
      <c r="AW874" s="4609"/>
      <c r="AX874" s="4609"/>
      <c r="AY874" s="4609"/>
      <c r="AZ874" s="4609"/>
      <c r="BA874" s="4609"/>
      <c r="BB874" s="4609"/>
      <c r="BC874" s="4609"/>
      <c r="BD874" s="4609"/>
      <c r="BE874" s="4609"/>
      <c r="BF874" s="4609"/>
      <c r="BG874" s="4609"/>
      <c r="BH874" s="4609"/>
      <c r="BI874" s="4609"/>
    </row>
    <row r="875" spans="1:61" ht="24.75" customHeight="1">
      <c r="A875" s="4924" t="s">
        <v>1343</v>
      </c>
      <c r="B875" s="4924" t="s">
        <v>5933</v>
      </c>
      <c r="C875" s="4925" t="s">
        <v>5708</v>
      </c>
      <c r="D875" s="4924" t="s">
        <v>5957</v>
      </c>
      <c r="E875" s="4926" t="str">
        <f>VLOOKUP(F875,plasmids!$A$2:$B$891,2)</f>
        <v>AAV2-7m8</v>
      </c>
      <c r="F875" s="4927">
        <v>178</v>
      </c>
      <c r="G875" s="4928"/>
      <c r="H875" s="4950" t="str">
        <f>VLOOKUP(I875,plasmids!$A$2:$B$891,2)</f>
        <v>pTR-scCAG-GFP-2A-hRdCVFs</v>
      </c>
      <c r="I875" s="4924">
        <v>185</v>
      </c>
      <c r="J875" s="4929"/>
      <c r="K875" s="4930"/>
      <c r="L875" s="4951"/>
      <c r="M875" s="4932">
        <v>42818</v>
      </c>
      <c r="N875" s="4933">
        <v>913</v>
      </c>
      <c r="O875" s="4927"/>
      <c r="P875" s="4934"/>
      <c r="Q875" s="4952">
        <v>65600000000000</v>
      </c>
      <c r="R875" s="4952">
        <v>34100000000</v>
      </c>
      <c r="S875" s="4953">
        <f t="shared" si="11"/>
        <v>63099120234604.109</v>
      </c>
      <c r="T875" s="4924" t="s">
        <v>2423</v>
      </c>
      <c r="U875" s="4939"/>
      <c r="V875" s="4954">
        <f>473</f>
        <v>473</v>
      </c>
      <c r="W875" s="4940" t="s">
        <v>2812</v>
      </c>
      <c r="X875" s="4939"/>
      <c r="Y875" s="4939"/>
      <c r="Z875" s="4939"/>
      <c r="AA875" s="4939"/>
      <c r="AB875" s="4939"/>
      <c r="AC875" s="4939"/>
      <c r="AD875" s="4939"/>
      <c r="AE875" s="4939"/>
      <c r="AF875" s="4939"/>
      <c r="AG875" s="4939"/>
      <c r="AH875" s="4939"/>
      <c r="AI875" s="4939"/>
      <c r="AJ875" s="4939"/>
      <c r="AK875" s="4939"/>
      <c r="AL875" s="4939"/>
      <c r="AM875" s="4939"/>
      <c r="AN875" s="4939"/>
      <c r="AO875" s="4939"/>
      <c r="AP875" s="4939"/>
      <c r="AQ875" s="4939"/>
      <c r="AR875" s="4939"/>
      <c r="AS875" s="4939"/>
      <c r="AT875" s="4939"/>
      <c r="AU875" s="4939"/>
      <c r="AV875" s="4939"/>
      <c r="AW875" s="4939"/>
      <c r="AX875" s="4939"/>
      <c r="AY875" s="4939"/>
      <c r="AZ875" s="4939"/>
      <c r="BA875" s="4939"/>
      <c r="BB875" s="4939"/>
      <c r="BC875" s="4939"/>
      <c r="BD875" s="4939"/>
      <c r="BE875" s="4939"/>
      <c r="BF875" s="4939"/>
      <c r="BG875" s="4939"/>
      <c r="BH875" s="4939"/>
      <c r="BI875" s="4939"/>
    </row>
    <row r="876" spans="1:61" ht="24.75" customHeight="1">
      <c r="A876" s="4924" t="s">
        <v>1343</v>
      </c>
      <c r="B876" s="4924" t="s">
        <v>5707</v>
      </c>
      <c r="C876" s="4925" t="s">
        <v>5708</v>
      </c>
      <c r="D876" s="4924" t="s">
        <v>5655</v>
      </c>
      <c r="E876" s="4926" t="str">
        <f>VLOOKUP(F876,plasmids!$A$2:$B$891,2)</f>
        <v>AAV2-7m8</v>
      </c>
      <c r="F876" s="4927">
        <v>178</v>
      </c>
      <c r="G876" s="4925"/>
      <c r="H876" s="4928" t="str">
        <f>VLOOKUP(I876,plasmids!$A$2:$B$940,2)</f>
        <v>pssAAV-pR1.7-Jaws-GFP</v>
      </c>
      <c r="I876" s="4924">
        <v>596</v>
      </c>
      <c r="J876" s="4929"/>
      <c r="K876" s="4930"/>
      <c r="L876" s="4951"/>
      <c r="M876" s="4932">
        <v>42818</v>
      </c>
      <c r="N876" s="4933">
        <v>914</v>
      </c>
      <c r="O876" s="4927"/>
      <c r="P876" s="4934"/>
      <c r="Q876" s="4953">
        <v>4650000000000</v>
      </c>
      <c r="R876" s="4337">
        <v>34100000000</v>
      </c>
      <c r="S876" s="4953">
        <f t="shared" si="11"/>
        <v>4472727272727.2725</v>
      </c>
      <c r="T876" s="4924" t="s">
        <v>2423</v>
      </c>
      <c r="U876" s="4939"/>
      <c r="V876" s="4954">
        <f>522</f>
        <v>522</v>
      </c>
      <c r="W876" s="4940" t="s">
        <v>2812</v>
      </c>
      <c r="X876" s="4939"/>
      <c r="Y876" s="4939"/>
      <c r="Z876" s="4939"/>
      <c r="AA876" s="4939"/>
      <c r="AB876" s="4939"/>
      <c r="AC876" s="4939"/>
      <c r="AD876" s="4939"/>
      <c r="AE876" s="4939"/>
      <c r="AF876" s="4939"/>
      <c r="AG876" s="4939"/>
      <c r="AH876" s="4939"/>
      <c r="AI876" s="4939"/>
      <c r="AJ876" s="4939"/>
      <c r="AK876" s="4939"/>
      <c r="AL876" s="4939"/>
      <c r="AM876" s="4939"/>
      <c r="AN876" s="4939"/>
      <c r="AO876" s="4939"/>
      <c r="AP876" s="4939"/>
      <c r="AQ876" s="4939"/>
      <c r="AR876" s="4939"/>
      <c r="AS876" s="4939"/>
      <c r="AT876" s="4939"/>
      <c r="AU876" s="4939"/>
      <c r="AV876" s="4939"/>
      <c r="AW876" s="4939"/>
      <c r="AX876" s="4939"/>
      <c r="AY876" s="4939"/>
      <c r="AZ876" s="4939"/>
      <c r="BA876" s="4939"/>
      <c r="BB876" s="4939"/>
      <c r="BC876" s="4939"/>
      <c r="BD876" s="4939"/>
      <c r="BE876" s="4939"/>
      <c r="BF876" s="4939"/>
      <c r="BG876" s="4939"/>
      <c r="BH876" s="4939"/>
      <c r="BI876" s="4939"/>
    </row>
    <row r="877" spans="1:61" ht="24.75" customHeight="1">
      <c r="A877" s="3526" t="s">
        <v>1343</v>
      </c>
      <c r="B877" s="3526" t="s">
        <v>5707</v>
      </c>
      <c r="C877" s="3527" t="s">
        <v>5708</v>
      </c>
      <c r="D877" s="3526" t="s">
        <v>568</v>
      </c>
      <c r="E877" s="3528" t="str">
        <f>VLOOKUP(F877,plasmids!$A$2:$B$891,2)</f>
        <v>AAV2-7m8</v>
      </c>
      <c r="F877" s="3529">
        <v>178</v>
      </c>
      <c r="G877" s="3530"/>
      <c r="H877" s="3530" t="str">
        <f>VLOOKUP(I877,plasmids!$A$2:$B$940,2)</f>
        <v>pssAAV-pR1.7-GFP</v>
      </c>
      <c r="I877" s="3526">
        <v>566</v>
      </c>
      <c r="J877" s="3531"/>
      <c r="K877" s="3532"/>
      <c r="L877" s="3752"/>
      <c r="M877" s="4932">
        <v>42818</v>
      </c>
      <c r="N877" s="3535">
        <v>915</v>
      </c>
      <c r="O877" s="3529"/>
      <c r="P877" s="3536"/>
      <c r="Q877" s="4145">
        <v>6410000000000</v>
      </c>
      <c r="R877" s="4337">
        <v>34100000000</v>
      </c>
      <c r="S877" s="4955">
        <f t="shared" si="11"/>
        <v>6165630498533.7246</v>
      </c>
      <c r="T877" s="3526" t="s">
        <v>2423</v>
      </c>
      <c r="U877" s="3515"/>
      <c r="V877" s="4820">
        <f>479</f>
        <v>479</v>
      </c>
      <c r="W877" s="3525" t="s">
        <v>2812</v>
      </c>
      <c r="X877" s="3524"/>
      <c r="Y877" s="3524"/>
      <c r="Z877" s="3524"/>
      <c r="AA877" s="3524"/>
      <c r="AB877" s="3524"/>
      <c r="AC877" s="3524"/>
      <c r="AD877" s="3524"/>
      <c r="AE877" s="3524"/>
      <c r="AF877" s="3524"/>
      <c r="AG877" s="3524"/>
      <c r="AH877" s="3524"/>
      <c r="AI877" s="3524"/>
      <c r="AJ877" s="3524"/>
      <c r="AK877" s="3524"/>
      <c r="AL877" s="3524"/>
      <c r="AM877" s="3524"/>
      <c r="AN877" s="3524"/>
      <c r="AO877" s="3524"/>
      <c r="AP877" s="3524"/>
      <c r="AQ877" s="3524"/>
      <c r="AR877" s="3524"/>
      <c r="AS877" s="3524"/>
      <c r="AT877" s="3524"/>
      <c r="AU877" s="3524"/>
      <c r="AV877" s="3524"/>
      <c r="AW877" s="3524"/>
      <c r="AX877" s="3524"/>
      <c r="AY877" s="3524"/>
      <c r="AZ877" s="3524"/>
      <c r="BA877" s="3524"/>
      <c r="BB877" s="3524"/>
      <c r="BC877" s="3524"/>
      <c r="BD877" s="3524"/>
      <c r="BE877" s="3524"/>
      <c r="BF877" s="3524"/>
      <c r="BG877" s="3524"/>
      <c r="BH877" s="3524"/>
      <c r="BI877" s="3524"/>
    </row>
    <row r="878" spans="1:61" ht="24.75" customHeight="1">
      <c r="A878" s="4631" t="s">
        <v>5897</v>
      </c>
      <c r="B878" s="4631" t="s">
        <v>5898</v>
      </c>
      <c r="C878" s="4632" t="s">
        <v>5899</v>
      </c>
      <c r="D878" s="4631" t="s">
        <v>568</v>
      </c>
      <c r="E878" s="4633" t="str">
        <f>VLOOKUP(F878,plasmids!$A$2:$B$1051,2)</f>
        <v>AAV9 7M8 (AA------)</v>
      </c>
      <c r="F878" s="4631">
        <v>737</v>
      </c>
      <c r="G878" s="4634"/>
      <c r="H878" s="4634" t="str">
        <f>VLOOKUP(I878,plasmids!$A$2:$B$951,2)</f>
        <v>sc-CAG-GFP</v>
      </c>
      <c r="I878" s="4631">
        <v>120</v>
      </c>
      <c r="J878" s="4635"/>
      <c r="K878" s="4636"/>
      <c r="L878" s="4637"/>
      <c r="M878" s="4638">
        <v>42818</v>
      </c>
      <c r="N878" s="4922">
        <v>916</v>
      </c>
      <c r="O878" s="4640"/>
      <c r="P878" s="4641"/>
      <c r="Q878" s="4764">
        <v>843000000000</v>
      </c>
      <c r="R878" s="4764">
        <v>34100000000</v>
      </c>
      <c r="S878" s="4764">
        <f t="shared" si="11"/>
        <v>810862170087.97656</v>
      </c>
      <c r="T878" s="4631" t="s">
        <v>2423</v>
      </c>
      <c r="U878" s="4635"/>
      <c r="V878" s="4646">
        <f>535</f>
        <v>535</v>
      </c>
      <c r="W878" s="4647" t="s">
        <v>5955</v>
      </c>
      <c r="X878" s="4648"/>
      <c r="Y878" s="4648"/>
      <c r="Z878" s="4648"/>
      <c r="AA878" s="4648"/>
      <c r="AB878" s="4648"/>
      <c r="AC878" s="4648"/>
      <c r="AD878" s="4648"/>
      <c r="AE878" s="4648"/>
      <c r="AF878" s="4648"/>
      <c r="AG878" s="4648"/>
      <c r="AH878" s="4648"/>
      <c r="AI878" s="4648"/>
      <c r="AJ878" s="4648"/>
      <c r="AK878" s="4648"/>
      <c r="AL878" s="4648"/>
      <c r="AM878" s="4648"/>
      <c r="AN878" s="4648"/>
      <c r="AO878" s="4648"/>
      <c r="AP878" s="4648"/>
      <c r="AQ878" s="4648"/>
      <c r="AR878" s="4648"/>
      <c r="AS878" s="4648"/>
      <c r="AT878" s="4648"/>
      <c r="AU878" s="4648"/>
      <c r="AV878" s="4648"/>
      <c r="AW878" s="4648"/>
      <c r="AX878" s="4648"/>
      <c r="AY878" s="4648"/>
      <c r="AZ878" s="4648"/>
      <c r="BA878" s="4648"/>
      <c r="BB878" s="4648"/>
      <c r="BC878" s="4648"/>
      <c r="BD878" s="4648"/>
      <c r="BE878" s="4648"/>
      <c r="BF878" s="4648"/>
      <c r="BG878" s="4648"/>
      <c r="BH878" s="4648"/>
      <c r="BI878" s="4648"/>
    </row>
    <row r="879" spans="1:61" ht="24" customHeight="1">
      <c r="A879" s="2910" t="s">
        <v>5958</v>
      </c>
      <c r="B879" s="2910" t="s">
        <v>5807</v>
      </c>
      <c r="C879" s="1001" t="s">
        <v>4457</v>
      </c>
      <c r="D879" s="2910" t="s">
        <v>4460</v>
      </c>
      <c r="E879" s="1008" t="str">
        <f>VLOOKUP(F879,plasmids!$A$2:$B$891,2)</f>
        <v>AAV2-7m8</v>
      </c>
      <c r="F879" s="1008">
        <v>178</v>
      </c>
      <c r="G879" s="1828"/>
      <c r="H879" s="1828" t="str">
        <f>VLOOKUP(I879,plasmids!$A$2:$B$640,2)</f>
        <v>pAAV-SV40-GRM6-MBD</v>
      </c>
      <c r="I879" s="2910">
        <v>635</v>
      </c>
      <c r="J879" s="471"/>
      <c r="K879" s="470" t="s">
        <v>4428</v>
      </c>
      <c r="L879" s="1003"/>
      <c r="M879" s="1005">
        <v>42818</v>
      </c>
      <c r="N879" s="4956">
        <v>917</v>
      </c>
      <c r="O879" s="1008"/>
      <c r="P879" s="466"/>
      <c r="Q879" s="462">
        <v>1910000000000</v>
      </c>
      <c r="R879" s="4335">
        <v>34100000000</v>
      </c>
      <c r="S879" s="4335">
        <f t="shared" si="11"/>
        <v>1837184750733.1379</v>
      </c>
      <c r="T879" s="1830" t="s">
        <v>2423</v>
      </c>
      <c r="U879" s="1830"/>
      <c r="V879" s="4336">
        <f>560</f>
        <v>560</v>
      </c>
      <c r="W879" s="1008" t="s">
        <v>2812</v>
      </c>
      <c r="X879" s="471"/>
      <c r="Y879" s="471"/>
      <c r="Z879" s="471"/>
      <c r="AA879" s="471"/>
      <c r="AB879" s="471"/>
      <c r="AC879" s="471"/>
      <c r="AD879" s="471"/>
      <c r="AE879" s="471"/>
      <c r="AF879" s="471"/>
      <c r="AG879" s="471"/>
      <c r="AH879" s="471"/>
      <c r="AI879" s="471"/>
      <c r="AJ879" s="471"/>
      <c r="AK879" s="471"/>
      <c r="AL879" s="471"/>
      <c r="AM879" s="471"/>
      <c r="AN879" s="471"/>
      <c r="AO879" s="471"/>
      <c r="AP879" s="471"/>
      <c r="AQ879" s="471"/>
      <c r="AR879" s="471"/>
      <c r="AS879" s="471"/>
      <c r="AT879" s="471"/>
      <c r="AU879" s="471"/>
      <c r="AV879" s="471"/>
      <c r="AW879" s="471"/>
      <c r="AX879" s="471"/>
      <c r="AY879" s="1790"/>
      <c r="AZ879" s="1790"/>
      <c r="BA879" s="1790"/>
      <c r="BB879" s="1790"/>
      <c r="BC879" s="1790"/>
      <c r="BD879" s="1790"/>
      <c r="BE879" s="1790"/>
      <c r="BF879" s="1790"/>
      <c r="BG879" s="1790"/>
      <c r="BH879" s="1790"/>
      <c r="BI879" s="1790"/>
    </row>
    <row r="880" spans="1:61" ht="30.75" customHeight="1">
      <c r="A880" s="3486" t="s">
        <v>52</v>
      </c>
      <c r="B880" s="3486" t="s">
        <v>5959</v>
      </c>
      <c r="C880" s="4140" t="s">
        <v>1967</v>
      </c>
      <c r="D880" s="3486" t="s">
        <v>1088</v>
      </c>
      <c r="E880" s="2854" t="str">
        <f>VLOOKUP(F880,plasmids!$A$2:$B$891,2)</f>
        <v>pXR5</v>
      </c>
      <c r="F880" s="3486">
        <v>154</v>
      </c>
      <c r="G880" s="4140"/>
      <c r="H880" s="1763" t="str">
        <f>VLOOKUP(I880,plasmids!$A$2:$B$940,2)</f>
        <v xml:space="preserve">pscAAV-CAG-Chronos-GFP </v>
      </c>
      <c r="I880" s="3486">
        <v>514</v>
      </c>
      <c r="J880" s="2850"/>
      <c r="K880" s="4957"/>
      <c r="L880" s="3483"/>
      <c r="M880" s="3022">
        <v>42818</v>
      </c>
      <c r="N880" s="2798">
        <v>918</v>
      </c>
      <c r="O880" s="3269"/>
      <c r="P880" s="2860"/>
      <c r="Q880" s="4958">
        <v>1420000000000</v>
      </c>
      <c r="R880" s="2861">
        <v>34100000000</v>
      </c>
      <c r="S880" s="4959">
        <f t="shared" si="11"/>
        <v>1365865102639.2961</v>
      </c>
      <c r="T880" s="2857" t="s">
        <v>2423</v>
      </c>
      <c r="U880" s="3486"/>
      <c r="V880" s="4960">
        <f>540</f>
        <v>540</v>
      </c>
      <c r="W880" s="2851"/>
      <c r="X880" s="2851"/>
      <c r="Y880" s="2863"/>
      <c r="Z880" s="2863"/>
      <c r="AA880" s="2863"/>
      <c r="AB880" s="2863"/>
      <c r="AC880" s="2863"/>
      <c r="AD880" s="2863"/>
      <c r="AE880" s="2863"/>
      <c r="AF880" s="2863"/>
      <c r="AG880" s="2863"/>
      <c r="AH880" s="2863"/>
      <c r="AI880" s="2863"/>
      <c r="AJ880" s="2863"/>
      <c r="AK880" s="2863"/>
      <c r="AL880" s="2863"/>
      <c r="AM880" s="2863"/>
      <c r="AN880" s="2863"/>
      <c r="AO880" s="2863"/>
      <c r="AP880" s="2863"/>
      <c r="AQ880" s="2863"/>
      <c r="AR880" s="2863"/>
      <c r="AS880" s="2863"/>
      <c r="AT880" s="2863"/>
      <c r="AU880" s="2863"/>
      <c r="AV880" s="2863"/>
      <c r="AW880" s="2863"/>
      <c r="AX880" s="2863"/>
      <c r="AY880" s="2863"/>
      <c r="AZ880" s="2863"/>
      <c r="BA880" s="2863"/>
      <c r="BB880" s="2863"/>
      <c r="BC880" s="2863"/>
      <c r="BD880" s="2863"/>
      <c r="BE880" s="2863"/>
      <c r="BF880" s="2863"/>
      <c r="BG880" s="2863"/>
      <c r="BH880" s="2863"/>
      <c r="BI880" s="2863"/>
    </row>
    <row r="881" spans="1:61" ht="24.75" customHeight="1">
      <c r="A881" s="4499" t="s">
        <v>1549</v>
      </c>
      <c r="B881" s="4499" t="s">
        <v>5800</v>
      </c>
      <c r="C881" s="4500" t="s">
        <v>5801</v>
      </c>
      <c r="D881" s="4499" t="s">
        <v>5960</v>
      </c>
      <c r="E881" s="4961" t="str">
        <f>VLOOKUP(F881,plasmids!$A$2:$B$891,2)</f>
        <v>pAAV2 Lib-RH-IVbis</v>
      </c>
      <c r="F881" s="4501">
        <v>750</v>
      </c>
      <c r="G881" s="4502"/>
      <c r="H881" s="4875" t="str">
        <f>VLOOKUP(I881,plasmids!$A$2:$B$940,2)</f>
        <v>pAAV2 Lib-RH-IVbis</v>
      </c>
      <c r="I881" s="4499">
        <v>750</v>
      </c>
      <c r="J881" s="4502" t="s">
        <v>5961</v>
      </c>
      <c r="K881" s="4503"/>
      <c r="L881" s="4962"/>
      <c r="M881" s="4963">
        <v>42825</v>
      </c>
      <c r="N881" s="4505">
        <v>919</v>
      </c>
      <c r="O881" s="4501"/>
      <c r="P881" s="4506"/>
      <c r="Q881" s="4964">
        <v>8760000000000</v>
      </c>
      <c r="R881" s="4965">
        <v>14600000000</v>
      </c>
      <c r="S881" s="4966">
        <f t="shared" si="11"/>
        <v>19680000000000</v>
      </c>
      <c r="T881" s="4499" t="s">
        <v>5962</v>
      </c>
      <c r="U881" s="4510"/>
      <c r="V881" s="4511">
        <f>422</f>
        <v>422</v>
      </c>
      <c r="W881" s="4512"/>
      <c r="X881" s="3897"/>
      <c r="Y881" s="3897"/>
      <c r="Z881" s="3897"/>
      <c r="AA881" s="3897"/>
      <c r="AB881" s="3897"/>
      <c r="AC881" s="3897"/>
      <c r="AD881" s="3897"/>
      <c r="AE881" s="3897"/>
      <c r="AF881" s="3897"/>
      <c r="AG881" s="3897"/>
      <c r="AH881" s="3897"/>
      <c r="AI881" s="3897"/>
      <c r="AJ881" s="3897"/>
      <c r="AK881" s="3897"/>
      <c r="AL881" s="3897"/>
      <c r="AM881" s="3897"/>
      <c r="AN881" s="3897"/>
      <c r="AO881" s="3897"/>
      <c r="AP881" s="3897"/>
      <c r="AQ881" s="3897"/>
      <c r="AR881" s="3897"/>
      <c r="AS881" s="3897"/>
      <c r="AT881" s="3897"/>
      <c r="AU881" s="3897"/>
      <c r="AV881" s="3897"/>
      <c r="AW881" s="3897"/>
      <c r="AX881" s="3897"/>
      <c r="AY881" s="3897"/>
      <c r="AZ881" s="3897"/>
      <c r="BA881" s="3897"/>
      <c r="BB881" s="3897"/>
      <c r="BC881" s="3897"/>
      <c r="BD881" s="3897"/>
      <c r="BE881" s="3897"/>
      <c r="BF881" s="3897"/>
      <c r="BG881" s="3897"/>
      <c r="BH881" s="3897"/>
      <c r="BI881" s="3897"/>
    </row>
    <row r="882" spans="1:61" ht="24.75" customHeight="1">
      <c r="A882" s="3870" t="s">
        <v>1549</v>
      </c>
      <c r="B882" s="3870" t="s">
        <v>5767</v>
      </c>
      <c r="C882" s="4967" t="s">
        <v>1967</v>
      </c>
      <c r="D882" s="3870" t="s">
        <v>5960</v>
      </c>
      <c r="E882" s="4942" t="str">
        <f>VLOOKUP(F882,plasmids!$A$2:$B$891,2)</f>
        <v>pAV2-7mC</v>
      </c>
      <c r="F882" s="3873">
        <v>669</v>
      </c>
      <c r="G882" s="4289"/>
      <c r="H882" s="4289" t="str">
        <f>VLOOKUP(I882,plasmids!$A$2:$B$940,2)</f>
        <v>hSyn1-Cre-WPRE</v>
      </c>
      <c r="I882" s="3870">
        <v>739</v>
      </c>
      <c r="J882" s="3870"/>
      <c r="K882" s="3876"/>
      <c r="L882" s="4290"/>
      <c r="M882" s="4968">
        <v>42825</v>
      </c>
      <c r="N882" s="3878">
        <v>920</v>
      </c>
      <c r="O882" s="3873"/>
      <c r="P882" s="4291"/>
      <c r="Q882" s="4969">
        <v>2080000000000</v>
      </c>
      <c r="R882" s="4970">
        <v>14600000000</v>
      </c>
      <c r="S882" s="4971">
        <f t="shared" si="11"/>
        <v>4672876712328.7676</v>
      </c>
      <c r="T882" s="3870" t="s">
        <v>5962</v>
      </c>
      <c r="U882" s="3875"/>
      <c r="V882" s="3872">
        <f>475</f>
        <v>475</v>
      </c>
      <c r="W882" s="3883"/>
      <c r="X882" s="3680"/>
      <c r="Y882" s="3680"/>
      <c r="Z882" s="3680"/>
      <c r="AA882" s="3680"/>
      <c r="AB882" s="3680"/>
      <c r="AC882" s="3680"/>
      <c r="AD882" s="3680"/>
      <c r="AE882" s="3680"/>
      <c r="AF882" s="3680"/>
      <c r="AG882" s="3680"/>
      <c r="AH882" s="3680"/>
      <c r="AI882" s="3680"/>
      <c r="AJ882" s="3680"/>
      <c r="AK882" s="3680"/>
      <c r="AL882" s="3680"/>
      <c r="AM882" s="3680"/>
      <c r="AN882" s="3680"/>
      <c r="AO882" s="3680"/>
      <c r="AP882" s="3680"/>
      <c r="AQ882" s="3680"/>
      <c r="AR882" s="3680"/>
      <c r="AS882" s="3680"/>
      <c r="AT882" s="3680"/>
      <c r="AU882" s="3680"/>
      <c r="AV882" s="3680"/>
      <c r="AW882" s="3680"/>
      <c r="AX882" s="3680"/>
      <c r="AY882" s="3680"/>
      <c r="AZ882" s="3680"/>
      <c r="BA882" s="3680"/>
      <c r="BB882" s="3680"/>
      <c r="BC882" s="3680"/>
      <c r="BD882" s="3680"/>
      <c r="BE882" s="3680"/>
      <c r="BF882" s="3680"/>
      <c r="BG882" s="3680"/>
      <c r="BH882" s="3680"/>
      <c r="BI882" s="3680"/>
    </row>
    <row r="883" spans="1:61" ht="24.75" customHeight="1">
      <c r="A883" s="3870" t="s">
        <v>1549</v>
      </c>
      <c r="B883" s="3870" t="s">
        <v>5767</v>
      </c>
      <c r="C883" s="4967" t="s">
        <v>1967</v>
      </c>
      <c r="D883" s="3870" t="s">
        <v>5960</v>
      </c>
      <c r="E883" s="4942" t="str">
        <f>VLOOKUP(F883,plasmids!$A$2:$B$891,2)</f>
        <v>pAV2-7mD</v>
      </c>
      <c r="F883" s="3873">
        <v>670</v>
      </c>
      <c r="G883" s="4289"/>
      <c r="H883" s="4289" t="str">
        <f>VLOOKUP(I883,plasmids!$A$2:$B$940,2)</f>
        <v>hSyn1-Cre-WPRE</v>
      </c>
      <c r="I883" s="3870">
        <v>739</v>
      </c>
      <c r="J883" s="3875"/>
      <c r="K883" s="3876"/>
      <c r="L883" s="4290"/>
      <c r="M883" s="4968">
        <v>42825</v>
      </c>
      <c r="N883" s="3878">
        <v>921</v>
      </c>
      <c r="O883" s="3873"/>
      <c r="P883" s="4291"/>
      <c r="Q883" s="4969">
        <v>18700000000000</v>
      </c>
      <c r="R883" s="4970">
        <v>14600000000</v>
      </c>
      <c r="S883" s="4971">
        <f t="shared" si="11"/>
        <v>42010958904109.594</v>
      </c>
      <c r="T883" s="3870" t="s">
        <v>5962</v>
      </c>
      <c r="U883" s="3875"/>
      <c r="V883" s="3872">
        <f>437-10</f>
        <v>427</v>
      </c>
      <c r="W883" s="3883"/>
      <c r="X883" s="3680"/>
      <c r="Y883" s="3680"/>
      <c r="Z883" s="3680"/>
      <c r="AA883" s="3680"/>
      <c r="AB883" s="3680"/>
      <c r="AC883" s="3680"/>
      <c r="AD883" s="3680"/>
      <c r="AE883" s="3680"/>
      <c r="AF883" s="3680"/>
      <c r="AG883" s="3680"/>
      <c r="AH883" s="3680"/>
      <c r="AI883" s="3680"/>
      <c r="AJ883" s="3680"/>
      <c r="AK883" s="3680"/>
      <c r="AL883" s="3680"/>
      <c r="AM883" s="3680"/>
      <c r="AN883" s="3680"/>
      <c r="AO883" s="3680"/>
      <c r="AP883" s="3680"/>
      <c r="AQ883" s="3680"/>
      <c r="AR883" s="3680"/>
      <c r="AS883" s="3680"/>
      <c r="AT883" s="3680"/>
      <c r="AU883" s="3680"/>
      <c r="AV883" s="3680"/>
      <c r="AW883" s="3680"/>
      <c r="AX883" s="3680"/>
      <c r="AY883" s="3680"/>
      <c r="AZ883" s="3680"/>
      <c r="BA883" s="3680"/>
      <c r="BB883" s="3680"/>
      <c r="BC883" s="3680"/>
      <c r="BD883" s="3680"/>
      <c r="BE883" s="3680"/>
      <c r="BF883" s="3680"/>
      <c r="BG883" s="3680"/>
      <c r="BH883" s="3680"/>
      <c r="BI883" s="3680"/>
    </row>
    <row r="884" spans="1:61" ht="24.75" customHeight="1">
      <c r="A884" s="3870" t="s">
        <v>1549</v>
      </c>
      <c r="B884" s="3870" t="s">
        <v>5767</v>
      </c>
      <c r="C884" s="4967" t="s">
        <v>1967</v>
      </c>
      <c r="D884" s="3870" t="s">
        <v>5960</v>
      </c>
      <c r="E884" s="4942" t="str">
        <f>VLOOKUP(F884,plasmids!$A$2:$B$891,2)</f>
        <v>pAAV2 Lib-Tr-IV</v>
      </c>
      <c r="F884" s="3873">
        <v>751</v>
      </c>
      <c r="G884" s="3874"/>
      <c r="H884" s="4289" t="str">
        <f>VLOOKUP(I884,plasmids!$A$2:$B$940,2)</f>
        <v>pAAV2 Lib-Tr-IV</v>
      </c>
      <c r="I884" s="3870">
        <v>751</v>
      </c>
      <c r="J884" s="3874" t="s">
        <v>5961</v>
      </c>
      <c r="K884" s="3876"/>
      <c r="L884" s="4290"/>
      <c r="M884" s="4968">
        <v>42825</v>
      </c>
      <c r="N884" s="3878">
        <v>922</v>
      </c>
      <c r="O884" s="3873"/>
      <c r="P884" s="4291"/>
      <c r="Q884" s="4969">
        <v>9290000000000</v>
      </c>
      <c r="R884" s="4970">
        <v>14600000000</v>
      </c>
      <c r="S884" s="4971">
        <f t="shared" si="11"/>
        <v>20870684931506.852</v>
      </c>
      <c r="T884" s="3870" t="s">
        <v>5962</v>
      </c>
      <c r="U884" s="3875"/>
      <c r="V884" s="3872">
        <f>491</f>
        <v>491</v>
      </c>
      <c r="W884" s="3883"/>
      <c r="X884" s="3680"/>
      <c r="Y884" s="3680"/>
      <c r="Z884" s="3680"/>
      <c r="AA884" s="3680"/>
      <c r="AB884" s="3680"/>
      <c r="AC884" s="3680"/>
      <c r="AD884" s="3680"/>
      <c r="AE884" s="3680"/>
      <c r="AF884" s="3680"/>
      <c r="AG884" s="3680"/>
      <c r="AH884" s="3680"/>
      <c r="AI884" s="3680"/>
      <c r="AJ884" s="3680"/>
      <c r="AK884" s="3680"/>
      <c r="AL884" s="3680"/>
      <c r="AM884" s="3680"/>
      <c r="AN884" s="3680"/>
      <c r="AO884" s="3680"/>
      <c r="AP884" s="3680"/>
      <c r="AQ884" s="3680"/>
      <c r="AR884" s="3680"/>
      <c r="AS884" s="3680"/>
      <c r="AT884" s="3680"/>
      <c r="AU884" s="3680"/>
      <c r="AV884" s="3680"/>
      <c r="AW884" s="3680"/>
      <c r="AX884" s="3680"/>
      <c r="AY884" s="3680"/>
      <c r="AZ884" s="3680"/>
      <c r="BA884" s="3680"/>
      <c r="BB884" s="3680"/>
      <c r="BC884" s="3680"/>
      <c r="BD884" s="3680"/>
      <c r="BE884" s="3680"/>
      <c r="BF884" s="3680"/>
      <c r="BG884" s="3680"/>
      <c r="BH884" s="3680"/>
      <c r="BI884" s="3680"/>
    </row>
    <row r="885" spans="1:61" ht="24.75" customHeight="1">
      <c r="A885" s="4972" t="s">
        <v>5963</v>
      </c>
      <c r="B885" s="4972" t="s">
        <v>5964</v>
      </c>
      <c r="C885" s="4973" t="s">
        <v>5965</v>
      </c>
      <c r="D885" s="4972"/>
      <c r="E885" s="4974" t="str">
        <f>VLOOKUP(F885,plasmids!$A$2:$B$891,2)</f>
        <v>AAV9</v>
      </c>
      <c r="F885" s="4975">
        <v>166</v>
      </c>
      <c r="G885" s="4976"/>
      <c r="H885" s="4976" t="str">
        <f>VLOOKUP(I885,plasmids!$A$2:$B$940,2)</f>
        <v>AAV9-GFP-ScFLT3 (rat)</v>
      </c>
      <c r="I885" s="4972">
        <v>753</v>
      </c>
      <c r="J885" s="4972"/>
      <c r="K885" s="4977"/>
      <c r="L885" s="4978"/>
      <c r="M885" s="4979">
        <v>42825</v>
      </c>
      <c r="N885" s="4980">
        <v>923</v>
      </c>
      <c r="O885" s="4975"/>
      <c r="P885" s="4981"/>
      <c r="Q885" s="4982">
        <v>248000000000000</v>
      </c>
      <c r="R885" s="4982">
        <v>14600000000</v>
      </c>
      <c r="S885" s="4982">
        <f t="shared" si="11"/>
        <v>557150684931506.88</v>
      </c>
      <c r="T885" s="4972" t="s">
        <v>5962</v>
      </c>
      <c r="U885" s="4983"/>
      <c r="V885" s="4984">
        <f>517</f>
        <v>517</v>
      </c>
      <c r="W885" s="4972" t="s">
        <v>5966</v>
      </c>
      <c r="X885" s="4983"/>
      <c r="Y885" s="4983"/>
      <c r="Z885" s="4983"/>
      <c r="AA885" s="4983"/>
      <c r="AB885" s="4983"/>
      <c r="AC885" s="4983"/>
      <c r="AD885" s="4983"/>
      <c r="AE885" s="4983"/>
      <c r="AF885" s="4983"/>
      <c r="AG885" s="4983"/>
      <c r="AH885" s="4983"/>
      <c r="AI885" s="4983"/>
      <c r="AJ885" s="4983"/>
      <c r="AK885" s="4983"/>
      <c r="AL885" s="4983"/>
      <c r="AM885" s="4983"/>
      <c r="AN885" s="4983"/>
      <c r="AO885" s="4983"/>
      <c r="AP885" s="4983"/>
      <c r="AQ885" s="4983"/>
      <c r="AR885" s="4983"/>
      <c r="AS885" s="4983"/>
      <c r="AT885" s="4983"/>
      <c r="AU885" s="4983"/>
      <c r="AV885" s="4983"/>
      <c r="AW885" s="4983"/>
      <c r="AX885" s="4983"/>
      <c r="AY885" s="4983"/>
      <c r="AZ885" s="4983"/>
      <c r="BA885" s="4983"/>
      <c r="BB885" s="4983"/>
      <c r="BC885" s="4983"/>
      <c r="BD885" s="4983"/>
      <c r="BE885" s="4983"/>
      <c r="BF885" s="4983"/>
      <c r="BG885" s="4983"/>
      <c r="BH885" s="4983"/>
      <c r="BI885" s="4983"/>
    </row>
    <row r="886" spans="1:61" ht="24.75" customHeight="1">
      <c r="A886" s="4985" t="s">
        <v>5963</v>
      </c>
      <c r="B886" s="4972" t="s">
        <v>5964</v>
      </c>
      <c r="C886" s="4973" t="s">
        <v>5965</v>
      </c>
      <c r="D886" s="4972"/>
      <c r="E886" s="4974" t="str">
        <f>VLOOKUP(F886,plasmids!$A$2:$B$891,2)</f>
        <v>AAV9</v>
      </c>
      <c r="F886" s="4975">
        <v>166</v>
      </c>
      <c r="G886" s="4976"/>
      <c r="H886" s="4976" t="str">
        <f>VLOOKUP(I886,plasmids!$A$2:$B$940,2)</f>
        <v>AAV9-GFP-ScFLT3 (souris)</v>
      </c>
      <c r="I886" s="4972">
        <v>754</v>
      </c>
      <c r="J886" s="4972"/>
      <c r="K886" s="4977"/>
      <c r="L886" s="4978"/>
      <c r="M886" s="4979">
        <v>42825</v>
      </c>
      <c r="N886" s="4980">
        <v>924</v>
      </c>
      <c r="O886" s="4975"/>
      <c r="P886" s="4981"/>
      <c r="Q886" s="4982">
        <v>168000000000000</v>
      </c>
      <c r="R886" s="4982">
        <v>14600000000</v>
      </c>
      <c r="S886" s="4982">
        <f t="shared" si="11"/>
        <v>377424657534246.56</v>
      </c>
      <c r="T886" s="4972" t="s">
        <v>5962</v>
      </c>
      <c r="U886" s="4983"/>
      <c r="V886" s="4984">
        <f>481</f>
        <v>481</v>
      </c>
      <c r="W886" s="4972" t="s">
        <v>5966</v>
      </c>
      <c r="X886" s="4983"/>
      <c r="Y886" s="4983"/>
      <c r="Z886" s="4983"/>
      <c r="AA886" s="4983"/>
      <c r="AB886" s="4983"/>
      <c r="AC886" s="4983"/>
      <c r="AD886" s="4983"/>
      <c r="AE886" s="4983"/>
      <c r="AF886" s="4983"/>
      <c r="AG886" s="4983"/>
      <c r="AH886" s="4983"/>
      <c r="AI886" s="4983"/>
      <c r="AJ886" s="4983"/>
      <c r="AK886" s="4983"/>
      <c r="AL886" s="4983"/>
      <c r="AM886" s="4983"/>
      <c r="AN886" s="4983"/>
      <c r="AO886" s="4983"/>
      <c r="AP886" s="4983"/>
      <c r="AQ886" s="4983"/>
      <c r="AR886" s="4983"/>
      <c r="AS886" s="4983"/>
      <c r="AT886" s="4983"/>
      <c r="AU886" s="4983"/>
      <c r="AV886" s="4983"/>
      <c r="AW886" s="4983"/>
      <c r="AX886" s="4983"/>
      <c r="AY886" s="4983"/>
      <c r="AZ886" s="4983"/>
      <c r="BA886" s="4983"/>
      <c r="BB886" s="4983"/>
      <c r="BC886" s="4983"/>
      <c r="BD886" s="4983"/>
      <c r="BE886" s="4983"/>
      <c r="BF886" s="4983"/>
      <c r="BG886" s="4983"/>
      <c r="BH886" s="4983"/>
      <c r="BI886" s="4983"/>
    </row>
    <row r="887" spans="1:61" ht="24.75" customHeight="1">
      <c r="A887" s="4985" t="s">
        <v>5963</v>
      </c>
      <c r="B887" s="4972" t="s">
        <v>5964</v>
      </c>
      <c r="C887" s="4973" t="s">
        <v>5965</v>
      </c>
      <c r="D887" s="4972"/>
      <c r="E887" s="4974" t="str">
        <f>VLOOKUP(F887,plasmids!$A$2:$B$891,2)</f>
        <v>AAV9</v>
      </c>
      <c r="F887" s="4975">
        <v>166</v>
      </c>
      <c r="G887" s="4976"/>
      <c r="H887" s="4976" t="str">
        <f>VLOOKUP(I887,plasmids!$A$2:$B$940,2)</f>
        <v>AAV9-GFP-shFLT3 (rat)</v>
      </c>
      <c r="I887" s="4972">
        <v>755</v>
      </c>
      <c r="J887" s="4972"/>
      <c r="K887" s="4977"/>
      <c r="L887" s="4978"/>
      <c r="M887" s="4979">
        <v>42825</v>
      </c>
      <c r="N887" s="4980">
        <v>925</v>
      </c>
      <c r="O887" s="4975"/>
      <c r="P887" s="4981"/>
      <c r="Q887" s="4982">
        <v>111000000000000</v>
      </c>
      <c r="R887" s="4982">
        <v>14600000000</v>
      </c>
      <c r="S887" s="4982">
        <f t="shared" si="11"/>
        <v>249369863013698.66</v>
      </c>
      <c r="T887" s="4972" t="s">
        <v>5962</v>
      </c>
      <c r="U887" s="4983"/>
      <c r="V887" s="4984">
        <f>402</f>
        <v>402</v>
      </c>
      <c r="W887" s="4972" t="s">
        <v>5966</v>
      </c>
      <c r="X887" s="4983"/>
      <c r="Y887" s="4983"/>
      <c r="Z887" s="4983"/>
      <c r="AA887" s="4983"/>
      <c r="AB887" s="4983"/>
      <c r="AC887" s="4983"/>
      <c r="AD887" s="4983"/>
      <c r="AE887" s="4983"/>
      <c r="AF887" s="4983"/>
      <c r="AG887" s="4983"/>
      <c r="AH887" s="4983"/>
      <c r="AI887" s="4983"/>
      <c r="AJ887" s="4983"/>
      <c r="AK887" s="4983"/>
      <c r="AL887" s="4983"/>
      <c r="AM887" s="4983"/>
      <c r="AN887" s="4983"/>
      <c r="AO887" s="4983"/>
      <c r="AP887" s="4983"/>
      <c r="AQ887" s="4983"/>
      <c r="AR887" s="4983"/>
      <c r="AS887" s="4983"/>
      <c r="AT887" s="4983"/>
      <c r="AU887" s="4983"/>
      <c r="AV887" s="4983"/>
      <c r="AW887" s="4983"/>
      <c r="AX887" s="4983"/>
      <c r="AY887" s="4983"/>
      <c r="AZ887" s="4983"/>
      <c r="BA887" s="4983"/>
      <c r="BB887" s="4983"/>
      <c r="BC887" s="4983"/>
      <c r="BD887" s="4983"/>
      <c r="BE887" s="4983"/>
      <c r="BF887" s="4983"/>
      <c r="BG887" s="4983"/>
      <c r="BH887" s="4983"/>
      <c r="BI887" s="4983"/>
    </row>
    <row r="888" spans="1:61" ht="24.75" customHeight="1">
      <c r="A888" s="4985" t="s">
        <v>5963</v>
      </c>
      <c r="B888" s="4972" t="s">
        <v>5964</v>
      </c>
      <c r="C888" s="4973" t="s">
        <v>5965</v>
      </c>
      <c r="D888" s="4972"/>
      <c r="E888" s="4974" t="str">
        <f>VLOOKUP(F888,plasmids!$A$2:$B$891,2)</f>
        <v>AAV9</v>
      </c>
      <c r="F888" s="4975">
        <v>166</v>
      </c>
      <c r="G888" s="4976"/>
      <c r="H888" s="4976" t="str">
        <f>VLOOKUP(I888,plasmids!$A$2:$B$940,2)</f>
        <v>AAV9-GFP-shFLT3 (souris)</v>
      </c>
      <c r="I888" s="4972">
        <v>756</v>
      </c>
      <c r="J888" s="4972"/>
      <c r="K888" s="4977"/>
      <c r="L888" s="4978"/>
      <c r="M888" s="4979">
        <v>42825</v>
      </c>
      <c r="N888" s="4980">
        <v>926</v>
      </c>
      <c r="O888" s="4975"/>
      <c r="P888" s="4981"/>
      <c r="Q888" s="4982">
        <v>348000000000000</v>
      </c>
      <c r="R888" s="4982">
        <v>14600000000</v>
      </c>
      <c r="S888" s="4982">
        <f t="shared" si="11"/>
        <v>781808219178082.25</v>
      </c>
      <c r="T888" s="4972" t="s">
        <v>5962</v>
      </c>
      <c r="U888" s="4983"/>
      <c r="V888" s="4984">
        <f>547</f>
        <v>547</v>
      </c>
      <c r="W888" s="4972" t="s">
        <v>5966</v>
      </c>
      <c r="X888" s="4983"/>
      <c r="Y888" s="4983"/>
      <c r="Z888" s="4983"/>
      <c r="AA888" s="4983"/>
      <c r="AB888" s="4983"/>
      <c r="AC888" s="4983"/>
      <c r="AD888" s="4983"/>
      <c r="AE888" s="4983"/>
      <c r="AF888" s="4983"/>
      <c r="AG888" s="4983"/>
      <c r="AH888" s="4983"/>
      <c r="AI888" s="4983"/>
      <c r="AJ888" s="4983"/>
      <c r="AK888" s="4983"/>
      <c r="AL888" s="4983"/>
      <c r="AM888" s="4983"/>
      <c r="AN888" s="4983"/>
      <c r="AO888" s="4983"/>
      <c r="AP888" s="4983"/>
      <c r="AQ888" s="4983"/>
      <c r="AR888" s="4983"/>
      <c r="AS888" s="4983"/>
      <c r="AT888" s="4983"/>
      <c r="AU888" s="4983"/>
      <c r="AV888" s="4983"/>
      <c r="AW888" s="4983"/>
      <c r="AX888" s="4983"/>
      <c r="AY888" s="4983"/>
      <c r="AZ888" s="4983"/>
      <c r="BA888" s="4983"/>
      <c r="BB888" s="4983"/>
      <c r="BC888" s="4983"/>
      <c r="BD888" s="4983"/>
      <c r="BE888" s="4983"/>
      <c r="BF888" s="4983"/>
      <c r="BG888" s="4983"/>
      <c r="BH888" s="4983"/>
      <c r="BI888" s="4983"/>
    </row>
    <row r="889" spans="1:61" ht="27.75" customHeight="1">
      <c r="A889" s="4924" t="s">
        <v>1343</v>
      </c>
      <c r="B889" s="4924" t="s">
        <v>5732</v>
      </c>
      <c r="C889" s="4925" t="s">
        <v>5708</v>
      </c>
      <c r="D889" s="4924" t="s">
        <v>3782</v>
      </c>
      <c r="E889" s="4926" t="str">
        <f>VLOOKUP(F889,plasmids!$A$2:$B$891,2)</f>
        <v>AAV2-7m8</v>
      </c>
      <c r="F889" s="4927">
        <v>178</v>
      </c>
      <c r="G889" s="4928"/>
      <c r="H889" s="4928" t="str">
        <f>VLOOKUP(I889,plasmids!$A$2:$B$940,2)</f>
        <v>pssAAV-mCAR-Jaws-GFP</v>
      </c>
      <c r="I889" s="4924">
        <v>89</v>
      </c>
      <c r="J889" s="4929"/>
      <c r="K889" s="4930"/>
      <c r="L889" s="4931"/>
      <c r="M889" s="4932">
        <v>42832</v>
      </c>
      <c r="N889" s="4933">
        <v>927</v>
      </c>
      <c r="O889" s="4927"/>
      <c r="P889" s="4934"/>
      <c r="Q889" s="4935">
        <v>5250000000000</v>
      </c>
      <c r="R889" s="4936">
        <v>16700000000</v>
      </c>
      <c r="S889" s="4953">
        <f t="shared" si="11"/>
        <v>10311377245508.982</v>
      </c>
      <c r="T889" s="4940"/>
      <c r="U889" s="4939"/>
      <c r="V889" s="4940">
        <v>380</v>
      </c>
      <c r="W889" s="4940" t="s">
        <v>2812</v>
      </c>
      <c r="X889" s="4939"/>
      <c r="Y889" s="4939"/>
      <c r="Z889" s="4939"/>
      <c r="AA889" s="4939"/>
      <c r="AB889" s="4939"/>
      <c r="AC889" s="4939"/>
      <c r="AD889" s="4939"/>
      <c r="AE889" s="4939"/>
      <c r="AF889" s="4939"/>
      <c r="AG889" s="4939"/>
      <c r="AH889" s="4939"/>
      <c r="AI889" s="4939"/>
      <c r="AJ889" s="4939"/>
      <c r="AK889" s="4939"/>
      <c r="AL889" s="4939"/>
      <c r="AM889" s="4939"/>
      <c r="AN889" s="4939"/>
      <c r="AO889" s="4939"/>
      <c r="AP889" s="4939"/>
      <c r="AQ889" s="4939"/>
      <c r="AR889" s="4939"/>
      <c r="AS889" s="4939"/>
      <c r="AT889" s="4939"/>
      <c r="AU889" s="4939"/>
      <c r="AV889" s="4939"/>
      <c r="AW889" s="4939"/>
      <c r="AX889" s="4939"/>
      <c r="AY889" s="4939"/>
      <c r="AZ889" s="4939"/>
      <c r="BA889" s="4939"/>
      <c r="BB889" s="4939"/>
      <c r="BC889" s="4939"/>
      <c r="BD889" s="4939"/>
      <c r="BE889" s="4939"/>
      <c r="BF889" s="4939"/>
      <c r="BG889" s="4939"/>
      <c r="BH889" s="4939"/>
      <c r="BI889" s="4939"/>
    </row>
    <row r="890" spans="1:61" ht="24.75" customHeight="1">
      <c r="A890" s="4986" t="s">
        <v>5897</v>
      </c>
      <c r="B890" s="4986" t="s">
        <v>5898</v>
      </c>
      <c r="C890" s="4987" t="s">
        <v>5899</v>
      </c>
      <c r="D890" s="4986" t="s">
        <v>568</v>
      </c>
      <c r="E890" s="4988" t="str">
        <f>VLOOKUP(F890,plasmids!$A$2:$B$351,2)</f>
        <v>AAV2-7m8</v>
      </c>
      <c r="F890" s="4986">
        <v>178</v>
      </c>
      <c r="G890" s="4989"/>
      <c r="H890" s="4989" t="str">
        <f>VLOOKUP(I890,plasmids!$A$2:$B$951,2)</f>
        <v>pssAAV-pR1.7-GFP</v>
      </c>
      <c r="I890" s="4986">
        <v>566</v>
      </c>
      <c r="J890" s="4990"/>
      <c r="K890" s="4991"/>
      <c r="L890" s="4992"/>
      <c r="M890" s="4993">
        <v>42832</v>
      </c>
      <c r="N890" s="4994">
        <v>928</v>
      </c>
      <c r="O890" s="4995"/>
      <c r="P890" s="4996"/>
      <c r="Q890" s="4997">
        <v>4490000000000</v>
      </c>
      <c r="R890" s="4997">
        <v>8150000000</v>
      </c>
      <c r="S890" s="4997">
        <f t="shared" si="11"/>
        <v>18070184049079.754</v>
      </c>
      <c r="T890" s="4986"/>
      <c r="U890" s="4990"/>
      <c r="V890" s="4998">
        <f>436</f>
        <v>436</v>
      </c>
      <c r="W890" s="4999" t="s">
        <v>5967</v>
      </c>
      <c r="X890" s="5000"/>
      <c r="Y890" s="5000"/>
      <c r="Z890" s="5000"/>
      <c r="AA890" s="5000"/>
      <c r="AB890" s="5000"/>
      <c r="AC890" s="5000"/>
      <c r="AD890" s="5000"/>
      <c r="AE890" s="5000"/>
      <c r="AF890" s="5000"/>
      <c r="AG890" s="5000"/>
      <c r="AH890" s="5000"/>
      <c r="AI890" s="5000"/>
      <c r="AJ890" s="5000"/>
      <c r="AK890" s="5000"/>
      <c r="AL890" s="5000"/>
      <c r="AM890" s="5000"/>
      <c r="AN890" s="5000"/>
      <c r="AO890" s="5000"/>
      <c r="AP890" s="5000"/>
      <c r="AQ890" s="5000"/>
      <c r="AR890" s="5000"/>
      <c r="AS890" s="5000"/>
      <c r="AT890" s="5000"/>
      <c r="AU890" s="5000"/>
      <c r="AV890" s="5000"/>
      <c r="AW890" s="5000"/>
      <c r="AX890" s="5000"/>
      <c r="AY890" s="5000"/>
      <c r="AZ890" s="5000"/>
      <c r="BA890" s="5000"/>
      <c r="BB890" s="5000"/>
      <c r="BC890" s="5000"/>
      <c r="BD890" s="5000"/>
      <c r="BE890" s="5000"/>
      <c r="BF890" s="5000"/>
      <c r="BG890" s="5000"/>
      <c r="BH890" s="5000"/>
      <c r="BI890" s="5000"/>
    </row>
    <row r="891" spans="1:61" ht="30.75" customHeight="1">
      <c r="A891" s="4167" t="s">
        <v>691</v>
      </c>
      <c r="B891" s="4167" t="s">
        <v>2176</v>
      </c>
      <c r="C891" s="4168" t="s">
        <v>178</v>
      </c>
      <c r="D891" s="4169" t="s">
        <v>70</v>
      </c>
      <c r="E891" s="4170" t="str">
        <f>VLOOKUP(F891,plasmids!$A$2:$B$891,2)</f>
        <v>AAV2</v>
      </c>
      <c r="F891" s="4169">
        <v>140</v>
      </c>
      <c r="G891" s="4171"/>
      <c r="H891" s="5001" t="s">
        <v>5968</v>
      </c>
      <c r="I891" s="4167">
        <v>558</v>
      </c>
      <c r="J891" s="4167"/>
      <c r="K891" s="4172" t="s">
        <v>2185</v>
      </c>
      <c r="L891" s="4173"/>
      <c r="M891" s="4174">
        <v>42832</v>
      </c>
      <c r="N891" s="4175">
        <v>929</v>
      </c>
      <c r="O891" s="4176"/>
      <c r="P891" s="4177"/>
      <c r="Q891" s="4178">
        <v>9350000000000</v>
      </c>
      <c r="R891" s="4179">
        <v>16700000000</v>
      </c>
      <c r="S891" s="4180">
        <f t="shared" si="11"/>
        <v>18364071856287.426</v>
      </c>
      <c r="T891" s="4181"/>
      <c r="U891" s="4169"/>
      <c r="V891" s="4182">
        <v>480</v>
      </c>
      <c r="W891" s="4183" t="s">
        <v>5969</v>
      </c>
      <c r="X891" s="4184"/>
      <c r="Y891" s="4185"/>
      <c r="Z891" s="4185"/>
      <c r="AA891" s="4185"/>
      <c r="AB891" s="4185"/>
      <c r="AC891" s="4185"/>
      <c r="AD891" s="4185"/>
      <c r="AE891" s="4185"/>
      <c r="AF891" s="4185"/>
      <c r="AG891" s="4185"/>
      <c r="AH891" s="4185"/>
      <c r="AI891" s="4185"/>
      <c r="AJ891" s="4185"/>
      <c r="AK891" s="4185"/>
      <c r="AL891" s="4185"/>
      <c r="AM891" s="4185"/>
      <c r="AN891" s="4185"/>
      <c r="AO891" s="4185"/>
      <c r="AP891" s="4185"/>
      <c r="AQ891" s="4185"/>
      <c r="AR891" s="4185"/>
      <c r="AS891" s="4185"/>
      <c r="AT891" s="4185"/>
      <c r="AU891" s="4185"/>
      <c r="AV891" s="4185"/>
      <c r="AW891" s="4185"/>
      <c r="AX891" s="4185"/>
      <c r="AY891" s="4185"/>
      <c r="AZ891" s="4185"/>
      <c r="BA891" s="4185"/>
      <c r="BB891" s="4185"/>
      <c r="BC891" s="4185"/>
      <c r="BD891" s="4185"/>
      <c r="BE891" s="4185"/>
      <c r="BF891" s="4185"/>
      <c r="BG891" s="4185"/>
      <c r="BH891" s="4185"/>
      <c r="BI891" s="4185"/>
    </row>
    <row r="892" spans="1:61" ht="24.75" customHeight="1">
      <c r="A892" s="5002" t="s">
        <v>600</v>
      </c>
      <c r="B892" s="5002" t="s">
        <v>5139</v>
      </c>
      <c r="C892" s="5003" t="s">
        <v>301</v>
      </c>
      <c r="D892" s="5002" t="s">
        <v>301</v>
      </c>
      <c r="E892" s="5004" t="s">
        <v>5970</v>
      </c>
      <c r="F892" s="5005" t="s">
        <v>5971</v>
      </c>
      <c r="G892" s="5006"/>
      <c r="H892" s="5006" t="str">
        <f>VLOOKUP(I892,plasmids!$A$2:$B$891,2)</f>
        <v>sc-CAG-GFP</v>
      </c>
      <c r="I892" s="5002">
        <v>120</v>
      </c>
      <c r="J892" s="5002" t="s">
        <v>5972</v>
      </c>
      <c r="K892" s="5007"/>
      <c r="L892" s="5008"/>
      <c r="M892" s="5009">
        <v>42832</v>
      </c>
      <c r="N892" s="5010">
        <v>930</v>
      </c>
      <c r="O892" s="5005"/>
      <c r="P892" s="5011"/>
      <c r="Q892" s="5012">
        <v>4030000000000</v>
      </c>
      <c r="R892" s="5013">
        <v>8150000000</v>
      </c>
      <c r="S892" s="5014">
        <f t="shared" si="11"/>
        <v>16218895705521.473</v>
      </c>
      <c r="T892" s="5002" t="s">
        <v>5973</v>
      </c>
      <c r="U892" s="5015"/>
      <c r="V892" s="5004">
        <v>100</v>
      </c>
      <c r="W892" s="5016"/>
      <c r="X892" s="5017"/>
      <c r="Y892" s="5017"/>
      <c r="Z892" s="5017"/>
      <c r="AA892" s="5017"/>
      <c r="AB892" s="5017"/>
      <c r="AC892" s="5017"/>
      <c r="AD892" s="5017"/>
      <c r="AE892" s="5017"/>
      <c r="AF892" s="5017"/>
      <c r="AG892" s="5017"/>
      <c r="AH892" s="5017"/>
      <c r="AI892" s="5017"/>
      <c r="AJ892" s="5017"/>
      <c r="AK892" s="5017"/>
      <c r="AL892" s="5017"/>
      <c r="AM892" s="5017"/>
      <c r="AN892" s="5017"/>
      <c r="AO892" s="5017"/>
      <c r="AP892" s="5017"/>
      <c r="AQ892" s="5017"/>
      <c r="AR892" s="5017"/>
      <c r="AS892" s="5017"/>
      <c r="AT892" s="5017"/>
      <c r="AU892" s="5017"/>
      <c r="AV892" s="5017"/>
      <c r="AW892" s="5017"/>
      <c r="AX892" s="5017"/>
      <c r="AY892" s="5017"/>
      <c r="AZ892" s="5017"/>
      <c r="BA892" s="5017"/>
      <c r="BB892" s="5017"/>
      <c r="BC892" s="5017"/>
      <c r="BD892" s="5017"/>
      <c r="BE892" s="5017"/>
      <c r="BF892" s="5017"/>
      <c r="BG892" s="5017"/>
      <c r="BH892" s="5017"/>
      <c r="BI892" s="5017"/>
    </row>
    <row r="893" spans="1:61" ht="24.75" customHeight="1">
      <c r="A893" s="4789" t="s">
        <v>5924</v>
      </c>
      <c r="B893" s="4789" t="s">
        <v>5925</v>
      </c>
      <c r="C893" s="4790" t="s">
        <v>2510</v>
      </c>
      <c r="D893" s="4789" t="s">
        <v>5547</v>
      </c>
      <c r="E893" s="4855" t="s">
        <v>58</v>
      </c>
      <c r="F893" s="4792">
        <v>178</v>
      </c>
      <c r="G893" s="4793"/>
      <c r="H893" s="4794" t="str">
        <f>VLOOKUP(I893,plasmids!$A$2:$B$940,2)</f>
        <v>pssAAV-hRho-SuperNova</v>
      </c>
      <c r="I893" s="4789">
        <v>721</v>
      </c>
      <c r="J893" s="4795"/>
      <c r="K893" s="4796"/>
      <c r="L893" s="4797"/>
      <c r="M893" s="4669">
        <v>42832</v>
      </c>
      <c r="N893" s="4798">
        <v>931</v>
      </c>
      <c r="O893" s="4792"/>
      <c r="P893" s="4799"/>
      <c r="Q893" s="4800">
        <v>7610000000000</v>
      </c>
      <c r="R893" s="4801">
        <v>8150000000</v>
      </c>
      <c r="S893" s="4802">
        <f t="shared" ref="S893:S894" si="12">(32800000000/R886)*Q886</f>
        <v>377424657534246.56</v>
      </c>
      <c r="T893" s="4789" t="s">
        <v>5973</v>
      </c>
      <c r="U893" s="4795"/>
      <c r="V893" s="4791">
        <v>480</v>
      </c>
      <c r="W893" s="4803"/>
      <c r="X893" s="4804"/>
      <c r="Y893" s="4804"/>
      <c r="Z893" s="4804"/>
      <c r="AA893" s="4804"/>
      <c r="AB893" s="4804"/>
      <c r="AC893" s="4804"/>
      <c r="AD893" s="4804"/>
      <c r="AE893" s="4804"/>
      <c r="AF893" s="4804"/>
      <c r="AG893" s="4804"/>
      <c r="AH893" s="4804"/>
      <c r="AI893" s="4804"/>
      <c r="AJ893" s="4804"/>
      <c r="AK893" s="4804"/>
      <c r="AL893" s="4804"/>
      <c r="AM893" s="4804"/>
      <c r="AN893" s="4804"/>
      <c r="AO893" s="4804"/>
      <c r="AP893" s="4804"/>
      <c r="AQ893" s="4804"/>
      <c r="AR893" s="4804"/>
      <c r="AS893" s="4804"/>
      <c r="AT893" s="4804"/>
      <c r="AU893" s="4804"/>
      <c r="AV893" s="4804"/>
      <c r="AW893" s="4804"/>
      <c r="AX893" s="4804"/>
      <c r="AY893" s="4804"/>
      <c r="AZ893" s="4804"/>
      <c r="BA893" s="4804"/>
      <c r="BB893" s="4804"/>
      <c r="BC893" s="4804"/>
      <c r="BD893" s="4804"/>
      <c r="BE893" s="4804"/>
      <c r="BF893" s="4804"/>
      <c r="BG893" s="4804"/>
      <c r="BH893" s="4804"/>
      <c r="BI893" s="4804"/>
    </row>
    <row r="894" spans="1:61" ht="24.75" customHeight="1">
      <c r="A894" s="4789" t="s">
        <v>5924</v>
      </c>
      <c r="B894" s="4789" t="s">
        <v>5925</v>
      </c>
      <c r="C894" s="4790" t="s">
        <v>2510</v>
      </c>
      <c r="D894" s="4789" t="s">
        <v>5547</v>
      </c>
      <c r="E894" s="4791" t="s">
        <v>2590</v>
      </c>
      <c r="F894" s="4792">
        <v>154</v>
      </c>
      <c r="G894" s="4793"/>
      <c r="H894" s="4794" t="str">
        <f>VLOOKUP(I894,plasmids!$A$2:$B$940,2)</f>
        <v>pssAAV-hRho-SuperNova</v>
      </c>
      <c r="I894" s="4789">
        <v>721</v>
      </c>
      <c r="J894" s="4795"/>
      <c r="K894" s="4796"/>
      <c r="L894" s="4797"/>
      <c r="M894" s="4669">
        <v>42832</v>
      </c>
      <c r="N894" s="4798">
        <v>932</v>
      </c>
      <c r="O894" s="4792"/>
      <c r="P894" s="4799"/>
      <c r="Q894" s="4800">
        <v>85200000000000</v>
      </c>
      <c r="R894" s="4801">
        <v>8150000000</v>
      </c>
      <c r="S894" s="4802">
        <f t="shared" si="12"/>
        <v>249369863013698.66</v>
      </c>
      <c r="T894" s="4789" t="s">
        <v>5973</v>
      </c>
      <c r="U894" s="4789" t="s">
        <v>5974</v>
      </c>
      <c r="V894" s="4791">
        <v>440</v>
      </c>
      <c r="W894" s="4803"/>
      <c r="X894" s="4804"/>
      <c r="Y894" s="4804"/>
      <c r="Z894" s="4804"/>
      <c r="AA894" s="4804"/>
      <c r="AB894" s="4804"/>
      <c r="AC894" s="4804"/>
      <c r="AD894" s="4804"/>
      <c r="AE894" s="4804"/>
      <c r="AF894" s="4804"/>
      <c r="AG894" s="4804"/>
      <c r="AH894" s="4804"/>
      <c r="AI894" s="4804"/>
      <c r="AJ894" s="4804"/>
      <c r="AK894" s="4804"/>
      <c r="AL894" s="4804"/>
      <c r="AM894" s="4804"/>
      <c r="AN894" s="4804"/>
      <c r="AO894" s="4804"/>
      <c r="AP894" s="4804"/>
      <c r="AQ894" s="4804"/>
      <c r="AR894" s="4804"/>
      <c r="AS894" s="4804"/>
      <c r="AT894" s="4804"/>
      <c r="AU894" s="4804"/>
      <c r="AV894" s="4804"/>
      <c r="AW894" s="4804"/>
      <c r="AX894" s="4804"/>
      <c r="AY894" s="4804"/>
      <c r="AZ894" s="4804"/>
      <c r="BA894" s="4804"/>
      <c r="BB894" s="4804"/>
      <c r="BC894" s="4804"/>
      <c r="BD894" s="4804"/>
      <c r="BE894" s="4804"/>
      <c r="BF894" s="4804"/>
      <c r="BG894" s="4804"/>
      <c r="BH894" s="4804"/>
      <c r="BI894" s="4804"/>
    </row>
    <row r="895" spans="1:61" ht="28.5" customHeight="1">
      <c r="A895" s="2762" t="s">
        <v>5975</v>
      </c>
      <c r="B895" s="2764" t="s">
        <v>4808</v>
      </c>
      <c r="C895" s="2766" t="s">
        <v>178</v>
      </c>
      <c r="D895" s="2764" t="s">
        <v>5547</v>
      </c>
      <c r="E895" s="3577" t="str">
        <f>VLOOKUP(F895,plasmids!$A$2:$B$891,2)</f>
        <v>AAV9 2YF</v>
      </c>
      <c r="F895" s="2764">
        <v>168</v>
      </c>
      <c r="G895" s="2767"/>
      <c r="H895" s="2767" t="str">
        <f>VLOOKUP(I895,plasmids!$A$2:$B$940,2)</f>
        <v>pAAV-hRho-eNpHR-EYFP</v>
      </c>
      <c r="I895" s="2764">
        <v>392</v>
      </c>
      <c r="J895" s="2768"/>
      <c r="K895" s="2769"/>
      <c r="L895" s="2778"/>
      <c r="M895" s="2771">
        <v>42832</v>
      </c>
      <c r="N895" s="5018">
        <v>933</v>
      </c>
      <c r="O895" s="2762"/>
      <c r="P895" s="2762"/>
      <c r="Q895" s="3589">
        <v>108000000000000</v>
      </c>
      <c r="R895" s="5019">
        <v>8150000000</v>
      </c>
      <c r="S895" s="2777">
        <f>(32800000000/R890)*Q890</f>
        <v>18070184049079.754</v>
      </c>
      <c r="T895" s="2778"/>
      <c r="U895" s="2768"/>
      <c r="V895" s="2762">
        <f>437</f>
        <v>437</v>
      </c>
      <c r="W895" s="2762" t="s">
        <v>2812</v>
      </c>
      <c r="X895" s="2768"/>
      <c r="Y895" s="2762"/>
      <c r="Z895" s="2768"/>
      <c r="AA895" s="2768"/>
      <c r="AB895" s="2768"/>
      <c r="AC895" s="2768"/>
      <c r="AD895" s="2768"/>
      <c r="AE895" s="2768"/>
      <c r="AF895" s="2768"/>
      <c r="AG895" s="2768"/>
      <c r="AH895" s="2768"/>
      <c r="AI895" s="2768"/>
      <c r="AJ895" s="2768"/>
      <c r="AK895" s="2768"/>
      <c r="AL895" s="2768"/>
      <c r="AM895" s="2768"/>
      <c r="AN895" s="2768"/>
      <c r="AO895" s="2768"/>
      <c r="AP895" s="2768"/>
      <c r="AQ895" s="2768"/>
      <c r="AR895" s="2768"/>
      <c r="AS895" s="2768"/>
      <c r="AT895" s="2768"/>
      <c r="AU895" s="2768"/>
      <c r="AV895" s="2768"/>
      <c r="AW895" s="2768"/>
      <c r="AX895" s="2768"/>
      <c r="AY895" s="2768"/>
      <c r="AZ895" s="2768"/>
      <c r="BA895" s="2768"/>
      <c r="BB895" s="2768"/>
      <c r="BC895" s="2768"/>
      <c r="BD895" s="2768"/>
      <c r="BE895" s="2768"/>
      <c r="BF895" s="2768"/>
      <c r="BG895" s="2768"/>
      <c r="BH895" s="2768"/>
      <c r="BI895" s="2768"/>
    </row>
    <row r="896" spans="1:61" ht="28.5" customHeight="1">
      <c r="A896" s="2762" t="s">
        <v>5975</v>
      </c>
      <c r="B896" s="2764" t="s">
        <v>4808</v>
      </c>
      <c r="C896" s="2766" t="s">
        <v>178</v>
      </c>
      <c r="D896" s="2764" t="s">
        <v>5547</v>
      </c>
      <c r="E896" s="3577" t="str">
        <f>VLOOKUP(F896,plasmids!$A$2:$B$891,2)</f>
        <v>AAV9 2YF</v>
      </c>
      <c r="F896" s="2764">
        <v>168</v>
      </c>
      <c r="G896" s="2767"/>
      <c r="H896" s="2767" t="str">
        <f>VLOOKUP(I896,plasmids!$A$2:$B$940,2)</f>
        <v>pscAAV-hRho-GFP</v>
      </c>
      <c r="I896" s="2764">
        <v>588</v>
      </c>
      <c r="J896" s="2768"/>
      <c r="K896" s="2769"/>
      <c r="L896" s="2778"/>
      <c r="M896" s="2771">
        <v>42832</v>
      </c>
      <c r="N896" s="5018">
        <v>934</v>
      </c>
      <c r="O896" s="2762"/>
      <c r="P896" s="2762"/>
      <c r="Q896" s="3589">
        <v>32200000000000</v>
      </c>
      <c r="R896" s="5019">
        <v>8150000000</v>
      </c>
      <c r="S896" s="2777">
        <f>(32800000000/R893)*Q893</f>
        <v>30626748466257.668</v>
      </c>
      <c r="T896" s="2778"/>
      <c r="U896" s="2768"/>
      <c r="V896" s="2762">
        <f>533</f>
        <v>533</v>
      </c>
      <c r="W896" s="2762" t="s">
        <v>2812</v>
      </c>
      <c r="X896" s="2768"/>
      <c r="Y896" s="2762"/>
      <c r="Z896" s="2768"/>
      <c r="AA896" s="2768"/>
      <c r="AB896" s="2768"/>
      <c r="AC896" s="2768"/>
      <c r="AD896" s="2768"/>
      <c r="AE896" s="2768"/>
      <c r="AF896" s="2768"/>
      <c r="AG896" s="2768"/>
      <c r="AH896" s="2768"/>
      <c r="AI896" s="2768"/>
      <c r="AJ896" s="2768"/>
      <c r="AK896" s="2768"/>
      <c r="AL896" s="2768"/>
      <c r="AM896" s="2768"/>
      <c r="AN896" s="2768"/>
      <c r="AO896" s="2768"/>
      <c r="AP896" s="2768"/>
      <c r="AQ896" s="2768"/>
      <c r="AR896" s="2768"/>
      <c r="AS896" s="2768"/>
      <c r="AT896" s="2768"/>
      <c r="AU896" s="2768"/>
      <c r="AV896" s="2768"/>
      <c r="AW896" s="2768"/>
      <c r="AX896" s="2768"/>
      <c r="AY896" s="2768"/>
      <c r="AZ896" s="2768"/>
      <c r="BA896" s="2768"/>
      <c r="BB896" s="2768"/>
      <c r="BC896" s="2768"/>
      <c r="BD896" s="2768"/>
      <c r="BE896" s="2768"/>
      <c r="BF896" s="2768"/>
      <c r="BG896" s="2768"/>
      <c r="BH896" s="2768"/>
      <c r="BI896" s="2768"/>
    </row>
    <row r="897" spans="1:61" ht="24.75" customHeight="1">
      <c r="A897" s="4789" t="s">
        <v>5924</v>
      </c>
      <c r="B897" s="4856" t="s">
        <v>5925</v>
      </c>
      <c r="C897" s="4790" t="s">
        <v>2510</v>
      </c>
      <c r="D897" s="4789" t="s">
        <v>5547</v>
      </c>
      <c r="E897" s="4791" t="s">
        <v>575</v>
      </c>
      <c r="F897" s="4792">
        <v>122</v>
      </c>
      <c r="G897" s="4793"/>
      <c r="H897" s="4794" t="str">
        <f>VLOOKUP(I897,plasmids!$A$2:$B$940,2)</f>
        <v>pssAAV-hRho-SuperNova</v>
      </c>
      <c r="I897" s="4789">
        <v>721</v>
      </c>
      <c r="J897" s="4795"/>
      <c r="K897" s="4796"/>
      <c r="L897" s="4797"/>
      <c r="M897" s="4669">
        <v>42832</v>
      </c>
      <c r="N897" s="4798">
        <v>935</v>
      </c>
      <c r="O897" s="4792"/>
      <c r="P897" s="4799"/>
      <c r="Q897" s="4800">
        <v>66300000000000</v>
      </c>
      <c r="R897" s="4801">
        <v>8150000000</v>
      </c>
      <c r="S897" s="4802">
        <f>(32800000000/R890)*Q890</f>
        <v>18070184049079.754</v>
      </c>
      <c r="T897" s="4789" t="s">
        <v>5973</v>
      </c>
      <c r="U897" s="4795"/>
      <c r="V897" s="4791">
        <f>438</f>
        <v>438</v>
      </c>
      <c r="W897" s="4803"/>
      <c r="X897" s="4804"/>
      <c r="Y897" s="4804"/>
      <c r="Z897" s="4804"/>
      <c r="AA897" s="4804"/>
      <c r="AB897" s="4804"/>
      <c r="AC897" s="4804"/>
      <c r="AD897" s="4804"/>
      <c r="AE897" s="4804"/>
      <c r="AF897" s="4804"/>
      <c r="AG897" s="4804"/>
      <c r="AH897" s="4804"/>
      <c r="AI897" s="4804"/>
      <c r="AJ897" s="4804"/>
      <c r="AK897" s="4804"/>
      <c r="AL897" s="4804"/>
      <c r="AM897" s="4804"/>
      <c r="AN897" s="4804"/>
      <c r="AO897" s="4804"/>
      <c r="AP897" s="4804"/>
      <c r="AQ897" s="4804"/>
      <c r="AR897" s="4804"/>
      <c r="AS897" s="4804"/>
      <c r="AT897" s="4804"/>
      <c r="AU897" s="4804"/>
      <c r="AV897" s="4804"/>
      <c r="AW897" s="4804"/>
      <c r="AX897" s="4804"/>
      <c r="AY897" s="4804"/>
      <c r="AZ897" s="4804"/>
      <c r="BA897" s="4804"/>
      <c r="BB897" s="4804"/>
      <c r="BC897" s="4804"/>
      <c r="BD897" s="4804"/>
      <c r="BE897" s="4804"/>
      <c r="BF897" s="4804"/>
      <c r="BG897" s="4804"/>
      <c r="BH897" s="4804"/>
      <c r="BI897" s="4804"/>
    </row>
    <row r="898" spans="1:61" ht="24.75" customHeight="1">
      <c r="A898" s="4986" t="s">
        <v>5897</v>
      </c>
      <c r="B898" s="4986" t="s">
        <v>5898</v>
      </c>
      <c r="C898" s="4987" t="s">
        <v>5899</v>
      </c>
      <c r="D898" s="4986" t="s">
        <v>568</v>
      </c>
      <c r="E898" s="4988" t="str">
        <f>VLOOKUP(F898,plasmids!$A$2:$B$351,2)</f>
        <v>AAV2-7m8</v>
      </c>
      <c r="F898" s="4986">
        <v>178</v>
      </c>
      <c r="G898" s="4989"/>
      <c r="H898" s="4989" t="str">
        <f>VLOOKUP(I898,plasmids!$A$2:$B$951,2)</f>
        <v>pAAV2.1-hGRK1-eGFP</v>
      </c>
      <c r="I898" s="4986">
        <v>752</v>
      </c>
      <c r="J898" s="4990"/>
      <c r="K898" s="4991"/>
      <c r="L898" s="4992"/>
      <c r="M898" s="4993">
        <v>42839</v>
      </c>
      <c r="N898" s="4994">
        <v>936</v>
      </c>
      <c r="O898" s="4995"/>
      <c r="P898" s="4996"/>
      <c r="Q898" s="4997">
        <v>2580000000000</v>
      </c>
      <c r="R898" s="4997">
        <v>8150000000</v>
      </c>
      <c r="S898" s="4997">
        <f t="shared" ref="S898:S981" si="13">(32800000000/R898)*Q898</f>
        <v>10383312883435.582</v>
      </c>
      <c r="T898" s="4986"/>
      <c r="U898" s="4990"/>
      <c r="V898" s="4998" t="s">
        <v>5976</v>
      </c>
      <c r="W898" s="5020" t="s">
        <v>5977</v>
      </c>
      <c r="X898" s="5000"/>
      <c r="Y898" s="5000"/>
      <c r="Z898" s="5000"/>
      <c r="AA898" s="5000"/>
      <c r="AB898" s="5000"/>
      <c r="AC898" s="5000"/>
      <c r="AD898" s="5000"/>
      <c r="AE898" s="5000"/>
      <c r="AF898" s="5000"/>
      <c r="AG898" s="5000"/>
      <c r="AH898" s="5000"/>
      <c r="AI898" s="5000"/>
      <c r="AJ898" s="5000"/>
      <c r="AK898" s="5000"/>
      <c r="AL898" s="5000"/>
      <c r="AM898" s="5000"/>
      <c r="AN898" s="5000"/>
      <c r="AO898" s="5000"/>
      <c r="AP898" s="5000"/>
      <c r="AQ898" s="5000"/>
      <c r="AR898" s="5000"/>
      <c r="AS898" s="5000"/>
      <c r="AT898" s="5000"/>
      <c r="AU898" s="5000"/>
      <c r="AV898" s="5000"/>
      <c r="AW898" s="5000"/>
      <c r="AX898" s="5000"/>
      <c r="AY898" s="5000"/>
      <c r="AZ898" s="5000"/>
      <c r="BA898" s="5000"/>
      <c r="BB898" s="5000"/>
      <c r="BC898" s="5000"/>
      <c r="BD898" s="5000"/>
      <c r="BE898" s="5000"/>
      <c r="BF898" s="5000"/>
      <c r="BG898" s="5000"/>
      <c r="BH898" s="5000"/>
      <c r="BI898" s="5000"/>
    </row>
    <row r="899" spans="1:61" ht="30.75" customHeight="1">
      <c r="A899" s="4167" t="s">
        <v>691</v>
      </c>
      <c r="B899" s="4167" t="s">
        <v>2176</v>
      </c>
      <c r="C899" s="4168" t="s">
        <v>178</v>
      </c>
      <c r="D899" s="4169" t="s">
        <v>70</v>
      </c>
      <c r="E899" s="4170" t="str">
        <f>VLOOKUP(F899,plasmids!$A$2:$B$891,2)</f>
        <v>AAV2</v>
      </c>
      <c r="F899" s="4169">
        <v>140</v>
      </c>
      <c r="G899" s="4171"/>
      <c r="H899" s="5021" t="str">
        <f>VLOOKUP(I899,plasmids!$A$2:$B$940,2)</f>
        <v>pTR-hSYN-GFP-WPRE</v>
      </c>
      <c r="I899" s="4169">
        <v>201</v>
      </c>
      <c r="J899" s="4167"/>
      <c r="K899" s="4172" t="s">
        <v>2185</v>
      </c>
      <c r="L899" s="4173"/>
      <c r="M899" s="4174">
        <v>42839</v>
      </c>
      <c r="N899" s="4175">
        <v>937</v>
      </c>
      <c r="O899" s="4176"/>
      <c r="P899" s="4177"/>
      <c r="Q899" s="4178">
        <v>14000000000000</v>
      </c>
      <c r="R899" s="4179">
        <v>8150000000</v>
      </c>
      <c r="S899" s="4180">
        <f t="shared" si="13"/>
        <v>56343558282208.586</v>
      </c>
      <c r="T899" s="4181"/>
      <c r="U899" s="4169"/>
      <c r="V899" s="4182">
        <f>476-8-15</f>
        <v>453</v>
      </c>
      <c r="W899" s="4183" t="s">
        <v>5969</v>
      </c>
      <c r="X899" s="4184"/>
      <c r="Y899" s="4185"/>
      <c r="Z899" s="4185"/>
      <c r="AA899" s="4185"/>
      <c r="AB899" s="4185"/>
      <c r="AC899" s="4185"/>
      <c r="AD899" s="4185"/>
      <c r="AE899" s="4185"/>
      <c r="AF899" s="4185"/>
      <c r="AG899" s="4185"/>
      <c r="AH899" s="4185"/>
      <c r="AI899" s="4185"/>
      <c r="AJ899" s="4185"/>
      <c r="AK899" s="4185"/>
      <c r="AL899" s="4185"/>
      <c r="AM899" s="4185"/>
      <c r="AN899" s="4185"/>
      <c r="AO899" s="4185"/>
      <c r="AP899" s="4185"/>
      <c r="AQ899" s="4185"/>
      <c r="AR899" s="4185"/>
      <c r="AS899" s="4185"/>
      <c r="AT899" s="4185"/>
      <c r="AU899" s="4185"/>
      <c r="AV899" s="4185"/>
      <c r="AW899" s="4185"/>
      <c r="AX899" s="4185"/>
      <c r="AY899" s="4185"/>
      <c r="AZ899" s="4185"/>
      <c r="BA899" s="4185"/>
      <c r="BB899" s="4185"/>
      <c r="BC899" s="4185"/>
      <c r="BD899" s="4185"/>
      <c r="BE899" s="4185"/>
      <c r="BF899" s="4185"/>
      <c r="BG899" s="4185"/>
      <c r="BH899" s="4185"/>
      <c r="BI899" s="4185"/>
    </row>
    <row r="900" spans="1:61" ht="24.75" customHeight="1">
      <c r="A900" s="5022" t="s">
        <v>1800</v>
      </c>
      <c r="B900" s="5022" t="s">
        <v>1050</v>
      </c>
      <c r="C900" s="5023" t="s">
        <v>1967</v>
      </c>
      <c r="D900" s="5022" t="s">
        <v>568</v>
      </c>
      <c r="E900" s="3159" t="str">
        <f>VLOOKUP(F900,plasmids!$A$2:$B$351,2)</f>
        <v>pAAV2/8</v>
      </c>
      <c r="F900" s="3160">
        <v>122</v>
      </c>
      <c r="G900" s="5024"/>
      <c r="H900" s="5025" t="s">
        <v>5978</v>
      </c>
      <c r="I900" s="5022">
        <v>501</v>
      </c>
      <c r="J900" s="3163"/>
      <c r="K900" s="3164"/>
      <c r="L900" s="3166"/>
      <c r="M900" s="3168">
        <v>42839</v>
      </c>
      <c r="N900" s="3169">
        <v>938</v>
      </c>
      <c r="O900" s="3160"/>
      <c r="P900" s="3172"/>
      <c r="Q900" s="5026">
        <v>130000000000000</v>
      </c>
      <c r="R900" s="5027">
        <v>8150000000</v>
      </c>
      <c r="S900" s="5028">
        <f t="shared" si="13"/>
        <v>523190184049079.75</v>
      </c>
      <c r="T900" s="3180" t="s">
        <v>5973</v>
      </c>
      <c r="U900" s="3163"/>
      <c r="V900" s="5022">
        <f>527</f>
        <v>527</v>
      </c>
      <c r="W900" s="3182"/>
      <c r="X900" s="3182"/>
      <c r="Y900" s="3182"/>
      <c r="Z900" s="3182"/>
      <c r="AA900" s="3182"/>
      <c r="AB900" s="3182"/>
      <c r="AC900" s="3182"/>
      <c r="AD900" s="3182"/>
      <c r="AE900" s="3182"/>
      <c r="AF900" s="3182"/>
      <c r="AG900" s="3182"/>
      <c r="AH900" s="3182"/>
      <c r="AI900" s="3182"/>
      <c r="AJ900" s="3182"/>
      <c r="AK900" s="3182"/>
      <c r="AL900" s="3182"/>
      <c r="AM900" s="3182"/>
      <c r="AN900" s="3182"/>
      <c r="AO900" s="3182"/>
      <c r="AP900" s="3182"/>
      <c r="AQ900" s="3182"/>
      <c r="AR900" s="3182"/>
      <c r="AS900" s="3182"/>
      <c r="AT900" s="3182"/>
      <c r="AU900" s="3182"/>
      <c r="AV900" s="3182"/>
      <c r="AW900" s="3182"/>
      <c r="AX900" s="3182"/>
      <c r="AY900" s="3182"/>
      <c r="AZ900" s="3182"/>
      <c r="BA900" s="3182"/>
      <c r="BB900" s="3182"/>
      <c r="BC900" s="3182"/>
      <c r="BD900" s="3182"/>
      <c r="BE900" s="3182"/>
      <c r="BF900" s="3182"/>
      <c r="BG900" s="3182"/>
      <c r="BH900" s="3182"/>
      <c r="BI900" s="3182"/>
    </row>
    <row r="901" spans="1:61" ht="33" customHeight="1">
      <c r="A901" s="4442" t="s">
        <v>707</v>
      </c>
      <c r="B901" s="4442" t="s">
        <v>5880</v>
      </c>
      <c r="C901" s="3985" t="s">
        <v>178</v>
      </c>
      <c r="D901" s="4442" t="s">
        <v>5979</v>
      </c>
      <c r="E901" s="3987" t="str">
        <f>VLOOKUP(F901,plasmids!$A$2:$B$891,2)</f>
        <v>AAV2</v>
      </c>
      <c r="F901" s="4442">
        <v>140</v>
      </c>
      <c r="G901" s="3730"/>
      <c r="H901" s="3731" t="str">
        <f>VLOOKUP(I901,plasmids!$A$2:$B$940,2)</f>
        <v>pscAAV-flox-CAG-hCatCh-YFP</v>
      </c>
      <c r="I901" s="3466">
        <v>594</v>
      </c>
      <c r="J901" s="3986"/>
      <c r="K901" s="3988"/>
      <c r="L901" s="1126"/>
      <c r="M901" s="173">
        <v>42839</v>
      </c>
      <c r="N901" s="5029">
        <v>939</v>
      </c>
      <c r="O901" s="3990"/>
      <c r="P901" s="3991"/>
      <c r="Q901" s="179">
        <v>8100000000000</v>
      </c>
      <c r="R901" s="3648">
        <v>8150000000</v>
      </c>
      <c r="S901" s="182">
        <f t="shared" si="13"/>
        <v>32598773006134.969</v>
      </c>
      <c r="T901" s="4921" t="s">
        <v>5973</v>
      </c>
      <c r="U901" s="3993"/>
      <c r="V901" s="3990">
        <f>441</f>
        <v>441</v>
      </c>
      <c r="W901" s="3993"/>
      <c r="X901" s="3993"/>
      <c r="Y901" s="3993"/>
      <c r="Z901" s="3993"/>
      <c r="AA901" s="3993"/>
      <c r="AB901" s="3993"/>
      <c r="AC901" s="3993"/>
      <c r="AD901" s="3993"/>
      <c r="AE901" s="3993"/>
      <c r="AF901" s="3993"/>
      <c r="AG901" s="3993"/>
      <c r="AH901" s="3993"/>
      <c r="AI901" s="3993"/>
      <c r="AJ901" s="3993"/>
      <c r="AK901" s="3993"/>
      <c r="AL901" s="3993"/>
      <c r="AM901" s="3993"/>
      <c r="AN901" s="3993"/>
      <c r="AO901" s="3993"/>
      <c r="AP901" s="3993"/>
      <c r="AQ901" s="3993"/>
      <c r="AR901" s="3993"/>
      <c r="AS901" s="3993"/>
      <c r="AT901" s="3993"/>
      <c r="AU901" s="3993"/>
      <c r="AV901" s="3993"/>
      <c r="AW901" s="3993"/>
      <c r="AX901" s="3993"/>
      <c r="AY901" s="3993"/>
      <c r="AZ901" s="3993"/>
      <c r="BA901" s="3993"/>
      <c r="BB901" s="3993"/>
      <c r="BC901" s="3993"/>
      <c r="BD901" s="3993"/>
      <c r="BE901" s="3993"/>
      <c r="BF901" s="3993"/>
      <c r="BG901" s="3993"/>
      <c r="BH901" s="3993"/>
      <c r="BI901" s="3993"/>
    </row>
    <row r="902" spans="1:61" ht="33.75" customHeight="1">
      <c r="A902" s="4114" t="s">
        <v>5980</v>
      </c>
      <c r="B902" s="3776" t="s">
        <v>5655</v>
      </c>
      <c r="C902" s="3773" t="s">
        <v>1967</v>
      </c>
      <c r="D902" s="3776" t="s">
        <v>5655</v>
      </c>
      <c r="E902" s="3777" t="str">
        <f>VLOOKUP(F902,plasmids!$A$2:$B$891,2)</f>
        <v>AAV2-7m8</v>
      </c>
      <c r="F902" s="3784">
        <v>178</v>
      </c>
      <c r="G902" s="3779"/>
      <c r="H902" s="3780" t="str">
        <f>VLOOKUP(I902,plasmids!$A$2:$B$891,2)</f>
        <v>pssAAV-pR1.7-GFP</v>
      </c>
      <c r="I902" s="4114">
        <v>566</v>
      </c>
      <c r="J902" s="3781"/>
      <c r="K902" s="3782"/>
      <c r="L902" s="3428"/>
      <c r="M902" s="3429">
        <v>42839</v>
      </c>
      <c r="N902" s="3783">
        <v>940</v>
      </c>
      <c r="O902" s="3784"/>
      <c r="P902" s="3785"/>
      <c r="Q902" s="3774">
        <v>2050000000000</v>
      </c>
      <c r="R902" s="3775">
        <v>8150000000</v>
      </c>
      <c r="S902" s="3434">
        <f t="shared" si="13"/>
        <v>8250306748466.2578</v>
      </c>
      <c r="T902" s="3786" t="s">
        <v>5973</v>
      </c>
      <c r="U902" s="3781"/>
      <c r="V902" s="4114">
        <f>429</f>
        <v>429</v>
      </c>
      <c r="W902" s="3781"/>
      <c r="X902" s="3781"/>
      <c r="Y902" s="3781"/>
      <c r="Z902" s="3781"/>
      <c r="AA902" s="3781"/>
      <c r="AB902" s="3781"/>
      <c r="AC902" s="3781"/>
      <c r="AD902" s="3781"/>
      <c r="AE902" s="3781"/>
      <c r="AF902" s="3781"/>
      <c r="AG902" s="3781"/>
      <c r="AH902" s="3781"/>
      <c r="AI902" s="3781"/>
      <c r="AJ902" s="3781"/>
      <c r="AK902" s="3781"/>
      <c r="AL902" s="3781"/>
      <c r="AM902" s="3781"/>
      <c r="AN902" s="3781"/>
      <c r="AO902" s="3781"/>
      <c r="AP902" s="3781"/>
      <c r="AQ902" s="3781"/>
      <c r="AR902" s="3781"/>
      <c r="AS902" s="3781"/>
      <c r="AT902" s="3781"/>
      <c r="AU902" s="3781"/>
      <c r="AV902" s="3781"/>
      <c r="AW902" s="3781"/>
      <c r="AX902" s="3781"/>
      <c r="AY902" s="3781"/>
      <c r="AZ902" s="3781"/>
      <c r="BA902" s="3781"/>
      <c r="BB902" s="3781"/>
      <c r="BC902" s="3781"/>
      <c r="BD902" s="3781"/>
      <c r="BE902" s="3781"/>
      <c r="BF902" s="3781"/>
      <c r="BG902" s="3781"/>
      <c r="BH902" s="3781"/>
      <c r="BI902" s="3781"/>
    </row>
    <row r="903" spans="1:61" ht="26.25" customHeight="1">
      <c r="A903" s="3369" t="s">
        <v>707</v>
      </c>
      <c r="B903" s="3369" t="s">
        <v>3973</v>
      </c>
      <c r="C903" s="3496" t="s">
        <v>1967</v>
      </c>
      <c r="D903" s="2872" t="s">
        <v>5655</v>
      </c>
      <c r="E903" s="2874" t="str">
        <f>VLOOKUP(F903,plasmids!$A$2:$B$891,2)</f>
        <v>AAV2-7m8</v>
      </c>
      <c r="F903" s="2875">
        <v>178</v>
      </c>
      <c r="G903" s="5030"/>
      <c r="H903" s="2876" t="str">
        <f>VLOOKUP(I903,plasmids!$A$2:$B$940,2)</f>
        <v>pssAAV-pR1.7-Jaws-GFP</v>
      </c>
      <c r="I903" s="3369">
        <v>596</v>
      </c>
      <c r="J903" s="2877"/>
      <c r="K903" s="3265"/>
      <c r="L903" s="2878"/>
      <c r="M903" s="2879">
        <v>42839</v>
      </c>
      <c r="N903" s="2880">
        <v>941</v>
      </c>
      <c r="O903" s="2875"/>
      <c r="P903" s="2883"/>
      <c r="Q903" s="3491">
        <v>2000000000000</v>
      </c>
      <c r="R903" s="5031">
        <v>8150000000</v>
      </c>
      <c r="S903" s="3953">
        <f t="shared" si="13"/>
        <v>8049079754601.2266</v>
      </c>
      <c r="T903" s="2891" t="s">
        <v>5973</v>
      </c>
      <c r="U903" s="2877"/>
      <c r="V903" s="3369">
        <f>547</f>
        <v>547</v>
      </c>
      <c r="W903" s="2894"/>
      <c r="X903" s="2894"/>
      <c r="Y903" s="2894"/>
      <c r="Z903" s="2894"/>
      <c r="AA903" s="2894"/>
      <c r="AB903" s="2894"/>
      <c r="AC903" s="2894"/>
      <c r="AD903" s="2894"/>
      <c r="AE903" s="2894"/>
      <c r="AF903" s="2894"/>
      <c r="AG903" s="2894"/>
      <c r="AH903" s="2894"/>
      <c r="AI903" s="2894"/>
      <c r="AJ903" s="2894"/>
      <c r="AK903" s="2894"/>
      <c r="AL903" s="2894"/>
      <c r="AM903" s="2894"/>
      <c r="AN903" s="2894"/>
      <c r="AO903" s="2894"/>
      <c r="AP903" s="2894"/>
      <c r="AQ903" s="2894"/>
      <c r="AR903" s="2894"/>
      <c r="AS903" s="2894"/>
      <c r="AT903" s="2894"/>
      <c r="AU903" s="2894"/>
      <c r="AV903" s="2894"/>
      <c r="AW903" s="2894"/>
      <c r="AX903" s="2894"/>
      <c r="AY903" s="2894"/>
      <c r="AZ903" s="2894"/>
      <c r="BA903" s="2894"/>
      <c r="BB903" s="2894"/>
      <c r="BC903" s="2894"/>
      <c r="BD903" s="2894"/>
      <c r="BE903" s="2894"/>
      <c r="BF903" s="2894"/>
      <c r="BG903" s="2894"/>
      <c r="BH903" s="2894"/>
      <c r="BI903" s="2894"/>
    </row>
    <row r="904" spans="1:61" ht="24.75" customHeight="1">
      <c r="A904" s="2872" t="s">
        <v>707</v>
      </c>
      <c r="B904" s="2872" t="s">
        <v>3973</v>
      </c>
      <c r="C904" s="2873" t="s">
        <v>1967</v>
      </c>
      <c r="D904" s="2872" t="s">
        <v>4867</v>
      </c>
      <c r="E904" s="2874" t="str">
        <f>VLOOKUP(F904,plasmids!$A$2:$B$891,2)</f>
        <v>AAV9 2YF</v>
      </c>
      <c r="F904" s="2875">
        <v>168</v>
      </c>
      <c r="G904" s="2876"/>
      <c r="H904" s="2876" t="str">
        <f>VLOOKUP(I904,plasmids!$A$2:$B$940,2)</f>
        <v xml:space="preserve">pTR-scCAG-RdCVFs </v>
      </c>
      <c r="I904" s="3369">
        <v>187</v>
      </c>
      <c r="J904" s="2877"/>
      <c r="K904" s="3265"/>
      <c r="L904" s="2878"/>
      <c r="M904" s="2879">
        <v>42839</v>
      </c>
      <c r="N904" s="2880">
        <v>942</v>
      </c>
      <c r="O904" s="2875"/>
      <c r="P904" s="2883"/>
      <c r="Q904" s="3450">
        <v>49200000000000</v>
      </c>
      <c r="R904" s="3451">
        <v>8150000000</v>
      </c>
      <c r="S904" s="2889">
        <f t="shared" si="13"/>
        <v>198007361963190.19</v>
      </c>
      <c r="T904" s="3369" t="s">
        <v>5973</v>
      </c>
      <c r="U904" s="2877"/>
      <c r="V904" s="3452">
        <f>467</f>
        <v>467</v>
      </c>
      <c r="W904" s="3373"/>
      <c r="X904" s="2894"/>
      <c r="Y904" s="2894"/>
      <c r="Z904" s="2894"/>
      <c r="AA904" s="2894"/>
      <c r="AB904" s="2894"/>
      <c r="AC904" s="2894"/>
      <c r="AD904" s="2894"/>
      <c r="AE904" s="2894"/>
      <c r="AF904" s="2894"/>
      <c r="AG904" s="2894"/>
      <c r="AH904" s="2894"/>
      <c r="AI904" s="2894"/>
      <c r="AJ904" s="2894"/>
      <c r="AK904" s="2894"/>
      <c r="AL904" s="2894"/>
      <c r="AM904" s="2894"/>
      <c r="AN904" s="2894"/>
      <c r="AO904" s="2894"/>
      <c r="AP904" s="2894"/>
      <c r="AQ904" s="2894"/>
      <c r="AR904" s="2894"/>
      <c r="AS904" s="2894"/>
      <c r="AT904" s="2894"/>
      <c r="AU904" s="2894"/>
      <c r="AV904" s="2894"/>
      <c r="AW904" s="2894"/>
      <c r="AX904" s="2894"/>
      <c r="AY904" s="2894"/>
      <c r="AZ904" s="2894"/>
      <c r="BA904" s="2894"/>
      <c r="BB904" s="2894"/>
      <c r="BC904" s="2894"/>
      <c r="BD904" s="2894"/>
      <c r="BE904" s="2894"/>
      <c r="BF904" s="2894"/>
      <c r="BG904" s="2894"/>
      <c r="BH904" s="2894"/>
      <c r="BI904" s="2894"/>
    </row>
    <row r="905" spans="1:61" ht="21.75" customHeight="1">
      <c r="A905" s="4924" t="s">
        <v>1343</v>
      </c>
      <c r="B905" s="4924" t="s">
        <v>5981</v>
      </c>
      <c r="C905" s="4925" t="s">
        <v>5708</v>
      </c>
      <c r="D905" s="4924" t="s">
        <v>5982</v>
      </c>
      <c r="E905" s="4926" t="str">
        <f>VLOOKUP(F905,plasmids!$A$2:$B$891,2)</f>
        <v>AAV2-7m8</v>
      </c>
      <c r="F905" s="4927">
        <v>178</v>
      </c>
      <c r="G905" s="4928"/>
      <c r="H905" s="4928" t="str">
        <f>VLOOKUP(I905,plasmids!$A$2:$B$940,2)</f>
        <v>pssAAV-CAG-ChrimsonR-tdTomato</v>
      </c>
      <c r="I905" s="4924">
        <v>479</v>
      </c>
      <c r="J905" s="4929"/>
      <c r="K905" s="4930"/>
      <c r="L905" s="4931"/>
      <c r="M905" s="4932">
        <v>42839</v>
      </c>
      <c r="N905" s="4933">
        <v>943</v>
      </c>
      <c r="O905" s="4927"/>
      <c r="P905" s="4934"/>
      <c r="Q905" s="4935">
        <v>7540000000000</v>
      </c>
      <c r="R905" s="4936">
        <v>8150000000</v>
      </c>
      <c r="S905" s="4937">
        <f t="shared" si="13"/>
        <v>30345030674846.625</v>
      </c>
      <c r="T905" s="4940" t="s">
        <v>5983</v>
      </c>
      <c r="U905" s="5032"/>
      <c r="V905" s="4940">
        <f>543</f>
        <v>543</v>
      </c>
      <c r="W905" s="4940" t="s">
        <v>2812</v>
      </c>
      <c r="X905" s="4939"/>
      <c r="Y905" s="4939"/>
      <c r="Z905" s="4939"/>
      <c r="AA905" s="4939"/>
      <c r="AB905" s="4939"/>
      <c r="AC905" s="4939"/>
      <c r="AD905" s="4939"/>
      <c r="AE905" s="4939"/>
      <c r="AF905" s="4939"/>
      <c r="AG905" s="4939"/>
      <c r="AH905" s="4939"/>
      <c r="AI905" s="4939"/>
      <c r="AJ905" s="4939"/>
      <c r="AK905" s="4939"/>
      <c r="AL905" s="4939"/>
      <c r="AM905" s="4939"/>
      <c r="AN905" s="4939"/>
      <c r="AO905" s="4939"/>
      <c r="AP905" s="4939"/>
      <c r="AQ905" s="4939"/>
      <c r="AR905" s="4939"/>
      <c r="AS905" s="4939"/>
      <c r="AT905" s="4939"/>
      <c r="AU905" s="4939"/>
      <c r="AV905" s="4939"/>
      <c r="AW905" s="4939"/>
      <c r="AX905" s="4939"/>
      <c r="AY905" s="4939"/>
      <c r="AZ905" s="4939"/>
      <c r="BA905" s="4939"/>
      <c r="BB905" s="4939"/>
      <c r="BC905" s="4939"/>
      <c r="BD905" s="4939"/>
      <c r="BE905" s="4939"/>
      <c r="BF905" s="4939"/>
      <c r="BG905" s="4939"/>
      <c r="BH905" s="4939"/>
      <c r="BI905" s="4939"/>
    </row>
    <row r="906" spans="1:61" ht="30.75" customHeight="1">
      <c r="A906" s="3375" t="s">
        <v>5984</v>
      </c>
      <c r="B906" s="3375" t="s">
        <v>5985</v>
      </c>
      <c r="C906" s="3551" t="s">
        <v>1967</v>
      </c>
      <c r="D906" s="3375" t="s">
        <v>70</v>
      </c>
      <c r="E906" s="3013" t="str">
        <f>VLOOKUP(F906,plasmids!$A$2:$B$891,2)</f>
        <v>AAV9 2YF</v>
      </c>
      <c r="F906" s="3375">
        <v>168</v>
      </c>
      <c r="G906" s="3551"/>
      <c r="H906" s="5033" t="str">
        <f>VLOOKUP(I906,plasmids!$A$2:$B$940,2)</f>
        <v>pscAAV-CMV-GCaMP6f-BGHpA</v>
      </c>
      <c r="I906" s="3375">
        <v>334</v>
      </c>
      <c r="J906" s="2646"/>
      <c r="K906" s="5034"/>
      <c r="L906" s="2785"/>
      <c r="M906" s="2695">
        <v>42846</v>
      </c>
      <c r="N906" s="2649">
        <v>944</v>
      </c>
      <c r="O906" s="2655"/>
      <c r="P906" s="3011"/>
      <c r="Q906" s="3440">
        <v>46300000000000</v>
      </c>
      <c r="R906" s="3011">
        <v>16700000000</v>
      </c>
      <c r="S906" s="1800">
        <f t="shared" si="13"/>
        <v>90936526946107.781</v>
      </c>
      <c r="T906" s="2654" t="s">
        <v>5973</v>
      </c>
      <c r="U906" s="3375"/>
      <c r="V906" s="5035">
        <f>510</f>
        <v>510</v>
      </c>
      <c r="W906" s="3375"/>
      <c r="X906" s="3375"/>
      <c r="Y906" s="2648"/>
      <c r="Z906" s="2648"/>
      <c r="AA906" s="2648"/>
      <c r="AB906" s="2648"/>
      <c r="AC906" s="2648"/>
      <c r="AD906" s="2648"/>
      <c r="AE906" s="2648"/>
      <c r="AF906" s="2648"/>
      <c r="AG906" s="2648"/>
      <c r="AH906" s="2648"/>
      <c r="AI906" s="2648"/>
      <c r="AJ906" s="2648"/>
      <c r="AK906" s="2648"/>
      <c r="AL906" s="2648"/>
      <c r="AM906" s="2648"/>
      <c r="AN906" s="2648"/>
      <c r="AO906" s="2648"/>
      <c r="AP906" s="2648"/>
      <c r="AQ906" s="2648"/>
      <c r="AR906" s="2648"/>
      <c r="AS906" s="2648"/>
      <c r="AT906" s="2648"/>
      <c r="AU906" s="2648"/>
      <c r="AV906" s="2648"/>
      <c r="AW906" s="2648"/>
      <c r="AX906" s="2648"/>
      <c r="AY906" s="2648"/>
      <c r="AZ906" s="2648"/>
      <c r="BA906" s="2648"/>
      <c r="BB906" s="2648"/>
      <c r="BC906" s="2648"/>
      <c r="BD906" s="2648"/>
      <c r="BE906" s="2648"/>
      <c r="BF906" s="2648"/>
      <c r="BG906" s="2648"/>
      <c r="BH906" s="2648"/>
      <c r="BI906" s="2648"/>
    </row>
    <row r="907" spans="1:61" ht="24.75" customHeight="1">
      <c r="A907" s="5036" t="s">
        <v>5986</v>
      </c>
      <c r="B907" s="5036" t="s">
        <v>5987</v>
      </c>
      <c r="C907" s="5036" t="s">
        <v>5987</v>
      </c>
      <c r="D907" s="5036" t="s">
        <v>5987</v>
      </c>
      <c r="E907" s="5036" t="str">
        <f>VLOOKUP(F907,plasmids!$A$2:$B$1091,2)</f>
        <v>AAV9 2YF</v>
      </c>
      <c r="F907" s="5037">
        <v>168</v>
      </c>
      <c r="G907" s="5038"/>
      <c r="H907" s="5039" t="s">
        <v>2364</v>
      </c>
      <c r="I907" s="5036">
        <v>767</v>
      </c>
      <c r="J907" s="5040"/>
      <c r="K907" s="5041"/>
      <c r="L907" s="5042"/>
      <c r="M907" s="5043">
        <v>42846</v>
      </c>
      <c r="N907" s="5044">
        <v>945</v>
      </c>
      <c r="O907" s="5037"/>
      <c r="P907" s="5045"/>
      <c r="Q907" s="5046">
        <v>21000000000000</v>
      </c>
      <c r="R907" s="5047">
        <v>16700000000</v>
      </c>
      <c r="S907" s="5048">
        <f t="shared" si="13"/>
        <v>41245508982035.93</v>
      </c>
      <c r="T907" s="5036" t="s">
        <v>5973</v>
      </c>
      <c r="U907" s="5040"/>
      <c r="V907" s="5049">
        <f>500</f>
        <v>500</v>
      </c>
      <c r="W907" s="5050"/>
      <c r="X907" s="5051"/>
      <c r="Y907" s="5051"/>
      <c r="Z907" s="5051"/>
      <c r="AA907" s="5051"/>
      <c r="AB907" s="5051"/>
      <c r="AC907" s="5051"/>
      <c r="AD907" s="5051"/>
      <c r="AE907" s="5051"/>
      <c r="AF907" s="5051"/>
      <c r="AG907" s="5051"/>
      <c r="AH907" s="5051"/>
      <c r="AI907" s="5051"/>
      <c r="AJ907" s="5051"/>
      <c r="AK907" s="5051"/>
      <c r="AL907" s="5051"/>
      <c r="AM907" s="5051"/>
      <c r="AN907" s="5051"/>
      <c r="AO907" s="5051"/>
      <c r="AP907" s="5051"/>
      <c r="AQ907" s="5051"/>
      <c r="AR907" s="5051"/>
      <c r="AS907" s="5051"/>
      <c r="AT907" s="5051"/>
      <c r="AU907" s="5051"/>
      <c r="AV907" s="5051"/>
      <c r="AW907" s="5051"/>
      <c r="AX907" s="5051"/>
      <c r="AY907" s="5051"/>
      <c r="AZ907" s="5051"/>
      <c r="BA907" s="5051"/>
      <c r="BB907" s="5051"/>
      <c r="BC907" s="5051"/>
      <c r="BD907" s="5051"/>
      <c r="BE907" s="5051"/>
      <c r="BF907" s="5051"/>
      <c r="BG907" s="5051"/>
      <c r="BH907" s="5051"/>
      <c r="BI907" s="5051"/>
    </row>
    <row r="908" spans="1:61" ht="21.75" customHeight="1">
      <c r="A908" s="4924" t="s">
        <v>1343</v>
      </c>
      <c r="B908" s="4924" t="s">
        <v>5933</v>
      </c>
      <c r="C908" s="4925" t="s">
        <v>5708</v>
      </c>
      <c r="D908" s="4924" t="s">
        <v>5982</v>
      </c>
      <c r="E908" s="4926" t="str">
        <f>VLOOKUP(F908,plasmids!$A$2:$B$891,2)</f>
        <v>AAV2-7m8</v>
      </c>
      <c r="F908" s="4927">
        <v>178</v>
      </c>
      <c r="G908" s="4928"/>
      <c r="H908" s="4928" t="str">
        <f>VLOOKUP(I908,plasmids!$A$2:$B$940,2)</f>
        <v>sc-CAG-GFP</v>
      </c>
      <c r="I908" s="4924">
        <v>120</v>
      </c>
      <c r="J908" s="4929"/>
      <c r="K908" s="4930"/>
      <c r="L908" s="4931"/>
      <c r="M908" s="4932">
        <v>42846</v>
      </c>
      <c r="N908" s="4933">
        <v>946</v>
      </c>
      <c r="O908" s="4927"/>
      <c r="P908" s="4934"/>
      <c r="Q908" s="4935">
        <v>3800000000000</v>
      </c>
      <c r="R908" s="4936">
        <v>16700000000</v>
      </c>
      <c r="S908" s="4937">
        <f t="shared" si="13"/>
        <v>7463473053892.2158</v>
      </c>
      <c r="T908" s="5032"/>
      <c r="U908" s="5032"/>
      <c r="V908" s="4940">
        <f>410</f>
        <v>410</v>
      </c>
      <c r="W908" s="4940" t="s">
        <v>2812</v>
      </c>
      <c r="X908" s="4939"/>
      <c r="Y908" s="4939"/>
      <c r="Z908" s="4939"/>
      <c r="AA908" s="4939"/>
      <c r="AB908" s="4939"/>
      <c r="AC908" s="4939"/>
      <c r="AD908" s="4939"/>
      <c r="AE908" s="4939"/>
      <c r="AF908" s="4939"/>
      <c r="AG908" s="4939"/>
      <c r="AH908" s="4939"/>
      <c r="AI908" s="4939"/>
      <c r="AJ908" s="4939"/>
      <c r="AK908" s="4939"/>
      <c r="AL908" s="4939"/>
      <c r="AM908" s="4939"/>
      <c r="AN908" s="4939"/>
      <c r="AO908" s="4939"/>
      <c r="AP908" s="4939"/>
      <c r="AQ908" s="4939"/>
      <c r="AR908" s="4939"/>
      <c r="AS908" s="4939"/>
      <c r="AT908" s="4939"/>
      <c r="AU908" s="4939"/>
      <c r="AV908" s="4939"/>
      <c r="AW908" s="4939"/>
      <c r="AX908" s="4939"/>
      <c r="AY908" s="4939"/>
      <c r="AZ908" s="4939"/>
      <c r="BA908" s="4939"/>
      <c r="BB908" s="4939"/>
      <c r="BC908" s="4939"/>
      <c r="BD908" s="4939"/>
      <c r="BE908" s="4939"/>
      <c r="BF908" s="4939"/>
      <c r="BG908" s="4939"/>
      <c r="BH908" s="4939"/>
      <c r="BI908" s="4939"/>
    </row>
    <row r="909" spans="1:61" ht="24" customHeight="1">
      <c r="A909" s="2910" t="s">
        <v>5958</v>
      </c>
      <c r="B909" s="2910" t="s">
        <v>5807</v>
      </c>
      <c r="C909" s="1001" t="s">
        <v>4457</v>
      </c>
      <c r="D909" s="2910" t="s">
        <v>4460</v>
      </c>
      <c r="E909" s="1008" t="str">
        <f>VLOOKUP(F909,plasmids!$A$2:$B$891,2)</f>
        <v>AAV2-7m8</v>
      </c>
      <c r="F909" s="1008">
        <v>178</v>
      </c>
      <c r="G909" s="1828"/>
      <c r="H909" s="1828" t="str">
        <f>VLOOKUP(I909,plasmids!$A$2:$B$640,2)</f>
        <v>pAAV-ss-4xGRm6-GFP_x000D_</v>
      </c>
      <c r="I909" s="2910">
        <v>361</v>
      </c>
      <c r="J909" s="471"/>
      <c r="K909" s="470" t="s">
        <v>4428</v>
      </c>
      <c r="L909" s="1003"/>
      <c r="M909" s="1005">
        <v>42846</v>
      </c>
      <c r="N909" s="4956">
        <v>947</v>
      </c>
      <c r="O909" s="1008"/>
      <c r="P909" s="466"/>
      <c r="Q909" s="462">
        <v>2080000000000</v>
      </c>
      <c r="R909" s="4335">
        <v>16700000000</v>
      </c>
      <c r="S909" s="4335">
        <f t="shared" si="13"/>
        <v>4085269461077.8442</v>
      </c>
      <c r="T909" s="2910" t="s">
        <v>5973</v>
      </c>
      <c r="U909" s="1830"/>
      <c r="V909" s="4336">
        <f>485</f>
        <v>485</v>
      </c>
      <c r="W909" s="1008"/>
      <c r="X909" s="471"/>
      <c r="Y909" s="471"/>
      <c r="Z909" s="471"/>
      <c r="AA909" s="471"/>
      <c r="AB909" s="471"/>
      <c r="AC909" s="471"/>
      <c r="AD909" s="471"/>
      <c r="AE909" s="471"/>
      <c r="AF909" s="471"/>
      <c r="AG909" s="471"/>
      <c r="AH909" s="471"/>
      <c r="AI909" s="471"/>
      <c r="AJ909" s="471"/>
      <c r="AK909" s="471"/>
      <c r="AL909" s="471"/>
      <c r="AM909" s="471"/>
      <c r="AN909" s="471"/>
      <c r="AO909" s="471"/>
      <c r="AP909" s="471"/>
      <c r="AQ909" s="471"/>
      <c r="AR909" s="471"/>
      <c r="AS909" s="471"/>
      <c r="AT909" s="471"/>
      <c r="AU909" s="471"/>
      <c r="AV909" s="471"/>
      <c r="AW909" s="471"/>
      <c r="AX909" s="471"/>
      <c r="AY909" s="1790"/>
      <c r="AZ909" s="1790"/>
      <c r="BA909" s="1790"/>
      <c r="BB909" s="1790"/>
      <c r="BC909" s="1790"/>
      <c r="BD909" s="1790"/>
      <c r="BE909" s="1790"/>
      <c r="BF909" s="1790"/>
      <c r="BG909" s="1790"/>
      <c r="BH909" s="1790"/>
      <c r="BI909" s="1790"/>
    </row>
    <row r="910" spans="1:61" ht="24.75" customHeight="1">
      <c r="A910" s="3870" t="s">
        <v>1549</v>
      </c>
      <c r="B910" s="3870" t="s">
        <v>5767</v>
      </c>
      <c r="C910" s="3871" t="s">
        <v>178</v>
      </c>
      <c r="D910" s="3870" t="s">
        <v>5794</v>
      </c>
      <c r="E910" s="5052" t="str">
        <f>VLOOKUP(F910,plasmids!$A$2:$B$891,2)</f>
        <v>pAV2-7mC</v>
      </c>
      <c r="F910" s="3873">
        <v>669</v>
      </c>
      <c r="G910" s="4289"/>
      <c r="H910" s="5053" t="str">
        <f>VLOOKUP(I910,plasmids!$A$2:$B$940,2)</f>
        <v>sc-CAG-GFP</v>
      </c>
      <c r="I910" s="3870">
        <v>120</v>
      </c>
      <c r="J910" s="5054" t="s">
        <v>5988</v>
      </c>
      <c r="K910" s="3876"/>
      <c r="L910" s="4290"/>
      <c r="M910" s="3877">
        <v>42849</v>
      </c>
      <c r="N910" s="3878">
        <v>948</v>
      </c>
      <c r="O910" s="3873"/>
      <c r="P910" s="4291"/>
      <c r="Q910" s="4332">
        <v>443000000000</v>
      </c>
      <c r="R910" s="4333">
        <v>8500000000</v>
      </c>
      <c r="S910" s="4334">
        <f t="shared" si="13"/>
        <v>1709458823529.4119</v>
      </c>
      <c r="T910" s="3870" t="s">
        <v>5973</v>
      </c>
      <c r="U910" s="3875"/>
      <c r="V910" s="3872">
        <f>306-16</f>
        <v>290</v>
      </c>
      <c r="W910" s="3883"/>
      <c r="X910" s="3680"/>
      <c r="Y910" s="3680"/>
      <c r="Z910" s="3680"/>
      <c r="AA910" s="3680"/>
      <c r="AB910" s="3680"/>
      <c r="AC910" s="3680"/>
      <c r="AD910" s="3680"/>
      <c r="AE910" s="3680"/>
      <c r="AF910" s="3680"/>
      <c r="AG910" s="3680"/>
      <c r="AH910" s="3680"/>
      <c r="AI910" s="3680"/>
      <c r="AJ910" s="3680"/>
      <c r="AK910" s="3680"/>
      <c r="AL910" s="3680"/>
      <c r="AM910" s="3680"/>
      <c r="AN910" s="3680"/>
      <c r="AO910" s="3680"/>
      <c r="AP910" s="3680"/>
      <c r="AQ910" s="3680"/>
      <c r="AR910" s="3680"/>
      <c r="AS910" s="3680"/>
      <c r="AT910" s="3680"/>
      <c r="AU910" s="3680"/>
      <c r="AV910" s="3680"/>
      <c r="AW910" s="3680"/>
      <c r="AX910" s="3680"/>
      <c r="AY910" s="3680"/>
      <c r="AZ910" s="3680"/>
      <c r="BA910" s="3680"/>
      <c r="BB910" s="3680"/>
      <c r="BC910" s="3680"/>
      <c r="BD910" s="3680"/>
      <c r="BE910" s="3680"/>
      <c r="BF910" s="3680"/>
      <c r="BG910" s="3680"/>
      <c r="BH910" s="3680"/>
      <c r="BI910" s="3680"/>
    </row>
    <row r="911" spans="1:61" ht="24.75" customHeight="1">
      <c r="A911" s="3870" t="s">
        <v>1549</v>
      </c>
      <c r="B911" s="3870" t="s">
        <v>5767</v>
      </c>
      <c r="C911" s="3871" t="s">
        <v>178</v>
      </c>
      <c r="D911" s="3870" t="s">
        <v>5794</v>
      </c>
      <c r="E911" s="5052" t="str">
        <f>VLOOKUP(F911,plasmids!$A$2:$B$891,2)</f>
        <v>pXR1</v>
      </c>
      <c r="F911" s="3873">
        <v>110</v>
      </c>
      <c r="G911" s="4289"/>
      <c r="H911" s="5053" t="str">
        <f>VLOOKUP(I911,plasmids!$A$2:$B$940,2)</f>
        <v>sc-CAG-GFP</v>
      </c>
      <c r="I911" s="3870">
        <v>120</v>
      </c>
      <c r="J911" s="5054" t="s">
        <v>5988</v>
      </c>
      <c r="K911" s="3876"/>
      <c r="L911" s="4290"/>
      <c r="M911" s="3877">
        <v>42849</v>
      </c>
      <c r="N911" s="3878">
        <v>949</v>
      </c>
      <c r="O911" s="3873"/>
      <c r="P911" s="4291"/>
      <c r="Q911" s="4332">
        <v>4150000000000</v>
      </c>
      <c r="R911" s="4333">
        <v>8500000000</v>
      </c>
      <c r="S911" s="4334">
        <f t="shared" si="13"/>
        <v>16014117647058.824</v>
      </c>
      <c r="T911" s="3870" t="s">
        <v>5973</v>
      </c>
      <c r="U911" s="3870" t="s">
        <v>5989</v>
      </c>
      <c r="V911" s="3872">
        <f>350-1.7</f>
        <v>348.3</v>
      </c>
      <c r="W911" s="3883"/>
      <c r="X911" s="3680"/>
      <c r="Y911" s="3680"/>
      <c r="Z911" s="3680"/>
      <c r="AA911" s="3680"/>
      <c r="AB911" s="3680"/>
      <c r="AC911" s="3680"/>
      <c r="AD911" s="3680"/>
      <c r="AE911" s="3680"/>
      <c r="AF911" s="3680"/>
      <c r="AG911" s="3680"/>
      <c r="AH911" s="3680"/>
      <c r="AI911" s="3680"/>
      <c r="AJ911" s="3680"/>
      <c r="AK911" s="3680"/>
      <c r="AL911" s="3680"/>
      <c r="AM911" s="3680"/>
      <c r="AN911" s="3680"/>
      <c r="AO911" s="3680"/>
      <c r="AP911" s="3680"/>
      <c r="AQ911" s="3680"/>
      <c r="AR911" s="3680"/>
      <c r="AS911" s="3680"/>
      <c r="AT911" s="3680"/>
      <c r="AU911" s="3680"/>
      <c r="AV911" s="3680"/>
      <c r="AW911" s="3680"/>
      <c r="AX911" s="3680"/>
      <c r="AY911" s="3680"/>
      <c r="AZ911" s="3680"/>
      <c r="BA911" s="3680"/>
      <c r="BB911" s="3680"/>
      <c r="BC911" s="3680"/>
      <c r="BD911" s="3680"/>
      <c r="BE911" s="3680"/>
      <c r="BF911" s="3680"/>
      <c r="BG911" s="3680"/>
      <c r="BH911" s="3680"/>
      <c r="BI911" s="3680"/>
    </row>
    <row r="912" spans="1:61" ht="24.75" customHeight="1">
      <c r="A912" s="3870" t="s">
        <v>1549</v>
      </c>
      <c r="B912" s="3870" t="s">
        <v>5767</v>
      </c>
      <c r="C912" s="3871" t="s">
        <v>178</v>
      </c>
      <c r="D912" s="3870" t="s">
        <v>5794</v>
      </c>
      <c r="E912" s="5052" t="str">
        <f>VLOOKUP(F912,plasmids!$A$2:$B$891,2)</f>
        <v>pAV2-7mC</v>
      </c>
      <c r="F912" s="3873">
        <v>669</v>
      </c>
      <c r="G912" s="4289"/>
      <c r="H912" s="5053" t="str">
        <f>VLOOKUP(I912,plasmids!$A$2:$B$940,2)</f>
        <v>hSyn1-Cre-WPRE</v>
      </c>
      <c r="I912" s="3870">
        <v>739</v>
      </c>
      <c r="J912" s="5054" t="s">
        <v>5988</v>
      </c>
      <c r="K912" s="3876"/>
      <c r="L912" s="4290"/>
      <c r="M912" s="3877">
        <v>42849</v>
      </c>
      <c r="N912" s="3878">
        <v>950</v>
      </c>
      <c r="O912" s="3873"/>
      <c r="P912" s="4291"/>
      <c r="Q912" s="4332">
        <v>2420000000000</v>
      </c>
      <c r="R912" s="4333">
        <v>8500000000</v>
      </c>
      <c r="S912" s="4334">
        <f t="shared" si="13"/>
        <v>9338352941176.4707</v>
      </c>
      <c r="T912" s="3870" t="s">
        <v>5973</v>
      </c>
      <c r="U912" s="3875"/>
      <c r="V912" s="3872"/>
      <c r="W912" s="3883"/>
      <c r="X912" s="3680"/>
      <c r="Y912" s="3680"/>
      <c r="Z912" s="3680"/>
      <c r="AA912" s="3680"/>
      <c r="AB912" s="3680"/>
      <c r="AC912" s="3680"/>
      <c r="AD912" s="3680"/>
      <c r="AE912" s="3680"/>
      <c r="AF912" s="3680"/>
      <c r="AG912" s="3680"/>
      <c r="AH912" s="3680"/>
      <c r="AI912" s="3680"/>
      <c r="AJ912" s="3680"/>
      <c r="AK912" s="3680"/>
      <c r="AL912" s="3680"/>
      <c r="AM912" s="3680"/>
      <c r="AN912" s="3680"/>
      <c r="AO912" s="3680"/>
      <c r="AP912" s="3680"/>
      <c r="AQ912" s="3680"/>
      <c r="AR912" s="3680"/>
      <c r="AS912" s="3680"/>
      <c r="AT912" s="3680"/>
      <c r="AU912" s="3680"/>
      <c r="AV912" s="3680"/>
      <c r="AW912" s="3680"/>
      <c r="AX912" s="3680"/>
      <c r="AY912" s="3680"/>
      <c r="AZ912" s="3680"/>
      <c r="BA912" s="3680"/>
      <c r="BB912" s="3680"/>
      <c r="BC912" s="3680"/>
      <c r="BD912" s="3680"/>
      <c r="BE912" s="3680"/>
      <c r="BF912" s="3680"/>
      <c r="BG912" s="3680"/>
      <c r="BH912" s="3680"/>
      <c r="BI912" s="3680"/>
    </row>
    <row r="913" spans="1:61" ht="24.75" customHeight="1">
      <c r="A913" s="3870" t="s">
        <v>1549</v>
      </c>
      <c r="B913" s="3870" t="s">
        <v>5767</v>
      </c>
      <c r="C913" s="3871" t="s">
        <v>178</v>
      </c>
      <c r="D913" s="3870" t="s">
        <v>5794</v>
      </c>
      <c r="E913" s="5052" t="str">
        <f>VLOOKUP(F913,plasmids!$A$2:$B$891,2)</f>
        <v>pXR1</v>
      </c>
      <c r="F913" s="3873">
        <v>110</v>
      </c>
      <c r="G913" s="4289"/>
      <c r="H913" s="5053" t="str">
        <f>VLOOKUP(I913,plasmids!$A$2:$B$940,2)</f>
        <v>hSyn1-Cre-WPRE</v>
      </c>
      <c r="I913" s="3870">
        <v>739</v>
      </c>
      <c r="J913" s="5054" t="s">
        <v>5988</v>
      </c>
      <c r="K913" s="3876"/>
      <c r="L913" s="4290"/>
      <c r="M913" s="3877">
        <v>42849</v>
      </c>
      <c r="N913" s="3878">
        <v>951</v>
      </c>
      <c r="O913" s="3873"/>
      <c r="P913" s="4291"/>
      <c r="Q913" s="4332">
        <v>156000000000000</v>
      </c>
      <c r="R913" s="4333">
        <v>16500000000</v>
      </c>
      <c r="S913" s="4334">
        <f t="shared" si="13"/>
        <v>310109090909090.88</v>
      </c>
      <c r="T913" s="3870" t="s">
        <v>5973</v>
      </c>
      <c r="U913" s="3870"/>
      <c r="V913" s="3872">
        <v>300</v>
      </c>
      <c r="W913" s="3883"/>
      <c r="X913" s="3680"/>
      <c r="Y913" s="3680"/>
      <c r="Z913" s="3680"/>
      <c r="AA913" s="3680"/>
      <c r="AB913" s="3680"/>
      <c r="AC913" s="3680"/>
      <c r="AD913" s="3680"/>
      <c r="AE913" s="3680"/>
      <c r="AF913" s="3680"/>
      <c r="AG913" s="3680"/>
      <c r="AH913" s="3680"/>
      <c r="AI913" s="3680"/>
      <c r="AJ913" s="3680"/>
      <c r="AK913" s="3680"/>
      <c r="AL913" s="3680"/>
      <c r="AM913" s="3680"/>
      <c r="AN913" s="3680"/>
      <c r="AO913" s="3680"/>
      <c r="AP913" s="3680"/>
      <c r="AQ913" s="3680"/>
      <c r="AR913" s="3680"/>
      <c r="AS913" s="3680"/>
      <c r="AT913" s="3680"/>
      <c r="AU913" s="3680"/>
      <c r="AV913" s="3680"/>
      <c r="AW913" s="3680"/>
      <c r="AX913" s="3680"/>
      <c r="AY913" s="3680"/>
      <c r="AZ913" s="3680"/>
      <c r="BA913" s="3680"/>
      <c r="BB913" s="3680"/>
      <c r="BC913" s="3680"/>
      <c r="BD913" s="3680"/>
      <c r="BE913" s="3680"/>
      <c r="BF913" s="3680"/>
      <c r="BG913" s="3680"/>
      <c r="BH913" s="3680"/>
      <c r="BI913" s="3680"/>
    </row>
    <row r="914" spans="1:61" ht="24.75" customHeight="1">
      <c r="A914" s="3375" t="s">
        <v>52</v>
      </c>
      <c r="B914" s="3375" t="s">
        <v>5917</v>
      </c>
      <c r="C914" s="3551" t="s">
        <v>5990</v>
      </c>
      <c r="D914" s="3375" t="s">
        <v>5794</v>
      </c>
      <c r="E914" s="5055" t="str">
        <f>VLOOKUP(F914,plasmids!$A$2:$B$891,2)</f>
        <v>pAAV2/8</v>
      </c>
      <c r="F914" s="2655">
        <v>122</v>
      </c>
      <c r="G914" s="2596"/>
      <c r="H914" s="5056" t="str">
        <f>VLOOKUP(I914,plasmids!$A$2:$B$940,2)</f>
        <v>pssAAV-CAG-ChrimsonR-tdTomato</v>
      </c>
      <c r="I914" s="3375">
        <v>479</v>
      </c>
      <c r="J914" s="5057" t="s">
        <v>5991</v>
      </c>
      <c r="K914" s="3147"/>
      <c r="L914" s="2785"/>
      <c r="M914" s="2695">
        <v>42860</v>
      </c>
      <c r="N914" s="2649">
        <v>952</v>
      </c>
      <c r="O914" s="2655"/>
      <c r="P914" s="2651"/>
      <c r="Q914" s="3440">
        <v>85900000000</v>
      </c>
      <c r="R914" s="3553">
        <v>16500000000</v>
      </c>
      <c r="S914" s="1865">
        <f t="shared" si="13"/>
        <v>170758787878.78787</v>
      </c>
      <c r="T914" s="3375" t="s">
        <v>5973</v>
      </c>
      <c r="U914" s="2255" t="s">
        <v>5989</v>
      </c>
      <c r="V914" s="3554">
        <v>800</v>
      </c>
      <c r="W914" s="3150"/>
      <c r="X914" s="2656"/>
      <c r="Y914" s="2656"/>
      <c r="Z914" s="2656"/>
      <c r="AA914" s="2656"/>
      <c r="AB914" s="2656"/>
      <c r="AC914" s="2656"/>
      <c r="AD914" s="2656"/>
      <c r="AE914" s="2656"/>
      <c r="AF914" s="2656"/>
      <c r="AG914" s="2656"/>
      <c r="AH914" s="2656"/>
      <c r="AI914" s="2656"/>
      <c r="AJ914" s="2656"/>
      <c r="AK914" s="2656"/>
      <c r="AL914" s="2656"/>
      <c r="AM914" s="2656"/>
      <c r="AN914" s="2656"/>
      <c r="AO914" s="2656"/>
      <c r="AP914" s="2656"/>
      <c r="AQ914" s="2656"/>
      <c r="AR914" s="2656"/>
      <c r="AS914" s="2656"/>
      <c r="AT914" s="2656"/>
      <c r="AU914" s="2656"/>
      <c r="AV914" s="2656"/>
      <c r="AW914" s="2656"/>
      <c r="AX914" s="2656"/>
      <c r="AY914" s="2656"/>
      <c r="AZ914" s="2656"/>
      <c r="BA914" s="2656"/>
      <c r="BB914" s="2656"/>
      <c r="BC914" s="2656"/>
      <c r="BD914" s="2656"/>
      <c r="BE914" s="2656"/>
      <c r="BF914" s="2656"/>
      <c r="BG914" s="2656"/>
      <c r="BH914" s="2656"/>
      <c r="BI914" s="2656"/>
    </row>
    <row r="915" spans="1:61" ht="24.75" customHeight="1">
      <c r="A915" s="3870" t="s">
        <v>1549</v>
      </c>
      <c r="B915" s="3870" t="s">
        <v>5767</v>
      </c>
      <c r="C915" s="3871" t="s">
        <v>178</v>
      </c>
      <c r="D915" s="3870" t="s">
        <v>5794</v>
      </c>
      <c r="E915" s="5058" t="str">
        <f>VLOOKUP(F915,plasmids!$A$2:$B$891,2)</f>
        <v>pAAV1-7mC</v>
      </c>
      <c r="F915" s="3873">
        <v>746</v>
      </c>
      <c r="G915" s="3874" t="s">
        <v>5992</v>
      </c>
      <c r="H915" s="5053" t="str">
        <f>VLOOKUP(I915,plasmids!$A$2:$B$940,2)</f>
        <v>sc-CAG-GFP</v>
      </c>
      <c r="I915" s="3870">
        <v>120</v>
      </c>
      <c r="J915" s="5059" t="s">
        <v>96</v>
      </c>
      <c r="K915" s="3876"/>
      <c r="L915" s="2661" t="s">
        <v>5993</v>
      </c>
      <c r="M915" s="3877">
        <v>42863</v>
      </c>
      <c r="N915" s="5322">
        <v>953</v>
      </c>
      <c r="O915" s="3873"/>
      <c r="P915" s="4291"/>
      <c r="Q915" s="4332">
        <v>12700000000000</v>
      </c>
      <c r="R915" s="4333">
        <v>16500000000</v>
      </c>
      <c r="S915" s="4334">
        <f t="shared" si="13"/>
        <v>25246060606060.605</v>
      </c>
      <c r="T915" s="3870" t="s">
        <v>5973</v>
      </c>
      <c r="U915" s="3875"/>
      <c r="V915" s="3872">
        <f>300</f>
        <v>300</v>
      </c>
      <c r="W915" s="3883"/>
      <c r="X915" s="3680"/>
      <c r="Y915" s="3680"/>
      <c r="Z915" s="3680"/>
      <c r="AA915" s="3680"/>
      <c r="AB915" s="3680"/>
      <c r="AC915" s="3680"/>
      <c r="AD915" s="3680"/>
      <c r="AE915" s="3680"/>
      <c r="AF915" s="3680"/>
      <c r="AG915" s="3680"/>
      <c r="AH915" s="3680"/>
      <c r="AI915" s="3680"/>
      <c r="AJ915" s="3680"/>
      <c r="AK915" s="3680"/>
      <c r="AL915" s="3680"/>
      <c r="AM915" s="3680"/>
      <c r="AN915" s="3680"/>
      <c r="AO915" s="3680"/>
      <c r="AP915" s="3680"/>
      <c r="AQ915" s="3680"/>
      <c r="AR915" s="3680"/>
      <c r="AS915" s="3680"/>
      <c r="AT915" s="3680"/>
      <c r="AU915" s="3680"/>
      <c r="AV915" s="3680"/>
      <c r="AW915" s="3680"/>
      <c r="AX915" s="3680"/>
      <c r="AY915" s="3680"/>
      <c r="AZ915" s="3680"/>
      <c r="BA915" s="3680"/>
      <c r="BB915" s="3680"/>
      <c r="BC915" s="3680"/>
      <c r="BD915" s="3680"/>
      <c r="BE915" s="3680"/>
      <c r="BF915" s="3680"/>
      <c r="BG915" s="3680"/>
      <c r="BH915" s="3680"/>
      <c r="BI915" s="3680"/>
    </row>
    <row r="916" spans="1:61" ht="24.75" customHeight="1">
      <c r="A916" s="3870" t="s">
        <v>1549</v>
      </c>
      <c r="B916" s="3870" t="s">
        <v>5767</v>
      </c>
      <c r="C916" s="3871" t="s">
        <v>178</v>
      </c>
      <c r="D916" s="3870" t="s">
        <v>5794</v>
      </c>
      <c r="E916" s="5058" t="str">
        <f>VLOOKUP(F916,plasmids!$A$2:$B$891,2)</f>
        <v>pAAV1-7mC</v>
      </c>
      <c r="F916" s="3873">
        <v>746</v>
      </c>
      <c r="G916" s="3874" t="s">
        <v>5992</v>
      </c>
      <c r="H916" s="5053" t="str">
        <f>VLOOKUP(I916,plasmids!$A$2:$B$940,2)</f>
        <v>sc-CAG-GFP</v>
      </c>
      <c r="I916" s="3870">
        <v>120</v>
      </c>
      <c r="J916" s="5054" t="s">
        <v>5988</v>
      </c>
      <c r="K916" s="3876"/>
      <c r="L916" s="2661" t="s">
        <v>5994</v>
      </c>
      <c r="M916" s="3877">
        <v>42863</v>
      </c>
      <c r="N916" s="5320"/>
      <c r="O916" s="3873"/>
      <c r="P916" s="4291"/>
      <c r="Q916" s="4332">
        <v>2770000000000</v>
      </c>
      <c r="R916" s="4333">
        <v>16500000000</v>
      </c>
      <c r="S916" s="4334">
        <f t="shared" si="13"/>
        <v>5506424242424.2422</v>
      </c>
      <c r="T916" s="3870" t="s">
        <v>5973</v>
      </c>
      <c r="U916" s="3875"/>
      <c r="V916" s="3872">
        <f>736</f>
        <v>736</v>
      </c>
      <c r="W916" s="3883"/>
      <c r="X916" s="3680"/>
      <c r="Y916" s="3680"/>
      <c r="Z916" s="3680"/>
      <c r="AA916" s="3680"/>
      <c r="AB916" s="3680"/>
      <c r="AC916" s="3680"/>
      <c r="AD916" s="3680"/>
      <c r="AE916" s="3680"/>
      <c r="AF916" s="3680"/>
      <c r="AG916" s="3680"/>
      <c r="AH916" s="3680"/>
      <c r="AI916" s="3680"/>
      <c r="AJ916" s="3680"/>
      <c r="AK916" s="3680"/>
      <c r="AL916" s="3680"/>
      <c r="AM916" s="3680"/>
      <c r="AN916" s="3680"/>
      <c r="AO916" s="3680"/>
      <c r="AP916" s="3680"/>
      <c r="AQ916" s="3680"/>
      <c r="AR916" s="3680"/>
      <c r="AS916" s="3680"/>
      <c r="AT916" s="3680"/>
      <c r="AU916" s="3680"/>
      <c r="AV916" s="3680"/>
      <c r="AW916" s="3680"/>
      <c r="AX916" s="3680"/>
      <c r="AY916" s="3680"/>
      <c r="AZ916" s="3680"/>
      <c r="BA916" s="3680"/>
      <c r="BB916" s="3680"/>
      <c r="BC916" s="3680"/>
      <c r="BD916" s="3680"/>
      <c r="BE916" s="3680"/>
      <c r="BF916" s="3680"/>
      <c r="BG916" s="3680"/>
      <c r="BH916" s="3680"/>
      <c r="BI916" s="3680"/>
    </row>
    <row r="917" spans="1:61" ht="24.75" customHeight="1">
      <c r="A917" s="3870" t="s">
        <v>1549</v>
      </c>
      <c r="B917" s="3870" t="s">
        <v>5767</v>
      </c>
      <c r="C917" s="3871" t="s">
        <v>178</v>
      </c>
      <c r="D917" s="3870" t="s">
        <v>5794</v>
      </c>
      <c r="E917" s="5058" t="str">
        <f>VLOOKUP(F917,plasmids!$A$2:$B$891,2)</f>
        <v>pAAV1-7mD</v>
      </c>
      <c r="F917" s="3873">
        <v>747</v>
      </c>
      <c r="G917" s="3874" t="s">
        <v>5995</v>
      </c>
      <c r="H917" s="5053" t="str">
        <f>VLOOKUP(I917,plasmids!$A$2:$B$940,2)</f>
        <v>sc-CAG-GFP</v>
      </c>
      <c r="I917" s="3870">
        <v>120</v>
      </c>
      <c r="J917" s="5059" t="s">
        <v>96</v>
      </c>
      <c r="K917" s="3876"/>
      <c r="L917" s="2661" t="s">
        <v>5993</v>
      </c>
      <c r="M917" s="3877">
        <v>42863</v>
      </c>
      <c r="N917" s="5322">
        <v>954</v>
      </c>
      <c r="O917" s="3873"/>
      <c r="P917" s="4291"/>
      <c r="Q917" s="4332">
        <v>123000000000000</v>
      </c>
      <c r="R917" s="4333">
        <v>16500000000</v>
      </c>
      <c r="S917" s="4334">
        <f t="shared" si="13"/>
        <v>244509090909090.91</v>
      </c>
      <c r="T917" s="3870" t="s">
        <v>5973</v>
      </c>
      <c r="U917" s="3870" t="s">
        <v>5996</v>
      </c>
      <c r="V917" s="3872">
        <v>300</v>
      </c>
      <c r="W917" s="3883"/>
      <c r="X917" s="3680"/>
      <c r="Y917" s="3680"/>
      <c r="Z917" s="3680"/>
      <c r="AA917" s="3680"/>
      <c r="AB917" s="3680"/>
      <c r="AC917" s="3680"/>
      <c r="AD917" s="3680"/>
      <c r="AE917" s="3680"/>
      <c r="AF917" s="3680"/>
      <c r="AG917" s="3680"/>
      <c r="AH917" s="3680"/>
      <c r="AI917" s="3680"/>
      <c r="AJ917" s="3680"/>
      <c r="AK917" s="3680"/>
      <c r="AL917" s="3680"/>
      <c r="AM917" s="3680"/>
      <c r="AN917" s="3680"/>
      <c r="AO917" s="3680"/>
      <c r="AP917" s="3680"/>
      <c r="AQ917" s="3680"/>
      <c r="AR917" s="3680"/>
      <c r="AS917" s="3680"/>
      <c r="AT917" s="3680"/>
      <c r="AU917" s="3680"/>
      <c r="AV917" s="3680"/>
      <c r="AW917" s="3680"/>
      <c r="AX917" s="3680"/>
      <c r="AY917" s="3680"/>
      <c r="AZ917" s="3680"/>
      <c r="BA917" s="3680"/>
      <c r="BB917" s="3680"/>
      <c r="BC917" s="3680"/>
      <c r="BD917" s="3680"/>
      <c r="BE917" s="3680"/>
      <c r="BF917" s="3680"/>
      <c r="BG917" s="3680"/>
      <c r="BH917" s="3680"/>
      <c r="BI917" s="3680"/>
    </row>
    <row r="918" spans="1:61" ht="24.75" customHeight="1">
      <c r="A918" s="3870" t="s">
        <v>1549</v>
      </c>
      <c r="B918" s="3870" t="s">
        <v>5767</v>
      </c>
      <c r="C918" s="3871" t="s">
        <v>178</v>
      </c>
      <c r="D918" s="3870" t="s">
        <v>5794</v>
      </c>
      <c r="E918" s="5058" t="str">
        <f>VLOOKUP(F918,plasmids!$A$2:$B$891,2)</f>
        <v>pAAV1-7mD</v>
      </c>
      <c r="F918" s="3873">
        <v>747</v>
      </c>
      <c r="G918" s="3874" t="s">
        <v>5995</v>
      </c>
      <c r="H918" s="5053" t="str">
        <f>VLOOKUP(I918,plasmids!$A$2:$B$940,2)</f>
        <v>sc-CAG-GFP</v>
      </c>
      <c r="I918" s="3870">
        <v>120</v>
      </c>
      <c r="J918" s="5054" t="s">
        <v>5988</v>
      </c>
      <c r="K918" s="3876"/>
      <c r="L918" s="2661" t="s">
        <v>5994</v>
      </c>
      <c r="M918" s="3877">
        <v>42863</v>
      </c>
      <c r="N918" s="5320"/>
      <c r="O918" s="3873"/>
      <c r="P918" s="4291"/>
      <c r="Q918" s="4332">
        <v>10500000000000</v>
      </c>
      <c r="R918" s="4333">
        <v>16500000000</v>
      </c>
      <c r="S918" s="4334">
        <f t="shared" si="13"/>
        <v>20872727272727.273</v>
      </c>
      <c r="T918" s="3870" t="s">
        <v>5973</v>
      </c>
      <c r="U918" s="3870" t="s">
        <v>5996</v>
      </c>
      <c r="V918" s="3872">
        <v>635</v>
      </c>
      <c r="W918" s="3883"/>
      <c r="X918" s="3680"/>
      <c r="Y918" s="3680"/>
      <c r="Z918" s="3680"/>
      <c r="AA918" s="3680"/>
      <c r="AB918" s="3680"/>
      <c r="AC918" s="3680"/>
      <c r="AD918" s="3680"/>
      <c r="AE918" s="3680"/>
      <c r="AF918" s="3680"/>
      <c r="AG918" s="3680"/>
      <c r="AH918" s="3680"/>
      <c r="AI918" s="3680"/>
      <c r="AJ918" s="3680"/>
      <c r="AK918" s="3680"/>
      <c r="AL918" s="3680"/>
      <c r="AM918" s="3680"/>
      <c r="AN918" s="3680"/>
      <c r="AO918" s="3680"/>
      <c r="AP918" s="3680"/>
      <c r="AQ918" s="3680"/>
      <c r="AR918" s="3680"/>
      <c r="AS918" s="3680"/>
      <c r="AT918" s="3680"/>
      <c r="AU918" s="3680"/>
      <c r="AV918" s="3680"/>
      <c r="AW918" s="3680"/>
      <c r="AX918" s="3680"/>
      <c r="AY918" s="3680"/>
      <c r="AZ918" s="3680"/>
      <c r="BA918" s="3680"/>
      <c r="BB918" s="3680"/>
      <c r="BC918" s="3680"/>
      <c r="BD918" s="3680"/>
      <c r="BE918" s="3680"/>
      <c r="BF918" s="3680"/>
      <c r="BG918" s="3680"/>
      <c r="BH918" s="3680"/>
      <c r="BI918" s="3680"/>
    </row>
    <row r="919" spans="1:61" ht="24.75" customHeight="1">
      <c r="A919" s="3375" t="s">
        <v>52</v>
      </c>
      <c r="B919" s="3375" t="s">
        <v>5917</v>
      </c>
      <c r="C919" s="3551" t="s">
        <v>5990</v>
      </c>
      <c r="D919" s="3375" t="s">
        <v>5794</v>
      </c>
      <c r="E919" s="5060" t="str">
        <f>VLOOKUP(F919,plasmids!$A$2:$B$891,2)</f>
        <v>pAAV2/8</v>
      </c>
      <c r="F919" s="2655">
        <v>122</v>
      </c>
      <c r="G919" s="2596"/>
      <c r="H919" s="5061" t="str">
        <f>VLOOKUP(I919,plasmids!$A$2:$B$940,2)</f>
        <v>pssAAV-CAG-ChrimsonR-tdTomato</v>
      </c>
      <c r="I919" s="2255">
        <v>479</v>
      </c>
      <c r="J919" s="5062" t="s">
        <v>5997</v>
      </c>
      <c r="K919" s="3147"/>
      <c r="L919" s="2785"/>
      <c r="M919" s="2695">
        <v>42860</v>
      </c>
      <c r="N919" s="2649">
        <v>955</v>
      </c>
      <c r="O919" s="2655"/>
      <c r="P919" s="2651"/>
      <c r="Q919" s="2228">
        <v>141000000000</v>
      </c>
      <c r="R919" s="2228">
        <v>16500000000</v>
      </c>
      <c r="S919" s="1865">
        <f t="shared" si="13"/>
        <v>280290909090.90906</v>
      </c>
      <c r="T919" s="3375" t="s">
        <v>5973</v>
      </c>
      <c r="U919" s="2255" t="s">
        <v>5989</v>
      </c>
      <c r="V919" s="3554">
        <v>600</v>
      </c>
      <c r="W919" s="3150"/>
      <c r="X919" s="2656"/>
      <c r="Y919" s="2656"/>
      <c r="Z919" s="2656"/>
      <c r="AA919" s="2656"/>
      <c r="AB919" s="2656"/>
      <c r="AC919" s="2656"/>
      <c r="AD919" s="2656"/>
      <c r="AE919" s="2656"/>
      <c r="AF919" s="2656"/>
      <c r="AG919" s="2656"/>
      <c r="AH919" s="2656"/>
      <c r="AI919" s="2656"/>
      <c r="AJ919" s="2656"/>
      <c r="AK919" s="2656"/>
      <c r="AL919" s="2656"/>
      <c r="AM919" s="2656"/>
      <c r="AN919" s="2656"/>
      <c r="AO919" s="2656"/>
      <c r="AP919" s="2656"/>
      <c r="AQ919" s="2656"/>
      <c r="AR919" s="2656"/>
      <c r="AS919" s="2656"/>
      <c r="AT919" s="2656"/>
      <c r="AU919" s="2656"/>
      <c r="AV919" s="2656"/>
      <c r="AW919" s="2656"/>
      <c r="AX919" s="2656"/>
      <c r="AY919" s="2656"/>
      <c r="AZ919" s="2656"/>
      <c r="BA919" s="2656"/>
      <c r="BB919" s="2656"/>
      <c r="BC919" s="2656"/>
      <c r="BD919" s="2656"/>
      <c r="BE919" s="2656"/>
      <c r="BF919" s="2656"/>
      <c r="BG919" s="2656"/>
      <c r="BH919" s="2656"/>
      <c r="BI919" s="2656"/>
    </row>
    <row r="920" spans="1:61" ht="24.75" customHeight="1">
      <c r="A920" s="3375" t="s">
        <v>52</v>
      </c>
      <c r="B920" s="3375" t="s">
        <v>5917</v>
      </c>
      <c r="C920" s="3551" t="s">
        <v>5990</v>
      </c>
      <c r="D920" s="3375" t="s">
        <v>5794</v>
      </c>
      <c r="E920" s="5060" t="str">
        <f>VLOOKUP(F920,plasmids!$A$2:$B$891,2)</f>
        <v>pAAV2/8</v>
      </c>
      <c r="F920" s="2655">
        <v>122</v>
      </c>
      <c r="G920" s="2596"/>
      <c r="H920" s="5061" t="str">
        <f>VLOOKUP(I920,plasmids!$A$2:$B$940,2)</f>
        <v>pssAAV-CAG-ChrimsonR-tdTomato</v>
      </c>
      <c r="I920" s="2255">
        <v>479</v>
      </c>
      <c r="J920" s="5062" t="s">
        <v>5998</v>
      </c>
      <c r="K920" s="3147"/>
      <c r="L920" s="2785"/>
      <c r="M920" s="2695">
        <v>42860</v>
      </c>
      <c r="N920" s="2649">
        <v>956</v>
      </c>
      <c r="O920" s="2655"/>
      <c r="P920" s="2651"/>
      <c r="Q920" s="2228">
        <v>81700000000</v>
      </c>
      <c r="R920" s="2228">
        <v>16500000000</v>
      </c>
      <c r="S920" s="1865">
        <f t="shared" si="13"/>
        <v>162409696969.69696</v>
      </c>
      <c r="T920" s="3375" t="s">
        <v>5973</v>
      </c>
      <c r="U920" s="2255" t="s">
        <v>5989</v>
      </c>
      <c r="V920" s="3554" t="s">
        <v>5999</v>
      </c>
      <c r="W920" s="3150"/>
      <c r="X920" s="2656"/>
      <c r="Y920" s="2656"/>
      <c r="Z920" s="2656"/>
      <c r="AA920" s="2656"/>
      <c r="AB920" s="2656"/>
      <c r="AC920" s="2656"/>
      <c r="AD920" s="2656"/>
      <c r="AE920" s="2656"/>
      <c r="AF920" s="2656"/>
      <c r="AG920" s="2656"/>
      <c r="AH920" s="2656"/>
      <c r="AI920" s="2656"/>
      <c r="AJ920" s="2656"/>
      <c r="AK920" s="2656"/>
      <c r="AL920" s="2656"/>
      <c r="AM920" s="2656"/>
      <c r="AN920" s="2656"/>
      <c r="AO920" s="2656"/>
      <c r="AP920" s="2656"/>
      <c r="AQ920" s="2656"/>
      <c r="AR920" s="2656"/>
      <c r="AS920" s="2656"/>
      <c r="AT920" s="2656"/>
      <c r="AU920" s="2656"/>
      <c r="AV920" s="2656"/>
      <c r="AW920" s="2656"/>
      <c r="AX920" s="2656"/>
      <c r="AY920" s="2656"/>
      <c r="AZ920" s="2656"/>
      <c r="BA920" s="2656"/>
      <c r="BB920" s="2656"/>
      <c r="BC920" s="2656"/>
      <c r="BD920" s="2656"/>
      <c r="BE920" s="2656"/>
      <c r="BF920" s="2656"/>
      <c r="BG920" s="2656"/>
      <c r="BH920" s="2656"/>
      <c r="BI920" s="2656"/>
    </row>
    <row r="921" spans="1:61" ht="24.75" customHeight="1">
      <c r="A921" s="4924" t="s">
        <v>1343</v>
      </c>
      <c r="B921" s="4924" t="s">
        <v>5707</v>
      </c>
      <c r="C921" s="4925" t="s">
        <v>5708</v>
      </c>
      <c r="D921" s="4924" t="s">
        <v>5655</v>
      </c>
      <c r="E921" s="4926" t="str">
        <f>VLOOKUP(F921,plasmids!$A$2:$B$891,2)</f>
        <v>AAV2-7m8</v>
      </c>
      <c r="F921" s="4927">
        <v>178</v>
      </c>
      <c r="G921" s="4925"/>
      <c r="H921" s="4928" t="str">
        <f>VLOOKUP(I921,plasmids!$A$2:$B$940,2)</f>
        <v>pssAAV-pR1.7-Jaws-GFP</v>
      </c>
      <c r="I921" s="4924">
        <v>596</v>
      </c>
      <c r="J921" s="4929"/>
      <c r="K921" s="4930"/>
      <c r="L921" s="4951"/>
      <c r="M921" s="4932">
        <v>42869</v>
      </c>
      <c r="N921" s="4933">
        <v>957</v>
      </c>
      <c r="O921" s="4927"/>
      <c r="P921" s="4934"/>
      <c r="Q921" s="4953">
        <v>3880000000000</v>
      </c>
      <c r="R921" s="5063">
        <v>9690000000</v>
      </c>
      <c r="S921" s="4952">
        <f t="shared" si="13"/>
        <v>13133539731682.146</v>
      </c>
      <c r="T921" s="4940" t="s">
        <v>5973</v>
      </c>
      <c r="U921" s="4939"/>
      <c r="V921" s="4954">
        <f>334</f>
        <v>334</v>
      </c>
      <c r="W921" s="4940"/>
      <c r="X921" s="4940" t="s">
        <v>6000</v>
      </c>
      <c r="Y921" s="4939"/>
      <c r="Z921" s="4939"/>
      <c r="AA921" s="4939"/>
      <c r="AB921" s="4939"/>
      <c r="AC921" s="4939"/>
      <c r="AD921" s="4939"/>
      <c r="AE921" s="4939"/>
      <c r="AF921" s="4939"/>
      <c r="AG921" s="4939"/>
      <c r="AH921" s="4939"/>
      <c r="AI921" s="4939"/>
      <c r="AJ921" s="4939"/>
      <c r="AK921" s="4939"/>
      <c r="AL921" s="4939"/>
      <c r="AM921" s="4939"/>
      <c r="AN921" s="4939"/>
      <c r="AO921" s="4939"/>
      <c r="AP921" s="4939"/>
      <c r="AQ921" s="4939"/>
      <c r="AR921" s="4939"/>
      <c r="AS921" s="4939"/>
      <c r="AT921" s="4939"/>
      <c r="AU921" s="4939"/>
      <c r="AV921" s="4939"/>
      <c r="AW921" s="4939"/>
      <c r="AX921" s="4939"/>
      <c r="AY921" s="4939"/>
      <c r="AZ921" s="4939"/>
      <c r="BA921" s="4939"/>
      <c r="BB921" s="4939"/>
      <c r="BC921" s="4939"/>
      <c r="BD921" s="4939"/>
      <c r="BE921" s="4939"/>
      <c r="BF921" s="4939"/>
      <c r="BG921" s="4939"/>
      <c r="BH921" s="4939"/>
      <c r="BI921" s="4939"/>
    </row>
    <row r="922" spans="1:61" ht="24.75" customHeight="1">
      <c r="A922" s="4924" t="s">
        <v>1343</v>
      </c>
      <c r="B922" s="4924" t="s">
        <v>5707</v>
      </c>
      <c r="C922" s="4925" t="s">
        <v>5708</v>
      </c>
      <c r="D922" s="4924" t="s">
        <v>568</v>
      </c>
      <c r="E922" s="4926" t="str">
        <f>VLOOKUP(F922,plasmids!$A$2:$B$891,2)</f>
        <v>AAV2-7m8</v>
      </c>
      <c r="F922" s="4927">
        <v>178</v>
      </c>
      <c r="G922" s="4928"/>
      <c r="H922" s="4928" t="str">
        <f>VLOOKUP(I922,plasmids!$A$2:$B$940,2)</f>
        <v>pssAAV-pR1.7-GFP</v>
      </c>
      <c r="I922" s="4924">
        <v>566</v>
      </c>
      <c r="J922" s="4929"/>
      <c r="K922" s="4930"/>
      <c r="L922" s="4951"/>
      <c r="M922" s="4932">
        <v>42869</v>
      </c>
      <c r="N922" s="4933">
        <v>958</v>
      </c>
      <c r="O922" s="4927"/>
      <c r="P922" s="4934"/>
      <c r="Q922" s="4953">
        <v>2760000000000</v>
      </c>
      <c r="R922" s="5063">
        <v>9690000000</v>
      </c>
      <c r="S922" s="4952">
        <f t="shared" si="13"/>
        <v>9342414860681.1152</v>
      </c>
      <c r="T922" s="4940" t="s">
        <v>5973</v>
      </c>
      <c r="U922" s="4939"/>
      <c r="V922" s="4954">
        <f>43</f>
        <v>43</v>
      </c>
      <c r="W922" s="4940"/>
      <c r="X922" s="4940" t="s">
        <v>6000</v>
      </c>
      <c r="Y922" s="4939"/>
      <c r="Z922" s="4939"/>
      <c r="AA922" s="4939"/>
      <c r="AB922" s="4939"/>
      <c r="AC922" s="4939"/>
      <c r="AD922" s="4939"/>
      <c r="AE922" s="4939"/>
      <c r="AF922" s="4939"/>
      <c r="AG922" s="4939"/>
      <c r="AH922" s="4939"/>
      <c r="AI922" s="4939"/>
      <c r="AJ922" s="4939"/>
      <c r="AK922" s="4939"/>
      <c r="AL922" s="4939"/>
      <c r="AM922" s="4939"/>
      <c r="AN922" s="4939"/>
      <c r="AO922" s="4939"/>
      <c r="AP922" s="4939"/>
      <c r="AQ922" s="4939"/>
      <c r="AR922" s="4939"/>
      <c r="AS922" s="4939"/>
      <c r="AT922" s="4939"/>
      <c r="AU922" s="4939"/>
      <c r="AV922" s="4939"/>
      <c r="AW922" s="4939"/>
      <c r="AX922" s="4939"/>
      <c r="AY922" s="4939"/>
      <c r="AZ922" s="4939"/>
      <c r="BA922" s="4939"/>
      <c r="BB922" s="4939"/>
      <c r="BC922" s="4939"/>
      <c r="BD922" s="4939"/>
      <c r="BE922" s="4939"/>
      <c r="BF922" s="4939"/>
      <c r="BG922" s="4939"/>
      <c r="BH922" s="4939"/>
      <c r="BI922" s="4939"/>
    </row>
    <row r="923" spans="1:61" ht="24.75" customHeight="1">
      <c r="A923" s="4924" t="s">
        <v>1343</v>
      </c>
      <c r="B923" s="4924" t="s">
        <v>5981</v>
      </c>
      <c r="C923" s="4925" t="s">
        <v>5852</v>
      </c>
      <c r="D923" s="4924" t="s">
        <v>1088</v>
      </c>
      <c r="E923" s="4926" t="str">
        <f>VLOOKUP(F923,plasmids!$A$2:$B$891,2)</f>
        <v>AAV2-7m8</v>
      </c>
      <c r="F923" s="4927">
        <v>178</v>
      </c>
      <c r="G923" s="4928"/>
      <c r="H923" s="4950" t="str">
        <f>VLOOKUP(I923,plasmids!$A$2:$B$640,2)</f>
        <v>pscAAV-CAG-hCatch-GFP</v>
      </c>
      <c r="I923" s="4924">
        <v>547</v>
      </c>
      <c r="J923" s="4929"/>
      <c r="K923" s="4930"/>
      <c r="L923" s="4951"/>
      <c r="M923" s="4932">
        <v>42869</v>
      </c>
      <c r="N923" s="4933">
        <v>959</v>
      </c>
      <c r="O923" s="4927"/>
      <c r="P923" s="4934"/>
      <c r="Q923" s="5064">
        <v>4120000000000</v>
      </c>
      <c r="R923" s="4953">
        <v>9690000000</v>
      </c>
      <c r="S923" s="4952">
        <f t="shared" si="13"/>
        <v>13945923632610.939</v>
      </c>
      <c r="T923" s="4940"/>
      <c r="U923" s="4939"/>
      <c r="V923" s="4954">
        <f>557</f>
        <v>557</v>
      </c>
      <c r="W923" s="4940" t="s">
        <v>2812</v>
      </c>
      <c r="X923" s="4939"/>
      <c r="Y923" s="4939"/>
      <c r="Z923" s="4939"/>
      <c r="AA923" s="4939"/>
      <c r="AB923" s="4939"/>
      <c r="AC923" s="4939"/>
      <c r="AD923" s="4939"/>
      <c r="AE923" s="4939"/>
      <c r="AF923" s="4939"/>
      <c r="AG923" s="4939"/>
      <c r="AH923" s="4939"/>
      <c r="AI923" s="4939"/>
      <c r="AJ923" s="4939"/>
      <c r="AK923" s="4939"/>
      <c r="AL923" s="4939"/>
      <c r="AM923" s="4939"/>
      <c r="AN923" s="4939"/>
      <c r="AO923" s="4939"/>
      <c r="AP923" s="4939"/>
      <c r="AQ923" s="4939"/>
      <c r="AR923" s="4939"/>
      <c r="AS923" s="4939"/>
      <c r="AT923" s="4939"/>
      <c r="AU923" s="4939"/>
      <c r="AV923" s="4939"/>
      <c r="AW923" s="4939"/>
      <c r="AX923" s="4939"/>
      <c r="AY923" s="4939"/>
      <c r="AZ923" s="4939"/>
      <c r="BA923" s="4939"/>
      <c r="BB923" s="4939"/>
      <c r="BC923" s="4939"/>
      <c r="BD923" s="4939"/>
      <c r="BE923" s="4939"/>
      <c r="BF923" s="4939"/>
      <c r="BG923" s="4939"/>
      <c r="BH923" s="4939"/>
      <c r="BI923" s="4939"/>
    </row>
    <row r="924" spans="1:61" ht="24.75" customHeight="1">
      <c r="A924" s="4924" t="s">
        <v>1343</v>
      </c>
      <c r="B924" s="4924" t="s">
        <v>5981</v>
      </c>
      <c r="C924" s="4925" t="s">
        <v>5852</v>
      </c>
      <c r="D924" s="4924" t="s">
        <v>5982</v>
      </c>
      <c r="E924" s="4926" t="str">
        <f>VLOOKUP(F924,plasmids!$A$2:$B$891,2)</f>
        <v>AAV2-7m8</v>
      </c>
      <c r="F924" s="4927">
        <v>178</v>
      </c>
      <c r="G924" s="4928"/>
      <c r="H924" s="4950" t="str">
        <f>VLOOKUP(I924,plasmids!$A$2:$B$940,2)</f>
        <v>pscAAV-CAG-eNpHR-eYFP</v>
      </c>
      <c r="I924" s="4924">
        <v>295</v>
      </c>
      <c r="J924" s="4929"/>
      <c r="K924" s="4930"/>
      <c r="L924" s="4951"/>
      <c r="M924" s="4932">
        <v>42869</v>
      </c>
      <c r="N924" s="4933">
        <v>960</v>
      </c>
      <c r="O924" s="4927"/>
      <c r="P924" s="4934"/>
      <c r="Q924" s="5064">
        <v>624000000000</v>
      </c>
      <c r="R924" s="4953">
        <v>9690000000</v>
      </c>
      <c r="S924" s="4952">
        <f t="shared" si="13"/>
        <v>2112198142414.8608</v>
      </c>
      <c r="T924" s="4940"/>
      <c r="U924" s="4939"/>
      <c r="V924" s="4954">
        <f>544</f>
        <v>544</v>
      </c>
      <c r="W924" s="4940" t="s">
        <v>2812</v>
      </c>
      <c r="X924" s="4939"/>
      <c r="Y924" s="4939"/>
      <c r="Z924" s="4939"/>
      <c r="AA924" s="4939"/>
      <c r="AB924" s="4939"/>
      <c r="AC924" s="4939"/>
      <c r="AD924" s="4939"/>
      <c r="AE924" s="4939"/>
      <c r="AF924" s="4939"/>
      <c r="AG924" s="4939"/>
      <c r="AH924" s="4939"/>
      <c r="AI924" s="4939"/>
      <c r="AJ924" s="4939"/>
      <c r="AK924" s="4939"/>
      <c r="AL924" s="4939"/>
      <c r="AM924" s="4939"/>
      <c r="AN924" s="4939"/>
      <c r="AO924" s="4939"/>
      <c r="AP924" s="4939"/>
      <c r="AQ924" s="4939"/>
      <c r="AR924" s="4939"/>
      <c r="AS924" s="4939"/>
      <c r="AT924" s="4939"/>
      <c r="AU924" s="4939"/>
      <c r="AV924" s="4939"/>
      <c r="AW924" s="4939"/>
      <c r="AX924" s="4939"/>
      <c r="AY924" s="4939"/>
      <c r="AZ924" s="4939"/>
      <c r="BA924" s="4939"/>
      <c r="BB924" s="4939"/>
      <c r="BC924" s="4939"/>
      <c r="BD924" s="4939"/>
      <c r="BE924" s="4939"/>
      <c r="BF924" s="4939"/>
      <c r="BG924" s="4939"/>
      <c r="BH924" s="4939"/>
      <c r="BI924" s="4939"/>
    </row>
    <row r="925" spans="1:61" ht="21.75" customHeight="1">
      <c r="A925" s="4924" t="s">
        <v>1343</v>
      </c>
      <c r="B925" s="4924" t="s">
        <v>5732</v>
      </c>
      <c r="C925" s="4925" t="s">
        <v>6001</v>
      </c>
      <c r="D925" s="4924" t="s">
        <v>3782</v>
      </c>
      <c r="E925" s="4926" t="str">
        <f>VLOOKUP(F925,plasmids!$A$2:$B$891,2)</f>
        <v>AAV2-7m8</v>
      </c>
      <c r="F925" s="4927">
        <v>178</v>
      </c>
      <c r="G925" s="4928"/>
      <c r="H925" s="4928" t="str">
        <f>VLOOKUP(I925,plasmids!$A$2:$B$891,2)</f>
        <v>pssAAV-mCAR-GFP</v>
      </c>
      <c r="I925" s="4924">
        <v>93</v>
      </c>
      <c r="J925" s="4929"/>
      <c r="K925" s="4930"/>
      <c r="L925" s="4931"/>
      <c r="M925" s="4932">
        <v>42873</v>
      </c>
      <c r="N925" s="4933">
        <v>961</v>
      </c>
      <c r="O925" s="4927"/>
      <c r="P925" s="4934"/>
      <c r="Q925" s="4935">
        <v>2490000000000</v>
      </c>
      <c r="R925" s="4936">
        <v>9690000000</v>
      </c>
      <c r="S925" s="4952">
        <f t="shared" si="13"/>
        <v>8428482972136.2236</v>
      </c>
      <c r="T925" s="4940"/>
      <c r="U925" s="4939"/>
      <c r="V925" s="4940">
        <f>650</f>
        <v>650</v>
      </c>
      <c r="W925" s="4940" t="s">
        <v>2812</v>
      </c>
      <c r="X925" s="4939"/>
      <c r="Y925" s="4939"/>
      <c r="Z925" s="4939"/>
      <c r="AA925" s="4939"/>
      <c r="AB925" s="4939"/>
      <c r="AC925" s="4939"/>
      <c r="AD925" s="4939"/>
      <c r="AE925" s="4939"/>
      <c r="AF925" s="4939"/>
      <c r="AG925" s="4939"/>
      <c r="AH925" s="4939"/>
      <c r="AI925" s="4939"/>
      <c r="AJ925" s="4939"/>
      <c r="AK925" s="4939"/>
      <c r="AL925" s="4939"/>
      <c r="AM925" s="4939"/>
      <c r="AN925" s="4939"/>
      <c r="AO925" s="4939"/>
      <c r="AP925" s="4939"/>
      <c r="AQ925" s="4939"/>
      <c r="AR925" s="4939"/>
      <c r="AS925" s="4939"/>
      <c r="AT925" s="4939"/>
      <c r="AU925" s="4939"/>
      <c r="AV925" s="4939"/>
      <c r="AW925" s="4939"/>
      <c r="AX925" s="4939"/>
      <c r="AY925" s="4939"/>
      <c r="AZ925" s="4939"/>
      <c r="BA925" s="4939"/>
      <c r="BB925" s="4939"/>
      <c r="BC925" s="4939"/>
      <c r="BD925" s="4939"/>
      <c r="BE925" s="4939"/>
      <c r="BF925" s="4939"/>
      <c r="BG925" s="4939"/>
      <c r="BH925" s="4939"/>
      <c r="BI925" s="4939"/>
    </row>
    <row r="926" spans="1:61" ht="24.75" customHeight="1">
      <c r="A926" s="5002" t="s">
        <v>600</v>
      </c>
      <c r="B926" s="5002" t="s">
        <v>5139</v>
      </c>
      <c r="C926" s="5003"/>
      <c r="D926" s="5002"/>
      <c r="E926" s="5065" t="str">
        <f>VLOOKUP(F926,plasmids!$A$2:$B$891,2)</f>
        <v>AAV2-7m8</v>
      </c>
      <c r="F926" s="5005">
        <v>178</v>
      </c>
      <c r="G926" s="5006"/>
      <c r="H926" s="5006" t="str">
        <f>VLOOKUP(I926,plasmids!$A$2:$B$891,2)</f>
        <v>sc-CAG-GFP</v>
      </c>
      <c r="I926" s="5002">
        <v>120</v>
      </c>
      <c r="J926" s="5015"/>
      <c r="K926" s="5007"/>
      <c r="L926" s="5008"/>
      <c r="M926" s="5009">
        <v>42873</v>
      </c>
      <c r="N926" s="5010">
        <v>962</v>
      </c>
      <c r="O926" s="5005"/>
      <c r="P926" s="5011"/>
      <c r="Q926" s="5012">
        <v>3070000000000</v>
      </c>
      <c r="R926" s="5013">
        <v>9690000000</v>
      </c>
      <c r="S926" s="5014">
        <f t="shared" si="13"/>
        <v>10391744066047.473</v>
      </c>
      <c r="T926" s="5002" t="s">
        <v>5973</v>
      </c>
      <c r="U926" s="5015"/>
      <c r="V926" s="5004">
        <f>571-80</f>
        <v>491</v>
      </c>
      <c r="W926" s="5016"/>
      <c r="X926" s="5017"/>
      <c r="Y926" s="5017"/>
      <c r="Z926" s="5017"/>
      <c r="AA926" s="5017"/>
      <c r="AB926" s="5017"/>
      <c r="AC926" s="5017"/>
      <c r="AD926" s="5017"/>
      <c r="AE926" s="5017"/>
      <c r="AF926" s="5017"/>
      <c r="AG926" s="5017"/>
      <c r="AH926" s="5017"/>
      <c r="AI926" s="5017"/>
      <c r="AJ926" s="5017"/>
      <c r="AK926" s="5017"/>
      <c r="AL926" s="5017"/>
      <c r="AM926" s="5017"/>
      <c r="AN926" s="5017"/>
      <c r="AO926" s="5017"/>
      <c r="AP926" s="5017"/>
      <c r="AQ926" s="5017"/>
      <c r="AR926" s="5017"/>
      <c r="AS926" s="5017"/>
      <c r="AT926" s="5017"/>
      <c r="AU926" s="5017"/>
      <c r="AV926" s="5017"/>
      <c r="AW926" s="5017"/>
      <c r="AX926" s="5017"/>
      <c r="AY926" s="5017"/>
      <c r="AZ926" s="5017"/>
      <c r="BA926" s="5017"/>
      <c r="BB926" s="5017"/>
      <c r="BC926" s="5017"/>
      <c r="BD926" s="5017"/>
      <c r="BE926" s="5017"/>
      <c r="BF926" s="5017"/>
      <c r="BG926" s="5017"/>
      <c r="BH926" s="5017"/>
      <c r="BI926" s="5017"/>
    </row>
    <row r="927" spans="1:61" ht="24.75" customHeight="1">
      <c r="A927" s="5002" t="s">
        <v>600</v>
      </c>
      <c r="B927" s="5002" t="s">
        <v>5139</v>
      </c>
      <c r="C927" s="5003"/>
      <c r="D927" s="5002"/>
      <c r="E927" s="5065" t="str">
        <f>VLOOKUP(F927,plasmids!$A$2:$B$891,2)</f>
        <v>AAV9- 7mer Gradinaru</v>
      </c>
      <c r="F927" s="5005">
        <v>768</v>
      </c>
      <c r="G927" s="5006"/>
      <c r="H927" s="5006" t="str">
        <f>VLOOKUP(I927,plasmids!$A$2:$B$891,2)</f>
        <v>sc-CAG-GFP</v>
      </c>
      <c r="I927" s="5002">
        <v>120</v>
      </c>
      <c r="J927" s="5015"/>
      <c r="K927" s="5007"/>
      <c r="L927" s="5008"/>
      <c r="M927" s="5009">
        <v>42873</v>
      </c>
      <c r="N927" s="5010">
        <v>963</v>
      </c>
      <c r="O927" s="5005"/>
      <c r="P927" s="5011"/>
      <c r="Q927" s="5012">
        <v>193000000000</v>
      </c>
      <c r="R927" s="5013">
        <v>9690000000</v>
      </c>
      <c r="S927" s="5014">
        <f t="shared" si="13"/>
        <v>653292053663.57068</v>
      </c>
      <c r="T927" s="5002" t="s">
        <v>5973</v>
      </c>
      <c r="U927" s="5015"/>
      <c r="V927" s="5004">
        <f>711</f>
        <v>711</v>
      </c>
      <c r="W927" s="5016"/>
      <c r="X927" s="5017"/>
      <c r="Y927" s="5017"/>
      <c r="Z927" s="5017"/>
      <c r="AA927" s="5017"/>
      <c r="AB927" s="5017"/>
      <c r="AC927" s="5017"/>
      <c r="AD927" s="5017"/>
      <c r="AE927" s="5017"/>
      <c r="AF927" s="5017"/>
      <c r="AG927" s="5017"/>
      <c r="AH927" s="5017"/>
      <c r="AI927" s="5017"/>
      <c r="AJ927" s="5017"/>
      <c r="AK927" s="5017"/>
      <c r="AL927" s="5017"/>
      <c r="AM927" s="5017"/>
      <c r="AN927" s="5017"/>
      <c r="AO927" s="5017"/>
      <c r="AP927" s="5017"/>
      <c r="AQ927" s="5017"/>
      <c r="AR927" s="5017"/>
      <c r="AS927" s="5017"/>
      <c r="AT927" s="5017"/>
      <c r="AU927" s="5017"/>
      <c r="AV927" s="5017"/>
      <c r="AW927" s="5017"/>
      <c r="AX927" s="5017"/>
      <c r="AY927" s="5017"/>
      <c r="AZ927" s="5017"/>
      <c r="BA927" s="5017"/>
      <c r="BB927" s="5017"/>
      <c r="BC927" s="5017"/>
      <c r="BD927" s="5017"/>
      <c r="BE927" s="5017"/>
      <c r="BF927" s="5017"/>
      <c r="BG927" s="5017"/>
      <c r="BH927" s="5017"/>
      <c r="BI927" s="5017"/>
    </row>
    <row r="928" spans="1:61" ht="28.5" customHeight="1">
      <c r="A928" s="1594" t="s">
        <v>6002</v>
      </c>
      <c r="B928" s="1594" t="s">
        <v>200</v>
      </c>
      <c r="C928" s="967" t="s">
        <v>178</v>
      </c>
      <c r="D928" s="966" t="s">
        <v>5547</v>
      </c>
      <c r="E928" s="2058" t="str">
        <f>VLOOKUP(F928,plasmids!$A$2:$B$891,2)</f>
        <v>AAV9 2YF</v>
      </c>
      <c r="F928" s="966">
        <v>168</v>
      </c>
      <c r="G928" s="2059"/>
      <c r="H928" s="2059" t="str">
        <f>VLOOKUP(I928,plasmids!$A$2:$B$940,2)</f>
        <v>pscAAV-CMV-GFP</v>
      </c>
      <c r="I928" s="1594">
        <v>22</v>
      </c>
      <c r="J928" s="978"/>
      <c r="K928" s="1614"/>
      <c r="L928" s="2183"/>
      <c r="M928" s="971">
        <v>42873</v>
      </c>
      <c r="N928" s="1059">
        <v>964</v>
      </c>
      <c r="O928" s="1594"/>
      <c r="P928" s="1594"/>
      <c r="Q928" s="3550">
        <v>139000000000000</v>
      </c>
      <c r="R928" s="3661">
        <v>9690000000</v>
      </c>
      <c r="S928" s="977">
        <f t="shared" si="13"/>
        <v>470505675954592.38</v>
      </c>
      <c r="T928" s="2183" t="s">
        <v>5973</v>
      </c>
      <c r="U928" s="978"/>
      <c r="V928" s="1594">
        <f>528</f>
        <v>528</v>
      </c>
      <c r="W928" s="978"/>
      <c r="X928" s="978"/>
      <c r="Y928" s="1594"/>
      <c r="Z928" s="978"/>
      <c r="AA928" s="978"/>
      <c r="AB928" s="978"/>
      <c r="AC928" s="978"/>
      <c r="AD928" s="978"/>
      <c r="AE928" s="978"/>
      <c r="AF928" s="978"/>
      <c r="AG928" s="978"/>
      <c r="AH928" s="978"/>
      <c r="AI928" s="978"/>
      <c r="AJ928" s="978"/>
      <c r="AK928" s="978"/>
      <c r="AL928" s="978"/>
      <c r="AM928" s="978"/>
      <c r="AN928" s="978"/>
      <c r="AO928" s="978"/>
      <c r="AP928" s="978"/>
      <c r="AQ928" s="978"/>
      <c r="AR928" s="978"/>
      <c r="AS928" s="978"/>
      <c r="AT928" s="978"/>
      <c r="AU928" s="978"/>
      <c r="AV928" s="978"/>
      <c r="AW928" s="978"/>
      <c r="AX928" s="978"/>
      <c r="AY928" s="978"/>
      <c r="AZ928" s="978"/>
      <c r="BA928" s="978"/>
      <c r="BB928" s="978"/>
      <c r="BC928" s="978"/>
      <c r="BD928" s="978"/>
      <c r="BE928" s="978"/>
      <c r="BF928" s="978"/>
      <c r="BG928" s="978"/>
      <c r="BH928" s="978"/>
      <c r="BI928" s="978"/>
    </row>
    <row r="929" spans="1:61" ht="24.75" customHeight="1">
      <c r="A929" s="3375" t="s">
        <v>52</v>
      </c>
      <c r="B929" s="3375" t="s">
        <v>5917</v>
      </c>
      <c r="C929" s="3551" t="s">
        <v>5990</v>
      </c>
      <c r="D929" s="3375" t="s">
        <v>5794</v>
      </c>
      <c r="E929" s="5055" t="str">
        <f>VLOOKUP(F929,plasmids!$A$2:$B$891,2)</f>
        <v>pAAV2/8</v>
      </c>
      <c r="F929" s="2655">
        <v>122</v>
      </c>
      <c r="G929" s="2596"/>
      <c r="H929" s="5056" t="str">
        <f>VLOOKUP(I929,plasmids!$A$2:$B$940,2)</f>
        <v>pssAAV-CAG-ChrimsonR-tdTomato</v>
      </c>
      <c r="I929" s="3375">
        <v>479</v>
      </c>
      <c r="J929" s="5057" t="s">
        <v>6003</v>
      </c>
      <c r="K929" s="3147"/>
      <c r="L929" s="2785"/>
      <c r="M929" s="2695">
        <v>42888</v>
      </c>
      <c r="N929" s="2649">
        <v>965</v>
      </c>
      <c r="O929" s="2655"/>
      <c r="P929" s="2651"/>
      <c r="Q929" s="5066">
        <v>1300000000000</v>
      </c>
      <c r="R929" s="3553">
        <v>11700000000</v>
      </c>
      <c r="S929" s="2653">
        <f t="shared" si="13"/>
        <v>3644444444444.4443</v>
      </c>
      <c r="T929" s="3375" t="s">
        <v>5973</v>
      </c>
      <c r="U929" s="3375" t="s">
        <v>5996</v>
      </c>
      <c r="V929" s="3554">
        <v>478</v>
      </c>
      <c r="W929" s="3150"/>
      <c r="X929" s="2656"/>
      <c r="Y929" s="2656"/>
      <c r="Z929" s="2656"/>
      <c r="AA929" s="2656"/>
      <c r="AB929" s="2656"/>
      <c r="AC929" s="2656"/>
      <c r="AD929" s="2656"/>
      <c r="AE929" s="2656"/>
      <c r="AF929" s="2656"/>
      <c r="AG929" s="2656"/>
      <c r="AH929" s="2656"/>
      <c r="AI929" s="2656"/>
      <c r="AJ929" s="2656"/>
      <c r="AK929" s="2656"/>
      <c r="AL929" s="2656"/>
      <c r="AM929" s="2656"/>
      <c r="AN929" s="2656"/>
      <c r="AO929" s="2656"/>
      <c r="AP929" s="2656"/>
      <c r="AQ929" s="2656"/>
      <c r="AR929" s="2656"/>
      <c r="AS929" s="2656"/>
      <c r="AT929" s="2656"/>
      <c r="AU929" s="2656"/>
      <c r="AV929" s="2656"/>
      <c r="AW929" s="2656"/>
      <c r="AX929" s="2656"/>
      <c r="AY929" s="2656"/>
      <c r="AZ929" s="2656"/>
      <c r="BA929" s="2656"/>
      <c r="BB929" s="2656"/>
      <c r="BC929" s="2656"/>
      <c r="BD929" s="2656"/>
      <c r="BE929" s="2656"/>
      <c r="BF929" s="2656"/>
      <c r="BG929" s="2656"/>
      <c r="BH929" s="2656"/>
      <c r="BI929" s="2656"/>
    </row>
    <row r="930" spans="1:61" ht="30.75" customHeight="1">
      <c r="A930" s="2646" t="s">
        <v>1954</v>
      </c>
      <c r="B930" s="2646" t="s">
        <v>4080</v>
      </c>
      <c r="C930" s="2647" t="s">
        <v>178</v>
      </c>
      <c r="D930" s="2646" t="s">
        <v>1088</v>
      </c>
      <c r="E930" s="1788" t="str">
        <f>VLOOKUP(F930,plasmids!$A$2:$B$891,2)</f>
        <v>pXR5</v>
      </c>
      <c r="F930" s="2655">
        <v>154</v>
      </c>
      <c r="G930" s="2596"/>
      <c r="H930" s="2596" t="s">
        <v>941</v>
      </c>
      <c r="I930" s="3375">
        <v>276</v>
      </c>
      <c r="J930" s="2648"/>
      <c r="K930" s="3147"/>
      <c r="L930" s="2785"/>
      <c r="M930" s="2695">
        <v>42888</v>
      </c>
      <c r="N930" s="641">
        <v>966</v>
      </c>
      <c r="O930" s="2655"/>
      <c r="P930" s="2651"/>
      <c r="Q930" s="5066">
        <v>2460000000000</v>
      </c>
      <c r="R930" s="3553">
        <v>11700000000</v>
      </c>
      <c r="S930" s="2653">
        <f t="shared" si="13"/>
        <v>6896410256410.2559</v>
      </c>
      <c r="T930" s="3375" t="s">
        <v>5973</v>
      </c>
      <c r="U930" s="2648"/>
      <c r="V930" s="3554">
        <v>638</v>
      </c>
      <c r="W930" s="3150"/>
      <c r="X930" s="2656"/>
      <c r="Y930" s="2656"/>
      <c r="Z930" s="2656"/>
      <c r="AA930" s="2656"/>
      <c r="AB930" s="2656"/>
      <c r="AC930" s="2656"/>
      <c r="AD930" s="2656"/>
      <c r="AE930" s="2656"/>
      <c r="AF930" s="2656"/>
      <c r="AG930" s="2656"/>
      <c r="AH930" s="2656"/>
      <c r="AI930" s="2656"/>
      <c r="AJ930" s="2656"/>
      <c r="AK930" s="2656"/>
      <c r="AL930" s="2656"/>
      <c r="AM930" s="2656"/>
      <c r="AN930" s="2656"/>
      <c r="AO930" s="2656"/>
      <c r="AP930" s="2656"/>
      <c r="AQ930" s="2656"/>
      <c r="AR930" s="2656"/>
      <c r="AS930" s="2656"/>
      <c r="AT930" s="2656"/>
      <c r="AU930" s="2656"/>
      <c r="AV930" s="2656"/>
      <c r="AW930" s="2656"/>
      <c r="AX930" s="2656"/>
      <c r="AY930" s="2656"/>
      <c r="AZ930" s="2656"/>
      <c r="BA930" s="2656"/>
      <c r="BB930" s="2656"/>
      <c r="BC930" s="2656"/>
      <c r="BD930" s="2656"/>
      <c r="BE930" s="2656"/>
      <c r="BF930" s="2656"/>
      <c r="BG930" s="2656"/>
      <c r="BH930" s="2656"/>
      <c r="BI930" s="2656"/>
    </row>
    <row r="931" spans="1:61" ht="24.75" customHeight="1">
      <c r="A931" s="5022" t="s">
        <v>1800</v>
      </c>
      <c r="B931" s="5022" t="s">
        <v>1050</v>
      </c>
      <c r="C931" s="5023" t="s">
        <v>1967</v>
      </c>
      <c r="D931" s="5022" t="s">
        <v>568</v>
      </c>
      <c r="E931" s="3159" t="str">
        <f>VLOOKUP(F931,plasmids!$A$2:$B$351,2)</f>
        <v>AAV2-7m8</v>
      </c>
      <c r="F931" s="3160">
        <v>178</v>
      </c>
      <c r="G931" s="5024"/>
      <c r="H931" s="5025" t="s">
        <v>5978</v>
      </c>
      <c r="I931" s="5022">
        <v>501</v>
      </c>
      <c r="J931" s="3163"/>
      <c r="K931" s="3164"/>
      <c r="L931" s="3166"/>
      <c r="M931" s="3168">
        <v>42888</v>
      </c>
      <c r="N931" s="3169">
        <v>967</v>
      </c>
      <c r="O931" s="3166"/>
      <c r="P931" s="3166"/>
      <c r="Q931" s="5067">
        <v>201000000000</v>
      </c>
      <c r="R931" s="5068">
        <v>11700000000</v>
      </c>
      <c r="S931" s="3178">
        <f t="shared" si="13"/>
        <v>563487179487.17944</v>
      </c>
      <c r="T931" s="5022" t="s">
        <v>5973</v>
      </c>
      <c r="U931" s="3163"/>
      <c r="V931" s="5069">
        <v>692</v>
      </c>
      <c r="W931" s="5070"/>
      <c r="X931" s="3182"/>
      <c r="Y931" s="3182"/>
      <c r="Z931" s="3182"/>
      <c r="AA931" s="3182"/>
      <c r="AB931" s="3182"/>
      <c r="AC931" s="3182"/>
      <c r="AD931" s="3182"/>
      <c r="AE931" s="3182"/>
      <c r="AF931" s="3182"/>
      <c r="AG931" s="3182"/>
      <c r="AH931" s="3182"/>
      <c r="AI931" s="3182"/>
      <c r="AJ931" s="3182"/>
      <c r="AK931" s="3182"/>
      <c r="AL931" s="3182"/>
      <c r="AM931" s="3182"/>
      <c r="AN931" s="3182"/>
      <c r="AO931" s="3182"/>
      <c r="AP931" s="3182"/>
      <c r="AQ931" s="3182"/>
      <c r="AR931" s="3182"/>
      <c r="AS931" s="3182"/>
      <c r="AT931" s="3182"/>
      <c r="AU931" s="3182"/>
      <c r="AV931" s="3182"/>
      <c r="AW931" s="3182"/>
      <c r="AX931" s="3182"/>
      <c r="AY931" s="3182"/>
      <c r="AZ931" s="3182"/>
      <c r="BA931" s="3182"/>
      <c r="BB931" s="3182"/>
      <c r="BC931" s="3182"/>
      <c r="BD931" s="3182"/>
      <c r="BE931" s="3182"/>
      <c r="BF931" s="3182"/>
      <c r="BG931" s="3182"/>
      <c r="BH931" s="3182"/>
      <c r="BI931" s="3182"/>
    </row>
    <row r="932" spans="1:61" ht="24.75" customHeight="1">
      <c r="A932" s="5071" t="s">
        <v>6004</v>
      </c>
      <c r="B932" s="5071" t="s">
        <v>6005</v>
      </c>
      <c r="C932" s="5072" t="s">
        <v>1967</v>
      </c>
      <c r="D932" s="5071" t="s">
        <v>6006</v>
      </c>
      <c r="E932" s="5073" t="str">
        <f>VLOOKUP(F932,plasmids!$A$2:$B$351,2)</f>
        <v>AAV9 7M8 (AA------)</v>
      </c>
      <c r="F932" s="5071">
        <v>170</v>
      </c>
      <c r="G932" s="5074"/>
      <c r="H932" s="5074" t="str">
        <f>VLOOKUP(I932,plasmids!$A$2:$B$951,2)</f>
        <v>sc-CAG-GFP</v>
      </c>
      <c r="I932" s="5071">
        <v>120</v>
      </c>
      <c r="J932" s="5075"/>
      <c r="K932" s="5076"/>
      <c r="L932" s="5077"/>
      <c r="M932" s="5078">
        <v>42888</v>
      </c>
      <c r="N932" s="5079">
        <v>968</v>
      </c>
      <c r="O932" s="5080"/>
      <c r="P932" s="5081"/>
      <c r="Q932" s="5082">
        <v>1970000000000</v>
      </c>
      <c r="R932" s="5083">
        <v>11700000000</v>
      </c>
      <c r="S932" s="5084">
        <f t="shared" si="13"/>
        <v>5522735042735.042</v>
      </c>
      <c r="T932" s="5071" t="s">
        <v>5973</v>
      </c>
      <c r="U932" s="5075"/>
      <c r="V932" s="5085">
        <v>648</v>
      </c>
      <c r="W932" s="5086"/>
      <c r="X932" s="5087"/>
      <c r="Y932" s="5087"/>
      <c r="Z932" s="5087"/>
      <c r="AA932" s="5087"/>
      <c r="AB932" s="5087"/>
      <c r="AC932" s="5087"/>
      <c r="AD932" s="5087"/>
      <c r="AE932" s="5087"/>
      <c r="AF932" s="5087"/>
      <c r="AG932" s="5087"/>
      <c r="AH932" s="5087"/>
      <c r="AI932" s="5087"/>
      <c r="AJ932" s="5087"/>
      <c r="AK932" s="5087"/>
      <c r="AL932" s="5087"/>
      <c r="AM932" s="5087"/>
      <c r="AN932" s="5087"/>
      <c r="AO932" s="5087"/>
      <c r="AP932" s="5087"/>
      <c r="AQ932" s="5087"/>
      <c r="AR932" s="5087"/>
      <c r="AS932" s="5087"/>
      <c r="AT932" s="5087"/>
      <c r="AU932" s="5087"/>
      <c r="AV932" s="5087"/>
      <c r="AW932" s="5087"/>
      <c r="AX932" s="5087"/>
      <c r="AY932" s="5087"/>
      <c r="AZ932" s="5087"/>
      <c r="BA932" s="5087"/>
      <c r="BB932" s="5087"/>
      <c r="BC932" s="5087"/>
      <c r="BD932" s="5087"/>
      <c r="BE932" s="5087"/>
      <c r="BF932" s="5087"/>
      <c r="BG932" s="5087"/>
      <c r="BH932" s="5087"/>
      <c r="BI932" s="5087"/>
    </row>
    <row r="933" spans="1:61" ht="24.75" customHeight="1">
      <c r="A933" s="5071" t="s">
        <v>6004</v>
      </c>
      <c r="B933" s="5071" t="s">
        <v>6005</v>
      </c>
      <c r="C933" s="5072" t="s">
        <v>1967</v>
      </c>
      <c r="D933" s="5071" t="s">
        <v>6006</v>
      </c>
      <c r="E933" s="5073" t="str">
        <f>VLOOKUP(F933,plasmids!$A$2:$B$351,2)</f>
        <v>AAV9 2YF</v>
      </c>
      <c r="F933" s="5071">
        <v>168</v>
      </c>
      <c r="G933" s="5074"/>
      <c r="H933" s="5074" t="str">
        <f>VLOOKUP(I933,plasmids!$A$2:$B$951,2)</f>
        <v>sc-CAG-GFP</v>
      </c>
      <c r="I933" s="5071">
        <v>120</v>
      </c>
      <c r="J933" s="5075"/>
      <c r="K933" s="5076"/>
      <c r="L933" s="5077"/>
      <c r="M933" s="5078">
        <v>42895</v>
      </c>
      <c r="N933" s="5079">
        <v>969</v>
      </c>
      <c r="O933" s="5080"/>
      <c r="P933" s="5081"/>
      <c r="Q933" s="5083">
        <v>45700000000000</v>
      </c>
      <c r="R933" s="5083">
        <v>30100000000</v>
      </c>
      <c r="S933" s="5083">
        <f t="shared" si="13"/>
        <v>49799335548172.758</v>
      </c>
      <c r="T933" s="5071" t="s">
        <v>6007</v>
      </c>
      <c r="U933" s="5075"/>
      <c r="V933" s="5085">
        <f t="shared" ref="V933:V934" si="14">616</f>
        <v>616</v>
      </c>
      <c r="W933" s="5086"/>
      <c r="X933" s="5087"/>
      <c r="Y933" s="5087"/>
      <c r="Z933" s="5087"/>
      <c r="AA933" s="5087"/>
      <c r="AB933" s="5087"/>
      <c r="AC933" s="5087"/>
      <c r="AD933" s="5087"/>
      <c r="AE933" s="5087"/>
      <c r="AF933" s="5087"/>
      <c r="AG933" s="5087"/>
      <c r="AH933" s="5087"/>
      <c r="AI933" s="5087"/>
      <c r="AJ933" s="5087"/>
      <c r="AK933" s="5087"/>
      <c r="AL933" s="5087"/>
      <c r="AM933" s="5087"/>
      <c r="AN933" s="5087"/>
      <c r="AO933" s="5087"/>
      <c r="AP933" s="5087"/>
      <c r="AQ933" s="5087"/>
      <c r="AR933" s="5087"/>
      <c r="AS933" s="5087"/>
      <c r="AT933" s="5087"/>
      <c r="AU933" s="5087"/>
      <c r="AV933" s="5087"/>
      <c r="AW933" s="5087"/>
      <c r="AX933" s="5087"/>
      <c r="AY933" s="5087"/>
      <c r="AZ933" s="5087"/>
      <c r="BA933" s="5087"/>
      <c r="BB933" s="5087"/>
      <c r="BC933" s="5087"/>
      <c r="BD933" s="5087"/>
      <c r="BE933" s="5087"/>
      <c r="BF933" s="5087"/>
      <c r="BG933" s="5087"/>
      <c r="BH933" s="5087"/>
      <c r="BI933" s="5087"/>
    </row>
    <row r="934" spans="1:61" ht="24.75" customHeight="1">
      <c r="A934" s="5071" t="s">
        <v>6004</v>
      </c>
      <c r="B934" s="5071" t="s">
        <v>6005</v>
      </c>
      <c r="C934" s="5072" t="s">
        <v>1967</v>
      </c>
      <c r="D934" s="5071" t="s">
        <v>6006</v>
      </c>
      <c r="E934" s="5073" t="str">
        <f>VLOOKUP(F934,plasmids!$A$2:$B$351,2)</f>
        <v>AAV9</v>
      </c>
      <c r="F934" s="5071">
        <v>166</v>
      </c>
      <c r="G934" s="5074"/>
      <c r="H934" s="5074" t="str">
        <f>VLOOKUP(I934,plasmids!$A$2:$B$951,2)</f>
        <v>sc-CAG-GFP</v>
      </c>
      <c r="I934" s="5071">
        <v>120</v>
      </c>
      <c r="J934" s="5075"/>
      <c r="K934" s="5076"/>
      <c r="L934" s="5077"/>
      <c r="M934" s="5078">
        <v>42895</v>
      </c>
      <c r="N934" s="5079">
        <v>970</v>
      </c>
      <c r="O934" s="5080"/>
      <c r="P934" s="5081"/>
      <c r="Q934" s="5083">
        <v>78800000000000</v>
      </c>
      <c r="R934" s="5083">
        <v>30100000000</v>
      </c>
      <c r="S934" s="5083">
        <f t="shared" si="13"/>
        <v>85868438538205.984</v>
      </c>
      <c r="T934" s="5071" t="s">
        <v>6007</v>
      </c>
      <c r="U934" s="5075"/>
      <c r="V934" s="5085">
        <f t="shared" si="14"/>
        <v>616</v>
      </c>
      <c r="W934" s="5086"/>
      <c r="X934" s="5087"/>
      <c r="Y934" s="5087"/>
      <c r="Z934" s="5087"/>
      <c r="AA934" s="5087"/>
      <c r="AB934" s="5087"/>
      <c r="AC934" s="5087"/>
      <c r="AD934" s="5087"/>
      <c r="AE934" s="5087"/>
      <c r="AF934" s="5087"/>
      <c r="AG934" s="5087"/>
      <c r="AH934" s="5087"/>
      <c r="AI934" s="5087"/>
      <c r="AJ934" s="5087"/>
      <c r="AK934" s="5087"/>
      <c r="AL934" s="5087"/>
      <c r="AM934" s="5087"/>
      <c r="AN934" s="5087"/>
      <c r="AO934" s="5087"/>
      <c r="AP934" s="5087"/>
      <c r="AQ934" s="5087"/>
      <c r="AR934" s="5087"/>
      <c r="AS934" s="5087"/>
      <c r="AT934" s="5087"/>
      <c r="AU934" s="5087"/>
      <c r="AV934" s="5087"/>
      <c r="AW934" s="5087"/>
      <c r="AX934" s="5087"/>
      <c r="AY934" s="5087"/>
      <c r="AZ934" s="5087"/>
      <c r="BA934" s="5087"/>
      <c r="BB934" s="5087"/>
      <c r="BC934" s="5087"/>
      <c r="BD934" s="5087"/>
      <c r="BE934" s="5087"/>
      <c r="BF934" s="5087"/>
      <c r="BG934" s="5087"/>
      <c r="BH934" s="5087"/>
      <c r="BI934" s="5087"/>
    </row>
    <row r="935" spans="1:61" ht="24.75" customHeight="1">
      <c r="A935" s="4940" t="s">
        <v>1343</v>
      </c>
      <c r="B935" s="4940" t="s">
        <v>5732</v>
      </c>
      <c r="C935" s="4940" t="s">
        <v>5708</v>
      </c>
      <c r="D935" s="4940" t="s">
        <v>1088</v>
      </c>
      <c r="E935" s="4940" t="str">
        <f>VLOOKUP(F935,plasmids!$A$2:$B$891,2)</f>
        <v>AAV2-7m8</v>
      </c>
      <c r="F935" s="4940">
        <v>178</v>
      </c>
      <c r="G935" s="4940"/>
      <c r="H935" s="4940" t="str">
        <f>VLOOKUP(I935,plasmids!$A$2:$B$891,2)</f>
        <v>pscAAV-CAG-JAWS-KGC-GFP-ER2</v>
      </c>
      <c r="I935" s="4940">
        <v>510</v>
      </c>
      <c r="J935" s="4940"/>
      <c r="K935" s="4940"/>
      <c r="L935" s="4940"/>
      <c r="M935" s="3518">
        <v>42895</v>
      </c>
      <c r="N935" s="5088">
        <v>971</v>
      </c>
      <c r="O935" s="4940"/>
      <c r="P935" s="4940"/>
      <c r="Q935" s="5089">
        <v>1450000000000</v>
      </c>
      <c r="R935" s="5089">
        <v>30100000000</v>
      </c>
      <c r="S935" s="5089">
        <f t="shared" si="13"/>
        <v>1580066445182.7244</v>
      </c>
      <c r="T935" s="4940" t="s">
        <v>6007</v>
      </c>
      <c r="U935" s="4940"/>
      <c r="V935" s="4940">
        <f>568</f>
        <v>568</v>
      </c>
      <c r="W935" s="4940" t="s">
        <v>2812</v>
      </c>
      <c r="X935" s="4940"/>
      <c r="Y935" s="4940"/>
      <c r="Z935" s="4940"/>
      <c r="AA935" s="4940"/>
      <c r="AB935" s="4940"/>
      <c r="AC935" s="4940"/>
      <c r="AD935" s="4940"/>
      <c r="AE935" s="4940"/>
      <c r="AF935" s="4940"/>
      <c r="AG935" s="4940"/>
      <c r="AH935" s="4940"/>
      <c r="AI935" s="4940"/>
      <c r="AJ935" s="4940"/>
      <c r="AK935" s="4940"/>
      <c r="AL935" s="4940"/>
      <c r="AM935" s="4940"/>
      <c r="AN935" s="4940"/>
      <c r="AO935" s="4940"/>
      <c r="AP935" s="4940"/>
      <c r="AQ935" s="4940"/>
      <c r="AR935" s="4940"/>
      <c r="AS935" s="4940"/>
      <c r="AT935" s="4940"/>
      <c r="AU935" s="4940"/>
      <c r="AV935" s="4940"/>
      <c r="AW935" s="4940"/>
      <c r="AX935" s="4940"/>
      <c r="AY935" s="4940"/>
      <c r="AZ935" s="4940"/>
      <c r="BA935" s="4940"/>
      <c r="BB935" s="4940"/>
      <c r="BC935" s="4940"/>
      <c r="BD935" s="4940"/>
      <c r="BE935" s="4940"/>
      <c r="BF935" s="4940"/>
      <c r="BG935" s="4940"/>
      <c r="BH935" s="4940"/>
      <c r="BI935" s="4940"/>
    </row>
    <row r="936" spans="1:61" ht="27.75" customHeight="1">
      <c r="A936" s="4940" t="s">
        <v>1343</v>
      </c>
      <c r="B936" s="4940" t="s">
        <v>5732</v>
      </c>
      <c r="C936" s="5090" t="s">
        <v>5708</v>
      </c>
      <c r="D936" s="4940" t="s">
        <v>3782</v>
      </c>
      <c r="E936" s="5091" t="str">
        <f>VLOOKUP(F936,plasmids!$A$2:$B$891,2)</f>
        <v>AAV2-7m8</v>
      </c>
      <c r="F936" s="5092">
        <v>178</v>
      </c>
      <c r="G936" s="5093"/>
      <c r="H936" s="5093" t="str">
        <f>VLOOKUP(I936,plasmids!$A$2:$B$940,2)</f>
        <v>pssAAV-mCAR-Jaws-GFP</v>
      </c>
      <c r="I936" s="4940">
        <v>89</v>
      </c>
      <c r="J936" s="4939"/>
      <c r="K936" s="5094"/>
      <c r="L936" s="5032"/>
      <c r="M936" s="3518">
        <v>42895</v>
      </c>
      <c r="N936" s="5095">
        <v>972</v>
      </c>
      <c r="O936" s="5092"/>
      <c r="P936" s="5096"/>
      <c r="Q936" s="5097">
        <v>7670000000000</v>
      </c>
      <c r="R936" s="5098">
        <v>30100000000</v>
      </c>
      <c r="S936" s="5089">
        <f t="shared" si="13"/>
        <v>8358006644518.2725</v>
      </c>
      <c r="T936" s="4940" t="s">
        <v>6007</v>
      </c>
      <c r="U936" s="4939"/>
      <c r="V936" s="4940">
        <f>674</f>
        <v>674</v>
      </c>
      <c r="W936" s="4940" t="s">
        <v>2812</v>
      </c>
      <c r="X936" s="4939"/>
      <c r="Y936" s="4939"/>
      <c r="Z936" s="4939"/>
      <c r="AA936" s="4939"/>
      <c r="AB936" s="4939"/>
      <c r="AC936" s="4939"/>
      <c r="AD936" s="4939"/>
      <c r="AE936" s="4939"/>
      <c r="AF936" s="4939"/>
      <c r="AG936" s="4939"/>
      <c r="AH936" s="4939"/>
      <c r="AI936" s="4939"/>
      <c r="AJ936" s="4939"/>
      <c r="AK936" s="4939"/>
      <c r="AL936" s="4939"/>
      <c r="AM936" s="4939"/>
      <c r="AN936" s="4939"/>
      <c r="AO936" s="4939"/>
      <c r="AP936" s="4939"/>
      <c r="AQ936" s="4939"/>
      <c r="AR936" s="4939"/>
      <c r="AS936" s="4939"/>
      <c r="AT936" s="4939"/>
      <c r="AU936" s="4939"/>
      <c r="AV936" s="4939"/>
      <c r="AW936" s="4939"/>
      <c r="AX936" s="4939"/>
      <c r="AY936" s="4939"/>
      <c r="AZ936" s="4939"/>
      <c r="BA936" s="4939"/>
      <c r="BB936" s="4939"/>
      <c r="BC936" s="4939"/>
      <c r="BD936" s="4939"/>
      <c r="BE936" s="4939"/>
      <c r="BF936" s="4939"/>
      <c r="BG936" s="4939"/>
      <c r="BH936" s="4939"/>
      <c r="BI936" s="4939"/>
    </row>
    <row r="937" spans="1:61" ht="22.5" customHeight="1">
      <c r="A937" s="4940" t="s">
        <v>1343</v>
      </c>
      <c r="B937" s="4940" t="s">
        <v>5732</v>
      </c>
      <c r="C937" s="5090" t="s">
        <v>5708</v>
      </c>
      <c r="D937" s="4940" t="s">
        <v>1088</v>
      </c>
      <c r="E937" s="5091" t="str">
        <f>VLOOKUP(F937,plasmids!$A$2:$B$891,2)</f>
        <v>AAV2-7m8</v>
      </c>
      <c r="F937" s="5092">
        <v>178</v>
      </c>
      <c r="G937" s="5093"/>
      <c r="H937" s="5093" t="str">
        <f>VLOOKUP(I937,plasmids!$A$2:$B$891,2)</f>
        <v>scCAG-ReachR-GFP</v>
      </c>
      <c r="I937" s="4940">
        <v>353</v>
      </c>
      <c r="J937" s="4939"/>
      <c r="K937" s="5094"/>
      <c r="L937" s="5094"/>
      <c r="M937" s="5099">
        <v>42902</v>
      </c>
      <c r="N937" s="5095">
        <v>973</v>
      </c>
      <c r="O937" s="5092"/>
      <c r="P937" s="5096"/>
      <c r="Q937" s="5097">
        <v>4290000000000</v>
      </c>
      <c r="R937" s="5098">
        <v>16400000000</v>
      </c>
      <c r="S937" s="5100">
        <f t="shared" si="13"/>
        <v>8580000000000</v>
      </c>
      <c r="T937" s="5101" t="s">
        <v>6007</v>
      </c>
      <c r="U937" s="4939"/>
      <c r="V937" s="5102">
        <f>500</f>
        <v>500</v>
      </c>
      <c r="W937" s="4940" t="s">
        <v>2812</v>
      </c>
      <c r="X937" s="4939"/>
      <c r="Y937" s="4939"/>
      <c r="Z937" s="4939"/>
      <c r="AA937" s="4939"/>
      <c r="AB937" s="4939"/>
      <c r="AC937" s="4939"/>
      <c r="AD937" s="4939"/>
      <c r="AE937" s="4939"/>
      <c r="AF937" s="4939"/>
      <c r="AG937" s="4939"/>
      <c r="AH937" s="4939"/>
      <c r="AI937" s="4939"/>
      <c r="AJ937" s="4939"/>
      <c r="AK937" s="4939"/>
      <c r="AL937" s="4939"/>
      <c r="AM937" s="4939"/>
      <c r="AN937" s="4939"/>
      <c r="AO937" s="4939"/>
      <c r="AP937" s="4939"/>
      <c r="AQ937" s="4939"/>
      <c r="AR937" s="4939"/>
      <c r="AS937" s="4939"/>
      <c r="AT937" s="4939"/>
      <c r="AU937" s="4939"/>
      <c r="AV937" s="4939"/>
      <c r="AW937" s="4939"/>
      <c r="AX937" s="4939"/>
      <c r="AY937" s="4939"/>
      <c r="AZ937" s="4939"/>
      <c r="BA937" s="4939"/>
      <c r="BB937" s="4939"/>
      <c r="BC937" s="4939"/>
      <c r="BD937" s="4939"/>
      <c r="BE937" s="4939"/>
      <c r="BF937" s="4939"/>
      <c r="BG937" s="4939"/>
      <c r="BH937" s="4939"/>
      <c r="BI937" s="4939"/>
    </row>
    <row r="938" spans="1:61" ht="23.25" customHeight="1">
      <c r="A938" s="406" t="s">
        <v>6002</v>
      </c>
      <c r="B938" s="406" t="s">
        <v>6008</v>
      </c>
      <c r="C938" s="406" t="s">
        <v>6009</v>
      </c>
      <c r="D938" s="406" t="s">
        <v>1088</v>
      </c>
      <c r="E938" s="5055" t="str">
        <f>VLOOKUP(F938,plasmids!$A$2:$B$891,2)</f>
        <v>AAV2-7m8</v>
      </c>
      <c r="F938" s="406">
        <v>178</v>
      </c>
      <c r="G938" s="408"/>
      <c r="H938" s="5056" t="str">
        <f>VLOOKUP(I938,plasmids!$A$2:$B$940,2)</f>
        <v>pscAAV-SNCG-GCamp6f-WPRE</v>
      </c>
      <c r="I938" s="406">
        <v>707</v>
      </c>
      <c r="J938" s="408"/>
      <c r="K938" s="408"/>
      <c r="L938" s="408"/>
      <c r="M938" s="2695">
        <v>42902</v>
      </c>
      <c r="N938" s="5103">
        <v>974</v>
      </c>
      <c r="O938" s="408"/>
      <c r="P938" s="408"/>
      <c r="Q938" s="5104">
        <v>6950000000000</v>
      </c>
      <c r="R938" s="5105">
        <v>16400000000</v>
      </c>
      <c r="S938" s="5106">
        <f t="shared" si="13"/>
        <v>13900000000000</v>
      </c>
      <c r="T938" s="5107" t="s">
        <v>6007</v>
      </c>
      <c r="U938" s="408"/>
      <c r="V938" s="408">
        <f>550</f>
        <v>550</v>
      </c>
      <c r="W938" s="408"/>
      <c r="X938" s="408"/>
      <c r="Y938" s="408"/>
      <c r="Z938" s="408"/>
      <c r="AA938" s="408"/>
      <c r="AB938" s="408"/>
      <c r="AC938" s="408"/>
      <c r="AD938" s="408"/>
      <c r="AE938" s="408"/>
      <c r="AF938" s="408"/>
      <c r="AG938" s="408"/>
      <c r="AH938" s="408"/>
      <c r="AI938" s="408"/>
      <c r="AJ938" s="408"/>
      <c r="AK938" s="408"/>
      <c r="AL938" s="408"/>
      <c r="AM938" s="408"/>
      <c r="AN938" s="408"/>
      <c r="AO938" s="408"/>
      <c r="AP938" s="408"/>
      <c r="AQ938" s="408"/>
      <c r="AR938" s="408"/>
      <c r="AS938" s="408"/>
      <c r="AT938" s="408"/>
      <c r="AU938" s="408"/>
      <c r="AV938" s="408"/>
      <c r="AW938" s="408"/>
      <c r="AX938" s="408"/>
      <c r="AY938" s="408"/>
      <c r="AZ938" s="408"/>
      <c r="BA938" s="408"/>
      <c r="BB938" s="408"/>
      <c r="BC938" s="408"/>
      <c r="BD938" s="408"/>
      <c r="BE938" s="408"/>
      <c r="BF938" s="408"/>
      <c r="BG938" s="408"/>
      <c r="BH938" s="408"/>
      <c r="BI938" s="408"/>
    </row>
    <row r="939" spans="1:61" ht="19.5" customHeight="1">
      <c r="A939" s="4840" t="s">
        <v>6010</v>
      </c>
      <c r="B939" s="4840" t="s">
        <v>5812</v>
      </c>
      <c r="C939" s="4841" t="s">
        <v>1967</v>
      </c>
      <c r="D939" s="4842" t="s">
        <v>5936</v>
      </c>
      <c r="E939" s="4842" t="str">
        <f>VLOOKUP(F939,plasmids!$A$2:$B$891,2)</f>
        <v>pAAV2/8</v>
      </c>
      <c r="F939" s="4843">
        <v>122</v>
      </c>
      <c r="G939" s="4842"/>
      <c r="H939" s="5108" t="s">
        <v>2387</v>
      </c>
      <c r="I939" s="4840">
        <v>776</v>
      </c>
      <c r="J939" s="4844"/>
      <c r="K939" s="4845"/>
      <c r="L939" s="5109"/>
      <c r="M939" s="4847">
        <v>42902</v>
      </c>
      <c r="N939" s="4848">
        <v>975</v>
      </c>
      <c r="O939" s="907"/>
      <c r="P939" s="4849"/>
      <c r="Q939" s="4850">
        <v>29800000000000</v>
      </c>
      <c r="R939" s="4851">
        <v>16400000000</v>
      </c>
      <c r="S939" s="4851">
        <f t="shared" si="13"/>
        <v>59600000000000</v>
      </c>
      <c r="T939" s="4852" t="s">
        <v>6007</v>
      </c>
      <c r="U939" s="4844"/>
      <c r="V939" s="4840">
        <f>665</f>
        <v>665</v>
      </c>
      <c r="W939" s="4853"/>
      <c r="X939" s="4843" t="s">
        <v>6011</v>
      </c>
      <c r="Y939" s="4854"/>
      <c r="Z939" s="4854"/>
      <c r="AA939" s="4854"/>
      <c r="AB939" s="4854"/>
      <c r="AC939" s="4854"/>
      <c r="AD939" s="4854"/>
      <c r="AE939" s="4854"/>
      <c r="AF939" s="4854"/>
      <c r="AG939" s="4854"/>
      <c r="AH939" s="4854"/>
      <c r="AI939" s="4854"/>
      <c r="AJ939" s="4854"/>
      <c r="AK939" s="4854"/>
      <c r="AL939" s="4854"/>
      <c r="AM939" s="4854"/>
      <c r="AN939" s="4854"/>
      <c r="AO939" s="4854"/>
      <c r="AP939" s="4854"/>
      <c r="AQ939" s="4854"/>
      <c r="AR939" s="4854"/>
      <c r="AS939" s="4854"/>
      <c r="AT939" s="4854"/>
      <c r="AU939" s="4854"/>
      <c r="AV939" s="4854"/>
      <c r="AW939" s="4854"/>
      <c r="AX939" s="4854"/>
      <c r="AY939" s="4854"/>
      <c r="AZ939" s="4854"/>
      <c r="BA939" s="4854"/>
      <c r="BB939" s="4854"/>
      <c r="BC939" s="4854"/>
      <c r="BD939" s="4854"/>
      <c r="BE939" s="4854"/>
      <c r="BF939" s="4854"/>
      <c r="BG939" s="4854"/>
      <c r="BH939" s="4854"/>
      <c r="BI939" s="4854"/>
    </row>
    <row r="940" spans="1:61" ht="22.5" customHeight="1">
      <c r="A940" s="470" t="s">
        <v>52</v>
      </c>
      <c r="B940" s="2910" t="s">
        <v>5917</v>
      </c>
      <c r="C940" s="5110" t="s">
        <v>6012</v>
      </c>
      <c r="D940" s="470"/>
      <c r="E940" s="2633" t="str">
        <f>VLOOKUP(F940,plasmids!$A$2:$B$351,2)</f>
        <v>AAV2</v>
      </c>
      <c r="F940" s="1008">
        <v>140</v>
      </c>
      <c r="G940" s="1828"/>
      <c r="H940" s="1828" t="str">
        <f>VLOOKUP(I940,plasmids!$A$2:$B$891,2)</f>
        <v>pTR-scCMV-luciférase</v>
      </c>
      <c r="I940" s="470">
        <v>131</v>
      </c>
      <c r="J940" s="471"/>
      <c r="K940" s="470" t="s">
        <v>4428</v>
      </c>
      <c r="L940" s="1003"/>
      <c r="M940" s="1005">
        <v>42902</v>
      </c>
      <c r="N940" s="1006">
        <v>976</v>
      </c>
      <c r="O940" s="1659"/>
      <c r="P940" s="462"/>
      <c r="Q940" s="1604">
        <v>17000000000000</v>
      </c>
      <c r="R940" s="462">
        <v>16400000000</v>
      </c>
      <c r="S940" s="468">
        <f t="shared" si="13"/>
        <v>34000000000000</v>
      </c>
      <c r="T940" s="462" t="s">
        <v>6007</v>
      </c>
      <c r="U940" s="471"/>
      <c r="V940" s="1612">
        <f>630</f>
        <v>630</v>
      </c>
      <c r="W940" s="1008"/>
      <c r="X940" s="1011"/>
      <c r="Y940" s="1011"/>
      <c r="Z940" s="1011"/>
      <c r="AA940" s="1011"/>
      <c r="AB940" s="1011"/>
      <c r="AC940" s="1011"/>
      <c r="AD940" s="1011"/>
      <c r="AE940" s="1011"/>
      <c r="AF940" s="1011"/>
      <c r="AG940" s="1011"/>
      <c r="AH940" s="1011"/>
      <c r="AI940" s="1011"/>
      <c r="AJ940" s="1011"/>
      <c r="AK940" s="1011"/>
      <c r="AL940" s="1011"/>
      <c r="AM940" s="1011"/>
      <c r="AN940" s="1011"/>
      <c r="AO940" s="1011"/>
      <c r="AP940" s="1011"/>
      <c r="AQ940" s="1011"/>
      <c r="AR940" s="1011"/>
      <c r="AS940" s="1011"/>
      <c r="AT940" s="1011"/>
      <c r="AU940" s="1011"/>
      <c r="AV940" s="1011"/>
      <c r="AW940" s="1011"/>
      <c r="AX940" s="1011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</row>
    <row r="941" spans="1:61" ht="24.75" customHeight="1">
      <c r="A941" s="5111" t="s">
        <v>600</v>
      </c>
      <c r="B941" s="5112" t="s">
        <v>5139</v>
      </c>
      <c r="C941" s="5113"/>
      <c r="D941" s="5113"/>
      <c r="E941" s="5114" t="str">
        <f>VLOOKUP(F941,plasmids!$A$2:$B$891,2)</f>
        <v>AAV9- 7mer Gradinaru</v>
      </c>
      <c r="F941" s="5115">
        <v>768</v>
      </c>
      <c r="G941" s="5116"/>
      <c r="H941" s="5117" t="str">
        <f>VLOOKUP(I941,plasmids!$A$2:$B$891,2)</f>
        <v>sc-CAG-GFP</v>
      </c>
      <c r="I941" s="5118">
        <v>120</v>
      </c>
      <c r="J941" s="5116"/>
      <c r="K941" s="5119"/>
      <c r="L941" s="5120"/>
      <c r="M941" s="5121">
        <v>42909</v>
      </c>
      <c r="N941" s="5122">
        <v>977</v>
      </c>
      <c r="O941" s="5123"/>
      <c r="P941" s="5124"/>
      <c r="Q941" s="5125">
        <v>781000000000</v>
      </c>
      <c r="R941" s="5013">
        <v>16500000000</v>
      </c>
      <c r="S941" s="5126">
        <f t="shared" si="13"/>
        <v>1552533333333.3333</v>
      </c>
      <c r="T941" s="5127" t="s">
        <v>6013</v>
      </c>
      <c r="U941" s="5127" t="s">
        <v>5996</v>
      </c>
      <c r="V941" s="5118">
        <f>800</f>
        <v>800</v>
      </c>
      <c r="W941" s="5128"/>
      <c r="X941" s="5116"/>
      <c r="Y941" s="5113"/>
      <c r="Z941" s="5128"/>
      <c r="AA941" s="5128"/>
      <c r="AB941" s="5128"/>
      <c r="AC941" s="5128"/>
      <c r="AD941" s="5128"/>
      <c r="AE941" s="5128"/>
      <c r="AF941" s="5128"/>
      <c r="AG941" s="5128"/>
      <c r="AH941" s="5128"/>
      <c r="AI941" s="5128"/>
      <c r="AJ941" s="5128"/>
      <c r="AK941" s="5128"/>
      <c r="AL941" s="5128"/>
      <c r="AM941" s="5128"/>
      <c r="AN941" s="5128"/>
      <c r="AO941" s="5128"/>
      <c r="AP941" s="5128"/>
      <c r="AQ941" s="5128"/>
      <c r="AR941" s="5128"/>
      <c r="AS941" s="5128"/>
      <c r="AT941" s="5128"/>
      <c r="AU941" s="5128"/>
      <c r="AV941" s="5128"/>
      <c r="AW941" s="5128"/>
      <c r="AX941" s="5128"/>
      <c r="AY941" s="5128"/>
      <c r="AZ941" s="5128"/>
      <c r="BA941" s="5128"/>
      <c r="BB941" s="5128"/>
      <c r="BC941" s="5128"/>
      <c r="BD941" s="5128"/>
      <c r="BE941" s="5128"/>
      <c r="BF941" s="5128"/>
      <c r="BG941" s="5128"/>
      <c r="BH941" s="5017"/>
      <c r="BI941" s="5017"/>
    </row>
    <row r="942" spans="1:61" ht="24.75" customHeight="1">
      <c r="A942" s="5111" t="s">
        <v>600</v>
      </c>
      <c r="B942" s="5112" t="s">
        <v>5139</v>
      </c>
      <c r="C942" s="5113"/>
      <c r="D942" s="5113"/>
      <c r="E942" s="5114" t="str">
        <f>VLOOKUP(F942,plasmids!$A$2:$B$891,2)</f>
        <v>AAV9- 7mer Gradinaru</v>
      </c>
      <c r="F942" s="5115">
        <v>768</v>
      </c>
      <c r="G942" s="5116"/>
      <c r="H942" s="5117" t="str">
        <f>VLOOKUP(I942,plasmids!$A$2:$B$891,2)</f>
        <v>sc-CAG-GFP</v>
      </c>
      <c r="I942" s="5118">
        <v>120</v>
      </c>
      <c r="J942" s="5129" t="s">
        <v>6014</v>
      </c>
      <c r="K942" s="5119"/>
      <c r="L942" s="5120"/>
      <c r="M942" s="5121">
        <v>42909</v>
      </c>
      <c r="N942" s="5122">
        <v>978</v>
      </c>
      <c r="O942" s="5123"/>
      <c r="P942" s="5124"/>
      <c r="Q942" s="5125">
        <v>1690000000000</v>
      </c>
      <c r="R942" s="5013">
        <v>16500000000</v>
      </c>
      <c r="S942" s="5126">
        <f t="shared" si="13"/>
        <v>3359515151515.1514</v>
      </c>
      <c r="T942" s="5127" t="s">
        <v>6013</v>
      </c>
      <c r="U942" s="5127" t="s">
        <v>5996</v>
      </c>
      <c r="V942" s="5118">
        <f>550</f>
        <v>550</v>
      </c>
      <c r="W942" s="5128"/>
      <c r="X942" s="5116"/>
      <c r="Y942" s="5113"/>
      <c r="Z942" s="5128"/>
      <c r="AA942" s="5128"/>
      <c r="AB942" s="5128"/>
      <c r="AC942" s="5128"/>
      <c r="AD942" s="5128"/>
      <c r="AE942" s="5128"/>
      <c r="AF942" s="5128"/>
      <c r="AG942" s="5128"/>
      <c r="AH942" s="5128"/>
      <c r="AI942" s="5128"/>
      <c r="AJ942" s="5128"/>
      <c r="AK942" s="5128"/>
      <c r="AL942" s="5128"/>
      <c r="AM942" s="5128"/>
      <c r="AN942" s="5128"/>
      <c r="AO942" s="5128"/>
      <c r="AP942" s="5128"/>
      <c r="AQ942" s="5128"/>
      <c r="AR942" s="5128"/>
      <c r="AS942" s="5128"/>
      <c r="AT942" s="5128"/>
      <c r="AU942" s="5128"/>
      <c r="AV942" s="5128"/>
      <c r="AW942" s="5128"/>
      <c r="AX942" s="5128"/>
      <c r="AY942" s="5128"/>
      <c r="AZ942" s="5128"/>
      <c r="BA942" s="5128"/>
      <c r="BB942" s="5128"/>
      <c r="BC942" s="5128"/>
      <c r="BD942" s="5128"/>
      <c r="BE942" s="5128"/>
      <c r="BF942" s="5128"/>
      <c r="BG942" s="5128"/>
      <c r="BH942" s="5017"/>
      <c r="BI942" s="5017"/>
    </row>
    <row r="943" spans="1:61" ht="24.75" customHeight="1">
      <c r="A943" s="4789" t="s">
        <v>5924</v>
      </c>
      <c r="B943" s="4789" t="s">
        <v>5925</v>
      </c>
      <c r="C943" s="4790" t="s">
        <v>2510</v>
      </c>
      <c r="D943" s="4789" t="s">
        <v>5547</v>
      </c>
      <c r="E943" s="4791" t="s">
        <v>2590</v>
      </c>
      <c r="F943" s="4792">
        <v>154</v>
      </c>
      <c r="G943" s="4793"/>
      <c r="H943" s="4794" t="s">
        <v>1616</v>
      </c>
      <c r="I943" s="4789">
        <v>434</v>
      </c>
      <c r="J943" s="4795"/>
      <c r="K943" s="4796"/>
      <c r="L943" s="4797"/>
      <c r="M943" s="4669">
        <v>6690322</v>
      </c>
      <c r="N943" s="4798">
        <v>979</v>
      </c>
      <c r="O943" s="4792"/>
      <c r="P943" s="4799"/>
      <c r="Q943" s="4800">
        <v>43900000000000</v>
      </c>
      <c r="R943" s="4801">
        <v>16500000000</v>
      </c>
      <c r="S943" s="5130">
        <f t="shared" si="13"/>
        <v>87267878787878.781</v>
      </c>
      <c r="T943" s="4789" t="s">
        <v>6013</v>
      </c>
      <c r="U943" s="4795"/>
      <c r="V943" s="4791">
        <f>615</f>
        <v>615</v>
      </c>
      <c r="W943" s="4803"/>
      <c r="X943" s="4804"/>
      <c r="Y943" s="4804"/>
      <c r="Z943" s="4804"/>
      <c r="AA943" s="4804"/>
      <c r="AB943" s="4804"/>
      <c r="AC943" s="4804"/>
      <c r="AD943" s="4804"/>
      <c r="AE943" s="4804"/>
      <c r="AF943" s="4804"/>
      <c r="AG943" s="4804"/>
      <c r="AH943" s="4804"/>
      <c r="AI943" s="4804"/>
      <c r="AJ943" s="4804"/>
      <c r="AK943" s="4804"/>
      <c r="AL943" s="4804"/>
      <c r="AM943" s="4804"/>
      <c r="AN943" s="4804"/>
      <c r="AO943" s="4804"/>
      <c r="AP943" s="4804"/>
      <c r="AQ943" s="4804"/>
      <c r="AR943" s="4804"/>
      <c r="AS943" s="4804"/>
      <c r="AT943" s="4804"/>
      <c r="AU943" s="4804"/>
      <c r="AV943" s="4804"/>
      <c r="AW943" s="4804"/>
      <c r="AX943" s="4804"/>
      <c r="AY943" s="4804"/>
      <c r="AZ943" s="4804"/>
      <c r="BA943" s="4804"/>
      <c r="BB943" s="4804"/>
      <c r="BC943" s="4804"/>
      <c r="BD943" s="4804"/>
      <c r="BE943" s="4804"/>
      <c r="BF943" s="4804"/>
      <c r="BG943" s="4804"/>
      <c r="BH943" s="4804"/>
      <c r="BI943" s="4804"/>
    </row>
    <row r="944" spans="1:61" ht="24.75" customHeight="1">
      <c r="A944" s="4499" t="s">
        <v>1549</v>
      </c>
      <c r="B944" s="4499" t="s">
        <v>5800</v>
      </c>
      <c r="C944" s="4500" t="s">
        <v>5801</v>
      </c>
      <c r="D944" s="4499" t="s">
        <v>5960</v>
      </c>
      <c r="E944" s="4961" t="str">
        <f>VLOOKUP(F944,plasmids!$A$2:$B$891,2)</f>
        <v>pAAV2 Lib-RH-V</v>
      </c>
      <c r="F944" s="4501">
        <v>778</v>
      </c>
      <c r="G944" s="4502"/>
      <c r="H944" s="4875" t="str">
        <f>VLOOKUP(I944,plasmids!$A$2:$B$940,2)</f>
        <v>pAAV2 Lib-RH-V</v>
      </c>
      <c r="I944" s="4501">
        <v>778</v>
      </c>
      <c r="J944" s="4502" t="s">
        <v>5961</v>
      </c>
      <c r="K944" s="4503"/>
      <c r="L944" s="4962"/>
      <c r="M944" s="4504">
        <v>42909</v>
      </c>
      <c r="N944" s="4505">
        <v>980</v>
      </c>
      <c r="O944" s="4501"/>
      <c r="P944" s="4506"/>
      <c r="Q944" s="4964">
        <v>85700000000000</v>
      </c>
      <c r="R944" s="4965">
        <v>16500000000</v>
      </c>
      <c r="S944" s="5131">
        <f t="shared" si="13"/>
        <v>170361212121212.12</v>
      </c>
      <c r="T944" s="4499" t="s">
        <v>6013</v>
      </c>
      <c r="U944" s="4510"/>
      <c r="V944" s="4511">
        <f>630</f>
        <v>630</v>
      </c>
      <c r="W944" s="4512"/>
      <c r="X944" s="3897"/>
      <c r="Y944" s="3897"/>
      <c r="Z944" s="3897"/>
      <c r="AA944" s="3897"/>
      <c r="AB944" s="3897"/>
      <c r="AC944" s="3897"/>
      <c r="AD944" s="3897"/>
      <c r="AE944" s="3897"/>
      <c r="AF944" s="3897"/>
      <c r="AG944" s="3897"/>
      <c r="AH944" s="3897"/>
      <c r="AI944" s="3897"/>
      <c r="AJ944" s="3897"/>
      <c r="AK944" s="3897"/>
      <c r="AL944" s="3897"/>
      <c r="AM944" s="3897"/>
      <c r="AN944" s="3897"/>
      <c r="AO944" s="3897"/>
      <c r="AP944" s="3897"/>
      <c r="AQ944" s="3897"/>
      <c r="AR944" s="3897"/>
      <c r="AS944" s="3897"/>
      <c r="AT944" s="3897"/>
      <c r="AU944" s="3897"/>
      <c r="AV944" s="3897"/>
      <c r="AW944" s="3897"/>
      <c r="AX944" s="3897"/>
      <c r="AY944" s="3897"/>
      <c r="AZ944" s="3897"/>
      <c r="BA944" s="3897"/>
      <c r="BB944" s="3897"/>
      <c r="BC944" s="3897"/>
      <c r="BD944" s="3897"/>
      <c r="BE944" s="3897"/>
      <c r="BF944" s="3897"/>
      <c r="BG944" s="3897"/>
      <c r="BH944" s="3897"/>
      <c r="BI944" s="3897"/>
    </row>
    <row r="945" spans="1:61" ht="24.75" customHeight="1">
      <c r="A945" s="5036" t="s">
        <v>5986</v>
      </c>
      <c r="B945" s="5036" t="s">
        <v>5987</v>
      </c>
      <c r="C945" s="5036" t="s">
        <v>5987</v>
      </c>
      <c r="D945" s="5036" t="s">
        <v>5987</v>
      </c>
      <c r="E945" s="5036" t="str">
        <f>VLOOKUP(F945,plasmids!$A$2:$B$1091,2)</f>
        <v>AAV9 2YF</v>
      </c>
      <c r="F945" s="5037">
        <v>168</v>
      </c>
      <c r="G945" s="5038"/>
      <c r="H945" s="5039" t="str">
        <f>VLOOKUP(I945,plasmids!$A$2:$B$940,2)</f>
        <v>Rhodopsin-Ca-sponge</v>
      </c>
      <c r="I945" s="5036">
        <v>777</v>
      </c>
      <c r="J945" s="5036" t="s">
        <v>6015</v>
      </c>
      <c r="K945" s="5041"/>
      <c r="L945" s="5042"/>
      <c r="M945" s="5043">
        <v>42916</v>
      </c>
      <c r="N945" s="5044">
        <v>981</v>
      </c>
      <c r="O945" s="5037"/>
      <c r="P945" s="5045"/>
      <c r="Q945" s="5046">
        <v>14500000000000</v>
      </c>
      <c r="R945" s="5047">
        <v>26900000000</v>
      </c>
      <c r="S945" s="5048">
        <f t="shared" si="13"/>
        <v>17680297397769.516</v>
      </c>
      <c r="T945" s="5036" t="s">
        <v>6016</v>
      </c>
      <c r="U945" s="5040"/>
      <c r="V945" s="5049">
        <f>685</f>
        <v>685</v>
      </c>
      <c r="W945" s="5050"/>
      <c r="X945" s="5051"/>
      <c r="Y945" s="5051"/>
      <c r="Z945" s="5051"/>
      <c r="AA945" s="5051"/>
      <c r="AB945" s="5051"/>
      <c r="AC945" s="5051"/>
      <c r="AD945" s="5051"/>
      <c r="AE945" s="5051"/>
      <c r="AF945" s="5051"/>
      <c r="AG945" s="5051"/>
      <c r="AH945" s="5051"/>
      <c r="AI945" s="5051"/>
      <c r="AJ945" s="5051"/>
      <c r="AK945" s="5051"/>
      <c r="AL945" s="5051"/>
      <c r="AM945" s="5051"/>
      <c r="AN945" s="5051"/>
      <c r="AO945" s="5051"/>
      <c r="AP945" s="5051"/>
      <c r="AQ945" s="5051"/>
      <c r="AR945" s="5051"/>
      <c r="AS945" s="5051"/>
      <c r="AT945" s="5051"/>
      <c r="AU945" s="5051"/>
      <c r="AV945" s="5051"/>
      <c r="AW945" s="5051"/>
      <c r="AX945" s="5051"/>
      <c r="AY945" s="5051"/>
      <c r="AZ945" s="5051"/>
      <c r="BA945" s="5051"/>
      <c r="BB945" s="5051"/>
      <c r="BC945" s="5051"/>
      <c r="BD945" s="5051"/>
      <c r="BE945" s="5051"/>
      <c r="BF945" s="5051"/>
      <c r="BG945" s="5051"/>
      <c r="BH945" s="5051"/>
      <c r="BI945" s="5051"/>
    </row>
    <row r="946" spans="1:61" ht="22.5" customHeight="1">
      <c r="A946" s="1832" t="s">
        <v>52</v>
      </c>
      <c r="B946" s="3923" t="s">
        <v>5917</v>
      </c>
      <c r="C946" s="5132" t="s">
        <v>6012</v>
      </c>
      <c r="D946" s="1832"/>
      <c r="E946" s="2634" t="str">
        <f>VLOOKUP(F946,plasmids!$A$2:$B$351,2)</f>
        <v>pAAV2/8</v>
      </c>
      <c r="F946" s="1898">
        <v>122</v>
      </c>
      <c r="G946" s="1834"/>
      <c r="H946" s="1834" t="str">
        <f>VLOOKUP(I946,plasmids!$A$2:$B$891,2)</f>
        <v>pTR-scCMV-luciférase</v>
      </c>
      <c r="I946" s="1832">
        <v>131</v>
      </c>
      <c r="J946" s="1854"/>
      <c r="K946" s="1832" t="s">
        <v>4428</v>
      </c>
      <c r="L946" s="1856"/>
      <c r="M946" s="1857">
        <v>42916</v>
      </c>
      <c r="N946" s="1897">
        <v>982</v>
      </c>
      <c r="O946" s="2635"/>
      <c r="P946" s="2450"/>
      <c r="Q946" s="1900">
        <v>8150000000000</v>
      </c>
      <c r="R946" s="2450">
        <v>26900000000</v>
      </c>
      <c r="S946" s="1902">
        <f t="shared" si="13"/>
        <v>9937546468401.4863</v>
      </c>
      <c r="T946" s="2450" t="s">
        <v>6016</v>
      </c>
      <c r="U946" s="1854"/>
      <c r="V946" s="2453">
        <f>567</f>
        <v>567</v>
      </c>
      <c r="W946" s="1008" t="s">
        <v>6017</v>
      </c>
      <c r="X946" s="1905"/>
      <c r="Y946" s="1905"/>
      <c r="Z946" s="1905"/>
      <c r="AA946" s="1905"/>
      <c r="AB946" s="1905"/>
      <c r="AC946" s="1905"/>
      <c r="AD946" s="1905"/>
      <c r="AE946" s="1905"/>
      <c r="AF946" s="1905"/>
      <c r="AG946" s="1905"/>
      <c r="AH946" s="1905"/>
      <c r="AI946" s="1905"/>
      <c r="AJ946" s="1905"/>
      <c r="AK946" s="1905"/>
      <c r="AL946" s="1905"/>
      <c r="AM946" s="1905"/>
      <c r="AN946" s="1905"/>
      <c r="AO946" s="1905"/>
      <c r="AP946" s="1905"/>
      <c r="AQ946" s="1905"/>
      <c r="AR946" s="1905"/>
      <c r="AS946" s="1905"/>
      <c r="AT946" s="1905"/>
      <c r="AU946" s="1905"/>
      <c r="AV946" s="1905"/>
      <c r="AW946" s="1905"/>
      <c r="AX946" s="1905"/>
      <c r="AY946" s="234"/>
      <c r="AZ946" s="234"/>
      <c r="BA946" s="234"/>
      <c r="BB946" s="234"/>
      <c r="BC946" s="234"/>
      <c r="BD946" s="234"/>
      <c r="BE946" s="234"/>
      <c r="BF946" s="234"/>
      <c r="BG946" s="234"/>
      <c r="BH946" s="234"/>
      <c r="BI946" s="234"/>
    </row>
    <row r="947" spans="1:61" ht="22.5" customHeight="1">
      <c r="A947" s="470" t="s">
        <v>52</v>
      </c>
      <c r="B947" s="2910" t="s">
        <v>5917</v>
      </c>
      <c r="C947" s="5110" t="s">
        <v>6018</v>
      </c>
      <c r="D947" s="2910" t="s">
        <v>5794</v>
      </c>
      <c r="E947" s="2633" t="str">
        <f>VLOOKUP(F947,plasmids!$A$2:$B$351,2)</f>
        <v>AAV9 7M8 (AA------)</v>
      </c>
      <c r="F947" s="1008">
        <v>170</v>
      </c>
      <c r="G947" s="1828"/>
      <c r="H947" s="1828" t="str">
        <f>VLOOKUP(I947,plasmids!$A$2:$B$891,2)</f>
        <v>pssAAV-CAG-ChrimsonR-tdTomato</v>
      </c>
      <c r="I947" s="2910">
        <v>479</v>
      </c>
      <c r="J947" s="471"/>
      <c r="K947" s="470" t="s">
        <v>4428</v>
      </c>
      <c r="L947" s="1003"/>
      <c r="M947" s="1005">
        <v>42916</v>
      </c>
      <c r="N947" s="1006">
        <v>983</v>
      </c>
      <c r="O947" s="1659"/>
      <c r="P947" s="462"/>
      <c r="Q947" s="1604">
        <v>439000000000</v>
      </c>
      <c r="R947" s="462">
        <v>26900000000</v>
      </c>
      <c r="S947" s="468">
        <f t="shared" si="13"/>
        <v>535286245353.15979</v>
      </c>
      <c r="T947" s="462" t="s">
        <v>6016</v>
      </c>
      <c r="U947" s="2910" t="s">
        <v>5996</v>
      </c>
      <c r="V947" s="1612">
        <f>641</f>
        <v>641</v>
      </c>
      <c r="W947" s="1008"/>
      <c r="X947" s="1011"/>
      <c r="Y947" s="1011"/>
      <c r="Z947" s="1011"/>
      <c r="AA947" s="1011"/>
      <c r="AB947" s="1011"/>
      <c r="AC947" s="1011"/>
      <c r="AD947" s="1011"/>
      <c r="AE947" s="1011"/>
      <c r="AF947" s="1011"/>
      <c r="AG947" s="1011"/>
      <c r="AH947" s="1011"/>
      <c r="AI947" s="1011"/>
      <c r="AJ947" s="1011"/>
      <c r="AK947" s="1011"/>
      <c r="AL947" s="1011"/>
      <c r="AM947" s="1011"/>
      <c r="AN947" s="1011"/>
      <c r="AO947" s="1011"/>
      <c r="AP947" s="1011"/>
      <c r="AQ947" s="1011"/>
      <c r="AR947" s="1011"/>
      <c r="AS947" s="1011"/>
      <c r="AT947" s="1011"/>
      <c r="AU947" s="1011"/>
      <c r="AV947" s="1011"/>
      <c r="AW947" s="1011"/>
      <c r="AX947" s="1011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</row>
    <row r="948" spans="1:61" ht="22.5" customHeight="1">
      <c r="A948" s="470" t="s">
        <v>52</v>
      </c>
      <c r="B948" s="2910" t="s">
        <v>5917</v>
      </c>
      <c r="C948" s="5110" t="s">
        <v>6018</v>
      </c>
      <c r="D948" s="2910" t="s">
        <v>5794</v>
      </c>
      <c r="E948" s="2633" t="str">
        <f>VLOOKUP(F948,plasmids!$A$2:$B$351,2)</f>
        <v>AAV9 7M8 (AA------)</v>
      </c>
      <c r="F948" s="1008">
        <v>170</v>
      </c>
      <c r="G948" s="1828"/>
      <c r="H948" s="1828" t="str">
        <f>VLOOKUP(I948,plasmids!$A$2:$B$891,2)</f>
        <v>pssAAV-CAG-ChrimsonR-tdTomato</v>
      </c>
      <c r="I948" s="2910">
        <v>479</v>
      </c>
      <c r="J948" s="2910" t="s">
        <v>6019</v>
      </c>
      <c r="K948" s="470" t="s">
        <v>4428</v>
      </c>
      <c r="L948" s="1003"/>
      <c r="M948" s="1005">
        <v>42916</v>
      </c>
      <c r="N948" s="1006">
        <v>984</v>
      </c>
      <c r="O948" s="1659"/>
      <c r="P948" s="462"/>
      <c r="Q948" s="1604">
        <v>65800000000</v>
      </c>
      <c r="R948" s="462">
        <v>26900000000</v>
      </c>
      <c r="S948" s="468">
        <f t="shared" si="13"/>
        <v>80231970260.223038</v>
      </c>
      <c r="T948" s="462" t="s">
        <v>6016</v>
      </c>
      <c r="U948" s="2910" t="s">
        <v>5996</v>
      </c>
      <c r="V948" s="1612">
        <f>526</f>
        <v>526</v>
      </c>
      <c r="W948" s="1008"/>
      <c r="X948" s="1011"/>
      <c r="Y948" s="1011"/>
      <c r="Z948" s="1011"/>
      <c r="AA948" s="1011"/>
      <c r="AB948" s="1011"/>
      <c r="AC948" s="1011"/>
      <c r="AD948" s="1011"/>
      <c r="AE948" s="1011"/>
      <c r="AF948" s="1011"/>
      <c r="AG948" s="1011"/>
      <c r="AH948" s="1011"/>
      <c r="AI948" s="1011"/>
      <c r="AJ948" s="1011"/>
      <c r="AK948" s="1011"/>
      <c r="AL948" s="1011"/>
      <c r="AM948" s="1011"/>
      <c r="AN948" s="1011"/>
      <c r="AO948" s="1011"/>
      <c r="AP948" s="1011"/>
      <c r="AQ948" s="1011"/>
      <c r="AR948" s="1011"/>
      <c r="AS948" s="1011"/>
      <c r="AT948" s="1011"/>
      <c r="AU948" s="1011"/>
      <c r="AV948" s="1011"/>
      <c r="AW948" s="1011"/>
      <c r="AX948" s="1011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</row>
    <row r="949" spans="1:61" ht="24.75" customHeight="1">
      <c r="A949" s="3623" t="s">
        <v>6020</v>
      </c>
      <c r="B949" s="1940"/>
      <c r="C949" s="3624" t="s">
        <v>178</v>
      </c>
      <c r="D949" s="5133" t="s">
        <v>70</v>
      </c>
      <c r="E949" s="3625" t="str">
        <f>VLOOKUP(F949,plasmids!$A$2:$B$891,2)</f>
        <v>AAV2</v>
      </c>
      <c r="F949" s="1954">
        <v>140</v>
      </c>
      <c r="G949" s="1944"/>
      <c r="H949" s="5134" t="str">
        <f>VLOOKUP(I949,plasmids!$A$2:$B$940,2)</f>
        <v>pssAAV-CAG-GFP</v>
      </c>
      <c r="I949" s="3623">
        <v>487</v>
      </c>
      <c r="J949" s="5135"/>
      <c r="K949" s="1946"/>
      <c r="L949" s="1947"/>
      <c r="M949" s="1948">
        <v>42922</v>
      </c>
      <c r="N949" s="2483">
        <v>985</v>
      </c>
      <c r="O949" s="1954"/>
      <c r="P949" s="1957"/>
      <c r="Q949" s="5136">
        <v>6280000000000</v>
      </c>
      <c r="R949" s="5137">
        <v>18500000000</v>
      </c>
      <c r="S949" s="5138">
        <f t="shared" si="13"/>
        <v>11134270270270.271</v>
      </c>
      <c r="T949" s="3623" t="s">
        <v>6016</v>
      </c>
      <c r="U949" s="1945"/>
      <c r="V949" s="3650">
        <f>516-80</f>
        <v>436</v>
      </c>
      <c r="W949" s="3651"/>
      <c r="X949" s="1970"/>
      <c r="Y949" s="1970"/>
      <c r="Z949" s="1970"/>
      <c r="AA949" s="1970"/>
      <c r="AB949" s="1970"/>
      <c r="AC949" s="1970"/>
      <c r="AD949" s="1970"/>
      <c r="AE949" s="1970"/>
      <c r="AF949" s="1970"/>
      <c r="AG949" s="1970"/>
      <c r="AH949" s="1970"/>
      <c r="AI949" s="1970"/>
      <c r="AJ949" s="1970"/>
      <c r="AK949" s="1970"/>
      <c r="AL949" s="1970"/>
      <c r="AM949" s="1970"/>
      <c r="AN949" s="1970"/>
      <c r="AO949" s="1970"/>
      <c r="AP949" s="1970"/>
      <c r="AQ949" s="1970"/>
      <c r="AR949" s="1970"/>
      <c r="AS949" s="1970"/>
      <c r="AT949" s="1970"/>
      <c r="AU949" s="1970"/>
      <c r="AV949" s="1970"/>
      <c r="AW949" s="1970"/>
      <c r="AX949" s="1970"/>
      <c r="AY949" s="1970"/>
      <c r="AZ949" s="1970"/>
      <c r="BA949" s="1970"/>
      <c r="BB949" s="1970"/>
      <c r="BC949" s="1970"/>
      <c r="BD949" s="1970"/>
      <c r="BE949" s="1970"/>
      <c r="BF949" s="1970"/>
      <c r="BG949" s="1970"/>
      <c r="BH949" s="1970"/>
      <c r="BI949" s="1970"/>
    </row>
    <row r="950" spans="1:61" ht="22.5" customHeight="1">
      <c r="A950" s="3882"/>
      <c r="B950" s="3882" t="s">
        <v>5659</v>
      </c>
      <c r="C950" s="5139" t="s">
        <v>5660</v>
      </c>
      <c r="D950" s="3882" t="s">
        <v>5661</v>
      </c>
      <c r="E950" s="5140" t="s">
        <v>5662</v>
      </c>
      <c r="F950" s="3873">
        <v>525</v>
      </c>
      <c r="G950" s="5139"/>
      <c r="H950" s="5139" t="s">
        <v>5662</v>
      </c>
      <c r="I950" s="3882">
        <v>525</v>
      </c>
      <c r="J950" s="3879" t="s">
        <v>5664</v>
      </c>
      <c r="K950" s="3680"/>
      <c r="L950" s="5323"/>
      <c r="M950" s="3877">
        <v>42922</v>
      </c>
      <c r="N950" s="2661">
        <v>986</v>
      </c>
      <c r="O950" s="3875"/>
      <c r="P950" s="2665"/>
      <c r="Q950" s="3880">
        <v>22300000000000</v>
      </c>
      <c r="R950" s="3879">
        <v>18500000000</v>
      </c>
      <c r="S950" s="4295">
        <f t="shared" si="13"/>
        <v>39537297297297.297</v>
      </c>
      <c r="T950" s="3870" t="s">
        <v>6016</v>
      </c>
      <c r="U950" s="5141"/>
      <c r="V950" s="3872">
        <f>518</f>
        <v>518</v>
      </c>
      <c r="W950" s="3680"/>
      <c r="X950" s="3680"/>
      <c r="Y950" s="3680"/>
      <c r="Z950" s="3680"/>
      <c r="AA950" s="3680"/>
      <c r="AB950" s="3680"/>
      <c r="AC950" s="3680"/>
      <c r="AD950" s="3680"/>
      <c r="AE950" s="3680"/>
      <c r="AF950" s="3680"/>
      <c r="AG950" s="3680"/>
      <c r="AH950" s="3680"/>
      <c r="AI950" s="3680"/>
      <c r="AJ950" s="3680"/>
      <c r="AK950" s="3680"/>
      <c r="AL950" s="3680"/>
      <c r="AM950" s="3680"/>
      <c r="AN950" s="3680"/>
      <c r="AO950" s="3680"/>
      <c r="AP950" s="3680"/>
      <c r="AQ950" s="3680"/>
      <c r="AR950" s="3680"/>
      <c r="AS950" s="3680"/>
      <c r="AT950" s="3680"/>
      <c r="AU950" s="3680"/>
      <c r="AV950" s="3680"/>
      <c r="AW950" s="3680"/>
      <c r="AX950" s="3680"/>
      <c r="AY950" s="3680"/>
      <c r="AZ950" s="3680"/>
      <c r="BA950" s="3680"/>
      <c r="BB950" s="3680"/>
      <c r="BC950" s="3680"/>
      <c r="BD950" s="3680"/>
      <c r="BE950" s="3680"/>
      <c r="BF950" s="3680"/>
      <c r="BG950" s="3680"/>
      <c r="BH950" s="3680"/>
      <c r="BI950" s="3680"/>
    </row>
    <row r="951" spans="1:61" ht="22.5" customHeight="1">
      <c r="A951" s="3882"/>
      <c r="B951" s="3882" t="s">
        <v>5659</v>
      </c>
      <c r="C951" s="5139" t="s">
        <v>5660</v>
      </c>
      <c r="D951" s="3882" t="s">
        <v>5661</v>
      </c>
      <c r="E951" s="5140" t="s">
        <v>1850</v>
      </c>
      <c r="F951" s="3873">
        <v>526</v>
      </c>
      <c r="G951" s="5139"/>
      <c r="H951" s="5139" t="s">
        <v>1849</v>
      </c>
      <c r="I951" s="3882">
        <v>526</v>
      </c>
      <c r="J951" s="3879" t="s">
        <v>5664</v>
      </c>
      <c r="K951" s="3680"/>
      <c r="L951" s="5320"/>
      <c r="M951" s="3877">
        <v>42922</v>
      </c>
      <c r="N951" s="2661">
        <v>987</v>
      </c>
      <c r="O951" s="3875"/>
      <c r="P951" s="2665"/>
      <c r="Q951" s="3880">
        <v>41200000000000</v>
      </c>
      <c r="R951" s="3879">
        <v>18500000000</v>
      </c>
      <c r="S951" s="4295">
        <f t="shared" si="13"/>
        <v>73046486486486.484</v>
      </c>
      <c r="T951" s="3870" t="s">
        <v>6016</v>
      </c>
      <c r="U951" s="5141"/>
      <c r="V951" s="3872">
        <f>546</f>
        <v>546</v>
      </c>
      <c r="W951" s="3680"/>
      <c r="X951" s="5140" t="s">
        <v>5667</v>
      </c>
      <c r="Y951" s="3680"/>
      <c r="Z951" s="3680"/>
      <c r="AA951" s="3680"/>
      <c r="AB951" s="3680"/>
      <c r="AC951" s="3680"/>
      <c r="AD951" s="3680"/>
      <c r="AE951" s="3680"/>
      <c r="AF951" s="3680"/>
      <c r="AG951" s="3680"/>
      <c r="AH951" s="3680"/>
      <c r="AI951" s="3680"/>
      <c r="AJ951" s="3680"/>
      <c r="AK951" s="3680"/>
      <c r="AL951" s="3680"/>
      <c r="AM951" s="3680"/>
      <c r="AN951" s="3680"/>
      <c r="AO951" s="3680"/>
      <c r="AP951" s="3680"/>
      <c r="AQ951" s="3680"/>
      <c r="AR951" s="3680"/>
      <c r="AS951" s="3680"/>
      <c r="AT951" s="3680"/>
      <c r="AU951" s="3680"/>
      <c r="AV951" s="3680"/>
      <c r="AW951" s="3680"/>
      <c r="AX951" s="3680"/>
      <c r="AY951" s="3680"/>
      <c r="AZ951" s="3680"/>
      <c r="BA951" s="3680"/>
      <c r="BB951" s="3680"/>
      <c r="BC951" s="3680"/>
      <c r="BD951" s="3680"/>
      <c r="BE951" s="3680"/>
      <c r="BF951" s="3680"/>
      <c r="BG951" s="3680"/>
      <c r="BH951" s="3680"/>
      <c r="BI951" s="3680"/>
    </row>
    <row r="952" spans="1:61" ht="22.5" customHeight="1">
      <c r="A952" s="3882"/>
      <c r="B952" s="3882" t="s">
        <v>5659</v>
      </c>
      <c r="C952" s="5139" t="s">
        <v>5660</v>
      </c>
      <c r="D952" s="3882" t="s">
        <v>5661</v>
      </c>
      <c r="E952" s="5140" t="s">
        <v>1849</v>
      </c>
      <c r="F952" s="3873">
        <v>539</v>
      </c>
      <c r="G952" s="5139"/>
      <c r="H952" s="5139" t="s">
        <v>1882</v>
      </c>
      <c r="I952" s="3882">
        <v>539</v>
      </c>
      <c r="J952" s="3879" t="s">
        <v>5664</v>
      </c>
      <c r="K952" s="3680"/>
      <c r="L952" s="5320"/>
      <c r="M952" s="3877">
        <v>42922</v>
      </c>
      <c r="N952" s="2661">
        <v>988</v>
      </c>
      <c r="O952" s="3875"/>
      <c r="P952" s="2665"/>
      <c r="Q952" s="3880">
        <v>39300000000000</v>
      </c>
      <c r="R952" s="3879">
        <v>18500000000</v>
      </c>
      <c r="S952" s="4295">
        <f t="shared" si="13"/>
        <v>69677837837837.844</v>
      </c>
      <c r="T952" s="3870" t="s">
        <v>6016</v>
      </c>
      <c r="U952" s="5141"/>
      <c r="V952" s="3872">
        <f>571</f>
        <v>571</v>
      </c>
      <c r="W952" s="3680"/>
      <c r="X952" s="3680"/>
      <c r="Y952" s="3680"/>
      <c r="Z952" s="3680"/>
      <c r="AA952" s="3680"/>
      <c r="AB952" s="3680"/>
      <c r="AC952" s="3680"/>
      <c r="AD952" s="3680"/>
      <c r="AE952" s="3680"/>
      <c r="AF952" s="3680"/>
      <c r="AG952" s="3680"/>
      <c r="AH952" s="3680"/>
      <c r="AI952" s="3680"/>
      <c r="AJ952" s="3680"/>
      <c r="AK952" s="3680"/>
      <c r="AL952" s="3680"/>
      <c r="AM952" s="3680"/>
      <c r="AN952" s="3680"/>
      <c r="AO952" s="3680"/>
      <c r="AP952" s="3680"/>
      <c r="AQ952" s="3680"/>
      <c r="AR952" s="3680"/>
      <c r="AS952" s="3680"/>
      <c r="AT952" s="3680"/>
      <c r="AU952" s="3680"/>
      <c r="AV952" s="3680"/>
      <c r="AW952" s="3680"/>
      <c r="AX952" s="3680"/>
      <c r="AY952" s="3680"/>
      <c r="AZ952" s="3680"/>
      <c r="BA952" s="3680"/>
      <c r="BB952" s="3680"/>
      <c r="BC952" s="3680"/>
      <c r="BD952" s="3680"/>
      <c r="BE952" s="3680"/>
      <c r="BF952" s="3680"/>
      <c r="BG952" s="3680"/>
      <c r="BH952" s="3680"/>
      <c r="BI952" s="3680"/>
    </row>
    <row r="953" spans="1:61" ht="22.5" customHeight="1">
      <c r="A953" s="470" t="s">
        <v>52</v>
      </c>
      <c r="B953" s="2910" t="s">
        <v>5917</v>
      </c>
      <c r="C953" s="5110" t="s">
        <v>6018</v>
      </c>
      <c r="D953" s="2910" t="s">
        <v>5794</v>
      </c>
      <c r="E953" s="2633" t="str">
        <f>VLOOKUP(F953,plasmids!$A$2:$B$951,2)</f>
        <v>pAAV8 BP</v>
      </c>
      <c r="F953" s="1008">
        <v>734</v>
      </c>
      <c r="G953" s="1828"/>
      <c r="H953" s="1828" t="str">
        <f>VLOOKUP(I953,plasmids!$A$2:$B$891,2)</f>
        <v>pssAAV-CAG-ChrimsonR-tdTomato</v>
      </c>
      <c r="I953" s="2910">
        <v>479</v>
      </c>
      <c r="J953" s="471"/>
      <c r="K953" s="470" t="s">
        <v>4428</v>
      </c>
      <c r="L953" s="1003"/>
      <c r="M953" s="1005">
        <v>42928</v>
      </c>
      <c r="N953" s="1006">
        <v>989</v>
      </c>
      <c r="O953" s="1659"/>
      <c r="P953" s="462"/>
      <c r="Q953" s="1604">
        <v>12700000000</v>
      </c>
      <c r="R953" s="462">
        <v>17200000000</v>
      </c>
      <c r="S953" s="468">
        <f t="shared" si="13"/>
        <v>24218604651.162792</v>
      </c>
      <c r="T953" s="462" t="s">
        <v>5890</v>
      </c>
      <c r="U953" s="471"/>
      <c r="V953" s="1612">
        <f>733</f>
        <v>733</v>
      </c>
      <c r="W953" s="1008"/>
      <c r="X953" s="1011"/>
      <c r="Y953" s="1011"/>
      <c r="Z953" s="1011"/>
      <c r="AA953" s="1011"/>
      <c r="AB953" s="1011"/>
      <c r="AC953" s="1011"/>
      <c r="AD953" s="1011"/>
      <c r="AE953" s="1011"/>
      <c r="AF953" s="1011"/>
      <c r="AG953" s="1011"/>
      <c r="AH953" s="1011"/>
      <c r="AI953" s="1011"/>
      <c r="AJ953" s="1011"/>
      <c r="AK953" s="1011"/>
      <c r="AL953" s="1011"/>
      <c r="AM953" s="1011"/>
      <c r="AN953" s="1011"/>
      <c r="AO953" s="1011"/>
      <c r="AP953" s="1011"/>
      <c r="AQ953" s="1011"/>
      <c r="AR953" s="1011"/>
      <c r="AS953" s="1011"/>
      <c r="AT953" s="1011"/>
      <c r="AU953" s="1011"/>
      <c r="AV953" s="1011"/>
      <c r="AW953" s="1011"/>
      <c r="AX953" s="1011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</row>
    <row r="954" spans="1:61" ht="22.5" customHeight="1">
      <c r="A954" s="470" t="s">
        <v>52</v>
      </c>
      <c r="B954" s="2910" t="s">
        <v>5917</v>
      </c>
      <c r="C954" s="5110" t="s">
        <v>6018</v>
      </c>
      <c r="D954" s="2910" t="s">
        <v>5794</v>
      </c>
      <c r="E954" s="2633" t="str">
        <f>VLOOKUP(F954,plasmids!$A$2:$B$951,2)</f>
        <v>pAAV8 BP</v>
      </c>
      <c r="F954" s="1008">
        <v>734</v>
      </c>
      <c r="G954" s="1828"/>
      <c r="H954" s="1828" t="str">
        <f>VLOOKUP(I954,plasmids!$A$2:$B$891,2)</f>
        <v>pssAAV-CAG-ChrimsonR-tdTomato</v>
      </c>
      <c r="I954" s="2910">
        <v>479</v>
      </c>
      <c r="J954" s="2910" t="s">
        <v>6021</v>
      </c>
      <c r="K954" s="470" t="s">
        <v>4428</v>
      </c>
      <c r="L954" s="1003"/>
      <c r="M954" s="1005">
        <v>42928</v>
      </c>
      <c r="N954" s="1006">
        <v>990</v>
      </c>
      <c r="O954" s="1659"/>
      <c r="P954" s="462"/>
      <c r="Q954" s="1604">
        <v>7490000000</v>
      </c>
      <c r="R954" s="462">
        <v>17200000000</v>
      </c>
      <c r="S954" s="468">
        <f t="shared" si="13"/>
        <v>14283255813.953489</v>
      </c>
      <c r="T954" s="462" t="s">
        <v>5890</v>
      </c>
      <c r="U954" s="471"/>
      <c r="V954" s="1612">
        <f>600</f>
        <v>600</v>
      </c>
      <c r="W954" s="1008"/>
      <c r="X954" s="1011"/>
      <c r="Y954" s="1011"/>
      <c r="Z954" s="1011"/>
      <c r="AA954" s="1011"/>
      <c r="AB954" s="1011"/>
      <c r="AC954" s="1011"/>
      <c r="AD954" s="1011"/>
      <c r="AE954" s="1011"/>
      <c r="AF954" s="1011"/>
      <c r="AG954" s="1011"/>
      <c r="AH954" s="1011"/>
      <c r="AI954" s="1011"/>
      <c r="AJ954" s="1011"/>
      <c r="AK954" s="1011"/>
      <c r="AL954" s="1011"/>
      <c r="AM954" s="1011"/>
      <c r="AN954" s="1011"/>
      <c r="AO954" s="1011"/>
      <c r="AP954" s="1011"/>
      <c r="AQ954" s="1011"/>
      <c r="AR954" s="1011"/>
      <c r="AS954" s="1011"/>
      <c r="AT954" s="1011"/>
      <c r="AU954" s="1011"/>
      <c r="AV954" s="1011"/>
      <c r="AW954" s="1011"/>
      <c r="AX954" s="1011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</row>
    <row r="955" spans="1:61" ht="24.75" customHeight="1">
      <c r="A955" s="3623" t="s">
        <v>6020</v>
      </c>
      <c r="B955" s="1940"/>
      <c r="C955" s="3624" t="s">
        <v>178</v>
      </c>
      <c r="D955" s="5133" t="s">
        <v>70</v>
      </c>
      <c r="E955" s="3625" t="str">
        <f>VLOOKUP(F955,plasmids!$A$2:$B$891,2)</f>
        <v>AAV2</v>
      </c>
      <c r="F955" s="1954">
        <v>140</v>
      </c>
      <c r="G955" s="1944"/>
      <c r="H955" s="5134" t="str">
        <f>VLOOKUP(I955,plasmids!$A$2:$B$940,2)</f>
        <v>pAAV-CAG-Numb72-ires-GFP</v>
      </c>
      <c r="I955" s="3623">
        <v>781</v>
      </c>
      <c r="J955" s="1945"/>
      <c r="K955" s="1946"/>
      <c r="L955" s="1947"/>
      <c r="M955" s="1948">
        <v>42928</v>
      </c>
      <c r="N955" s="2483">
        <v>991</v>
      </c>
      <c r="O955" s="1954"/>
      <c r="P955" s="1957"/>
      <c r="Q955" s="5136">
        <v>1400000000000</v>
      </c>
      <c r="R955" s="5137">
        <v>17200000000</v>
      </c>
      <c r="S955" s="5138">
        <f t="shared" si="13"/>
        <v>2669767441860.4653</v>
      </c>
      <c r="T955" s="3623" t="s">
        <v>5890</v>
      </c>
      <c r="U955" s="1945"/>
      <c r="V955" s="3650">
        <f>541</f>
        <v>541</v>
      </c>
      <c r="W955" s="3651"/>
      <c r="X955" s="1970"/>
      <c r="Y955" s="1970"/>
      <c r="Z955" s="1970"/>
      <c r="AA955" s="1970"/>
      <c r="AB955" s="1970"/>
      <c r="AC955" s="1970"/>
      <c r="AD955" s="1970"/>
      <c r="AE955" s="1970"/>
      <c r="AF955" s="1970"/>
      <c r="AG955" s="1970"/>
      <c r="AH955" s="1970"/>
      <c r="AI955" s="1970"/>
      <c r="AJ955" s="1970"/>
      <c r="AK955" s="1970"/>
      <c r="AL955" s="1970"/>
      <c r="AM955" s="1970"/>
      <c r="AN955" s="1970"/>
      <c r="AO955" s="1970"/>
      <c r="AP955" s="1970"/>
      <c r="AQ955" s="1970"/>
      <c r="AR955" s="1970"/>
      <c r="AS955" s="1970"/>
      <c r="AT955" s="1970"/>
      <c r="AU955" s="1970"/>
      <c r="AV955" s="1970"/>
      <c r="AW955" s="1970"/>
      <c r="AX955" s="1970"/>
      <c r="AY955" s="1970"/>
      <c r="AZ955" s="1970"/>
      <c r="BA955" s="1970"/>
      <c r="BB955" s="1970"/>
      <c r="BC955" s="1970"/>
      <c r="BD955" s="1970"/>
      <c r="BE955" s="1970"/>
      <c r="BF955" s="1970"/>
      <c r="BG955" s="1970"/>
      <c r="BH955" s="1970"/>
      <c r="BI955" s="1970"/>
    </row>
    <row r="956" spans="1:61" ht="24.75" customHeight="1">
      <c r="A956" s="3870" t="s">
        <v>1549</v>
      </c>
      <c r="B956" s="3870" t="s">
        <v>5767</v>
      </c>
      <c r="C956" s="3871" t="s">
        <v>178</v>
      </c>
      <c r="D956" s="3870" t="s">
        <v>5794</v>
      </c>
      <c r="E956" s="5052" t="str">
        <f>VLOOKUP(F956,plasmids!$A$2:$B$891,2)</f>
        <v>pAV2-7mD</v>
      </c>
      <c r="F956" s="3873">
        <v>670</v>
      </c>
      <c r="G956" s="4289"/>
      <c r="H956" s="5053" t="str">
        <f>VLOOKUP(I956,plasmids!$A$2:$B$940,2)</f>
        <v>sc-CAG-GFP</v>
      </c>
      <c r="I956" s="3870">
        <v>120</v>
      </c>
      <c r="J956" s="5054" t="s">
        <v>5988</v>
      </c>
      <c r="K956" s="3876"/>
      <c r="L956" s="3870" t="s">
        <v>6022</v>
      </c>
      <c r="M956" s="3877">
        <v>42933</v>
      </c>
      <c r="N956" s="3878" t="s">
        <v>4785</v>
      </c>
      <c r="O956" s="3873"/>
      <c r="P956" s="4291"/>
      <c r="Q956" s="4332">
        <v>1110000000000</v>
      </c>
      <c r="R956" s="4333">
        <v>17200000000</v>
      </c>
      <c r="S956" s="4334">
        <f t="shared" si="13"/>
        <v>2116744186046.5117</v>
      </c>
      <c r="T956" s="3870" t="s">
        <v>6023</v>
      </c>
      <c r="U956" s="3870" t="s">
        <v>5996</v>
      </c>
      <c r="V956" s="3872">
        <f>300</f>
        <v>300</v>
      </c>
      <c r="W956" s="3883"/>
      <c r="X956" s="3680"/>
      <c r="Y956" s="3680"/>
      <c r="Z956" s="3680"/>
      <c r="AA956" s="3680"/>
      <c r="AB956" s="3680"/>
      <c r="AC956" s="3680"/>
      <c r="AD956" s="3680"/>
      <c r="AE956" s="3680"/>
      <c r="AF956" s="3680"/>
      <c r="AG956" s="3680"/>
      <c r="AH956" s="3680"/>
      <c r="AI956" s="3680"/>
      <c r="AJ956" s="3680"/>
      <c r="AK956" s="3680"/>
      <c r="AL956" s="3680"/>
      <c r="AM956" s="3680"/>
      <c r="AN956" s="3680"/>
      <c r="AO956" s="3680"/>
      <c r="AP956" s="3680"/>
      <c r="AQ956" s="3680"/>
      <c r="AR956" s="3680"/>
      <c r="AS956" s="3680"/>
      <c r="AT956" s="3680"/>
      <c r="AU956" s="3680"/>
      <c r="AV956" s="3680"/>
      <c r="AW956" s="3680"/>
      <c r="AX956" s="3680"/>
      <c r="AY956" s="3680"/>
      <c r="AZ956" s="3680"/>
      <c r="BA956" s="3680"/>
      <c r="BB956" s="3680"/>
      <c r="BC956" s="3680"/>
      <c r="BD956" s="3680"/>
      <c r="BE956" s="3680"/>
      <c r="BF956" s="3680"/>
      <c r="BG956" s="3680"/>
      <c r="BH956" s="3680"/>
      <c r="BI956" s="3680"/>
    </row>
    <row r="957" spans="1:61" ht="24.75" customHeight="1">
      <c r="A957" s="3870" t="s">
        <v>1549</v>
      </c>
      <c r="B957" s="3870" t="s">
        <v>5767</v>
      </c>
      <c r="C957" s="3871" t="s">
        <v>178</v>
      </c>
      <c r="D957" s="3870" t="s">
        <v>5794</v>
      </c>
      <c r="E957" s="5052" t="str">
        <f>VLOOKUP(F957,plasmids!$A$2:$B$891,2)</f>
        <v>pAV2-7mD</v>
      </c>
      <c r="F957" s="3873">
        <v>670</v>
      </c>
      <c r="G957" s="4289"/>
      <c r="H957" s="5053" t="str">
        <f>VLOOKUP(I957,plasmids!$A$2:$B$940,2)</f>
        <v>sc-CAG-GFP</v>
      </c>
      <c r="I957" s="3870">
        <v>120</v>
      </c>
      <c r="J957" s="5054" t="s">
        <v>6024</v>
      </c>
      <c r="K957" s="3876"/>
      <c r="L957" s="3870" t="s">
        <v>6022</v>
      </c>
      <c r="M957" s="3877">
        <v>42933</v>
      </c>
      <c r="N957" s="3878" t="s">
        <v>4786</v>
      </c>
      <c r="O957" s="3873"/>
      <c r="P957" s="4291"/>
      <c r="Q957" s="4332">
        <v>4600000000000</v>
      </c>
      <c r="R957" s="4333">
        <v>17200000000</v>
      </c>
      <c r="S957" s="4334">
        <f t="shared" si="13"/>
        <v>8772093023255.8145</v>
      </c>
      <c r="T957" s="3870" t="s">
        <v>6023</v>
      </c>
      <c r="U957" s="3870" t="s">
        <v>5996</v>
      </c>
      <c r="V957" s="3872">
        <f>746</f>
        <v>746</v>
      </c>
      <c r="W957" s="3883"/>
      <c r="X957" s="3680"/>
      <c r="Y957" s="3680"/>
      <c r="Z957" s="3680"/>
      <c r="AA957" s="3680"/>
      <c r="AB957" s="3680"/>
      <c r="AC957" s="3680"/>
      <c r="AD957" s="3680"/>
      <c r="AE957" s="3680"/>
      <c r="AF957" s="3680"/>
      <c r="AG957" s="3680"/>
      <c r="AH957" s="3680"/>
      <c r="AI957" s="3680"/>
      <c r="AJ957" s="3680"/>
      <c r="AK957" s="3680"/>
      <c r="AL957" s="3680"/>
      <c r="AM957" s="3680"/>
      <c r="AN957" s="3680"/>
      <c r="AO957" s="3680"/>
      <c r="AP957" s="3680"/>
      <c r="AQ957" s="3680"/>
      <c r="AR957" s="3680"/>
      <c r="AS957" s="3680"/>
      <c r="AT957" s="3680"/>
      <c r="AU957" s="3680"/>
      <c r="AV957" s="3680"/>
      <c r="AW957" s="3680"/>
      <c r="AX957" s="3680"/>
      <c r="AY957" s="3680"/>
      <c r="AZ957" s="3680"/>
      <c r="BA957" s="3680"/>
      <c r="BB957" s="3680"/>
      <c r="BC957" s="3680"/>
      <c r="BD957" s="3680"/>
      <c r="BE957" s="3680"/>
      <c r="BF957" s="3680"/>
      <c r="BG957" s="3680"/>
      <c r="BH957" s="3680"/>
      <c r="BI957" s="3680"/>
    </row>
    <row r="958" spans="1:61" ht="24.75" customHeight="1">
      <c r="A958" s="3870" t="s">
        <v>1549</v>
      </c>
      <c r="B958" s="3870" t="s">
        <v>5767</v>
      </c>
      <c r="C958" s="3871" t="s">
        <v>178</v>
      </c>
      <c r="D958" s="3870" t="s">
        <v>5794</v>
      </c>
      <c r="E958" s="5052" t="str">
        <f>VLOOKUP(F958,plasmids!$A$2:$B$891,2)</f>
        <v>pAV2-7mD</v>
      </c>
      <c r="F958" s="3873">
        <v>670</v>
      </c>
      <c r="G958" s="4289"/>
      <c r="H958" s="5053" t="str">
        <f>VLOOKUP(I958,plasmids!$A$2:$B$940,2)</f>
        <v>hSyn1-Cre-WPRE</v>
      </c>
      <c r="I958" s="3870">
        <v>739</v>
      </c>
      <c r="J958" s="5054" t="s">
        <v>5988</v>
      </c>
      <c r="K958" s="3876"/>
      <c r="L958" s="3870" t="s">
        <v>6022</v>
      </c>
      <c r="M958" s="3877">
        <v>42933</v>
      </c>
      <c r="N958" s="3878">
        <v>993</v>
      </c>
      <c r="O958" s="3873"/>
      <c r="P958" s="4291"/>
      <c r="Q958" s="4332">
        <v>2800000000000</v>
      </c>
      <c r="R958" s="4333">
        <v>17200000000</v>
      </c>
      <c r="S958" s="4334">
        <f t="shared" si="13"/>
        <v>5339534883720.9307</v>
      </c>
      <c r="T958" s="3870" t="s">
        <v>6023</v>
      </c>
      <c r="U958" s="3870" t="s">
        <v>5996</v>
      </c>
      <c r="V958" s="3872">
        <f>300</f>
        <v>300</v>
      </c>
      <c r="W958" s="3883"/>
      <c r="X958" s="3680"/>
      <c r="Y958" s="3680"/>
      <c r="Z958" s="3680"/>
      <c r="AA958" s="3680"/>
      <c r="AB958" s="3680"/>
      <c r="AC958" s="3680"/>
      <c r="AD958" s="3680"/>
      <c r="AE958" s="3680"/>
      <c r="AF958" s="3680"/>
      <c r="AG958" s="3680"/>
      <c r="AH958" s="3680"/>
      <c r="AI958" s="3680"/>
      <c r="AJ958" s="3680"/>
      <c r="AK958" s="3680"/>
      <c r="AL958" s="3680"/>
      <c r="AM958" s="3680"/>
      <c r="AN958" s="3680"/>
      <c r="AO958" s="3680"/>
      <c r="AP958" s="3680"/>
      <c r="AQ958" s="3680"/>
      <c r="AR958" s="3680"/>
      <c r="AS958" s="3680"/>
      <c r="AT958" s="3680"/>
      <c r="AU958" s="3680"/>
      <c r="AV958" s="3680"/>
      <c r="AW958" s="3680"/>
      <c r="AX958" s="3680"/>
      <c r="AY958" s="3680"/>
      <c r="AZ958" s="3680"/>
      <c r="BA958" s="3680"/>
      <c r="BB958" s="3680"/>
      <c r="BC958" s="3680"/>
      <c r="BD958" s="3680"/>
      <c r="BE958" s="3680"/>
      <c r="BF958" s="3680"/>
      <c r="BG958" s="3680"/>
      <c r="BH958" s="3680"/>
      <c r="BI958" s="3680"/>
    </row>
    <row r="959" spans="1:61" ht="24.75" customHeight="1">
      <c r="A959" s="3623" t="s">
        <v>6020</v>
      </c>
      <c r="B959" s="1940"/>
      <c r="C959" s="5142" t="s">
        <v>178</v>
      </c>
      <c r="D959" s="5133" t="s">
        <v>6025</v>
      </c>
      <c r="E959" s="3625" t="str">
        <f>VLOOKUP(F959,plasmids!$A$2:$B$891,2)</f>
        <v>ShH10,1 Y444F</v>
      </c>
      <c r="F959" s="1954">
        <v>177</v>
      </c>
      <c r="G959" s="1944"/>
      <c r="H959" s="5134" t="str">
        <f>VLOOKUP(I959,plasmids!$A$2:$B$940,2)</f>
        <v>pAAV-CAG-Cre-NLS</v>
      </c>
      <c r="I959" s="3623">
        <v>780</v>
      </c>
      <c r="J959" s="5135"/>
      <c r="K959" s="1946"/>
      <c r="L959" s="1947"/>
      <c r="M959" s="1948">
        <v>42937</v>
      </c>
      <c r="N959" s="2483">
        <v>994</v>
      </c>
      <c r="O959" s="1954"/>
      <c r="P959" s="1957"/>
      <c r="Q959" s="5136">
        <v>5810000000000</v>
      </c>
      <c r="R959" s="5137">
        <v>17200000000</v>
      </c>
      <c r="S959" s="5138">
        <f t="shared" si="13"/>
        <v>11079534883720.93</v>
      </c>
      <c r="T959" s="3623"/>
      <c r="U959" s="1945"/>
      <c r="V959" s="3650">
        <f>735</f>
        <v>735</v>
      </c>
      <c r="W959" s="3651"/>
      <c r="X959" s="1970"/>
      <c r="Y959" s="1970"/>
      <c r="Z959" s="1970"/>
      <c r="AA959" s="1970"/>
      <c r="AB959" s="1970"/>
      <c r="AC959" s="1970"/>
      <c r="AD959" s="1970"/>
      <c r="AE959" s="1970"/>
      <c r="AF959" s="1970"/>
      <c r="AG959" s="1970"/>
      <c r="AH959" s="1970"/>
      <c r="AI959" s="1970"/>
      <c r="AJ959" s="1970"/>
      <c r="AK959" s="1970"/>
      <c r="AL959" s="1970"/>
      <c r="AM959" s="1970"/>
      <c r="AN959" s="1970"/>
      <c r="AO959" s="1970"/>
      <c r="AP959" s="1970"/>
      <c r="AQ959" s="1970"/>
      <c r="AR959" s="1970"/>
      <c r="AS959" s="1970"/>
      <c r="AT959" s="1970"/>
      <c r="AU959" s="1970"/>
      <c r="AV959" s="1970"/>
      <c r="AW959" s="1970"/>
      <c r="AX959" s="1970"/>
      <c r="AY959" s="1970"/>
      <c r="AZ959" s="1970"/>
      <c r="BA959" s="1970"/>
      <c r="BB959" s="1970"/>
      <c r="BC959" s="1970"/>
      <c r="BD959" s="1970"/>
      <c r="BE959" s="1970"/>
      <c r="BF959" s="1970"/>
      <c r="BG959" s="1970"/>
      <c r="BH959" s="1970"/>
      <c r="BI959" s="1970"/>
    </row>
    <row r="960" spans="1:61" ht="24.75" customHeight="1">
      <c r="A960" s="3623" t="s">
        <v>6020</v>
      </c>
      <c r="B960" s="1940"/>
      <c r="C960" s="5142" t="s">
        <v>178</v>
      </c>
      <c r="D960" s="5133" t="s">
        <v>6025</v>
      </c>
      <c r="E960" s="3625" t="str">
        <f>VLOOKUP(F960,plasmids!$A$2:$B$891,2)</f>
        <v>ShH10,1 Y444F</v>
      </c>
      <c r="F960" s="1954">
        <v>177</v>
      </c>
      <c r="G960" s="1944"/>
      <c r="H960" s="5134" t="str">
        <f>VLOOKUP(I960,plasmids!$A$2:$B$940,2)</f>
        <v>pAAV-CAG-mCherry</v>
      </c>
      <c r="I960" s="3623">
        <v>782</v>
      </c>
      <c r="J960" s="1945"/>
      <c r="K960" s="1946"/>
      <c r="L960" s="1947"/>
      <c r="M960" s="1948">
        <v>42937</v>
      </c>
      <c r="N960" s="2483">
        <v>995</v>
      </c>
      <c r="O960" s="1954"/>
      <c r="P960" s="1957"/>
      <c r="Q960" s="5136">
        <v>3670000000000</v>
      </c>
      <c r="R960" s="5137">
        <v>17200000000</v>
      </c>
      <c r="S960" s="5138">
        <f t="shared" si="13"/>
        <v>6998604651162.791</v>
      </c>
      <c r="T960" s="3623"/>
      <c r="U960" s="1945"/>
      <c r="V960" s="3650">
        <f>786</f>
        <v>786</v>
      </c>
      <c r="W960" s="3651"/>
      <c r="X960" s="1970"/>
      <c r="Y960" s="1970"/>
      <c r="Z960" s="1970"/>
      <c r="AA960" s="1970"/>
      <c r="AB960" s="1970"/>
      <c r="AC960" s="1970"/>
      <c r="AD960" s="1970"/>
      <c r="AE960" s="1970"/>
      <c r="AF960" s="1970"/>
      <c r="AG960" s="1970"/>
      <c r="AH960" s="1970"/>
      <c r="AI960" s="1970"/>
      <c r="AJ960" s="1970"/>
      <c r="AK960" s="1970"/>
      <c r="AL960" s="1970"/>
      <c r="AM960" s="1970"/>
      <c r="AN960" s="1970"/>
      <c r="AO960" s="1970"/>
      <c r="AP960" s="1970"/>
      <c r="AQ960" s="1970"/>
      <c r="AR960" s="1970"/>
      <c r="AS960" s="1970"/>
      <c r="AT960" s="1970"/>
      <c r="AU960" s="1970"/>
      <c r="AV960" s="1970"/>
      <c r="AW960" s="1970"/>
      <c r="AX960" s="1970"/>
      <c r="AY960" s="1970"/>
      <c r="AZ960" s="1970"/>
      <c r="BA960" s="1970"/>
      <c r="BB960" s="1970"/>
      <c r="BC960" s="1970"/>
      <c r="BD960" s="1970"/>
      <c r="BE960" s="1970"/>
      <c r="BF960" s="1970"/>
      <c r="BG960" s="1970"/>
      <c r="BH960" s="1970"/>
      <c r="BI960" s="1970"/>
    </row>
    <row r="961" spans="1:61" ht="24.75" customHeight="1">
      <c r="A961" s="3623" t="s">
        <v>6020</v>
      </c>
      <c r="B961" s="1940"/>
      <c r="C961" s="5142" t="s">
        <v>178</v>
      </c>
      <c r="D961" s="5133" t="s">
        <v>6025</v>
      </c>
      <c r="E961" s="3625" t="str">
        <f>VLOOKUP(F961,plasmids!$A$2:$B$891,2)</f>
        <v>ShH10,1 Y444F</v>
      </c>
      <c r="F961" s="1954">
        <v>177</v>
      </c>
      <c r="G961" s="1944"/>
      <c r="H961" s="5134" t="str">
        <f>VLOOKUP(I961,plasmids!$A$2:$B$940,2)</f>
        <v>pAAV-CAG-Ikaros-IRES-mCherry</v>
      </c>
      <c r="I961" s="3623">
        <v>783</v>
      </c>
      <c r="J961" s="1945"/>
      <c r="K961" s="1946"/>
      <c r="L961" s="1947"/>
      <c r="M961" s="1948">
        <v>42937</v>
      </c>
      <c r="N961" s="2483">
        <v>996</v>
      </c>
      <c r="O961" s="1954"/>
      <c r="P961" s="1957"/>
      <c r="Q961" s="5136">
        <v>7130000000000</v>
      </c>
      <c r="R961" s="5137">
        <v>17200000000</v>
      </c>
      <c r="S961" s="5138">
        <f t="shared" si="13"/>
        <v>13596744186046.512</v>
      </c>
      <c r="T961" s="3623"/>
      <c r="U961" s="1945"/>
      <c r="V961" s="3650">
        <f>780</f>
        <v>780</v>
      </c>
      <c r="W961" s="3651"/>
      <c r="X961" s="1970"/>
      <c r="Y961" s="1970"/>
      <c r="Z961" s="1970"/>
      <c r="AA961" s="1970"/>
      <c r="AB961" s="1970"/>
      <c r="AC961" s="1970"/>
      <c r="AD961" s="1970"/>
      <c r="AE961" s="1970"/>
      <c r="AF961" s="1970"/>
      <c r="AG961" s="1970"/>
      <c r="AH961" s="1970"/>
      <c r="AI961" s="1970"/>
      <c r="AJ961" s="1970"/>
      <c r="AK961" s="1970"/>
      <c r="AL961" s="1970"/>
      <c r="AM961" s="1970"/>
      <c r="AN961" s="1970"/>
      <c r="AO961" s="1970"/>
      <c r="AP961" s="1970"/>
      <c r="AQ961" s="1970"/>
      <c r="AR961" s="1970"/>
      <c r="AS961" s="1970"/>
      <c r="AT961" s="1970"/>
      <c r="AU961" s="1970"/>
      <c r="AV961" s="1970"/>
      <c r="AW961" s="1970"/>
      <c r="AX961" s="1970"/>
      <c r="AY961" s="1970"/>
      <c r="AZ961" s="1970"/>
      <c r="BA961" s="1970"/>
      <c r="BB961" s="1970"/>
      <c r="BC961" s="1970"/>
      <c r="BD961" s="1970"/>
      <c r="BE961" s="1970"/>
      <c r="BF961" s="1970"/>
      <c r="BG961" s="1970"/>
      <c r="BH961" s="1970"/>
      <c r="BI961" s="1970"/>
    </row>
    <row r="962" spans="1:61" ht="24.75" customHeight="1">
      <c r="A962" s="3623" t="s">
        <v>6020</v>
      </c>
      <c r="B962" s="5133"/>
      <c r="C962" s="5142" t="s">
        <v>178</v>
      </c>
      <c r="D962" s="5133" t="s">
        <v>6025</v>
      </c>
      <c r="E962" s="5143" t="str">
        <f>VLOOKUP(F962,plasmids!$A$2:$B$891,2)</f>
        <v>ShH10,1 Y444F</v>
      </c>
      <c r="F962" s="5144">
        <v>177</v>
      </c>
      <c r="G962" s="5134"/>
      <c r="H962" s="5134" t="str">
        <f>VLOOKUP(I962,plasmids!$A$2:$B$940,2)</f>
        <v>pAAV-CAG-Ascl1-IRES-mCherry</v>
      </c>
      <c r="I962" s="5133">
        <v>784</v>
      </c>
      <c r="J962" s="5133"/>
      <c r="K962" s="5145"/>
      <c r="L962" s="5146"/>
      <c r="M962" s="1948">
        <v>42937</v>
      </c>
      <c r="N962" s="5147">
        <v>997</v>
      </c>
      <c r="O962" s="5144"/>
      <c r="P962" s="5148"/>
      <c r="Q962" s="5149">
        <v>17400000000000</v>
      </c>
      <c r="R962" s="5150">
        <v>17200000000</v>
      </c>
      <c r="S962" s="5151">
        <f t="shared" si="13"/>
        <v>33181395348837.211</v>
      </c>
      <c r="T962" s="5133"/>
      <c r="U962" s="5152"/>
      <c r="V962" s="5153">
        <f>683</f>
        <v>683</v>
      </c>
      <c r="W962" s="5133"/>
      <c r="X962" s="5152"/>
      <c r="Y962" s="5152"/>
      <c r="Z962" s="5152"/>
      <c r="AA962" s="5152"/>
      <c r="AB962" s="5152"/>
      <c r="AC962" s="5152"/>
      <c r="AD962" s="5152"/>
      <c r="AE962" s="5152"/>
      <c r="AF962" s="5152"/>
      <c r="AG962" s="5152"/>
      <c r="AH962" s="5152"/>
      <c r="AI962" s="5152"/>
      <c r="AJ962" s="5152"/>
      <c r="AK962" s="5152"/>
      <c r="AL962" s="5152"/>
      <c r="AM962" s="5152"/>
      <c r="AN962" s="5152"/>
      <c r="AO962" s="5152"/>
      <c r="AP962" s="5152"/>
      <c r="AQ962" s="5152"/>
      <c r="AR962" s="5152"/>
      <c r="AS962" s="5152"/>
      <c r="AT962" s="5152"/>
      <c r="AU962" s="5152"/>
      <c r="AV962" s="5152"/>
      <c r="AW962" s="5152"/>
      <c r="AX962" s="5152"/>
      <c r="AY962" s="5152"/>
      <c r="AZ962" s="5152"/>
      <c r="BA962" s="5152"/>
      <c r="BB962" s="5152"/>
      <c r="BC962" s="5152"/>
      <c r="BD962" s="5152"/>
      <c r="BE962" s="5152"/>
      <c r="BF962" s="5152"/>
      <c r="BG962" s="5152"/>
      <c r="BH962" s="5152"/>
      <c r="BI962" s="5152"/>
    </row>
    <row r="963" spans="1:61" ht="24.75" customHeight="1">
      <c r="A963" s="834" t="s">
        <v>6020</v>
      </c>
      <c r="B963" s="5154"/>
      <c r="C963" s="5155" t="s">
        <v>178</v>
      </c>
      <c r="D963" s="5154" t="s">
        <v>6025</v>
      </c>
      <c r="E963" s="5156" t="str">
        <f>VLOOKUP(F963,plasmids!$A$2:$B$891,2)</f>
        <v>ShH10,1 Y444F</v>
      </c>
      <c r="F963" s="5157">
        <v>177</v>
      </c>
      <c r="G963" s="5158"/>
      <c r="H963" s="5158" t="str">
        <f>VLOOKUP(I963,plasmids!$A$2:$B$940,2)</f>
        <v>pssAAV-CAG-GFP</v>
      </c>
      <c r="I963" s="5154">
        <v>487</v>
      </c>
      <c r="J963" s="5154"/>
      <c r="K963" s="5159"/>
      <c r="L963" s="5160"/>
      <c r="M963" s="631">
        <v>42944</v>
      </c>
      <c r="N963" s="5161">
        <v>998</v>
      </c>
      <c r="O963" s="5157"/>
      <c r="P963" s="5162"/>
      <c r="Q963" s="5163">
        <v>7160000000000</v>
      </c>
      <c r="R963" s="5164">
        <v>14800000000</v>
      </c>
      <c r="S963" s="5165">
        <f t="shared" si="13"/>
        <v>15868108108108.107</v>
      </c>
      <c r="T963" s="5154"/>
      <c r="U963" s="5166"/>
      <c r="V963" s="5167">
        <f>700</f>
        <v>700</v>
      </c>
      <c r="W963" s="5154"/>
      <c r="X963" s="5154" t="s">
        <v>6026</v>
      </c>
      <c r="Y963" s="5166"/>
      <c r="Z963" s="5166"/>
      <c r="AA963" s="5166"/>
      <c r="AB963" s="5166"/>
      <c r="AC963" s="5166"/>
      <c r="AD963" s="5166"/>
      <c r="AE963" s="5166"/>
      <c r="AF963" s="5166"/>
      <c r="AG963" s="5166"/>
      <c r="AH963" s="5166"/>
      <c r="AI963" s="5166"/>
      <c r="AJ963" s="5166"/>
      <c r="AK963" s="5166"/>
      <c r="AL963" s="5166"/>
      <c r="AM963" s="5166"/>
      <c r="AN963" s="5166"/>
      <c r="AO963" s="5166"/>
      <c r="AP963" s="5166"/>
      <c r="AQ963" s="5166"/>
      <c r="AR963" s="5166"/>
      <c r="AS963" s="5166"/>
      <c r="AT963" s="5166"/>
      <c r="AU963" s="5166"/>
      <c r="AV963" s="5166"/>
      <c r="AW963" s="5166"/>
      <c r="AX963" s="5166"/>
      <c r="AY963" s="5166"/>
      <c r="AZ963" s="5166"/>
      <c r="BA963" s="5166"/>
      <c r="BB963" s="5166"/>
      <c r="BC963" s="5166"/>
      <c r="BD963" s="5166"/>
      <c r="BE963" s="5166"/>
      <c r="BF963" s="5166"/>
      <c r="BG963" s="5166"/>
      <c r="BH963" s="5166"/>
      <c r="BI963" s="5166"/>
    </row>
    <row r="964" spans="1:61" ht="24.75" customHeight="1">
      <c r="A964" s="3623" t="s">
        <v>6020</v>
      </c>
      <c r="B964" s="1940"/>
      <c r="C964" s="3624" t="s">
        <v>178</v>
      </c>
      <c r="D964" s="5133" t="s">
        <v>70</v>
      </c>
      <c r="E964" s="3625" t="str">
        <f>VLOOKUP(F964,plasmids!$A$2:$B$891,2)</f>
        <v>AAV2</v>
      </c>
      <c r="F964" s="1954">
        <v>140</v>
      </c>
      <c r="G964" s="1944"/>
      <c r="H964" s="5134" t="str">
        <f>VLOOKUP(I964,plasmids!$A$2:$B$940,2)</f>
        <v>pAAV-CAG-Cre-NLS</v>
      </c>
      <c r="I964" s="3623">
        <v>780</v>
      </c>
      <c r="J964" s="1945"/>
      <c r="K964" s="1946"/>
      <c r="L964" s="1947"/>
      <c r="M964" s="1948">
        <v>42944</v>
      </c>
      <c r="N964" s="2483">
        <v>999</v>
      </c>
      <c r="O964" s="1954"/>
      <c r="P964" s="1957"/>
      <c r="Q964" s="5136">
        <v>7680000000000</v>
      </c>
      <c r="R964" s="5137">
        <v>14800000000</v>
      </c>
      <c r="S964" s="5138">
        <f t="shared" si="13"/>
        <v>17020540540540.541</v>
      </c>
      <c r="T964" s="3623"/>
      <c r="U964" s="1945"/>
      <c r="V964" s="3650">
        <v>641</v>
      </c>
      <c r="W964" s="3651"/>
      <c r="X964" s="1970"/>
      <c r="Y964" s="1970"/>
      <c r="Z964" s="1970"/>
      <c r="AA964" s="1970"/>
      <c r="AB964" s="1970"/>
      <c r="AC964" s="1970"/>
      <c r="AD964" s="1970"/>
      <c r="AE964" s="1970"/>
      <c r="AF964" s="1970"/>
      <c r="AG964" s="1970"/>
      <c r="AH964" s="1970"/>
      <c r="AI964" s="1970"/>
      <c r="AJ964" s="1970"/>
      <c r="AK964" s="1970"/>
      <c r="AL964" s="1970"/>
      <c r="AM964" s="1970"/>
      <c r="AN964" s="1970"/>
      <c r="AO964" s="1970"/>
      <c r="AP964" s="1970"/>
      <c r="AQ964" s="1970"/>
      <c r="AR964" s="1970"/>
      <c r="AS964" s="1970"/>
      <c r="AT964" s="1970"/>
      <c r="AU964" s="1970"/>
      <c r="AV964" s="1970"/>
      <c r="AW964" s="1970"/>
      <c r="AX964" s="1970"/>
      <c r="AY964" s="1970"/>
      <c r="AZ964" s="1970"/>
      <c r="BA964" s="1970"/>
      <c r="BB964" s="1970"/>
      <c r="BC964" s="1970"/>
      <c r="BD964" s="1970"/>
      <c r="BE964" s="1970"/>
      <c r="BF964" s="1970"/>
      <c r="BG964" s="1970"/>
      <c r="BH964" s="1970"/>
      <c r="BI964" s="1970"/>
    </row>
    <row r="965" spans="1:61" ht="26.25" customHeight="1">
      <c r="A965" s="5168" t="s">
        <v>3891</v>
      </c>
      <c r="B965" s="5169" t="s">
        <v>6027</v>
      </c>
      <c r="C965" s="5170" t="s">
        <v>178</v>
      </c>
      <c r="D965" s="5169" t="s">
        <v>568</v>
      </c>
      <c r="E965" s="5171" t="str">
        <f>VLOOKUP(F965,plasmids!$A$2:$B$351,2)</f>
        <v>pAAV2/8</v>
      </c>
      <c r="F965" s="5169">
        <v>122</v>
      </c>
      <c r="G965" s="5172"/>
      <c r="H965" s="5172" t="str">
        <f>VLOOKUP(I965,plasmids!$A$2:$B$951,2)</f>
        <v>pssAAV-CAG-eNpHR-TAG-2A-Clm</v>
      </c>
      <c r="I965" s="5169">
        <v>515</v>
      </c>
      <c r="J965" s="5173"/>
      <c r="K965" s="5174"/>
      <c r="L965" s="5175"/>
      <c r="M965" s="5176">
        <v>42944</v>
      </c>
      <c r="N965" s="5177" t="s">
        <v>6028</v>
      </c>
      <c r="O965" s="5178"/>
      <c r="P965" s="5179"/>
      <c r="Q965" s="5180">
        <v>11900000000000</v>
      </c>
      <c r="R965" s="5181">
        <v>14800000000</v>
      </c>
      <c r="S965" s="5182">
        <f t="shared" si="13"/>
        <v>26372972972972.973</v>
      </c>
      <c r="T965" s="5169" t="s">
        <v>6023</v>
      </c>
      <c r="U965" s="5173"/>
      <c r="V965" s="5183">
        <f>752</f>
        <v>752</v>
      </c>
      <c r="W965" s="5184"/>
      <c r="X965" s="5184"/>
      <c r="Y965" s="5184"/>
      <c r="Z965" s="5184"/>
      <c r="AA965" s="5184"/>
      <c r="AB965" s="5184"/>
      <c r="AC965" s="5184"/>
      <c r="AD965" s="5184"/>
      <c r="AE965" s="5184"/>
      <c r="AF965" s="5184"/>
      <c r="AG965" s="5184"/>
      <c r="AH965" s="5184"/>
      <c r="AI965" s="5184"/>
      <c r="AJ965" s="5184"/>
      <c r="AK965" s="5184"/>
      <c r="AL965" s="5184"/>
      <c r="AM965" s="5184"/>
      <c r="AN965" s="5184"/>
      <c r="AO965" s="5184"/>
      <c r="AP965" s="5184"/>
      <c r="AQ965" s="5184"/>
      <c r="AR965" s="5184"/>
      <c r="AS965" s="5184"/>
      <c r="AT965" s="5184"/>
      <c r="AU965" s="5184"/>
      <c r="AV965" s="5184"/>
      <c r="AW965" s="5184"/>
      <c r="AX965" s="5184"/>
      <c r="AY965" s="5184"/>
      <c r="AZ965" s="5184"/>
      <c r="BA965" s="5184"/>
      <c r="BB965" s="5184"/>
      <c r="BC965" s="5184"/>
      <c r="BD965" s="5184"/>
      <c r="BE965" s="5184"/>
      <c r="BF965" s="5184"/>
      <c r="BG965" s="5184"/>
      <c r="BH965" s="5184"/>
      <c r="BI965" s="5184"/>
    </row>
    <row r="966" spans="1:61" ht="24.75" customHeight="1">
      <c r="A966" s="4940" t="s">
        <v>1343</v>
      </c>
      <c r="B966" s="4940" t="s">
        <v>6029</v>
      </c>
      <c r="C966" s="4940" t="s">
        <v>6030</v>
      </c>
      <c r="D966" s="4940" t="s">
        <v>5982</v>
      </c>
      <c r="E966" s="4940" t="str">
        <f>VLOOKUP(F966,plasmids!$A$2:$B$351,2)</f>
        <v>AAV2</v>
      </c>
      <c r="F966" s="4940">
        <v>140</v>
      </c>
      <c r="G966" s="4940"/>
      <c r="H966" s="4940" t="str">
        <f>VLOOKUP(I966,plasmids!$A$2:$B$351,2)</f>
        <v>sc-CAG-GFP</v>
      </c>
      <c r="I966" s="4940">
        <v>120</v>
      </c>
      <c r="J966" s="4940"/>
      <c r="K966" s="4940"/>
      <c r="L966" s="4940"/>
      <c r="M966" s="5099">
        <v>42944</v>
      </c>
      <c r="N966" s="5088">
        <v>1001</v>
      </c>
      <c r="O966" s="4940"/>
      <c r="P966" s="4940"/>
      <c r="Q966" s="5089">
        <v>11200000000000</v>
      </c>
      <c r="R966" s="5089">
        <v>14800000000</v>
      </c>
      <c r="S966" s="5089">
        <f t="shared" si="13"/>
        <v>24821621621621.621</v>
      </c>
      <c r="T966" s="4940" t="s">
        <v>6023</v>
      </c>
      <c r="U966" s="4940"/>
      <c r="V966" s="4940">
        <f>743</f>
        <v>743</v>
      </c>
      <c r="W966" s="4940" t="s">
        <v>2812</v>
      </c>
      <c r="X966" s="4940"/>
      <c r="Y966" s="4940"/>
      <c r="Z966" s="4940"/>
      <c r="AA966" s="4940"/>
      <c r="AB966" s="4940"/>
      <c r="AC966" s="4940"/>
      <c r="AD966" s="4940"/>
      <c r="AE966" s="4940"/>
      <c r="AF966" s="4940"/>
      <c r="AG966" s="4940"/>
      <c r="AH966" s="4940"/>
      <c r="AI966" s="4940"/>
      <c r="AJ966" s="4940"/>
      <c r="AK966" s="4940"/>
      <c r="AL966" s="4940"/>
      <c r="AM966" s="4940"/>
      <c r="AN966" s="4940"/>
      <c r="AO966" s="4940"/>
      <c r="AP966" s="4940"/>
      <c r="AQ966" s="4940"/>
      <c r="AR966" s="4940"/>
      <c r="AS966" s="4940"/>
      <c r="AT966" s="4940"/>
      <c r="AU966" s="4940"/>
      <c r="AV966" s="4940"/>
      <c r="AW966" s="4940"/>
      <c r="AX966" s="4940"/>
      <c r="AY966" s="4940"/>
      <c r="AZ966" s="4940"/>
      <c r="BA966" s="4940"/>
      <c r="BB966" s="4940"/>
      <c r="BC966" s="4940"/>
      <c r="BD966" s="4940"/>
      <c r="BE966" s="4940"/>
      <c r="BF966" s="4940"/>
      <c r="BG966" s="4940"/>
      <c r="BH966" s="4940"/>
      <c r="BI966" s="4940"/>
    </row>
    <row r="967" spans="1:61" ht="26.25" customHeight="1">
      <c r="A967" s="5168" t="s">
        <v>3891</v>
      </c>
      <c r="B967" s="5169" t="s">
        <v>6027</v>
      </c>
      <c r="C967" s="5170" t="s">
        <v>178</v>
      </c>
      <c r="D967" s="5169" t="s">
        <v>568</v>
      </c>
      <c r="E967" s="5171" t="str">
        <f>VLOOKUP(F967,plasmids!$A$2:$B$351,2)</f>
        <v>pAAV2/8</v>
      </c>
      <c r="F967" s="5169">
        <v>122</v>
      </c>
      <c r="G967" s="5172"/>
      <c r="H967" s="5172" t="str">
        <f>VLOOKUP(I967,plasmids!$A$2:$B$951,2)</f>
        <v>pssAAV-pR1.7-Jaws</v>
      </c>
      <c r="I967" s="5169">
        <v>733</v>
      </c>
      <c r="J967" s="5173"/>
      <c r="K967" s="5174"/>
      <c r="L967" s="5175"/>
      <c r="M967" s="5176">
        <v>42951</v>
      </c>
      <c r="N967" s="5177">
        <v>1002</v>
      </c>
      <c r="O967" s="5178"/>
      <c r="P967" s="5179"/>
      <c r="Q967" s="5180">
        <v>71600000000000</v>
      </c>
      <c r="R967" s="5181">
        <v>15400000000</v>
      </c>
      <c r="S967" s="5182">
        <f t="shared" si="13"/>
        <v>152498701298701.28</v>
      </c>
      <c r="T967" s="5169" t="s">
        <v>6023</v>
      </c>
      <c r="U967" s="5173"/>
      <c r="V967" s="5183">
        <f>657</f>
        <v>657</v>
      </c>
      <c r="W967" s="5184"/>
      <c r="X967" s="5184"/>
      <c r="Y967" s="5184"/>
      <c r="Z967" s="5184"/>
      <c r="AA967" s="5184"/>
      <c r="AB967" s="5184"/>
      <c r="AC967" s="5184"/>
      <c r="AD967" s="5184"/>
      <c r="AE967" s="5184"/>
      <c r="AF967" s="5184"/>
      <c r="AG967" s="5184"/>
      <c r="AH967" s="5184"/>
      <c r="AI967" s="5184"/>
      <c r="AJ967" s="5184"/>
      <c r="AK967" s="5184"/>
      <c r="AL967" s="5184"/>
      <c r="AM967" s="5184"/>
      <c r="AN967" s="5184"/>
      <c r="AO967" s="5184"/>
      <c r="AP967" s="5184"/>
      <c r="AQ967" s="5184"/>
      <c r="AR967" s="5184"/>
      <c r="AS967" s="5184"/>
      <c r="AT967" s="5184"/>
      <c r="AU967" s="5184"/>
      <c r="AV967" s="5184"/>
      <c r="AW967" s="5184"/>
      <c r="AX967" s="5184"/>
      <c r="AY967" s="5184"/>
      <c r="AZ967" s="5184"/>
      <c r="BA967" s="5184"/>
      <c r="BB967" s="5184"/>
      <c r="BC967" s="5184"/>
      <c r="BD967" s="5184"/>
      <c r="BE967" s="5184"/>
      <c r="BF967" s="5184"/>
      <c r="BG967" s="5184"/>
      <c r="BH967" s="5184"/>
      <c r="BI967" s="5184"/>
    </row>
    <row r="968" spans="1:61" ht="26.25" customHeight="1">
      <c r="A968" s="5168" t="s">
        <v>3891</v>
      </c>
      <c r="B968" s="5169" t="s">
        <v>6027</v>
      </c>
      <c r="C968" s="5170" t="s">
        <v>178</v>
      </c>
      <c r="D968" s="5169" t="s">
        <v>568</v>
      </c>
      <c r="E968" s="5171" t="str">
        <f>VLOOKUP(F968,plasmids!$A$2:$B$351,2)</f>
        <v>pAAV2/8</v>
      </c>
      <c r="F968" s="5169">
        <v>122</v>
      </c>
      <c r="G968" s="5172"/>
      <c r="H968" s="5172" t="str">
        <f>VLOOKUP(I968,plasmids!$A$2:$B$951,2)</f>
        <v>pssAAV-CAG-Clomeleon1</v>
      </c>
      <c r="I968" s="5169">
        <v>258</v>
      </c>
      <c r="J968" s="5173"/>
      <c r="K968" s="5174"/>
      <c r="L968" s="5175"/>
      <c r="M968" s="5176">
        <v>42951</v>
      </c>
      <c r="N968" s="5177">
        <v>1003</v>
      </c>
      <c r="O968" s="5178"/>
      <c r="P968" s="5179"/>
      <c r="Q968" s="5180">
        <v>39100000000000</v>
      </c>
      <c r="R968" s="5181">
        <v>15400000000</v>
      </c>
      <c r="S968" s="5182">
        <f t="shared" si="13"/>
        <v>83277922077922.078</v>
      </c>
      <c r="T968" s="5169" t="s">
        <v>6023</v>
      </c>
      <c r="U968" s="5173"/>
      <c r="V968" s="5183">
        <f>745</f>
        <v>745</v>
      </c>
      <c r="W968" s="5184"/>
      <c r="X968" s="5184"/>
      <c r="Y968" s="5184"/>
      <c r="Z968" s="5184"/>
      <c r="AA968" s="5184"/>
      <c r="AB968" s="5184"/>
      <c r="AC968" s="5184"/>
      <c r="AD968" s="5184"/>
      <c r="AE968" s="5184"/>
      <c r="AF968" s="5184"/>
      <c r="AG968" s="5184"/>
      <c r="AH968" s="5184"/>
      <c r="AI968" s="5184"/>
      <c r="AJ968" s="5184"/>
      <c r="AK968" s="5184"/>
      <c r="AL968" s="5184"/>
      <c r="AM968" s="5184"/>
      <c r="AN968" s="5184"/>
      <c r="AO968" s="5184"/>
      <c r="AP968" s="5184"/>
      <c r="AQ968" s="5184"/>
      <c r="AR968" s="5184"/>
      <c r="AS968" s="5184"/>
      <c r="AT968" s="5184"/>
      <c r="AU968" s="5184"/>
      <c r="AV968" s="5184"/>
      <c r="AW968" s="5184"/>
      <c r="AX968" s="5184"/>
      <c r="AY968" s="5184"/>
      <c r="AZ968" s="5184"/>
      <c r="BA968" s="5184"/>
      <c r="BB968" s="5184"/>
      <c r="BC968" s="5184"/>
      <c r="BD968" s="5184"/>
      <c r="BE968" s="5184"/>
      <c r="BF968" s="5184"/>
      <c r="BG968" s="5184"/>
      <c r="BH968" s="5184"/>
      <c r="BI968" s="5184"/>
    </row>
    <row r="969" spans="1:61" ht="24.75" customHeight="1">
      <c r="A969" s="5002" t="s">
        <v>6004</v>
      </c>
      <c r="B969" s="5002" t="s">
        <v>6031</v>
      </c>
      <c r="C969" s="5003" t="s">
        <v>178</v>
      </c>
      <c r="D969" s="5002" t="s">
        <v>6032</v>
      </c>
      <c r="E969" s="5185" t="str">
        <f>VLOOKUP(F969,plasmids!$A$2:$B$351,2)</f>
        <v>pAAV2/8</v>
      </c>
      <c r="F969" s="5005">
        <v>122</v>
      </c>
      <c r="G969" s="5006"/>
      <c r="H969" s="5186" t="str">
        <f>VLOOKUP(I969,plasmids!$A$2:$B$951,2)</f>
        <v>pscAAV-CAG-GFP-WPRE</v>
      </c>
      <c r="I969" s="5002">
        <v>786</v>
      </c>
      <c r="J969" s="5015"/>
      <c r="K969" s="5007"/>
      <c r="L969" s="5008"/>
      <c r="M969" s="5009">
        <v>42951</v>
      </c>
      <c r="N969" s="5010">
        <v>1004</v>
      </c>
      <c r="O969" s="5005"/>
      <c r="P969" s="5011"/>
      <c r="Q969" s="5187">
        <v>6790000000000</v>
      </c>
      <c r="R969" s="5188">
        <v>15400000000</v>
      </c>
      <c r="S969" s="5189">
        <f t="shared" si="13"/>
        <v>14461818181818.18</v>
      </c>
      <c r="T969" s="5002" t="s">
        <v>6023</v>
      </c>
      <c r="U969" s="5015"/>
      <c r="V969" s="5004">
        <v>800</v>
      </c>
      <c r="W969" s="5016"/>
      <c r="X969" s="5017"/>
      <c r="Y969" s="5017"/>
      <c r="Z969" s="5017"/>
      <c r="AA969" s="5017"/>
      <c r="AB969" s="5017"/>
      <c r="AC969" s="5017"/>
      <c r="AD969" s="5017"/>
      <c r="AE969" s="5017"/>
      <c r="AF969" s="5017"/>
      <c r="AG969" s="5017"/>
      <c r="AH969" s="5017"/>
      <c r="AI969" s="5017"/>
      <c r="AJ969" s="5017"/>
      <c r="AK969" s="5017"/>
      <c r="AL969" s="5017"/>
      <c r="AM969" s="5017"/>
      <c r="AN969" s="5017"/>
      <c r="AO969" s="5017"/>
      <c r="AP969" s="5017"/>
      <c r="AQ969" s="5017"/>
      <c r="AR969" s="5017"/>
      <c r="AS969" s="5017"/>
      <c r="AT969" s="5017"/>
      <c r="AU969" s="5017"/>
      <c r="AV969" s="5017"/>
      <c r="AW969" s="5017"/>
      <c r="AX969" s="5017"/>
      <c r="AY969" s="5017"/>
      <c r="AZ969" s="5017"/>
      <c r="BA969" s="5017"/>
      <c r="BB969" s="5017"/>
      <c r="BC969" s="5017"/>
      <c r="BD969" s="5017"/>
      <c r="BE969" s="5017"/>
      <c r="BF969" s="5017"/>
      <c r="BG969" s="5017"/>
      <c r="BH969" s="5017"/>
      <c r="BI969" s="5017"/>
    </row>
    <row r="970" spans="1:61" ht="24.75" customHeight="1">
      <c r="A970" s="5002" t="s">
        <v>6004</v>
      </c>
      <c r="B970" s="5002" t="s">
        <v>6031</v>
      </c>
      <c r="C970" s="5003" t="s">
        <v>178</v>
      </c>
      <c r="D970" s="5002" t="s">
        <v>6032</v>
      </c>
      <c r="E970" s="5185" t="str">
        <f>VLOOKUP(F970,plasmids!$A$2:$B$351,2)</f>
        <v>pAAV2/9</v>
      </c>
      <c r="F970" s="5005">
        <v>123</v>
      </c>
      <c r="G970" s="5006"/>
      <c r="H970" s="5186" t="str">
        <f>VLOOKUP(I970,plasmids!$A$2:$B$951,2)</f>
        <v>pscAAV-CAG-GFP-WPRE</v>
      </c>
      <c r="I970" s="5002">
        <v>786</v>
      </c>
      <c r="J970" s="5015"/>
      <c r="K970" s="5007"/>
      <c r="L970" s="5008"/>
      <c r="M970" s="5009">
        <v>42951</v>
      </c>
      <c r="N970" s="5010">
        <v>1005</v>
      </c>
      <c r="O970" s="5005"/>
      <c r="P970" s="5011"/>
      <c r="Q970" s="5187">
        <v>63300000000000</v>
      </c>
      <c r="R970" s="5188">
        <v>15400000000</v>
      </c>
      <c r="S970" s="5189">
        <f t="shared" si="13"/>
        <v>134820779220779.2</v>
      </c>
      <c r="T970" s="5002" t="s">
        <v>6023</v>
      </c>
      <c r="U970" s="5015"/>
      <c r="V970" s="5004">
        <f>759</f>
        <v>759</v>
      </c>
      <c r="W970" s="5016"/>
      <c r="X970" s="5017"/>
      <c r="Y970" s="5017"/>
      <c r="Z970" s="5017"/>
      <c r="AA970" s="5017"/>
      <c r="AB970" s="5017"/>
      <c r="AC970" s="5017"/>
      <c r="AD970" s="5017"/>
      <c r="AE970" s="5017"/>
      <c r="AF970" s="5017"/>
      <c r="AG970" s="5017"/>
      <c r="AH970" s="5017"/>
      <c r="AI970" s="5017"/>
      <c r="AJ970" s="5017"/>
      <c r="AK970" s="5017"/>
      <c r="AL970" s="5017"/>
      <c r="AM970" s="5017"/>
      <c r="AN970" s="5017"/>
      <c r="AO970" s="5017"/>
      <c r="AP970" s="5017"/>
      <c r="AQ970" s="5017"/>
      <c r="AR970" s="5017"/>
      <c r="AS970" s="5017"/>
      <c r="AT970" s="5017"/>
      <c r="AU970" s="5017"/>
      <c r="AV970" s="5017"/>
      <c r="AW970" s="5017"/>
      <c r="AX970" s="5017"/>
      <c r="AY970" s="5017"/>
      <c r="AZ970" s="5017"/>
      <c r="BA970" s="5017"/>
      <c r="BB970" s="5017"/>
      <c r="BC970" s="5017"/>
      <c r="BD970" s="5017"/>
      <c r="BE970" s="5017"/>
      <c r="BF970" s="5017"/>
      <c r="BG970" s="5017"/>
      <c r="BH970" s="5017"/>
      <c r="BI970" s="5017"/>
    </row>
    <row r="971" spans="1:61" ht="26.25" customHeight="1">
      <c r="A971" s="5168" t="s">
        <v>3891</v>
      </c>
      <c r="B971" s="5169" t="s">
        <v>6027</v>
      </c>
      <c r="C971" s="5170" t="s">
        <v>178</v>
      </c>
      <c r="D971" s="5169" t="s">
        <v>568</v>
      </c>
      <c r="E971" s="5171" t="str">
        <f>VLOOKUP(F971,plasmids!$A$2:$B$351,2)</f>
        <v>pAAV2/8</v>
      </c>
      <c r="F971" s="5169">
        <v>122</v>
      </c>
      <c r="G971" s="5172"/>
      <c r="H971" s="5172" t="str">
        <f>VLOOKUP(I971,plasmids!$A$2:$B$951,2)</f>
        <v>pssAAV- mCAR-Clm</v>
      </c>
      <c r="I971" s="5169">
        <v>457</v>
      </c>
      <c r="J971" s="5173"/>
      <c r="K971" s="5174"/>
      <c r="L971" s="5175"/>
      <c r="M971" s="5176">
        <v>42958</v>
      </c>
      <c r="N971" s="5177">
        <v>1006</v>
      </c>
      <c r="O971" s="5178"/>
      <c r="P971" s="5179"/>
      <c r="Q971" s="5180">
        <v>61100000000000</v>
      </c>
      <c r="R971" s="5181">
        <v>17900000000</v>
      </c>
      <c r="S971" s="5182">
        <f t="shared" si="13"/>
        <v>111959776536312.86</v>
      </c>
      <c r="T971" s="5190"/>
      <c r="U971" s="5173"/>
      <c r="V971" s="5183">
        <f>430</f>
        <v>430</v>
      </c>
      <c r="W971" s="5184"/>
      <c r="X971" s="5184"/>
      <c r="Y971" s="5184"/>
      <c r="Z971" s="5184"/>
      <c r="AA971" s="5184"/>
      <c r="AB971" s="5184"/>
      <c r="AC971" s="5184"/>
      <c r="AD971" s="5184"/>
      <c r="AE971" s="5184"/>
      <c r="AF971" s="5184"/>
      <c r="AG971" s="5184"/>
      <c r="AH971" s="5184"/>
      <c r="AI971" s="5184"/>
      <c r="AJ971" s="5184"/>
      <c r="AK971" s="5184"/>
      <c r="AL971" s="5184"/>
      <c r="AM971" s="5184"/>
      <c r="AN971" s="5184"/>
      <c r="AO971" s="5184"/>
      <c r="AP971" s="5184"/>
      <c r="AQ971" s="5184"/>
      <c r="AR971" s="5184"/>
      <c r="AS971" s="5184"/>
      <c r="AT971" s="5184"/>
      <c r="AU971" s="5184"/>
      <c r="AV971" s="5184"/>
      <c r="AW971" s="5184"/>
      <c r="AX971" s="5184"/>
      <c r="AY971" s="5184"/>
      <c r="AZ971" s="5184"/>
      <c r="BA971" s="5184"/>
      <c r="BB971" s="5184"/>
      <c r="BC971" s="5184"/>
      <c r="BD971" s="5184"/>
      <c r="BE971" s="5184"/>
      <c r="BF971" s="5184"/>
      <c r="BG971" s="5184"/>
      <c r="BH971" s="5184"/>
      <c r="BI971" s="5184"/>
    </row>
    <row r="972" spans="1:61" ht="24.75" customHeight="1">
      <c r="A972" s="5002" t="s">
        <v>6004</v>
      </c>
      <c r="B972" s="5002" t="s">
        <v>6031</v>
      </c>
      <c r="C972" s="5003" t="s">
        <v>178</v>
      </c>
      <c r="D972" s="5002" t="s">
        <v>6032</v>
      </c>
      <c r="E972" s="5185" t="str">
        <f>VLOOKUP(F972,plasmids!$A$2:$B$351,2)</f>
        <v>AAV2-7m8</v>
      </c>
      <c r="F972" s="5005">
        <v>178</v>
      </c>
      <c r="G972" s="5006"/>
      <c r="H972" s="5186" t="str">
        <f>VLOOKUP(I972,plasmids!$A$2:$B$951,2)</f>
        <v>pscAAV-CAG-GFP-WPRE</v>
      </c>
      <c r="I972" s="5002">
        <v>786</v>
      </c>
      <c r="J972" s="5015"/>
      <c r="K972" s="5007"/>
      <c r="L972" s="5008"/>
      <c r="M972" s="5191">
        <v>42958</v>
      </c>
      <c r="N972" s="5010">
        <v>1007</v>
      </c>
      <c r="O972" s="5005"/>
      <c r="P972" s="5011"/>
      <c r="Q972" s="5187">
        <v>527000000000</v>
      </c>
      <c r="R972" s="5188">
        <v>17900000000</v>
      </c>
      <c r="S972" s="5189">
        <f t="shared" si="13"/>
        <v>965675977653.63135</v>
      </c>
      <c r="T972" s="5002"/>
      <c r="U972" s="5015"/>
      <c r="V972" s="5004">
        <f>400</f>
        <v>400</v>
      </c>
      <c r="W972" s="5016"/>
      <c r="X972" s="5017"/>
      <c r="Y972" s="5017"/>
      <c r="Z972" s="5017"/>
      <c r="AA972" s="5017"/>
      <c r="AB972" s="5017"/>
      <c r="AC972" s="5017"/>
      <c r="AD972" s="5017"/>
      <c r="AE972" s="5017"/>
      <c r="AF972" s="5017"/>
      <c r="AG972" s="5017"/>
      <c r="AH972" s="5017"/>
      <c r="AI972" s="5017"/>
      <c r="AJ972" s="5017"/>
      <c r="AK972" s="5017"/>
      <c r="AL972" s="5017"/>
      <c r="AM972" s="5017"/>
      <c r="AN972" s="5017"/>
      <c r="AO972" s="5017"/>
      <c r="AP972" s="5017"/>
      <c r="AQ972" s="5017"/>
      <c r="AR972" s="5017"/>
      <c r="AS972" s="5017"/>
      <c r="AT972" s="5017"/>
      <c r="AU972" s="5017"/>
      <c r="AV972" s="5017"/>
      <c r="AW972" s="5017"/>
      <c r="AX972" s="5017"/>
      <c r="AY972" s="5017"/>
      <c r="AZ972" s="5017"/>
      <c r="BA972" s="5017"/>
      <c r="BB972" s="5017"/>
      <c r="BC972" s="5017"/>
      <c r="BD972" s="5017"/>
      <c r="BE972" s="5017"/>
      <c r="BF972" s="5017"/>
      <c r="BG972" s="5017"/>
      <c r="BH972" s="5017"/>
      <c r="BI972" s="5017"/>
    </row>
    <row r="973" spans="1:61" ht="24.75" customHeight="1">
      <c r="A973" s="5002" t="s">
        <v>6004</v>
      </c>
      <c r="B973" s="5002" t="s">
        <v>6031</v>
      </c>
      <c r="C973" s="5003" t="s">
        <v>178</v>
      </c>
      <c r="D973" s="5002" t="s">
        <v>6032</v>
      </c>
      <c r="E973" s="5004" t="s">
        <v>5970</v>
      </c>
      <c r="F973" s="5005" t="s">
        <v>5971</v>
      </c>
      <c r="G973" s="5006"/>
      <c r="H973" s="5186" t="str">
        <f>VLOOKUP(I973,plasmids!$A$2:$B$951,2)</f>
        <v>pscAAV-CAG-GFP-WPRE</v>
      </c>
      <c r="I973" s="5002">
        <v>786</v>
      </c>
      <c r="J973" s="5015"/>
      <c r="K973" s="5007"/>
      <c r="L973" s="5008"/>
      <c r="M973" s="5191">
        <v>42958</v>
      </c>
      <c r="N973" s="5010">
        <v>1008</v>
      </c>
      <c r="O973" s="5005"/>
      <c r="P973" s="5011"/>
      <c r="Q973" s="5187">
        <v>110000000000</v>
      </c>
      <c r="R973" s="5188">
        <v>17900000000</v>
      </c>
      <c r="S973" s="5189">
        <f t="shared" si="13"/>
        <v>201564245810.05588</v>
      </c>
      <c r="T973" s="5002"/>
      <c r="U973" s="5015"/>
      <c r="V973" s="5004">
        <f>530</f>
        <v>530</v>
      </c>
      <c r="W973" s="5016"/>
      <c r="X973" s="5017"/>
      <c r="Y973" s="5017"/>
      <c r="Z973" s="5017"/>
      <c r="AA973" s="5017"/>
      <c r="AB973" s="5017"/>
      <c r="AC973" s="5017"/>
      <c r="AD973" s="5017"/>
      <c r="AE973" s="5017"/>
      <c r="AF973" s="5017"/>
      <c r="AG973" s="5017"/>
      <c r="AH973" s="5017"/>
      <c r="AI973" s="5017"/>
      <c r="AJ973" s="5017"/>
      <c r="AK973" s="5017"/>
      <c r="AL973" s="5017"/>
      <c r="AM973" s="5017"/>
      <c r="AN973" s="5017"/>
      <c r="AO973" s="5017"/>
      <c r="AP973" s="5017"/>
      <c r="AQ973" s="5017"/>
      <c r="AR973" s="5017"/>
      <c r="AS973" s="5017"/>
      <c r="AT973" s="5017"/>
      <c r="AU973" s="5017"/>
      <c r="AV973" s="5017"/>
      <c r="AW973" s="5017"/>
      <c r="AX973" s="5017"/>
      <c r="AY973" s="5017"/>
      <c r="AZ973" s="5017"/>
      <c r="BA973" s="5017"/>
      <c r="BB973" s="5017"/>
      <c r="BC973" s="5017"/>
      <c r="BD973" s="5017"/>
      <c r="BE973" s="5017"/>
      <c r="BF973" s="5017"/>
      <c r="BG973" s="5017"/>
      <c r="BH973" s="5017"/>
      <c r="BI973" s="5017"/>
    </row>
    <row r="974" spans="1:61" ht="24.75" customHeight="1">
      <c r="A974" s="5002" t="s">
        <v>6004</v>
      </c>
      <c r="B974" s="5002" t="s">
        <v>6031</v>
      </c>
      <c r="C974" s="5003" t="s">
        <v>178</v>
      </c>
      <c r="D974" s="5002" t="s">
        <v>6032</v>
      </c>
      <c r="E974" s="5004" t="s">
        <v>5970</v>
      </c>
      <c r="F974" s="5005" t="s">
        <v>5971</v>
      </c>
      <c r="G974" s="5006"/>
      <c r="H974" s="5186" t="str">
        <f>VLOOKUP(I974,plasmids!$A$2:$B$951,2)</f>
        <v>pTR-ssCMV-GFP-WPRE-bghpA</v>
      </c>
      <c r="I974" s="5002">
        <v>192</v>
      </c>
      <c r="J974" s="5002"/>
      <c r="K974" s="5007"/>
      <c r="L974" s="5008"/>
      <c r="M974" s="5191">
        <v>42958</v>
      </c>
      <c r="N974" s="5010">
        <v>1009</v>
      </c>
      <c r="O974" s="5005"/>
      <c r="P974" s="5011"/>
      <c r="Q974" s="5187">
        <v>1950000000000</v>
      </c>
      <c r="R974" s="5188">
        <v>17900000000</v>
      </c>
      <c r="S974" s="5189">
        <f t="shared" si="13"/>
        <v>3573184357541.8994</v>
      </c>
      <c r="T974" s="5002"/>
      <c r="U974" s="5015"/>
      <c r="V974" s="5004">
        <f>520</f>
        <v>520</v>
      </c>
      <c r="W974" s="5016"/>
      <c r="X974" s="5017"/>
      <c r="Y974" s="5017"/>
      <c r="Z974" s="5017"/>
      <c r="AA974" s="5017"/>
      <c r="AB974" s="5017"/>
      <c r="AC974" s="5017"/>
      <c r="AD974" s="5017"/>
      <c r="AE974" s="5017"/>
      <c r="AF974" s="5017"/>
      <c r="AG974" s="5017"/>
      <c r="AH974" s="5017"/>
      <c r="AI974" s="5017"/>
      <c r="AJ974" s="5017"/>
      <c r="AK974" s="5017"/>
      <c r="AL974" s="5017"/>
      <c r="AM974" s="5017"/>
      <c r="AN974" s="5017"/>
      <c r="AO974" s="5017"/>
      <c r="AP974" s="5017"/>
      <c r="AQ974" s="5017"/>
      <c r="AR974" s="5017"/>
      <c r="AS974" s="5017"/>
      <c r="AT974" s="5017"/>
      <c r="AU974" s="5017"/>
      <c r="AV974" s="5017"/>
      <c r="AW974" s="5017"/>
      <c r="AX974" s="5017"/>
      <c r="AY974" s="5017"/>
      <c r="AZ974" s="5017"/>
      <c r="BA974" s="5017"/>
      <c r="BB974" s="5017"/>
      <c r="BC974" s="5017"/>
      <c r="BD974" s="5017"/>
      <c r="BE974" s="5017"/>
      <c r="BF974" s="5017"/>
      <c r="BG974" s="5017"/>
      <c r="BH974" s="5017"/>
      <c r="BI974" s="5017"/>
    </row>
    <row r="975" spans="1:61" ht="24.75" customHeight="1">
      <c r="A975" s="4940" t="s">
        <v>1343</v>
      </c>
      <c r="B975" s="4940" t="s">
        <v>6029</v>
      </c>
      <c r="C975" s="4940" t="s">
        <v>6030</v>
      </c>
      <c r="D975" s="4940" t="s">
        <v>5982</v>
      </c>
      <c r="E975" s="4940" t="str">
        <f>VLOOKUP(F975,plasmids!$A$2:$B$351,2)</f>
        <v>AAV2-7m8</v>
      </c>
      <c r="F975" s="4940">
        <v>178</v>
      </c>
      <c r="G975" s="4940"/>
      <c r="H975" s="4940" t="str">
        <f>VLOOKUP(I975,plasmids!$A$2:$B$351,2)</f>
        <v>sc-CAG-GFP</v>
      </c>
      <c r="I975" s="4940">
        <v>120</v>
      </c>
      <c r="J975" s="4940"/>
      <c r="K975" s="4940"/>
      <c r="L975" s="4940"/>
      <c r="M975" s="5099">
        <v>42965</v>
      </c>
      <c r="N975" s="5088">
        <v>1010</v>
      </c>
      <c r="O975" s="4940"/>
      <c r="P975" s="4940"/>
      <c r="Q975" s="5089">
        <v>2740000000000</v>
      </c>
      <c r="R975" s="5089">
        <v>16600000000</v>
      </c>
      <c r="S975" s="5089">
        <f t="shared" si="13"/>
        <v>5413975903614.458</v>
      </c>
      <c r="T975" s="4940"/>
      <c r="U975" s="4940"/>
      <c r="V975" s="4940">
        <f>600</f>
        <v>600</v>
      </c>
      <c r="W975" s="4940" t="s">
        <v>2812</v>
      </c>
      <c r="X975" s="4940"/>
      <c r="Y975" s="4940"/>
      <c r="Z975" s="4940"/>
      <c r="AA975" s="4940"/>
      <c r="AB975" s="4940"/>
      <c r="AC975" s="4940"/>
      <c r="AD975" s="4940"/>
      <c r="AE975" s="4940"/>
      <c r="AF975" s="4940"/>
      <c r="AG975" s="4940"/>
      <c r="AH975" s="4940"/>
      <c r="AI975" s="4940"/>
      <c r="AJ975" s="4940"/>
      <c r="AK975" s="4940"/>
      <c r="AL975" s="4940"/>
      <c r="AM975" s="4940"/>
      <c r="AN975" s="4940"/>
      <c r="AO975" s="4940"/>
      <c r="AP975" s="4940"/>
      <c r="AQ975" s="4940"/>
      <c r="AR975" s="4940"/>
      <c r="AS975" s="4940"/>
      <c r="AT975" s="4940"/>
      <c r="AU975" s="4940"/>
      <c r="AV975" s="4940"/>
      <c r="AW975" s="4940"/>
      <c r="AX975" s="4940"/>
      <c r="AY975" s="4940"/>
      <c r="AZ975" s="4940"/>
      <c r="BA975" s="4940"/>
      <c r="BB975" s="4940"/>
      <c r="BC975" s="4940"/>
      <c r="BD975" s="4940"/>
      <c r="BE975" s="4940"/>
      <c r="BF975" s="4940"/>
      <c r="BG975" s="4940"/>
      <c r="BH975" s="4940"/>
      <c r="BI975" s="4940"/>
    </row>
    <row r="976" spans="1:61" ht="24.75" customHeight="1">
      <c r="A976" s="4940" t="s">
        <v>1343</v>
      </c>
      <c r="B976" s="4940" t="s">
        <v>6029</v>
      </c>
      <c r="C976" s="4940" t="s">
        <v>6030</v>
      </c>
      <c r="D976" s="4940" t="s">
        <v>5982</v>
      </c>
      <c r="E976" s="4940" t="str">
        <f>VLOOKUP(F976,plasmids!$A$2:$B$351,2)</f>
        <v>pAAV2/8</v>
      </c>
      <c r="F976" s="4940">
        <v>122</v>
      </c>
      <c r="G976" s="4940"/>
      <c r="H976" s="4940" t="str">
        <f>VLOOKUP(I976,plasmids!$A$2:$B$351,2)</f>
        <v>sc-CAG-GFP</v>
      </c>
      <c r="I976" s="4940">
        <v>120</v>
      </c>
      <c r="J976" s="4940"/>
      <c r="K976" s="4940"/>
      <c r="L976" s="4940"/>
      <c r="M976" s="5099">
        <v>42965</v>
      </c>
      <c r="N976" s="5088">
        <v>1011</v>
      </c>
      <c r="O976" s="4940"/>
      <c r="P976" s="4940"/>
      <c r="Q976" s="5089">
        <v>151000000000000</v>
      </c>
      <c r="R976" s="5089">
        <v>16600000000</v>
      </c>
      <c r="S976" s="5089">
        <f t="shared" si="13"/>
        <v>298361445783132.5</v>
      </c>
      <c r="T976" s="4940"/>
      <c r="U976" s="4940"/>
      <c r="V976" s="4940">
        <f>674</f>
        <v>674</v>
      </c>
      <c r="W976" s="4940" t="s">
        <v>2812</v>
      </c>
      <c r="X976" s="4940"/>
      <c r="Y976" s="4940"/>
      <c r="Z976" s="4940"/>
      <c r="AA976" s="4940"/>
      <c r="AB976" s="4940"/>
      <c r="AC976" s="4940"/>
      <c r="AD976" s="4940"/>
      <c r="AE976" s="4940"/>
      <c r="AF976" s="4940"/>
      <c r="AG976" s="4940"/>
      <c r="AH976" s="4940"/>
      <c r="AI976" s="4940"/>
      <c r="AJ976" s="4940"/>
      <c r="AK976" s="4940"/>
      <c r="AL976" s="4940"/>
      <c r="AM976" s="4940"/>
      <c r="AN976" s="4940"/>
      <c r="AO976" s="4940"/>
      <c r="AP976" s="4940"/>
      <c r="AQ976" s="4940"/>
      <c r="AR976" s="4940"/>
      <c r="AS976" s="4940"/>
      <c r="AT976" s="4940"/>
      <c r="AU976" s="4940"/>
      <c r="AV976" s="4940"/>
      <c r="AW976" s="4940"/>
      <c r="AX976" s="4940"/>
      <c r="AY976" s="4940"/>
      <c r="AZ976" s="4940"/>
      <c r="BA976" s="4940"/>
      <c r="BB976" s="4940"/>
      <c r="BC976" s="4940"/>
      <c r="BD976" s="4940"/>
      <c r="BE976" s="4940"/>
      <c r="BF976" s="4940"/>
      <c r="BG976" s="4940"/>
      <c r="BH976" s="4940"/>
      <c r="BI976" s="4940"/>
    </row>
    <row r="977" spans="1:61" ht="24.75" customHeight="1">
      <c r="A977" s="4940" t="s">
        <v>1343</v>
      </c>
      <c r="B977" s="4940" t="s">
        <v>6029</v>
      </c>
      <c r="C977" s="4940" t="s">
        <v>6030</v>
      </c>
      <c r="D977" s="4940" t="s">
        <v>5982</v>
      </c>
      <c r="E977" s="4940" t="str">
        <f>VLOOKUP(F977,plasmids!$A$2:$B$351,2)</f>
        <v>AAV9</v>
      </c>
      <c r="F977" s="4940">
        <v>166</v>
      </c>
      <c r="G977" s="4940"/>
      <c r="H977" s="4940" t="str">
        <f>VLOOKUP(I977,plasmids!$A$2:$B$351,2)</f>
        <v>sc-CAG-GFP</v>
      </c>
      <c r="I977" s="4940">
        <v>120</v>
      </c>
      <c r="J977" s="4940"/>
      <c r="K977" s="4940"/>
      <c r="L977" s="4940"/>
      <c r="M977" s="5099">
        <v>42965</v>
      </c>
      <c r="N977" s="5088">
        <v>1012</v>
      </c>
      <c r="O977" s="4940"/>
      <c r="P977" s="4940"/>
      <c r="Q977" s="5089">
        <v>80900000000000</v>
      </c>
      <c r="R977" s="5089">
        <v>16600000000</v>
      </c>
      <c r="S977" s="5089">
        <f t="shared" si="13"/>
        <v>159850602409638.56</v>
      </c>
      <c r="T977" s="4940"/>
      <c r="U977" s="4940"/>
      <c r="V977" s="4940">
        <f>720</f>
        <v>720</v>
      </c>
      <c r="W977" s="4940" t="s">
        <v>2812</v>
      </c>
      <c r="X977" s="4940"/>
      <c r="Y977" s="4940"/>
      <c r="Z977" s="4940"/>
      <c r="AA977" s="4940"/>
      <c r="AB977" s="4940"/>
      <c r="AC977" s="4940"/>
      <c r="AD977" s="4940"/>
      <c r="AE977" s="4940"/>
      <c r="AF977" s="4940"/>
      <c r="AG977" s="4940"/>
      <c r="AH977" s="4940"/>
      <c r="AI977" s="4940"/>
      <c r="AJ977" s="4940"/>
      <c r="AK977" s="4940"/>
      <c r="AL977" s="4940"/>
      <c r="AM977" s="4940"/>
      <c r="AN977" s="4940"/>
      <c r="AO977" s="4940"/>
      <c r="AP977" s="4940"/>
      <c r="AQ977" s="4940"/>
      <c r="AR977" s="4940"/>
      <c r="AS977" s="4940"/>
      <c r="AT977" s="4940"/>
      <c r="AU977" s="4940"/>
      <c r="AV977" s="4940"/>
      <c r="AW977" s="4940"/>
      <c r="AX977" s="4940"/>
      <c r="AY977" s="4940"/>
      <c r="AZ977" s="4940"/>
      <c r="BA977" s="4940"/>
      <c r="BB977" s="4940"/>
      <c r="BC977" s="4940"/>
      <c r="BD977" s="4940"/>
      <c r="BE977" s="4940"/>
      <c r="BF977" s="4940"/>
      <c r="BG977" s="4940"/>
      <c r="BH977" s="4940"/>
      <c r="BI977" s="4940"/>
    </row>
    <row r="978" spans="1:61" ht="24.75" customHeight="1">
      <c r="A978" s="4940" t="s">
        <v>1343</v>
      </c>
      <c r="B978" s="4940" t="s">
        <v>6029</v>
      </c>
      <c r="C978" s="4940" t="s">
        <v>6030</v>
      </c>
      <c r="D978" s="4940" t="s">
        <v>5982</v>
      </c>
      <c r="E978" s="4940" t="str">
        <f>VLOOKUP(F978,plasmids!$A$2:$B$351,2)</f>
        <v>pXR5</v>
      </c>
      <c r="F978" s="4940">
        <v>154</v>
      </c>
      <c r="G978" s="4940"/>
      <c r="H978" s="4940" t="str">
        <f>VLOOKUP(I978,plasmids!$A$2:$B$351,2)</f>
        <v>sc-CAG-GFP</v>
      </c>
      <c r="I978" s="4940">
        <v>120</v>
      </c>
      <c r="J978" s="4940"/>
      <c r="K978" s="4940"/>
      <c r="L978" s="4940"/>
      <c r="M978" s="5099">
        <v>42965</v>
      </c>
      <c r="N978" s="5088">
        <v>1013</v>
      </c>
      <c r="O978" s="4940"/>
      <c r="P978" s="4940"/>
      <c r="Q978" s="5089">
        <v>25600000000000</v>
      </c>
      <c r="R978" s="5089">
        <v>16600000000</v>
      </c>
      <c r="S978" s="5089">
        <f t="shared" si="13"/>
        <v>50583132530120.477</v>
      </c>
      <c r="T978" s="4940"/>
      <c r="U978" s="4940"/>
      <c r="V978" s="4940">
        <f>684</f>
        <v>684</v>
      </c>
      <c r="W978" s="4940" t="s">
        <v>2812</v>
      </c>
      <c r="X978" s="4940"/>
      <c r="Y978" s="4940"/>
      <c r="Z978" s="4940"/>
      <c r="AA978" s="4940"/>
      <c r="AB978" s="4940"/>
      <c r="AC978" s="4940"/>
      <c r="AD978" s="4940"/>
      <c r="AE978" s="4940"/>
      <c r="AF978" s="4940"/>
      <c r="AG978" s="4940"/>
      <c r="AH978" s="4940"/>
      <c r="AI978" s="4940"/>
      <c r="AJ978" s="4940"/>
      <c r="AK978" s="4940"/>
      <c r="AL978" s="4940"/>
      <c r="AM978" s="4940"/>
      <c r="AN978" s="4940"/>
      <c r="AO978" s="4940"/>
      <c r="AP978" s="4940"/>
      <c r="AQ978" s="4940"/>
      <c r="AR978" s="4940"/>
      <c r="AS978" s="4940"/>
      <c r="AT978" s="4940"/>
      <c r="AU978" s="4940"/>
      <c r="AV978" s="4940"/>
      <c r="AW978" s="4940"/>
      <c r="AX978" s="4940"/>
      <c r="AY978" s="4940"/>
      <c r="AZ978" s="4940"/>
      <c r="BA978" s="4940"/>
      <c r="BB978" s="4940"/>
      <c r="BC978" s="4940"/>
      <c r="BD978" s="4940"/>
      <c r="BE978" s="4940"/>
      <c r="BF978" s="4940"/>
      <c r="BG978" s="4940"/>
      <c r="BH978" s="4940"/>
      <c r="BI978" s="4940"/>
    </row>
    <row r="979" spans="1:61" ht="24.75" customHeight="1">
      <c r="A979" s="3375" t="s">
        <v>707</v>
      </c>
      <c r="B979" s="3375" t="s">
        <v>6033</v>
      </c>
      <c r="C979" s="3551" t="s">
        <v>1967</v>
      </c>
      <c r="D979" s="3375" t="s">
        <v>4356</v>
      </c>
      <c r="E979" s="5192" t="str">
        <f>VLOOKUP(F979,plasmids!$A$2:$B$351,2)</f>
        <v>AAV2</v>
      </c>
      <c r="F979" s="2655">
        <v>140</v>
      </c>
      <c r="G979" s="2596"/>
      <c r="H979" s="5192" t="str">
        <f>VLOOKUP(I979,plasmids!$A$2:$B$351,2)</f>
        <v>pssAAV-SNCG-GFP-WPRE</v>
      </c>
      <c r="I979" s="3375">
        <v>268</v>
      </c>
      <c r="J979" s="3375" t="s">
        <v>6034</v>
      </c>
      <c r="K979" s="3147"/>
      <c r="L979" s="2785"/>
      <c r="M979" s="2695">
        <v>42986</v>
      </c>
      <c r="N979" s="2649"/>
      <c r="O979" s="2655"/>
      <c r="P979" s="2651"/>
      <c r="Q979" s="3440"/>
      <c r="R979" s="3553"/>
      <c r="S979" s="2307" t="e">
        <f t="shared" si="13"/>
        <v>#DIV/0!</v>
      </c>
      <c r="T979" s="3375"/>
      <c r="U979" s="2648"/>
      <c r="V979" s="3554"/>
      <c r="W979" s="3150"/>
      <c r="X979" s="2656"/>
      <c r="Y979" s="2656"/>
      <c r="Z979" s="2656"/>
      <c r="AA979" s="2656"/>
      <c r="AB979" s="2656"/>
      <c r="AC979" s="2656"/>
      <c r="AD979" s="2656"/>
      <c r="AE979" s="2656"/>
      <c r="AF979" s="2656"/>
      <c r="AG979" s="2656"/>
      <c r="AH979" s="2656"/>
      <c r="AI979" s="2656"/>
      <c r="AJ979" s="2656"/>
      <c r="AK979" s="2656"/>
      <c r="AL979" s="2656"/>
      <c r="AM979" s="2656"/>
      <c r="AN979" s="2656"/>
      <c r="AO979" s="2656"/>
      <c r="AP979" s="2656"/>
      <c r="AQ979" s="2656"/>
      <c r="AR979" s="2656"/>
      <c r="AS979" s="2656"/>
      <c r="AT979" s="2656"/>
      <c r="AU979" s="2656"/>
      <c r="AV979" s="2656"/>
      <c r="AW979" s="2656"/>
      <c r="AX979" s="2656"/>
      <c r="AY979" s="2656"/>
      <c r="AZ979" s="2656"/>
      <c r="BA979" s="2656"/>
      <c r="BB979" s="2656"/>
      <c r="BC979" s="2656"/>
      <c r="BD979" s="2656"/>
      <c r="BE979" s="2656"/>
      <c r="BF979" s="2656"/>
      <c r="BG979" s="2656"/>
      <c r="BH979" s="2656"/>
      <c r="BI979" s="2656"/>
    </row>
    <row r="980" spans="1:61" ht="24.75" customHeight="1">
      <c r="A980" s="3375" t="s">
        <v>707</v>
      </c>
      <c r="B980" s="3375" t="s">
        <v>6033</v>
      </c>
      <c r="C980" s="3551" t="s">
        <v>178</v>
      </c>
      <c r="D980" s="3375" t="s">
        <v>1088</v>
      </c>
      <c r="E980" s="5192" t="str">
        <f>VLOOKUP(F980,plasmids!$A$2:$B$351,2)</f>
        <v>AAV2-7m8</v>
      </c>
      <c r="F980" s="2655">
        <v>178</v>
      </c>
      <c r="G980" s="2596"/>
      <c r="H980" s="5192" t="str">
        <f>VLOOKUP(I980,plasmids!$A$2:$B$351,2)</f>
        <v>pTR-hSYN-GFP-WPRE</v>
      </c>
      <c r="I980" s="3375">
        <v>201</v>
      </c>
      <c r="J980" s="2648"/>
      <c r="K980" s="3147"/>
      <c r="L980" s="2785"/>
      <c r="M980" s="2695">
        <v>42986</v>
      </c>
      <c r="N980" s="2649"/>
      <c r="O980" s="2655"/>
      <c r="P980" s="2651"/>
      <c r="Q980" s="3440"/>
      <c r="R980" s="3553"/>
      <c r="S980" s="2307" t="e">
        <f t="shared" si="13"/>
        <v>#DIV/0!</v>
      </c>
      <c r="T980" s="3375"/>
      <c r="U980" s="2648"/>
      <c r="V980" s="3554"/>
      <c r="W980" s="3150"/>
      <c r="X980" s="2656"/>
      <c r="Y980" s="2656"/>
      <c r="Z980" s="2656"/>
      <c r="AA980" s="2656"/>
      <c r="AB980" s="2656"/>
      <c r="AC980" s="2656"/>
      <c r="AD980" s="2656"/>
      <c r="AE980" s="2656"/>
      <c r="AF980" s="2656"/>
      <c r="AG980" s="2656"/>
      <c r="AH980" s="2656"/>
      <c r="AI980" s="2656"/>
      <c r="AJ980" s="2656"/>
      <c r="AK980" s="2656"/>
      <c r="AL980" s="2656"/>
      <c r="AM980" s="2656"/>
      <c r="AN980" s="2656"/>
      <c r="AO980" s="2656"/>
      <c r="AP980" s="2656"/>
      <c r="AQ980" s="2656"/>
      <c r="AR980" s="2656"/>
      <c r="AS980" s="2656"/>
      <c r="AT980" s="2656"/>
      <c r="AU980" s="2656"/>
      <c r="AV980" s="2656"/>
      <c r="AW980" s="2656"/>
      <c r="AX980" s="2656"/>
      <c r="AY980" s="2656"/>
      <c r="AZ980" s="2656"/>
      <c r="BA980" s="2656"/>
      <c r="BB980" s="2656"/>
      <c r="BC980" s="2656"/>
      <c r="BD980" s="2656"/>
      <c r="BE980" s="2656"/>
      <c r="BF980" s="2656"/>
      <c r="BG980" s="2656"/>
      <c r="BH980" s="2656"/>
      <c r="BI980" s="2656"/>
    </row>
    <row r="981" spans="1:61" ht="24.75" customHeight="1">
      <c r="A981" s="5193" t="s">
        <v>1343</v>
      </c>
      <c r="B981" s="5193" t="s">
        <v>5933</v>
      </c>
      <c r="C981" s="5194" t="s">
        <v>1236</v>
      </c>
      <c r="D981" s="5193" t="s">
        <v>5655</v>
      </c>
      <c r="E981" s="5195" t="str">
        <f>VLOOKUP(F981,plasmids!$A$2:$B$891,2)</f>
        <v>AAV2-7m8</v>
      </c>
      <c r="F981" s="5196">
        <v>178</v>
      </c>
      <c r="G981" s="5197"/>
      <c r="H981" s="5093" t="str">
        <f>VLOOKUP(I981,plasmids!$A$2:$B$951,2)</f>
        <v>pAAV-CAG-hRdCVFs</v>
      </c>
      <c r="I981" s="5193">
        <v>718</v>
      </c>
      <c r="J981" s="5198"/>
      <c r="K981" s="5199"/>
      <c r="L981" s="5200"/>
      <c r="M981" s="5201" t="s">
        <v>6035</v>
      </c>
      <c r="N981" s="5202"/>
      <c r="O981" s="5203"/>
      <c r="P981" s="5204"/>
      <c r="Q981" s="5205"/>
      <c r="R981" s="5206"/>
      <c r="S981" s="5206" t="e">
        <f t="shared" si="13"/>
        <v>#DIV/0!</v>
      </c>
      <c r="T981" s="5193"/>
      <c r="U981" s="5198"/>
      <c r="V981" s="5207"/>
      <c r="W981" s="5193"/>
      <c r="X981" s="5198"/>
      <c r="Y981" s="5198"/>
      <c r="Z981" s="5198"/>
      <c r="AA981" s="5198"/>
      <c r="AB981" s="5198"/>
      <c r="AC981" s="5198"/>
      <c r="AD981" s="5198"/>
      <c r="AE981" s="5198"/>
      <c r="AF981" s="5198"/>
      <c r="AG981" s="5198"/>
      <c r="AH981" s="5198"/>
      <c r="AI981" s="5198"/>
      <c r="AJ981" s="5198"/>
      <c r="AK981" s="5198"/>
      <c r="AL981" s="5198"/>
      <c r="AM981" s="5198"/>
      <c r="AN981" s="5198"/>
      <c r="AO981" s="5198"/>
      <c r="AP981" s="5198"/>
      <c r="AQ981" s="5198"/>
      <c r="AR981" s="5198"/>
      <c r="AS981" s="5198"/>
      <c r="AT981" s="5198"/>
      <c r="AU981" s="5198"/>
      <c r="AV981" s="5198"/>
      <c r="AW981" s="5198"/>
      <c r="AX981" s="5198"/>
      <c r="AY981" s="5198"/>
      <c r="AZ981" s="5198"/>
      <c r="BA981" s="5198"/>
      <c r="BB981" s="5198"/>
      <c r="BC981" s="5198"/>
      <c r="BD981" s="5198"/>
      <c r="BE981" s="5198"/>
      <c r="BF981" s="5198"/>
      <c r="BG981" s="5198"/>
      <c r="BH981" s="5198"/>
      <c r="BI981" s="5198"/>
    </row>
    <row r="982" spans="1:61" ht="24.75" customHeight="1">
      <c r="A982" s="3375" t="s">
        <v>707</v>
      </c>
      <c r="B982" s="3375" t="s">
        <v>6033</v>
      </c>
      <c r="C982" s="3551" t="s">
        <v>178</v>
      </c>
      <c r="D982" s="3375" t="s">
        <v>4486</v>
      </c>
      <c r="E982" s="5192" t="str">
        <f>VLOOKUP(F982,plasmids!$A$2:$B$351,2)</f>
        <v>AAV2-7m8</v>
      </c>
      <c r="F982" s="2655">
        <v>178</v>
      </c>
      <c r="G982" s="2596"/>
      <c r="H982" s="5192" t="str">
        <f>VLOOKUP(I982,plasmids!$A$2:$B$891,2)</f>
        <v>pssAAV-Pan short-tdTomato</v>
      </c>
      <c r="I982" s="3375">
        <v>763</v>
      </c>
      <c r="J982" s="2648"/>
      <c r="K982" s="3147"/>
      <c r="L982" s="2785"/>
      <c r="M982" s="3375" t="s">
        <v>6035</v>
      </c>
      <c r="N982" s="2649"/>
      <c r="O982" s="2655"/>
      <c r="P982" s="2651"/>
      <c r="Q982" s="3440"/>
      <c r="R982" s="3553"/>
      <c r="S982" s="2307" t="e">
        <v>#DIV/0!</v>
      </c>
      <c r="T982" s="3375"/>
      <c r="U982" s="2648"/>
      <c r="V982" s="3554"/>
      <c r="W982" s="3150"/>
      <c r="X982" s="2656"/>
      <c r="Y982" s="2656"/>
      <c r="Z982" s="2656"/>
      <c r="AA982" s="2656"/>
      <c r="AB982" s="2656"/>
      <c r="AC982" s="2656"/>
      <c r="AD982" s="2656"/>
      <c r="AE982" s="2656"/>
      <c r="AF982" s="2656"/>
      <c r="AG982" s="2656"/>
      <c r="AH982" s="2656"/>
      <c r="AI982" s="2656"/>
      <c r="AJ982" s="2656"/>
      <c r="AK982" s="2656"/>
      <c r="AL982" s="2656"/>
      <c r="AM982" s="2656"/>
      <c r="AN982" s="2656"/>
      <c r="AO982" s="2656"/>
      <c r="AP982" s="2656"/>
      <c r="AQ982" s="2656"/>
      <c r="AR982" s="2656"/>
      <c r="AS982" s="2656"/>
      <c r="AT982" s="2656"/>
      <c r="AU982" s="2656"/>
      <c r="AV982" s="2656"/>
      <c r="AW982" s="2656"/>
      <c r="AX982" s="2656"/>
      <c r="AY982" s="2656"/>
      <c r="AZ982" s="2656"/>
      <c r="BA982" s="2656"/>
      <c r="BB982" s="2656"/>
      <c r="BC982" s="2656"/>
      <c r="BD982" s="2656"/>
      <c r="BE982" s="2656"/>
      <c r="BF982" s="2656"/>
      <c r="BG982" s="2656"/>
      <c r="BH982" s="2656"/>
      <c r="BI982" s="2656"/>
    </row>
    <row r="983" spans="1:61" ht="24.75" customHeight="1">
      <c r="A983" s="3375" t="s">
        <v>707</v>
      </c>
      <c r="B983" s="3375" t="s">
        <v>6033</v>
      </c>
      <c r="C983" s="3551" t="s">
        <v>178</v>
      </c>
      <c r="D983" s="3375" t="s">
        <v>4486</v>
      </c>
      <c r="E983" s="5192" t="str">
        <f>VLOOKUP(F983,plasmids!$A$2:$B$351,2)</f>
        <v>AAV2-7m8</v>
      </c>
      <c r="F983" s="2655">
        <v>178</v>
      </c>
      <c r="G983" s="2596"/>
      <c r="H983" s="5192" t="str">
        <f>VLOOKUP(I983,plasmids!$A$2:$B$891,2)</f>
        <v>pssAAV-Pan long-tdTomato</v>
      </c>
      <c r="I983" s="3375">
        <v>764</v>
      </c>
      <c r="J983" s="2648"/>
      <c r="K983" s="3147"/>
      <c r="L983" s="2785"/>
      <c r="M983" s="3375" t="s">
        <v>6035</v>
      </c>
      <c r="N983" s="2649"/>
      <c r="O983" s="2655"/>
      <c r="P983" s="2651"/>
      <c r="Q983" s="3440"/>
      <c r="R983" s="3553"/>
      <c r="S983" s="2307" t="e">
        <v>#DIV/0!</v>
      </c>
      <c r="T983" s="3375"/>
      <c r="U983" s="2648"/>
      <c r="V983" s="3554"/>
      <c r="W983" s="3150"/>
      <c r="X983" s="2656"/>
      <c r="Y983" s="2656"/>
      <c r="Z983" s="2656"/>
      <c r="AA983" s="2656"/>
      <c r="AB983" s="2656"/>
      <c r="AC983" s="2656"/>
      <c r="AD983" s="2656"/>
      <c r="AE983" s="2656"/>
      <c r="AF983" s="2656"/>
      <c r="AG983" s="2656"/>
      <c r="AH983" s="2656"/>
      <c r="AI983" s="2656"/>
      <c r="AJ983" s="2656"/>
      <c r="AK983" s="2656"/>
      <c r="AL983" s="2656"/>
      <c r="AM983" s="2656"/>
      <c r="AN983" s="2656"/>
      <c r="AO983" s="2656"/>
      <c r="AP983" s="2656"/>
      <c r="AQ983" s="2656"/>
      <c r="AR983" s="2656"/>
      <c r="AS983" s="2656"/>
      <c r="AT983" s="2656"/>
      <c r="AU983" s="2656"/>
      <c r="AV983" s="2656"/>
      <c r="AW983" s="2656"/>
      <c r="AX983" s="2656"/>
      <c r="AY983" s="2656"/>
      <c r="AZ983" s="2656"/>
      <c r="BA983" s="2656"/>
      <c r="BB983" s="2656"/>
      <c r="BC983" s="2656"/>
      <c r="BD983" s="2656"/>
      <c r="BE983" s="2656"/>
      <c r="BF983" s="2656"/>
      <c r="BG983" s="2656"/>
      <c r="BH983" s="2656"/>
      <c r="BI983" s="2656"/>
    </row>
    <row r="984" spans="1:61" ht="24.75" customHeight="1">
      <c r="A984" s="5208" t="s">
        <v>6036</v>
      </c>
      <c r="B984" s="5208" t="s">
        <v>6037</v>
      </c>
      <c r="C984" s="5209" t="s">
        <v>6009</v>
      </c>
      <c r="D984" s="5208" t="s">
        <v>4486</v>
      </c>
      <c r="E984" s="5210" t="str">
        <f>VLOOKUP(F984,plasmids!$A$2:$B$891,2)</f>
        <v>AAV2-7m8</v>
      </c>
      <c r="F984" s="5211">
        <v>178</v>
      </c>
      <c r="G984" s="5212"/>
      <c r="H984" s="5213" t="str">
        <f>VLOOKUP(I984,plasmids!$A$2:$B$951,2)</f>
        <v>pAAV.hSynapsin.SF-iGluSnFR</v>
      </c>
      <c r="I984" s="5208">
        <v>766</v>
      </c>
      <c r="J984" s="5213"/>
      <c r="K984" s="5214"/>
      <c r="L984" s="5215"/>
      <c r="M984" s="5216">
        <v>43000</v>
      </c>
      <c r="N984" s="5217"/>
      <c r="O984" s="5218"/>
      <c r="P984" s="5219"/>
      <c r="Q984" s="5220"/>
      <c r="R984" s="5221"/>
      <c r="S984" s="5221" t="e">
        <f t="shared" ref="S984:S988" si="15">(32800000000/R984)*Q984</f>
        <v>#DIV/0!</v>
      </c>
      <c r="T984" s="5208"/>
      <c r="U984" s="5222"/>
      <c r="V984" s="5223"/>
      <c r="W984" s="5208"/>
      <c r="X984" s="5222"/>
      <c r="Y984" s="5222"/>
      <c r="Z984" s="5222"/>
      <c r="AA984" s="5222"/>
      <c r="AB984" s="5222"/>
      <c r="AC984" s="5222"/>
      <c r="AD984" s="5222"/>
      <c r="AE984" s="5222"/>
      <c r="AF984" s="5222"/>
      <c r="AG984" s="5222"/>
      <c r="AH984" s="5222"/>
      <c r="AI984" s="5222"/>
      <c r="AJ984" s="5222"/>
      <c r="AK984" s="5222"/>
      <c r="AL984" s="5222"/>
      <c r="AM984" s="5222"/>
      <c r="AN984" s="5222"/>
      <c r="AO984" s="5222"/>
      <c r="AP984" s="5222"/>
      <c r="AQ984" s="5222"/>
      <c r="AR984" s="5222"/>
      <c r="AS984" s="5222"/>
      <c r="AT984" s="5222"/>
      <c r="AU984" s="5222"/>
      <c r="AV984" s="5222"/>
      <c r="AW984" s="5222"/>
      <c r="AX984" s="5222"/>
      <c r="AY984" s="5222"/>
      <c r="AZ984" s="5222"/>
      <c r="BA984" s="5222"/>
      <c r="BB984" s="5222"/>
      <c r="BC984" s="5222"/>
      <c r="BD984" s="5222"/>
      <c r="BE984" s="5222"/>
      <c r="BF984" s="5222"/>
      <c r="BG984" s="5222"/>
      <c r="BH984" s="5222"/>
      <c r="BI984" s="5222"/>
    </row>
    <row r="985" spans="1:61" ht="24.75" customHeight="1">
      <c r="A985" s="5224" t="s">
        <v>1343</v>
      </c>
      <c r="B985" s="5225" t="s">
        <v>5933</v>
      </c>
      <c r="C985" s="5226" t="s">
        <v>5708</v>
      </c>
      <c r="D985" s="5225" t="s">
        <v>5957</v>
      </c>
      <c r="E985" s="5227" t="str">
        <f>VLOOKUP(F985,plasmids!$A$2:$B$891,2)</f>
        <v>AAV2-7m8</v>
      </c>
      <c r="F985" s="5228">
        <v>178</v>
      </c>
      <c r="G985" s="5229"/>
      <c r="H985" s="5230" t="str">
        <f>VLOOKUP(I985,plasmids!$A$2:$B$891,2)</f>
        <v>pTR-scCAG-GFP-2A-hRdCVFs</v>
      </c>
      <c r="I985" s="5224">
        <v>185</v>
      </c>
      <c r="J985" s="5231" t="s">
        <v>6038</v>
      </c>
      <c r="K985" s="5232"/>
      <c r="L985" s="5233"/>
      <c r="M985" s="5201" t="s">
        <v>6039</v>
      </c>
      <c r="N985" s="5234"/>
      <c r="O985" s="5235"/>
      <c r="P985" s="5236"/>
      <c r="Q985" s="5237"/>
      <c r="R985" s="5237"/>
      <c r="S985" s="5237" t="e">
        <f t="shared" si="15"/>
        <v>#DIV/0!</v>
      </c>
      <c r="T985" s="5224"/>
      <c r="U985" s="5238"/>
      <c r="V985" s="5227"/>
      <c r="W985" s="5224"/>
      <c r="X985" s="5238"/>
      <c r="Y985" s="5238"/>
      <c r="Z985" s="5238"/>
      <c r="AA985" s="5238"/>
      <c r="AB985" s="5238"/>
      <c r="AC985" s="5238"/>
      <c r="AD985" s="5238"/>
      <c r="AE985" s="5238"/>
      <c r="AF985" s="5238"/>
      <c r="AG985" s="5238"/>
      <c r="AH985" s="5238"/>
      <c r="AI985" s="5238"/>
      <c r="AJ985" s="5238"/>
      <c r="AK985" s="5238"/>
      <c r="AL985" s="5238"/>
      <c r="AM985" s="5238"/>
      <c r="AN985" s="5238"/>
      <c r="AO985" s="5238"/>
      <c r="AP985" s="5238"/>
      <c r="AQ985" s="5238"/>
      <c r="AR985" s="5238"/>
      <c r="AS985" s="5238"/>
      <c r="AT985" s="5238"/>
      <c r="AU985" s="5238"/>
      <c r="AV985" s="5238"/>
      <c r="AW985" s="5238"/>
      <c r="AX985" s="5238"/>
      <c r="AY985" s="5238"/>
      <c r="AZ985" s="5238"/>
      <c r="BA985" s="5238"/>
      <c r="BB985" s="5238"/>
      <c r="BC985" s="5238"/>
      <c r="BD985" s="5238"/>
      <c r="BE985" s="5238"/>
      <c r="BF985" s="5238"/>
      <c r="BG985" s="5238"/>
      <c r="BH985" s="5238"/>
      <c r="BI985" s="5238"/>
    </row>
    <row r="986" spans="1:61" ht="24.75" customHeight="1">
      <c r="A986" s="5201" t="s">
        <v>1343</v>
      </c>
      <c r="B986" s="5201" t="s">
        <v>6040</v>
      </c>
      <c r="C986" s="5239" t="s">
        <v>5829</v>
      </c>
      <c r="D986" s="5201" t="s">
        <v>5982</v>
      </c>
      <c r="E986" s="5227" t="str">
        <f>VLOOKUP(F986,plasmids!$A$2:$B$351,2)</f>
        <v>AAV2-7m8</v>
      </c>
      <c r="F986" s="5228">
        <v>178</v>
      </c>
      <c r="G986" s="5229"/>
      <c r="H986" s="5230" t="str">
        <f>VLOOKUP(I986,plasmids!$A$2:$B$891,2)</f>
        <v>pscAAV-CAG-SWO-GFP</v>
      </c>
      <c r="I986" s="5224">
        <v>541</v>
      </c>
      <c r="J986" s="5238"/>
      <c r="K986" s="5232"/>
      <c r="L986" s="5233"/>
      <c r="M986" s="5240">
        <v>43000</v>
      </c>
      <c r="N986" s="5234"/>
      <c r="O986" s="5235"/>
      <c r="P986" s="5236"/>
      <c r="Q986" s="5237"/>
      <c r="R986" s="5237"/>
      <c r="S986" s="5237" t="e">
        <f t="shared" si="15"/>
        <v>#DIV/0!</v>
      </c>
      <c r="T986" s="5224"/>
      <c r="U986" s="5238"/>
      <c r="V986" s="5227"/>
      <c r="W986" s="5224"/>
      <c r="X986" s="5238"/>
      <c r="Y986" s="5238"/>
      <c r="Z986" s="5238"/>
      <c r="AA986" s="5238"/>
      <c r="AB986" s="5238"/>
      <c r="AC986" s="5238"/>
      <c r="AD986" s="5238"/>
      <c r="AE986" s="5238"/>
      <c r="AF986" s="5238"/>
      <c r="AG986" s="5238"/>
      <c r="AH986" s="5238"/>
      <c r="AI986" s="5238"/>
      <c r="AJ986" s="5238"/>
      <c r="AK986" s="5238"/>
      <c r="AL986" s="5238"/>
      <c r="AM986" s="5238"/>
      <c r="AN986" s="5238"/>
      <c r="AO986" s="5238"/>
      <c r="AP986" s="5238"/>
      <c r="AQ986" s="5238"/>
      <c r="AR986" s="5238"/>
      <c r="AS986" s="5238"/>
      <c r="AT986" s="5238"/>
      <c r="AU986" s="5238"/>
      <c r="AV986" s="5238"/>
      <c r="AW986" s="5238"/>
      <c r="AX986" s="5238"/>
      <c r="AY986" s="5238"/>
      <c r="AZ986" s="5238"/>
      <c r="BA986" s="5238"/>
      <c r="BB986" s="5238"/>
      <c r="BC986" s="5238"/>
      <c r="BD986" s="5238"/>
      <c r="BE986" s="5238"/>
      <c r="BF986" s="5238"/>
      <c r="BG986" s="5238"/>
      <c r="BH986" s="5238"/>
      <c r="BI986" s="5238"/>
    </row>
    <row r="987" spans="1:61" ht="24.75" customHeight="1">
      <c r="A987" s="5241" t="s">
        <v>5924</v>
      </c>
      <c r="B987" s="5241" t="s">
        <v>5925</v>
      </c>
      <c r="C987" s="5242" t="s">
        <v>1236</v>
      </c>
      <c r="D987" s="5241" t="s">
        <v>568</v>
      </c>
      <c r="E987" s="5243" t="s">
        <v>580</v>
      </c>
      <c r="F987" s="5244">
        <v>166</v>
      </c>
      <c r="G987" s="5245"/>
      <c r="H987" s="5243" t="s">
        <v>1943</v>
      </c>
      <c r="I987" s="5241">
        <v>566</v>
      </c>
      <c r="J987" s="5246"/>
      <c r="K987" s="5247"/>
      <c r="L987" s="5248"/>
      <c r="M987" s="5249">
        <v>43007</v>
      </c>
      <c r="N987" s="5250"/>
      <c r="O987" s="5244"/>
      <c r="P987" s="5251"/>
      <c r="Q987" s="5252"/>
      <c r="R987" s="5253"/>
      <c r="S987" s="5254" t="e">
        <f t="shared" si="15"/>
        <v>#DIV/0!</v>
      </c>
      <c r="T987" s="5241"/>
      <c r="U987" s="5246"/>
      <c r="V987" s="5255"/>
      <c r="W987" s="5256"/>
      <c r="X987" s="5257"/>
      <c r="Y987" s="5257"/>
      <c r="Z987" s="5257"/>
      <c r="AA987" s="5257"/>
      <c r="AB987" s="5257"/>
      <c r="AC987" s="5257"/>
      <c r="AD987" s="5257"/>
      <c r="AE987" s="5257"/>
      <c r="AF987" s="5257"/>
      <c r="AG987" s="5257"/>
      <c r="AH987" s="5257"/>
      <c r="AI987" s="5257"/>
      <c r="AJ987" s="5257"/>
      <c r="AK987" s="5257"/>
      <c r="AL987" s="5257"/>
      <c r="AM987" s="5257"/>
      <c r="AN987" s="5257"/>
      <c r="AO987" s="5257"/>
      <c r="AP987" s="5257"/>
      <c r="AQ987" s="5257"/>
      <c r="AR987" s="5257"/>
      <c r="AS987" s="5257"/>
      <c r="AT987" s="5257"/>
      <c r="AU987" s="5257"/>
      <c r="AV987" s="5257"/>
      <c r="AW987" s="5257"/>
      <c r="AX987" s="5257"/>
      <c r="AY987" s="5257"/>
      <c r="AZ987" s="5257"/>
      <c r="BA987" s="5257"/>
      <c r="BB987" s="5257"/>
      <c r="BC987" s="5257"/>
      <c r="BD987" s="5257"/>
      <c r="BE987" s="5257"/>
      <c r="BF987" s="5257"/>
      <c r="BG987" s="5257"/>
      <c r="BH987" s="5257"/>
      <c r="BI987" s="5257"/>
    </row>
    <row r="988" spans="1:61" ht="24.75" customHeight="1">
      <c r="A988" s="5241" t="s">
        <v>5924</v>
      </c>
      <c r="B988" s="5241" t="s">
        <v>5925</v>
      </c>
      <c r="C988" s="5242" t="s">
        <v>1236</v>
      </c>
      <c r="D988" s="5241" t="s">
        <v>568</v>
      </c>
      <c r="E988" s="5243" t="str">
        <f>VLOOKUP(F988,plasmids!$A$2:$B$351,2)</f>
        <v>AAV9 7M8 (AA------)</v>
      </c>
      <c r="F988" s="5244">
        <v>170</v>
      </c>
      <c r="G988" s="5245"/>
      <c r="H988" s="5243" t="s">
        <v>1943</v>
      </c>
      <c r="I988" s="5241">
        <v>566</v>
      </c>
      <c r="J988" s="5246"/>
      <c r="K988" s="5247"/>
      <c r="L988" s="5248"/>
      <c r="M988" s="5249">
        <v>43007</v>
      </c>
      <c r="N988" s="5250"/>
      <c r="O988" s="5244"/>
      <c r="P988" s="5251"/>
      <c r="Q988" s="5252"/>
      <c r="R988" s="5253"/>
      <c r="S988" s="5254" t="e">
        <f t="shared" si="15"/>
        <v>#DIV/0!</v>
      </c>
      <c r="T988" s="5241"/>
      <c r="U988" s="5246"/>
      <c r="V988" s="5255"/>
      <c r="W988" s="5256"/>
      <c r="X988" s="5257"/>
      <c r="Y988" s="5257"/>
      <c r="Z988" s="5257"/>
      <c r="AA988" s="5257"/>
      <c r="AB988" s="5257"/>
      <c r="AC988" s="5257"/>
      <c r="AD988" s="5257"/>
      <c r="AE988" s="5257"/>
      <c r="AF988" s="5257"/>
      <c r="AG988" s="5257"/>
      <c r="AH988" s="5257"/>
      <c r="AI988" s="5257"/>
      <c r="AJ988" s="5257"/>
      <c r="AK988" s="5257"/>
      <c r="AL988" s="5257"/>
      <c r="AM988" s="5257"/>
      <c r="AN988" s="5257"/>
      <c r="AO988" s="5257"/>
      <c r="AP988" s="5257"/>
      <c r="AQ988" s="5257"/>
      <c r="AR988" s="5257"/>
      <c r="AS988" s="5257"/>
      <c r="AT988" s="5257"/>
      <c r="AU988" s="5257"/>
      <c r="AV988" s="5257"/>
      <c r="AW988" s="5257"/>
      <c r="AX988" s="5257"/>
      <c r="AY988" s="5257"/>
      <c r="AZ988" s="5257"/>
      <c r="BA988" s="5257"/>
      <c r="BB988" s="5257"/>
      <c r="BC988" s="5257"/>
      <c r="BD988" s="5257"/>
      <c r="BE988" s="5257"/>
      <c r="BF988" s="5257"/>
      <c r="BG988" s="5257"/>
      <c r="BH988" s="5257"/>
      <c r="BI988" s="5257"/>
    </row>
    <row r="989" spans="1:61" ht="19.5" customHeight="1">
      <c r="A989" s="557" t="s">
        <v>691</v>
      </c>
      <c r="B989" s="604" t="s">
        <v>6041</v>
      </c>
      <c r="C989" s="558" t="s">
        <v>178</v>
      </c>
      <c r="D989" s="557" t="s">
        <v>70</v>
      </c>
      <c r="E989" s="2791" t="str">
        <f>VLOOKUP(F989,plasmids!$A$2:$B$891,2)</f>
        <v>AAV2</v>
      </c>
      <c r="F989" s="557">
        <v>140</v>
      </c>
      <c r="G989" s="2792"/>
      <c r="H989" s="2792" t="str">
        <f>VLOOKUP(I989,plasmids!$A$2:$B$1191,2)</f>
        <v xml:space="preserve">pAAV-CMV-NogoA </v>
      </c>
      <c r="I989" s="557">
        <v>453</v>
      </c>
      <c r="J989" s="557"/>
      <c r="K989" s="563" t="s">
        <v>2185</v>
      </c>
      <c r="L989" s="2793"/>
      <c r="M989" s="564">
        <v>43007</v>
      </c>
      <c r="N989" s="565"/>
      <c r="O989" s="3396"/>
      <c r="P989" s="569"/>
      <c r="Q989" s="3470"/>
      <c r="R989" s="3471"/>
      <c r="S989" s="570" t="e">
        <v>#DIV/0!</v>
      </c>
      <c r="T989" s="557"/>
      <c r="U989" s="571"/>
      <c r="V989" s="2984"/>
      <c r="W989" s="556"/>
      <c r="X989" s="576"/>
      <c r="Y989" s="556"/>
      <c r="Z989" s="556"/>
      <c r="AA989" s="556"/>
      <c r="AB989" s="556"/>
      <c r="AC989" s="556"/>
      <c r="AD989" s="556"/>
      <c r="AE989" s="556"/>
      <c r="AF989" s="556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</row>
    <row r="990" spans="1:61" ht="24.75" customHeight="1">
      <c r="A990" s="4706" t="s">
        <v>1800</v>
      </c>
      <c r="B990" s="4706" t="s">
        <v>1050</v>
      </c>
      <c r="C990" s="4707" t="s">
        <v>1967</v>
      </c>
      <c r="D990" s="4706" t="s">
        <v>568</v>
      </c>
      <c r="E990" s="4708" t="str">
        <f>VLOOKUP(F990,plasmids!$A$2:$B$351,2)</f>
        <v>pAAV2/8</v>
      </c>
      <c r="F990" s="4709">
        <v>122</v>
      </c>
      <c r="G990" s="4710"/>
      <c r="H990" s="4711" t="s">
        <v>6042</v>
      </c>
      <c r="I990" s="4706" t="s">
        <v>1501</v>
      </c>
      <c r="J990" s="4712"/>
      <c r="K990" s="4713"/>
      <c r="L990" s="4714"/>
      <c r="M990" s="4715">
        <v>43007</v>
      </c>
      <c r="N990" s="4716"/>
      <c r="O990" s="4709"/>
      <c r="P990" s="4717"/>
      <c r="Q990" s="4821"/>
      <c r="R990" s="4723"/>
      <c r="S990" s="4723" t="e">
        <f t="shared" ref="S990:S992" si="16">(32800000000/R990)*Q990</f>
        <v>#DIV/0!</v>
      </c>
      <c r="T990" s="4706"/>
      <c r="U990" s="4712"/>
      <c r="V990" s="4724"/>
      <c r="W990" s="4725"/>
      <c r="X990" s="4722"/>
      <c r="Y990" s="4722"/>
      <c r="Z990" s="4722"/>
      <c r="AA990" s="4722"/>
      <c r="AB990" s="4722"/>
      <c r="AC990" s="4722"/>
      <c r="AD990" s="4722"/>
      <c r="AE990" s="4722"/>
      <c r="AF990" s="4722"/>
      <c r="AG990" s="4722"/>
      <c r="AH990" s="4722"/>
      <c r="AI990" s="4722"/>
      <c r="AJ990" s="4722"/>
      <c r="AK990" s="4722"/>
      <c r="AL990" s="4722"/>
      <c r="AM990" s="4722"/>
      <c r="AN990" s="4722"/>
      <c r="AO990" s="4722"/>
      <c r="AP990" s="4722"/>
      <c r="AQ990" s="4722"/>
      <c r="AR990" s="4722"/>
      <c r="AS990" s="4722"/>
      <c r="AT990" s="4722"/>
      <c r="AU990" s="4722"/>
      <c r="AV990" s="4722"/>
      <c r="AW990" s="4722"/>
      <c r="AX990" s="4722"/>
      <c r="AY990" s="4722"/>
      <c r="AZ990" s="4722"/>
      <c r="BA990" s="4722"/>
      <c r="BB990" s="4722"/>
      <c r="BC990" s="4722"/>
      <c r="BD990" s="4722"/>
      <c r="BE990" s="4722"/>
      <c r="BF990" s="4722"/>
      <c r="BG990" s="4722"/>
      <c r="BH990" s="4722"/>
      <c r="BI990" s="4722"/>
    </row>
    <row r="991" spans="1:61" ht="24.75" customHeight="1">
      <c r="A991" s="4706" t="s">
        <v>1800</v>
      </c>
      <c r="B991" s="4706" t="s">
        <v>1050</v>
      </c>
      <c r="C991" s="4707" t="s">
        <v>1967</v>
      </c>
      <c r="D991" s="4706" t="s">
        <v>568</v>
      </c>
      <c r="E991" s="4708" t="str">
        <f>VLOOKUP(F991,plasmids!$A$2:$B$351,2)</f>
        <v>pAAV2/8</v>
      </c>
      <c r="F991" s="4709">
        <v>122</v>
      </c>
      <c r="G991" s="4710"/>
      <c r="H991" s="4711" t="str">
        <f>VLOOKUP(I991,plasmids!$A$2:$B$891,2)</f>
        <v>pssAAV-pR1.7-Gik2-GFP-hGHpA</v>
      </c>
      <c r="I991" s="4706">
        <v>787</v>
      </c>
      <c r="J991" s="4712"/>
      <c r="K991" s="4713"/>
      <c r="L991" s="4714"/>
      <c r="M991" s="4715">
        <v>43014</v>
      </c>
      <c r="N991" s="4716"/>
      <c r="O991" s="4709"/>
      <c r="P991" s="4717"/>
      <c r="Q991" s="4821"/>
      <c r="R991" s="4723"/>
      <c r="S991" s="4723" t="e">
        <f t="shared" si="16"/>
        <v>#DIV/0!</v>
      </c>
      <c r="T991" s="4706"/>
      <c r="U991" s="4712"/>
      <c r="V991" s="4724"/>
      <c r="W991" s="4725"/>
      <c r="X991" s="4722"/>
      <c r="Y991" s="4722"/>
      <c r="Z991" s="4722"/>
      <c r="AA991" s="4722"/>
      <c r="AB991" s="4722"/>
      <c r="AC991" s="4722"/>
      <c r="AD991" s="4722"/>
      <c r="AE991" s="4722"/>
      <c r="AF991" s="4722"/>
      <c r="AG991" s="4722"/>
      <c r="AH991" s="4722"/>
      <c r="AI991" s="4722"/>
      <c r="AJ991" s="4722"/>
      <c r="AK991" s="4722"/>
      <c r="AL991" s="4722"/>
      <c r="AM991" s="4722"/>
      <c r="AN991" s="4722"/>
      <c r="AO991" s="4722"/>
      <c r="AP991" s="4722"/>
      <c r="AQ991" s="4722"/>
      <c r="AR991" s="4722"/>
      <c r="AS991" s="4722"/>
      <c r="AT991" s="4722"/>
      <c r="AU991" s="4722"/>
      <c r="AV991" s="4722"/>
      <c r="AW991" s="4722"/>
      <c r="AX991" s="4722"/>
      <c r="AY991" s="4722"/>
      <c r="AZ991" s="4722"/>
      <c r="BA991" s="4722"/>
      <c r="BB991" s="4722"/>
      <c r="BC991" s="4722"/>
      <c r="BD991" s="4722"/>
      <c r="BE991" s="4722"/>
      <c r="BF991" s="4722"/>
      <c r="BG991" s="4722"/>
      <c r="BH991" s="4722"/>
      <c r="BI991" s="4722"/>
    </row>
    <row r="992" spans="1:61" ht="24.75" customHeight="1">
      <c r="A992" s="4706" t="s">
        <v>1800</v>
      </c>
      <c r="B992" s="4706" t="s">
        <v>1050</v>
      </c>
      <c r="C992" s="4707" t="s">
        <v>1967</v>
      </c>
      <c r="D992" s="4706" t="s">
        <v>568</v>
      </c>
      <c r="E992" s="4708" t="str">
        <f>VLOOKUP(F992,plasmids!$A$2:$B$351,2)</f>
        <v>AAV2-7m8</v>
      </c>
      <c r="F992" s="4709">
        <v>178</v>
      </c>
      <c r="G992" s="4710"/>
      <c r="H992" s="4711" t="str">
        <f>VLOOKUP(I992,plasmids!$A$2:$B$891,2)</f>
        <v>pssAAV-pR1.7-Gik2-GFP-hGHpA</v>
      </c>
      <c r="I992" s="4706">
        <v>787</v>
      </c>
      <c r="J992" s="4712"/>
      <c r="K992" s="4713"/>
      <c r="L992" s="4714"/>
      <c r="M992" s="4715">
        <v>43014</v>
      </c>
      <c r="N992" s="4716"/>
      <c r="O992" s="4709"/>
      <c r="P992" s="4717"/>
      <c r="Q992" s="4821"/>
      <c r="R992" s="4723"/>
      <c r="S992" s="4723" t="e">
        <f t="shared" si="16"/>
        <v>#DIV/0!</v>
      </c>
      <c r="T992" s="4706"/>
      <c r="U992" s="4712"/>
      <c r="V992" s="4724"/>
      <c r="W992" s="4725"/>
      <c r="X992" s="4722"/>
      <c r="Y992" s="4722"/>
      <c r="Z992" s="4722"/>
      <c r="AA992" s="4722"/>
      <c r="AB992" s="4722"/>
      <c r="AC992" s="4722"/>
      <c r="AD992" s="4722"/>
      <c r="AE992" s="4722"/>
      <c r="AF992" s="4722"/>
      <c r="AG992" s="4722"/>
      <c r="AH992" s="4722"/>
      <c r="AI992" s="4722"/>
      <c r="AJ992" s="4722"/>
      <c r="AK992" s="4722"/>
      <c r="AL992" s="4722"/>
      <c r="AM992" s="4722"/>
      <c r="AN992" s="4722"/>
      <c r="AO992" s="4722"/>
      <c r="AP992" s="4722"/>
      <c r="AQ992" s="4722"/>
      <c r="AR992" s="4722"/>
      <c r="AS992" s="4722"/>
      <c r="AT992" s="4722"/>
      <c r="AU992" s="4722"/>
      <c r="AV992" s="4722"/>
      <c r="AW992" s="4722"/>
      <c r="AX992" s="4722"/>
      <c r="AY992" s="4722"/>
      <c r="AZ992" s="4722"/>
      <c r="BA992" s="4722"/>
      <c r="BB992" s="4722"/>
      <c r="BC992" s="4722"/>
      <c r="BD992" s="4722"/>
      <c r="BE992" s="4722"/>
      <c r="BF992" s="4722"/>
      <c r="BG992" s="4722"/>
      <c r="BH992" s="4722"/>
      <c r="BI992" s="4722"/>
    </row>
    <row r="993" spans="1:61" ht="24.75" customHeight="1">
      <c r="A993" s="5258" t="s">
        <v>5897</v>
      </c>
      <c r="B993" s="5258" t="s">
        <v>5898</v>
      </c>
      <c r="C993" s="5259" t="s">
        <v>5899</v>
      </c>
      <c r="D993" s="5258" t="s">
        <v>568</v>
      </c>
      <c r="E993" s="5260" t="str">
        <f>VLOOKUP(F993,plasmids!$A$2:$B$351,2)</f>
        <v>AAV2-7m8</v>
      </c>
      <c r="F993" s="5258">
        <v>178</v>
      </c>
      <c r="G993" s="5261"/>
      <c r="H993" s="5262" t="s">
        <v>6043</v>
      </c>
      <c r="I993" s="5258" t="s">
        <v>6044</v>
      </c>
      <c r="J993" s="5263"/>
      <c r="K993" s="5264"/>
      <c r="L993" s="5265"/>
      <c r="M993" s="5266">
        <v>43014</v>
      </c>
      <c r="N993" s="5267"/>
      <c r="O993" s="5268"/>
      <c r="P993" s="5269"/>
      <c r="Q993" s="5270"/>
      <c r="R993" s="5270"/>
      <c r="S993" s="5271" t="e">
        <f t="shared" ref="S993:S998" si="17">(32800000000/R992)*Q992</f>
        <v>#DIV/0!</v>
      </c>
      <c r="T993" s="5258"/>
      <c r="U993" s="5263"/>
      <c r="V993" s="5272"/>
      <c r="W993" s="5273"/>
      <c r="X993" s="5274"/>
      <c r="Y993" s="5274"/>
      <c r="Z993" s="5274"/>
      <c r="AA993" s="5274"/>
      <c r="AB993" s="5274"/>
      <c r="AC993" s="5274"/>
      <c r="AD993" s="5274"/>
      <c r="AE993" s="5274"/>
      <c r="AF993" s="5274"/>
      <c r="AG993" s="5274"/>
      <c r="AH993" s="5274"/>
      <c r="AI993" s="5274"/>
      <c r="AJ993" s="5274"/>
      <c r="AK993" s="5274"/>
      <c r="AL993" s="5274"/>
      <c r="AM993" s="5274"/>
      <c r="AN993" s="5274"/>
      <c r="AO993" s="5274"/>
      <c r="AP993" s="5274"/>
      <c r="AQ993" s="5274"/>
      <c r="AR993" s="5274"/>
      <c r="AS993" s="5274"/>
      <c r="AT993" s="5274"/>
      <c r="AU993" s="5274"/>
      <c r="AV993" s="5274"/>
      <c r="AW993" s="5274"/>
      <c r="AX993" s="5274"/>
      <c r="AY993" s="5274"/>
      <c r="AZ993" s="5274"/>
      <c r="BA993" s="5274"/>
      <c r="BB993" s="5274"/>
      <c r="BC993" s="5274"/>
      <c r="BD993" s="5274"/>
      <c r="BE993" s="5274"/>
      <c r="BF993" s="5274"/>
      <c r="BG993" s="5274"/>
      <c r="BH993" s="5274"/>
      <c r="BI993" s="5274"/>
    </row>
    <row r="994" spans="1:61" ht="24.75" customHeight="1">
      <c r="A994" s="5258" t="s">
        <v>5897</v>
      </c>
      <c r="B994" s="5258" t="s">
        <v>5898</v>
      </c>
      <c r="C994" s="5259" t="s">
        <v>5899</v>
      </c>
      <c r="D994" s="5258" t="s">
        <v>568</v>
      </c>
      <c r="E994" s="5260" t="str">
        <f>VLOOKUP(F994,plasmids!$A$2:$B$351,2)</f>
        <v>AAV2-7m8</v>
      </c>
      <c r="F994" s="5258">
        <v>178</v>
      </c>
      <c r="G994" s="5261"/>
      <c r="H994" s="5261" t="str">
        <f>VLOOKUP(I994,plasmids!$A$2:$B$951,2)</f>
        <v>pAAV-flox-CAG-hCatCh-YFP</v>
      </c>
      <c r="I994" s="5258">
        <v>443</v>
      </c>
      <c r="J994" s="5263"/>
      <c r="K994" s="5264"/>
      <c r="L994" s="5265"/>
      <c r="M994" s="5266">
        <v>43014</v>
      </c>
      <c r="N994" s="5267"/>
      <c r="O994" s="5268"/>
      <c r="P994" s="5269"/>
      <c r="Q994" s="5270"/>
      <c r="R994" s="5270"/>
      <c r="S994" s="5271" t="e">
        <f t="shared" si="17"/>
        <v>#DIV/0!</v>
      </c>
      <c r="T994" s="5258"/>
      <c r="U994" s="5263"/>
      <c r="V994" s="5272"/>
      <c r="W994" s="5273"/>
      <c r="X994" s="5274"/>
      <c r="Y994" s="5274"/>
      <c r="Z994" s="5274"/>
      <c r="AA994" s="5274"/>
      <c r="AB994" s="5274"/>
      <c r="AC994" s="5274"/>
      <c r="AD994" s="5274"/>
      <c r="AE994" s="5274"/>
      <c r="AF994" s="5274"/>
      <c r="AG994" s="5274"/>
      <c r="AH994" s="5274"/>
      <c r="AI994" s="5274"/>
      <c r="AJ994" s="5274"/>
      <c r="AK994" s="5274"/>
      <c r="AL994" s="5274"/>
      <c r="AM994" s="5274"/>
      <c r="AN994" s="5274"/>
      <c r="AO994" s="5274"/>
      <c r="AP994" s="5274"/>
      <c r="AQ994" s="5274"/>
      <c r="AR994" s="5274"/>
      <c r="AS994" s="5274"/>
      <c r="AT994" s="5274"/>
      <c r="AU994" s="5274"/>
      <c r="AV994" s="5274"/>
      <c r="AW994" s="5274"/>
      <c r="AX994" s="5274"/>
      <c r="AY994" s="5274"/>
      <c r="AZ994" s="5274"/>
      <c r="BA994" s="5274"/>
      <c r="BB994" s="5274"/>
      <c r="BC994" s="5274"/>
      <c r="BD994" s="5274"/>
      <c r="BE994" s="5274"/>
      <c r="BF994" s="5274"/>
      <c r="BG994" s="5274"/>
      <c r="BH994" s="5274"/>
      <c r="BI994" s="5274"/>
    </row>
    <row r="995" spans="1:61" ht="24.75" customHeight="1">
      <c r="A995" s="5258" t="s">
        <v>5897</v>
      </c>
      <c r="B995" s="5258" t="s">
        <v>5898</v>
      </c>
      <c r="C995" s="5259" t="s">
        <v>5899</v>
      </c>
      <c r="D995" s="5258" t="s">
        <v>568</v>
      </c>
      <c r="E995" s="5260" t="str">
        <f>VLOOKUP(F995,plasmids!$A$2:$B$951,2)</f>
        <v>AAV9 7M8 (AA------)</v>
      </c>
      <c r="F995" s="5258">
        <v>737</v>
      </c>
      <c r="G995" s="5261"/>
      <c r="H995" s="5261" t="str">
        <f>VLOOKUP(I995,plasmids!$A$2:$B$951,2)</f>
        <v>pAAV-flox-CAG-hCatCh-YFP</v>
      </c>
      <c r="I995" s="5258">
        <v>443</v>
      </c>
      <c r="J995" s="5263"/>
      <c r="K995" s="5264"/>
      <c r="L995" s="5265"/>
      <c r="M995" s="5266">
        <v>43014</v>
      </c>
      <c r="N995" s="5267"/>
      <c r="O995" s="5268"/>
      <c r="P995" s="5269"/>
      <c r="Q995" s="5270"/>
      <c r="R995" s="5270"/>
      <c r="S995" s="5271" t="e">
        <f t="shared" si="17"/>
        <v>#DIV/0!</v>
      </c>
      <c r="T995" s="5258"/>
      <c r="U995" s="5263"/>
      <c r="V995" s="5272"/>
      <c r="W995" s="5273"/>
      <c r="X995" s="5274"/>
      <c r="Y995" s="5274"/>
      <c r="Z995" s="5274"/>
      <c r="AA995" s="5274"/>
      <c r="AB995" s="5274"/>
      <c r="AC995" s="5274"/>
      <c r="AD995" s="5274"/>
      <c r="AE995" s="5274"/>
      <c r="AF995" s="5274"/>
      <c r="AG995" s="5274"/>
      <c r="AH995" s="5274"/>
      <c r="AI995" s="5274"/>
      <c r="AJ995" s="5274"/>
      <c r="AK995" s="5274"/>
      <c r="AL995" s="5274"/>
      <c r="AM995" s="5274"/>
      <c r="AN995" s="5274"/>
      <c r="AO995" s="5274"/>
      <c r="AP995" s="5274"/>
      <c r="AQ995" s="5274"/>
      <c r="AR995" s="5274"/>
      <c r="AS995" s="5274"/>
      <c r="AT995" s="5274"/>
      <c r="AU995" s="5274"/>
      <c r="AV995" s="5274"/>
      <c r="AW995" s="5274"/>
      <c r="AX995" s="5274"/>
      <c r="AY995" s="5274"/>
      <c r="AZ995" s="5274"/>
      <c r="BA995" s="5274"/>
      <c r="BB995" s="5274"/>
      <c r="BC995" s="5274"/>
      <c r="BD995" s="5274"/>
      <c r="BE995" s="5274"/>
      <c r="BF995" s="5274"/>
      <c r="BG995" s="5274"/>
      <c r="BH995" s="5274"/>
      <c r="BI995" s="5274"/>
    </row>
    <row r="996" spans="1:61" ht="24.75" customHeight="1">
      <c r="A996" s="5258" t="s">
        <v>5897</v>
      </c>
      <c r="B996" s="5258" t="s">
        <v>5898</v>
      </c>
      <c r="C996" s="5259" t="s">
        <v>5899</v>
      </c>
      <c r="D996" s="5258" t="s">
        <v>568</v>
      </c>
      <c r="E996" s="5260" t="str">
        <f>VLOOKUP(F996,plasmids!$A$2:$B$951,2)</f>
        <v>AAV9 7M8 (AA------)</v>
      </c>
      <c r="F996" s="5258">
        <v>737</v>
      </c>
      <c r="G996" s="5261"/>
      <c r="H996" s="5261" t="str">
        <f>VLOOKUP(I996,plasmids!$A$2:$B$951,2)</f>
        <v>pssAAV-pR1.7-GFP</v>
      </c>
      <c r="I996" s="5258">
        <v>566</v>
      </c>
      <c r="J996" s="5263"/>
      <c r="K996" s="5264"/>
      <c r="L996" s="5265"/>
      <c r="M996" s="5266">
        <v>43014</v>
      </c>
      <c r="N996" s="5267"/>
      <c r="O996" s="5268"/>
      <c r="P996" s="5269"/>
      <c r="Q996" s="5270"/>
      <c r="R996" s="5270"/>
      <c r="S996" s="5271" t="e">
        <f t="shared" si="17"/>
        <v>#DIV/0!</v>
      </c>
      <c r="T996" s="5258"/>
      <c r="U996" s="5263"/>
      <c r="V996" s="5272"/>
      <c r="W996" s="5273"/>
      <c r="X996" s="5274"/>
      <c r="Y996" s="5274"/>
      <c r="Z996" s="5274"/>
      <c r="AA996" s="5274"/>
      <c r="AB996" s="5274"/>
      <c r="AC996" s="5274"/>
      <c r="AD996" s="5274"/>
      <c r="AE996" s="5274"/>
      <c r="AF996" s="5274"/>
      <c r="AG996" s="5274"/>
      <c r="AH996" s="5274"/>
      <c r="AI996" s="5274"/>
      <c r="AJ996" s="5274"/>
      <c r="AK996" s="5274"/>
      <c r="AL996" s="5274"/>
      <c r="AM996" s="5274"/>
      <c r="AN996" s="5274"/>
      <c r="AO996" s="5274"/>
      <c r="AP996" s="5274"/>
      <c r="AQ996" s="5274"/>
      <c r="AR996" s="5274"/>
      <c r="AS996" s="5274"/>
      <c r="AT996" s="5274"/>
      <c r="AU996" s="5274"/>
      <c r="AV996" s="5274"/>
      <c r="AW996" s="5274"/>
      <c r="AX996" s="5274"/>
      <c r="AY996" s="5274"/>
      <c r="AZ996" s="5274"/>
      <c r="BA996" s="5274"/>
      <c r="BB996" s="5274"/>
      <c r="BC996" s="5274"/>
      <c r="BD996" s="5274"/>
      <c r="BE996" s="5274"/>
      <c r="BF996" s="5274"/>
      <c r="BG996" s="5274"/>
      <c r="BH996" s="5274"/>
      <c r="BI996" s="5274"/>
    </row>
    <row r="997" spans="1:61" ht="24.75" customHeight="1">
      <c r="A997" s="5258" t="s">
        <v>5897</v>
      </c>
      <c r="B997" s="5258" t="s">
        <v>5898</v>
      </c>
      <c r="C997" s="5259" t="s">
        <v>5899</v>
      </c>
      <c r="D997" s="5258" t="s">
        <v>568</v>
      </c>
      <c r="E997" s="5260" t="str">
        <f>VLOOKUP(F997,plasmids!$A$2:$B$951,2)</f>
        <v>AAV9</v>
      </c>
      <c r="F997" s="5258">
        <v>166</v>
      </c>
      <c r="G997" s="5261"/>
      <c r="H997" s="5261" t="str">
        <f>VLOOKUP(I997,plasmids!$A$2:$B$951,2)</f>
        <v>pTR-scCMV-luciférase</v>
      </c>
      <c r="I997" s="5258">
        <v>131</v>
      </c>
      <c r="J997" s="5263"/>
      <c r="K997" s="5264"/>
      <c r="L997" s="5265"/>
      <c r="M997" s="5266">
        <v>43014</v>
      </c>
      <c r="N997" s="5267"/>
      <c r="O997" s="5268"/>
      <c r="P997" s="5269"/>
      <c r="Q997" s="5270"/>
      <c r="R997" s="5270"/>
      <c r="S997" s="5271" t="e">
        <f t="shared" si="17"/>
        <v>#DIV/0!</v>
      </c>
      <c r="T997" s="5258"/>
      <c r="U997" s="5263"/>
      <c r="V997" s="5272"/>
      <c r="W997" s="5273"/>
      <c r="X997" s="5274"/>
      <c r="Y997" s="5274"/>
      <c r="Z997" s="5274"/>
      <c r="AA997" s="5274"/>
      <c r="AB997" s="5274"/>
      <c r="AC997" s="5274"/>
      <c r="AD997" s="5274"/>
      <c r="AE997" s="5274"/>
      <c r="AF997" s="5274"/>
      <c r="AG997" s="5274"/>
      <c r="AH997" s="5274"/>
      <c r="AI997" s="5274"/>
      <c r="AJ997" s="5274"/>
      <c r="AK997" s="5274"/>
      <c r="AL997" s="5274"/>
      <c r="AM997" s="5274"/>
      <c r="AN997" s="5274"/>
      <c r="AO997" s="5274"/>
      <c r="AP997" s="5274"/>
      <c r="AQ997" s="5274"/>
      <c r="AR997" s="5274"/>
      <c r="AS997" s="5274"/>
      <c r="AT997" s="5274"/>
      <c r="AU997" s="5274"/>
      <c r="AV997" s="5274"/>
      <c r="AW997" s="5274"/>
      <c r="AX997" s="5274"/>
      <c r="AY997" s="5274"/>
      <c r="AZ997" s="5274"/>
      <c r="BA997" s="5274"/>
      <c r="BB997" s="5274"/>
      <c r="BC997" s="5274"/>
      <c r="BD997" s="5274"/>
      <c r="BE997" s="5274"/>
      <c r="BF997" s="5274"/>
      <c r="BG997" s="5274"/>
      <c r="BH997" s="5274"/>
      <c r="BI997" s="5274"/>
    </row>
    <row r="998" spans="1:61" ht="24.75" customHeight="1">
      <c r="A998" s="5002" t="s">
        <v>6004</v>
      </c>
      <c r="B998" s="5002" t="s">
        <v>6031</v>
      </c>
      <c r="C998" s="5003" t="s">
        <v>178</v>
      </c>
      <c r="D998" s="5002" t="s">
        <v>6032</v>
      </c>
      <c r="E998" s="5185" t="str">
        <f>VLOOKUP(F998,plasmids!$A$2:$B$351,2)</f>
        <v>pAAV2/8</v>
      </c>
      <c r="F998" s="5005">
        <v>122</v>
      </c>
      <c r="G998" s="5006"/>
      <c r="H998" s="5186" t="str">
        <f>VLOOKUP(I998,plasmids!$A$2:$B$951,2)</f>
        <v>pTR-ssCMV-GFP-WPRE-bghpA</v>
      </c>
      <c r="I998" s="5002">
        <v>192</v>
      </c>
      <c r="J998" s="5015"/>
      <c r="K998" s="5007"/>
      <c r="L998" s="5008"/>
      <c r="M998" s="5009">
        <v>43014</v>
      </c>
      <c r="N998" s="5010"/>
      <c r="O998" s="5005"/>
      <c r="P998" s="5011"/>
      <c r="Q998" s="5187"/>
      <c r="R998" s="5188"/>
      <c r="S998" s="5275" t="e">
        <f t="shared" si="17"/>
        <v>#DIV/0!</v>
      </c>
      <c r="T998" s="5002"/>
      <c r="U998" s="5015"/>
      <c r="V998" s="5004"/>
      <c r="W998" s="5016"/>
      <c r="X998" s="5017"/>
      <c r="Y998" s="5017"/>
      <c r="Z998" s="5017"/>
      <c r="AA998" s="5017"/>
      <c r="AB998" s="5017"/>
      <c r="AC998" s="5017"/>
      <c r="AD998" s="5017"/>
      <c r="AE998" s="5017"/>
      <c r="AF998" s="5017"/>
      <c r="AG998" s="5017"/>
      <c r="AH998" s="5017"/>
      <c r="AI998" s="5017"/>
      <c r="AJ998" s="5017"/>
      <c r="AK998" s="5017"/>
      <c r="AL998" s="5017"/>
      <c r="AM998" s="5017"/>
      <c r="AN998" s="5017"/>
      <c r="AO998" s="5017"/>
      <c r="AP998" s="5017"/>
      <c r="AQ998" s="5017"/>
      <c r="AR998" s="5017"/>
      <c r="AS998" s="5017"/>
      <c r="AT998" s="5017"/>
      <c r="AU998" s="5017"/>
      <c r="AV998" s="5017"/>
      <c r="AW998" s="5017"/>
      <c r="AX998" s="5017"/>
      <c r="AY998" s="5017"/>
      <c r="AZ998" s="5017"/>
      <c r="BA998" s="5017"/>
      <c r="BB998" s="5017"/>
      <c r="BC998" s="5017"/>
      <c r="BD998" s="5017"/>
      <c r="BE998" s="5017"/>
      <c r="BF998" s="5017"/>
      <c r="BG998" s="5017"/>
      <c r="BH998" s="5017"/>
      <c r="BI998" s="5017"/>
    </row>
    <row r="999" spans="1:61" ht="24.75" customHeight="1">
      <c r="A999" s="5002" t="s">
        <v>6004</v>
      </c>
      <c r="B999" s="5002" t="s">
        <v>6031</v>
      </c>
      <c r="C999" s="5003" t="s">
        <v>178</v>
      </c>
      <c r="D999" s="5002" t="s">
        <v>6032</v>
      </c>
      <c r="E999" s="5185" t="str">
        <f>VLOOKUP(F999,plasmids!$A$2:$B$351,2)</f>
        <v>pAAV2/9</v>
      </c>
      <c r="F999" s="5005">
        <v>123</v>
      </c>
      <c r="G999" s="5006"/>
      <c r="H999" s="5186" t="str">
        <f>VLOOKUP(I999,plasmids!$A$2:$B$951,2)</f>
        <v>pTR-ssCMV-GFP-WPRE-bghpA</v>
      </c>
      <c r="I999" s="5002">
        <v>192</v>
      </c>
      <c r="J999" s="5015"/>
      <c r="K999" s="5007"/>
      <c r="L999" s="5008"/>
      <c r="M999" s="5009">
        <v>43021</v>
      </c>
      <c r="N999" s="5010"/>
      <c r="O999" s="5005"/>
      <c r="P999" s="5011"/>
      <c r="Q999" s="5187"/>
      <c r="R999" s="5188"/>
      <c r="S999" s="5188" t="e">
        <f t="shared" ref="S999:S1001" si="18">(32800000000/R999)*Q999</f>
        <v>#DIV/0!</v>
      </c>
      <c r="T999" s="5002"/>
      <c r="U999" s="5015"/>
      <c r="V999" s="5004"/>
      <c r="W999" s="5016"/>
      <c r="X999" s="5017"/>
      <c r="Y999" s="5017"/>
      <c r="Z999" s="5017"/>
      <c r="AA999" s="5017"/>
      <c r="AB999" s="5017"/>
      <c r="AC999" s="5017"/>
      <c r="AD999" s="5017"/>
      <c r="AE999" s="5017"/>
      <c r="AF999" s="5017"/>
      <c r="AG999" s="5017"/>
      <c r="AH999" s="5017"/>
      <c r="AI999" s="5017"/>
      <c r="AJ999" s="5017"/>
      <c r="AK999" s="5017"/>
      <c r="AL999" s="5017"/>
      <c r="AM999" s="5017"/>
      <c r="AN999" s="5017"/>
      <c r="AO999" s="5017"/>
      <c r="AP999" s="5017"/>
      <c r="AQ999" s="5017"/>
      <c r="AR999" s="5017"/>
      <c r="AS999" s="5017"/>
      <c r="AT999" s="5017"/>
      <c r="AU999" s="5017"/>
      <c r="AV999" s="5017"/>
      <c r="AW999" s="5017"/>
      <c r="AX999" s="5017"/>
      <c r="AY999" s="5017"/>
      <c r="AZ999" s="5017"/>
      <c r="BA999" s="5017"/>
      <c r="BB999" s="5017"/>
      <c r="BC999" s="5017"/>
      <c r="BD999" s="5017"/>
      <c r="BE999" s="5017"/>
      <c r="BF999" s="5017"/>
      <c r="BG999" s="5017"/>
      <c r="BH999" s="5017"/>
      <c r="BI999" s="5017"/>
    </row>
    <row r="1000" spans="1:61" ht="24.75" customHeight="1">
      <c r="A1000" s="5002" t="s">
        <v>6004</v>
      </c>
      <c r="B1000" s="5002" t="s">
        <v>6031</v>
      </c>
      <c r="C1000" s="5003" t="s">
        <v>178</v>
      </c>
      <c r="D1000" s="5002" t="s">
        <v>6032</v>
      </c>
      <c r="E1000" s="5185" t="str">
        <f>VLOOKUP(F1000,plasmids!$A$2:$B$351,2)</f>
        <v>AAV2-7m8</v>
      </c>
      <c r="F1000" s="5005">
        <v>178</v>
      </c>
      <c r="G1000" s="5006"/>
      <c r="H1000" s="5186" t="str">
        <f>VLOOKUP(I1000,plasmids!$A$2:$B$951,2)</f>
        <v>pTR-ssCMV-GFP-WPRE-bghpA</v>
      </c>
      <c r="I1000" s="5002">
        <v>192</v>
      </c>
      <c r="J1000" s="5015"/>
      <c r="K1000" s="5007"/>
      <c r="L1000" s="5008"/>
      <c r="M1000" s="5009">
        <v>43021</v>
      </c>
      <c r="N1000" s="5010"/>
      <c r="O1000" s="5005"/>
      <c r="P1000" s="5011"/>
      <c r="Q1000" s="5187"/>
      <c r="R1000" s="5188"/>
      <c r="S1000" s="5188" t="e">
        <f t="shared" si="18"/>
        <v>#DIV/0!</v>
      </c>
      <c r="T1000" s="5002"/>
      <c r="U1000" s="5015"/>
      <c r="V1000" s="5004"/>
      <c r="W1000" s="5016"/>
      <c r="X1000" s="5017"/>
      <c r="Y1000" s="5017"/>
      <c r="Z1000" s="5017"/>
      <c r="AA1000" s="5017"/>
      <c r="AB1000" s="5017"/>
      <c r="AC1000" s="5017"/>
      <c r="AD1000" s="5017"/>
      <c r="AE1000" s="5017"/>
      <c r="AF1000" s="5017"/>
      <c r="AG1000" s="5017"/>
      <c r="AH1000" s="5017"/>
      <c r="AI1000" s="5017"/>
      <c r="AJ1000" s="5017"/>
      <c r="AK1000" s="5017"/>
      <c r="AL1000" s="5017"/>
      <c r="AM1000" s="5017"/>
      <c r="AN1000" s="5017"/>
      <c r="AO1000" s="5017"/>
      <c r="AP1000" s="5017"/>
      <c r="AQ1000" s="5017"/>
      <c r="AR1000" s="5017"/>
      <c r="AS1000" s="5017"/>
      <c r="AT1000" s="5017"/>
      <c r="AU1000" s="5017"/>
      <c r="AV1000" s="5017"/>
      <c r="AW1000" s="5017"/>
      <c r="AX1000" s="5017"/>
      <c r="AY1000" s="5017"/>
      <c r="AZ1000" s="5017"/>
      <c r="BA1000" s="5017"/>
      <c r="BB1000" s="5017"/>
      <c r="BC1000" s="5017"/>
      <c r="BD1000" s="5017"/>
      <c r="BE1000" s="5017"/>
      <c r="BF1000" s="5017"/>
      <c r="BG1000" s="5017"/>
      <c r="BH1000" s="5017"/>
      <c r="BI1000" s="5017"/>
    </row>
    <row r="1001" spans="1:61" ht="26.25" customHeight="1">
      <c r="A1001" s="5168" t="s">
        <v>3891</v>
      </c>
      <c r="B1001" s="5169" t="s">
        <v>6027</v>
      </c>
      <c r="C1001" s="5170" t="s">
        <v>178</v>
      </c>
      <c r="D1001" s="5169" t="s">
        <v>568</v>
      </c>
      <c r="E1001" s="5171" t="str">
        <f>VLOOKUP(F1001,plasmids!$A$2:$B$351,2)</f>
        <v>pAAV2/8</v>
      </c>
      <c r="F1001" s="5169">
        <v>122</v>
      </c>
      <c r="G1001" s="5172"/>
      <c r="H1001" s="5172" t="str">
        <f>VLOOKUP(I1001,plasmids!$A$2:$B$951,2)</f>
        <v>pssAAV-mCar-eNpHR-TAG-2A-Clm</v>
      </c>
      <c r="I1001" s="5169">
        <v>508</v>
      </c>
      <c r="J1001" s="5173"/>
      <c r="K1001" s="5174"/>
      <c r="L1001" s="5175"/>
      <c r="M1001" s="5176">
        <v>43021</v>
      </c>
      <c r="N1001" s="5177"/>
      <c r="O1001" s="5178"/>
      <c r="P1001" s="5179"/>
      <c r="Q1001" s="5180"/>
      <c r="R1001" s="5179"/>
      <c r="S1001" s="5182" t="e">
        <f t="shared" si="18"/>
        <v>#DIV/0!</v>
      </c>
      <c r="T1001" s="5190"/>
      <c r="U1001" s="5173"/>
      <c r="V1001" s="5183"/>
      <c r="W1001" s="5184"/>
      <c r="X1001" s="5184"/>
      <c r="Y1001" s="5184"/>
      <c r="Z1001" s="5184"/>
      <c r="AA1001" s="5184"/>
      <c r="AB1001" s="5184"/>
      <c r="AC1001" s="5184"/>
      <c r="AD1001" s="5184"/>
      <c r="AE1001" s="5184"/>
      <c r="AF1001" s="5184"/>
      <c r="AG1001" s="5184"/>
      <c r="AH1001" s="5184"/>
      <c r="AI1001" s="5184"/>
      <c r="AJ1001" s="5184"/>
      <c r="AK1001" s="5184"/>
      <c r="AL1001" s="5184"/>
      <c r="AM1001" s="5184"/>
      <c r="AN1001" s="5184"/>
      <c r="AO1001" s="5184"/>
      <c r="AP1001" s="5184"/>
      <c r="AQ1001" s="5184"/>
      <c r="AR1001" s="5184"/>
      <c r="AS1001" s="5184"/>
      <c r="AT1001" s="5184"/>
      <c r="AU1001" s="5184"/>
      <c r="AV1001" s="5184"/>
      <c r="AW1001" s="5184"/>
      <c r="AX1001" s="5184"/>
      <c r="AY1001" s="5184"/>
      <c r="AZ1001" s="5184"/>
      <c r="BA1001" s="5184"/>
      <c r="BB1001" s="5184"/>
      <c r="BC1001" s="5184"/>
      <c r="BD1001" s="5184"/>
      <c r="BE1001" s="5184"/>
      <c r="BF1001" s="5184"/>
      <c r="BG1001" s="5184"/>
      <c r="BH1001" s="5184"/>
      <c r="BI1001" s="5184"/>
    </row>
    <row r="1002" spans="1:61" ht="24.75" customHeight="1">
      <c r="A1002" s="4940" t="s">
        <v>1343</v>
      </c>
      <c r="B1002" s="4940" t="s">
        <v>5981</v>
      </c>
      <c r="C1002" s="5090" t="s">
        <v>5852</v>
      </c>
      <c r="D1002" s="4940" t="s">
        <v>5982</v>
      </c>
      <c r="E1002" s="5091" t="str">
        <f>VLOOKUP(F1002,plasmids!$A$2:$B$891,2)</f>
        <v>AAV2-7m8</v>
      </c>
      <c r="F1002" s="5092">
        <v>178</v>
      </c>
      <c r="G1002" s="5093"/>
      <c r="H1002" s="5276" t="str">
        <f>VLOOKUP(I1002,plasmids!$A$2:$B$940,2)</f>
        <v>pscAAV-CAG-eNpHR-eYFP</v>
      </c>
      <c r="I1002" s="4940">
        <v>295</v>
      </c>
      <c r="J1002" s="4939"/>
      <c r="K1002" s="5094"/>
      <c r="L1002" s="5277"/>
      <c r="M1002" s="5099">
        <v>43021</v>
      </c>
      <c r="N1002" s="5095"/>
      <c r="O1002" s="5092"/>
      <c r="P1002" s="5096"/>
      <c r="Q1002" s="5278"/>
      <c r="R1002" s="5089"/>
      <c r="S1002" s="5279" t="e">
        <v>#DIV/0!</v>
      </c>
      <c r="T1002" s="4940"/>
      <c r="U1002" s="4939"/>
      <c r="V1002" s="4954"/>
      <c r="W1002" s="4940"/>
      <c r="X1002" s="4939"/>
      <c r="Y1002" s="4939"/>
      <c r="Z1002" s="4939"/>
      <c r="AA1002" s="4939"/>
      <c r="AB1002" s="4939"/>
      <c r="AC1002" s="4939"/>
      <c r="AD1002" s="4939"/>
      <c r="AE1002" s="4939"/>
      <c r="AF1002" s="4939"/>
      <c r="AG1002" s="4939"/>
      <c r="AH1002" s="4939"/>
      <c r="AI1002" s="4939"/>
      <c r="AJ1002" s="4939"/>
      <c r="AK1002" s="4939"/>
      <c r="AL1002" s="4939"/>
      <c r="AM1002" s="4939"/>
      <c r="AN1002" s="4939"/>
      <c r="AO1002" s="4939"/>
      <c r="AP1002" s="4939"/>
      <c r="AQ1002" s="4939"/>
      <c r="AR1002" s="4939"/>
      <c r="AS1002" s="4939"/>
      <c r="AT1002" s="4939"/>
      <c r="AU1002" s="4939"/>
      <c r="AV1002" s="4939"/>
      <c r="AW1002" s="4939"/>
      <c r="AX1002" s="4939"/>
      <c r="AY1002" s="4939"/>
      <c r="AZ1002" s="4939"/>
      <c r="BA1002" s="4939"/>
      <c r="BB1002" s="4939"/>
      <c r="BC1002" s="4939"/>
      <c r="BD1002" s="4939"/>
      <c r="BE1002" s="4939"/>
      <c r="BF1002" s="4939"/>
      <c r="BG1002" s="4939"/>
      <c r="BH1002" s="4939"/>
      <c r="BI1002" s="4939"/>
    </row>
    <row r="1003" spans="1:61" ht="24.75" customHeight="1">
      <c r="A1003" s="5241" t="s">
        <v>5924</v>
      </c>
      <c r="B1003" s="5241" t="s">
        <v>5925</v>
      </c>
      <c r="C1003" s="5242" t="s">
        <v>1236</v>
      </c>
      <c r="D1003" s="5241" t="s">
        <v>4294</v>
      </c>
      <c r="E1003" s="5243" t="str">
        <f>VLOOKUP(F1003,plasmids!$A$2:$B$351,2)</f>
        <v>pXR5</v>
      </c>
      <c r="F1003" s="5244">
        <v>154</v>
      </c>
      <c r="G1003" s="5245"/>
      <c r="H1003" s="5243" t="e">
        <f>VLOOKUP(I1003,plasmids!$A$2:$B$351,2)</f>
        <v>#N/A</v>
      </c>
      <c r="I1003" s="5241"/>
      <c r="J1003" s="5246"/>
      <c r="K1003" s="5247"/>
      <c r="L1003" s="5248"/>
      <c r="M1003" s="5249">
        <v>43028</v>
      </c>
      <c r="N1003" s="5250"/>
      <c r="O1003" s="5244"/>
      <c r="P1003" s="5251"/>
      <c r="Q1003" s="5252"/>
      <c r="R1003" s="5253"/>
      <c r="S1003" s="5254" t="e">
        <f t="shared" ref="S1003:S1005" si="19">(32800000000/R1003)*Q1003</f>
        <v>#DIV/0!</v>
      </c>
      <c r="T1003" s="5241"/>
      <c r="U1003" s="5246"/>
      <c r="V1003" s="5255"/>
      <c r="W1003" s="5256"/>
      <c r="X1003" s="5257"/>
      <c r="Y1003" s="5257"/>
      <c r="Z1003" s="5257"/>
      <c r="AA1003" s="5257"/>
      <c r="AB1003" s="5257"/>
      <c r="AC1003" s="5257"/>
      <c r="AD1003" s="5257"/>
      <c r="AE1003" s="5257"/>
      <c r="AF1003" s="5257"/>
      <c r="AG1003" s="5257"/>
      <c r="AH1003" s="5257"/>
      <c r="AI1003" s="5257"/>
      <c r="AJ1003" s="5257"/>
      <c r="AK1003" s="5257"/>
      <c r="AL1003" s="5257"/>
      <c r="AM1003" s="5257"/>
      <c r="AN1003" s="5257"/>
      <c r="AO1003" s="5257"/>
      <c r="AP1003" s="5257"/>
      <c r="AQ1003" s="5257"/>
      <c r="AR1003" s="5257"/>
      <c r="AS1003" s="5257"/>
      <c r="AT1003" s="5257"/>
      <c r="AU1003" s="5257"/>
      <c r="AV1003" s="5257"/>
      <c r="AW1003" s="5257"/>
      <c r="AX1003" s="5257"/>
      <c r="AY1003" s="5257"/>
      <c r="AZ1003" s="5257"/>
      <c r="BA1003" s="5257"/>
      <c r="BB1003" s="5257"/>
      <c r="BC1003" s="5257"/>
      <c r="BD1003" s="5257"/>
      <c r="BE1003" s="5257"/>
      <c r="BF1003" s="5257"/>
      <c r="BG1003" s="5257"/>
      <c r="BH1003" s="5257"/>
      <c r="BI1003" s="5257"/>
    </row>
    <row r="1004" spans="1:61" ht="24.75" customHeight="1">
      <c r="A1004" s="5280" t="s">
        <v>6036</v>
      </c>
      <c r="B1004" s="5280" t="s">
        <v>6045</v>
      </c>
      <c r="C1004" s="5281" t="s">
        <v>6009</v>
      </c>
      <c r="D1004" s="5280" t="s">
        <v>4486</v>
      </c>
      <c r="E1004" s="5282" t="str">
        <f>VLOOKUP(F1004,plasmids!$A$2:$B$351,2)</f>
        <v>AAV2-7m8</v>
      </c>
      <c r="F1004" s="5283">
        <v>178</v>
      </c>
      <c r="G1004" s="5284"/>
      <c r="H1004" s="5282" t="s">
        <v>6046</v>
      </c>
      <c r="I1004" s="5280"/>
      <c r="J1004" s="5285"/>
      <c r="K1004" s="5286"/>
      <c r="L1004" s="5287"/>
      <c r="M1004" s="5288">
        <v>43028</v>
      </c>
      <c r="N1004" s="5289"/>
      <c r="O1004" s="5283"/>
      <c r="P1004" s="5290"/>
      <c r="Q1004" s="5291"/>
      <c r="R1004" s="2205"/>
      <c r="S1004" s="5292" t="e">
        <f t="shared" si="19"/>
        <v>#DIV/0!</v>
      </c>
      <c r="T1004" s="5280"/>
      <c r="U1004" s="5285"/>
      <c r="V1004" s="5293"/>
      <c r="W1004" s="5294"/>
      <c r="X1004" s="5295"/>
      <c r="Y1004" s="5295"/>
      <c r="Z1004" s="5295"/>
      <c r="AA1004" s="5295"/>
      <c r="AB1004" s="5295"/>
      <c r="AC1004" s="5295"/>
      <c r="AD1004" s="5295"/>
      <c r="AE1004" s="5295"/>
      <c r="AF1004" s="5295"/>
      <c r="AG1004" s="5295"/>
      <c r="AH1004" s="5295"/>
      <c r="AI1004" s="5295"/>
      <c r="AJ1004" s="5295"/>
      <c r="AK1004" s="5295"/>
      <c r="AL1004" s="5295"/>
      <c r="AM1004" s="5295"/>
      <c r="AN1004" s="5295"/>
      <c r="AO1004" s="5295"/>
      <c r="AP1004" s="5295"/>
      <c r="AQ1004" s="5295"/>
      <c r="AR1004" s="5295"/>
      <c r="AS1004" s="5295"/>
      <c r="AT1004" s="5295"/>
      <c r="AU1004" s="5295"/>
      <c r="AV1004" s="5295"/>
      <c r="AW1004" s="5295"/>
      <c r="AX1004" s="5295"/>
      <c r="AY1004" s="5295"/>
      <c r="AZ1004" s="5295"/>
      <c r="BA1004" s="5295"/>
      <c r="BB1004" s="5295"/>
      <c r="BC1004" s="5295"/>
      <c r="BD1004" s="5295"/>
      <c r="BE1004" s="5295"/>
      <c r="BF1004" s="5295"/>
      <c r="BG1004" s="5295"/>
      <c r="BH1004" s="5295"/>
      <c r="BI1004" s="5295"/>
    </row>
    <row r="1005" spans="1:61" ht="24.75" customHeight="1">
      <c r="A1005" s="5280" t="s">
        <v>6036</v>
      </c>
      <c r="B1005" s="5280" t="s">
        <v>6045</v>
      </c>
      <c r="C1005" s="5281" t="s">
        <v>6009</v>
      </c>
      <c r="D1005" s="5280" t="s">
        <v>4486</v>
      </c>
      <c r="E1005" s="5282" t="str">
        <f>VLOOKUP(F1005,plasmids!$A$2:$B$351,2)</f>
        <v>AAV2-7m8</v>
      </c>
      <c r="F1005" s="5283">
        <v>178</v>
      </c>
      <c r="G1005" s="5284"/>
      <c r="H1005" s="5282" t="s">
        <v>6047</v>
      </c>
      <c r="I1005" s="5280"/>
      <c r="J1005" s="5285"/>
      <c r="K1005" s="5286"/>
      <c r="L1005" s="5287"/>
      <c r="M1005" s="5288">
        <v>43028</v>
      </c>
      <c r="N1005" s="5289"/>
      <c r="O1005" s="5283"/>
      <c r="P1005" s="5290"/>
      <c r="Q1005" s="5291"/>
      <c r="R1005" s="2205"/>
      <c r="S1005" s="5292" t="e">
        <f t="shared" si="19"/>
        <v>#DIV/0!</v>
      </c>
      <c r="T1005" s="5280"/>
      <c r="U1005" s="5285"/>
      <c r="V1005" s="5293"/>
      <c r="W1005" s="5294"/>
      <c r="X1005" s="5295"/>
      <c r="Y1005" s="5295"/>
      <c r="Z1005" s="5295"/>
      <c r="AA1005" s="5295"/>
      <c r="AB1005" s="5295"/>
      <c r="AC1005" s="5295"/>
      <c r="AD1005" s="5295"/>
      <c r="AE1005" s="5295"/>
      <c r="AF1005" s="5295"/>
      <c r="AG1005" s="5295"/>
      <c r="AH1005" s="5295"/>
      <c r="AI1005" s="5295"/>
      <c r="AJ1005" s="5295"/>
      <c r="AK1005" s="5295"/>
      <c r="AL1005" s="5295"/>
      <c r="AM1005" s="5295"/>
      <c r="AN1005" s="5295"/>
      <c r="AO1005" s="5295"/>
      <c r="AP1005" s="5295"/>
      <c r="AQ1005" s="5295"/>
      <c r="AR1005" s="5295"/>
      <c r="AS1005" s="5295"/>
      <c r="AT1005" s="5295"/>
      <c r="AU1005" s="5295"/>
      <c r="AV1005" s="5295"/>
      <c r="AW1005" s="5295"/>
      <c r="AX1005" s="5295"/>
      <c r="AY1005" s="5295"/>
      <c r="AZ1005" s="5295"/>
      <c r="BA1005" s="5295"/>
      <c r="BB1005" s="5295"/>
      <c r="BC1005" s="5295"/>
      <c r="BD1005" s="5295"/>
      <c r="BE1005" s="5295"/>
      <c r="BF1005" s="5295"/>
      <c r="BG1005" s="5295"/>
      <c r="BH1005" s="5295"/>
      <c r="BI1005" s="5295"/>
    </row>
    <row r="1006" spans="1:61" ht="24.75" customHeight="1">
      <c r="A1006" s="190" t="s">
        <v>6048</v>
      </c>
      <c r="B1006" s="190" t="s">
        <v>6049</v>
      </c>
      <c r="C1006" s="5296" t="s">
        <v>1967</v>
      </c>
      <c r="D1006" s="188"/>
      <c r="E1006" s="5297" t="str">
        <f>VLOOKUP(F1006,plasmids!$A$2:$B$351,2)</f>
        <v>AAV9 2YF</v>
      </c>
      <c r="F1006" s="191">
        <v>168</v>
      </c>
      <c r="G1006" s="1745"/>
      <c r="H1006" s="5297" t="str">
        <f>VLOOKUP(I1006,plasmids!$A$2:$B$351,2)</f>
        <v>sc-CAG-GFP</v>
      </c>
      <c r="I1006" s="190">
        <v>120</v>
      </c>
      <c r="J1006" s="192"/>
      <c r="K1006" s="1127"/>
      <c r="L1006" s="1484"/>
      <c r="M1006" s="196">
        <v>43028</v>
      </c>
      <c r="N1006" s="197"/>
      <c r="O1006" s="191"/>
      <c r="P1006" s="202"/>
      <c r="Q1006" s="5298"/>
      <c r="R1006" s="5299"/>
      <c r="S1006" s="5300"/>
      <c r="T1006" s="190"/>
      <c r="U1006" s="192"/>
      <c r="V1006" s="5301"/>
      <c r="W1006" s="5302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205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205"/>
      <c r="BD1006" s="205"/>
      <c r="BE1006" s="205"/>
      <c r="BF1006" s="205"/>
      <c r="BG1006" s="205"/>
      <c r="BH1006" s="205"/>
      <c r="BI1006" s="205"/>
    </row>
    <row r="1007" spans="1:61" ht="24.75" customHeight="1">
      <c r="A1007" s="5303" t="s">
        <v>691</v>
      </c>
      <c r="B1007" s="5303" t="s">
        <v>6041</v>
      </c>
      <c r="C1007" s="5304" t="s">
        <v>1967</v>
      </c>
      <c r="D1007" s="5303" t="s">
        <v>4356</v>
      </c>
      <c r="E1007" s="5305" t="str">
        <f>VLOOKUP(F1007,plasmids!$A$2:$B$351,2)</f>
        <v>AAV2</v>
      </c>
      <c r="F1007" s="5303">
        <v>140</v>
      </c>
      <c r="G1007" s="5306"/>
      <c r="H1007" s="5306" t="str">
        <f>VLOOKUP(I1007,plasmids!$A$2:$B$951,2)</f>
        <v>pAAV-flox-CAG-hCatCh-YFP</v>
      </c>
      <c r="I1007" s="5303">
        <v>443</v>
      </c>
      <c r="J1007" s="5307"/>
      <c r="K1007" s="5308"/>
      <c r="L1007" s="5309"/>
      <c r="M1007" s="5310">
        <v>43035</v>
      </c>
      <c r="N1007" s="5311"/>
      <c r="O1007" s="5312"/>
      <c r="P1007" s="5313"/>
      <c r="Q1007" s="5314"/>
      <c r="R1007" s="5314"/>
      <c r="S1007" s="5315" t="e">
        <f t="shared" ref="S1007:S1008" si="20">(32800000000/R1006)*Q1006</f>
        <v>#DIV/0!</v>
      </c>
      <c r="T1007" s="5303"/>
      <c r="U1007" s="5307"/>
      <c r="V1007" s="5316"/>
      <c r="W1007" s="5317"/>
      <c r="X1007" s="5318"/>
      <c r="Y1007" s="5318"/>
      <c r="Z1007" s="5318"/>
      <c r="AA1007" s="5318"/>
      <c r="AB1007" s="5318"/>
      <c r="AC1007" s="5318"/>
      <c r="AD1007" s="5318"/>
      <c r="AE1007" s="5318"/>
      <c r="AF1007" s="5318"/>
      <c r="AG1007" s="5318"/>
      <c r="AH1007" s="5318"/>
      <c r="AI1007" s="5318"/>
      <c r="AJ1007" s="5318"/>
      <c r="AK1007" s="5318"/>
      <c r="AL1007" s="5318"/>
      <c r="AM1007" s="5318"/>
      <c r="AN1007" s="5318"/>
      <c r="AO1007" s="5318"/>
      <c r="AP1007" s="5318"/>
      <c r="AQ1007" s="5318"/>
      <c r="AR1007" s="5318"/>
      <c r="AS1007" s="5318"/>
      <c r="AT1007" s="5318"/>
      <c r="AU1007" s="5318"/>
      <c r="AV1007" s="5318"/>
      <c r="AW1007" s="5318"/>
      <c r="AX1007" s="5318"/>
      <c r="AY1007" s="5318"/>
      <c r="AZ1007" s="5318"/>
      <c r="BA1007" s="5318"/>
      <c r="BB1007" s="5318"/>
      <c r="BC1007" s="5318"/>
      <c r="BD1007" s="5318"/>
      <c r="BE1007" s="5318"/>
      <c r="BF1007" s="5318"/>
      <c r="BG1007" s="5318"/>
      <c r="BH1007" s="5318"/>
      <c r="BI1007" s="5318"/>
    </row>
    <row r="1008" spans="1:61" ht="24.75" customHeight="1">
      <c r="A1008" s="5303" t="s">
        <v>691</v>
      </c>
      <c r="B1008" s="5303" t="s">
        <v>6041</v>
      </c>
      <c r="C1008" s="5304" t="s">
        <v>1967</v>
      </c>
      <c r="D1008" s="5303" t="s">
        <v>4356</v>
      </c>
      <c r="E1008" s="5305" t="str">
        <f>VLOOKUP(F1008,plasmids!$A$2:$B$351,2)</f>
        <v>AAV2</v>
      </c>
      <c r="F1008" s="5303">
        <v>140</v>
      </c>
      <c r="G1008" s="5306"/>
      <c r="H1008" s="5306" t="str">
        <f>VLOOKUP(I1008,plasmids!$A$2:$B$951,2)</f>
        <v>pTR-ssCMV-GFP-WPRE-bghpA</v>
      </c>
      <c r="I1008" s="5303">
        <v>192</v>
      </c>
      <c r="J1008" s="5307"/>
      <c r="K1008" s="5308"/>
      <c r="L1008" s="5309"/>
      <c r="M1008" s="5310">
        <v>43035</v>
      </c>
      <c r="N1008" s="5311"/>
      <c r="O1008" s="5312"/>
      <c r="P1008" s="5313"/>
      <c r="Q1008" s="5314"/>
      <c r="R1008" s="5314"/>
      <c r="S1008" s="5315" t="e">
        <f t="shared" si="20"/>
        <v>#DIV/0!</v>
      </c>
      <c r="T1008" s="5303"/>
      <c r="U1008" s="5307"/>
      <c r="V1008" s="5316"/>
      <c r="W1008" s="5317"/>
      <c r="X1008" s="5318"/>
      <c r="Y1008" s="5318"/>
      <c r="Z1008" s="5318"/>
      <c r="AA1008" s="5318"/>
      <c r="AB1008" s="5318"/>
      <c r="AC1008" s="5318"/>
      <c r="AD1008" s="5318"/>
      <c r="AE1008" s="5318"/>
      <c r="AF1008" s="5318"/>
      <c r="AG1008" s="5318"/>
      <c r="AH1008" s="5318"/>
      <c r="AI1008" s="5318"/>
      <c r="AJ1008" s="5318"/>
      <c r="AK1008" s="5318"/>
      <c r="AL1008" s="5318"/>
      <c r="AM1008" s="5318"/>
      <c r="AN1008" s="5318"/>
      <c r="AO1008" s="5318"/>
      <c r="AP1008" s="5318"/>
      <c r="AQ1008" s="5318"/>
      <c r="AR1008" s="5318"/>
      <c r="AS1008" s="5318"/>
      <c r="AT1008" s="5318"/>
      <c r="AU1008" s="5318"/>
      <c r="AV1008" s="5318"/>
      <c r="AW1008" s="5318"/>
      <c r="AX1008" s="5318"/>
      <c r="AY1008" s="5318"/>
      <c r="AZ1008" s="5318"/>
      <c r="BA1008" s="5318"/>
      <c r="BB1008" s="5318"/>
      <c r="BC1008" s="5318"/>
      <c r="BD1008" s="5318"/>
      <c r="BE1008" s="5318"/>
      <c r="BF1008" s="5318"/>
      <c r="BG1008" s="5318"/>
      <c r="BH1008" s="5318"/>
      <c r="BI1008" s="5318"/>
    </row>
    <row r="1009" spans="1:61" ht="24.75" customHeight="1">
      <c r="A1009" s="3375"/>
      <c r="B1009" s="2646"/>
      <c r="C1009" s="2647"/>
      <c r="D1009" s="2646"/>
      <c r="E1009" s="5192" t="e">
        <f>VLOOKUP(F1009,plasmids!$A$2:$B$351,2)</f>
        <v>#N/A</v>
      </c>
      <c r="F1009" s="2655"/>
      <c r="G1009" s="2596"/>
      <c r="H1009" s="5192" t="e">
        <f>VLOOKUP(I1009,plasmids!$A$2:$B$351,2)</f>
        <v>#N/A</v>
      </c>
      <c r="I1009" s="3375"/>
      <c r="J1009" s="2648"/>
      <c r="K1009" s="3147"/>
      <c r="L1009" s="2785"/>
      <c r="M1009" s="2695"/>
      <c r="N1009" s="2649"/>
      <c r="O1009" s="2655"/>
      <c r="P1009" s="2651"/>
      <c r="Q1009" s="3440"/>
      <c r="R1009" s="3553"/>
      <c r="S1009" s="2307"/>
      <c r="T1009" s="3375"/>
      <c r="U1009" s="2648"/>
      <c r="V1009" s="3554"/>
      <c r="W1009" s="3150"/>
      <c r="X1009" s="2656"/>
      <c r="Y1009" s="2656"/>
      <c r="Z1009" s="2656"/>
      <c r="AA1009" s="2656"/>
      <c r="AB1009" s="2656"/>
      <c r="AC1009" s="2656"/>
      <c r="AD1009" s="2656"/>
      <c r="AE1009" s="2656"/>
      <c r="AF1009" s="2656"/>
      <c r="AG1009" s="2656"/>
      <c r="AH1009" s="2656"/>
      <c r="AI1009" s="2656"/>
      <c r="AJ1009" s="2656"/>
      <c r="AK1009" s="2656"/>
      <c r="AL1009" s="2656"/>
      <c r="AM1009" s="2656"/>
      <c r="AN1009" s="2656"/>
      <c r="AO1009" s="2656"/>
      <c r="AP1009" s="2656"/>
      <c r="AQ1009" s="2656"/>
      <c r="AR1009" s="2656"/>
      <c r="AS1009" s="2656"/>
      <c r="AT1009" s="2656"/>
      <c r="AU1009" s="2656"/>
      <c r="AV1009" s="2656"/>
      <c r="AW1009" s="2656"/>
      <c r="AX1009" s="2656"/>
      <c r="AY1009" s="2656"/>
      <c r="AZ1009" s="2656"/>
      <c r="BA1009" s="2656"/>
      <c r="BB1009" s="2656"/>
      <c r="BC1009" s="2656"/>
      <c r="BD1009" s="2656"/>
      <c r="BE1009" s="2656"/>
      <c r="BF1009" s="2656"/>
      <c r="BG1009" s="2656"/>
      <c r="BH1009" s="2656"/>
      <c r="BI1009" s="2656"/>
    </row>
    <row r="1010" spans="1:61" ht="24.75" customHeight="1">
      <c r="A1010" s="3375"/>
      <c r="B1010" s="2646"/>
      <c r="C1010" s="2647"/>
      <c r="D1010" s="2646"/>
      <c r="E1010" s="3013"/>
      <c r="F1010" s="2655"/>
      <c r="G1010" s="2596"/>
      <c r="H1010" s="4138"/>
      <c r="I1010" s="3375"/>
      <c r="J1010" s="2648"/>
      <c r="K1010" s="3147"/>
      <c r="L1010" s="2785"/>
      <c r="M1010" s="2695"/>
      <c r="N1010" s="2649"/>
      <c r="O1010" s="2655"/>
      <c r="P1010" s="2651"/>
      <c r="Q1010" s="3440"/>
      <c r="R1010" s="3553"/>
      <c r="S1010" s="2307"/>
      <c r="T1010" s="3375"/>
      <c r="U1010" s="2648"/>
      <c r="V1010" s="3554"/>
      <c r="W1010" s="3150"/>
      <c r="X1010" s="2656"/>
      <c r="Y1010" s="2656"/>
      <c r="Z1010" s="2656"/>
      <c r="AA1010" s="2656"/>
      <c r="AB1010" s="2656"/>
      <c r="AC1010" s="2656"/>
      <c r="AD1010" s="2656"/>
      <c r="AE1010" s="2656"/>
      <c r="AF1010" s="2656"/>
      <c r="AG1010" s="2656"/>
      <c r="AH1010" s="2656"/>
      <c r="AI1010" s="2656"/>
      <c r="AJ1010" s="2656"/>
      <c r="AK1010" s="2656"/>
      <c r="AL1010" s="2656"/>
      <c r="AM1010" s="2656"/>
      <c r="AN1010" s="2656"/>
      <c r="AO1010" s="2656"/>
      <c r="AP1010" s="2656"/>
      <c r="AQ1010" s="2656"/>
      <c r="AR1010" s="2656"/>
      <c r="AS1010" s="2656"/>
      <c r="AT1010" s="2656"/>
      <c r="AU1010" s="2656"/>
      <c r="AV1010" s="2656"/>
      <c r="AW1010" s="2656"/>
      <c r="AX1010" s="2656"/>
      <c r="AY1010" s="2656"/>
      <c r="AZ1010" s="2656"/>
      <c r="BA1010" s="2656"/>
      <c r="BB1010" s="2656"/>
      <c r="BC1010" s="2656"/>
      <c r="BD1010" s="2656"/>
      <c r="BE1010" s="2656"/>
      <c r="BF1010" s="2656"/>
      <c r="BG1010" s="2656"/>
      <c r="BH1010" s="2656"/>
      <c r="BI1010" s="2656"/>
    </row>
    <row r="1011" spans="1:61" ht="24.75" customHeight="1">
      <c r="A1011" s="3375"/>
      <c r="B1011" s="2646"/>
      <c r="C1011" s="2647"/>
      <c r="D1011" s="2646"/>
      <c r="E1011" s="3013"/>
      <c r="F1011" s="2655"/>
      <c r="G1011" s="2596"/>
      <c r="H1011" s="4138"/>
      <c r="I1011" s="3375"/>
      <c r="J1011" s="2648"/>
      <c r="K1011" s="3147"/>
      <c r="L1011" s="2785"/>
      <c r="M1011" s="2695"/>
      <c r="N1011" s="2649"/>
      <c r="O1011" s="2655"/>
      <c r="P1011" s="2651"/>
      <c r="Q1011" s="3440"/>
      <c r="R1011" s="3553"/>
      <c r="S1011" s="2307"/>
      <c r="T1011" s="3375"/>
      <c r="U1011" s="2648"/>
      <c r="V1011" s="3554"/>
      <c r="W1011" s="3150"/>
      <c r="X1011" s="2656"/>
      <c r="Y1011" s="2656"/>
      <c r="Z1011" s="2656"/>
      <c r="AA1011" s="2656"/>
      <c r="AB1011" s="2656"/>
      <c r="AC1011" s="2656"/>
      <c r="AD1011" s="2656"/>
      <c r="AE1011" s="2656"/>
      <c r="AF1011" s="2656"/>
      <c r="AG1011" s="2656"/>
      <c r="AH1011" s="2656"/>
      <c r="AI1011" s="2656"/>
      <c r="AJ1011" s="2656"/>
      <c r="AK1011" s="2656"/>
      <c r="AL1011" s="2656"/>
      <c r="AM1011" s="2656"/>
      <c r="AN1011" s="2656"/>
      <c r="AO1011" s="2656"/>
      <c r="AP1011" s="2656"/>
      <c r="AQ1011" s="2656"/>
      <c r="AR1011" s="2656"/>
      <c r="AS1011" s="2656"/>
      <c r="AT1011" s="2656"/>
      <c r="AU1011" s="2656"/>
      <c r="AV1011" s="2656"/>
      <c r="AW1011" s="2656"/>
      <c r="AX1011" s="2656"/>
      <c r="AY1011" s="2656"/>
      <c r="AZ1011" s="2656"/>
      <c r="BA1011" s="2656"/>
      <c r="BB1011" s="2656"/>
      <c r="BC1011" s="2656"/>
      <c r="BD1011" s="2656"/>
      <c r="BE1011" s="2656"/>
      <c r="BF1011" s="2656"/>
      <c r="BG1011" s="2656"/>
      <c r="BH1011" s="2656"/>
      <c r="BI1011" s="2656"/>
    </row>
    <row r="1012" spans="1:61" ht="24.75" customHeight="1">
      <c r="A1012" s="3375"/>
      <c r="B1012" s="2646"/>
      <c r="C1012" s="2647"/>
      <c r="D1012" s="2646"/>
      <c r="E1012" s="3013"/>
      <c r="F1012" s="2655"/>
      <c r="G1012" s="2596"/>
      <c r="H1012" s="4138"/>
      <c r="I1012" s="3375"/>
      <c r="J1012" s="2648"/>
      <c r="K1012" s="3147"/>
      <c r="L1012" s="2785"/>
      <c r="M1012" s="2695"/>
      <c r="N1012" s="2649"/>
      <c r="O1012" s="2655"/>
      <c r="P1012" s="2651"/>
      <c r="Q1012" s="3440"/>
      <c r="R1012" s="3553"/>
      <c r="S1012" s="2307"/>
      <c r="T1012" s="3375"/>
      <c r="U1012" s="2648"/>
      <c r="V1012" s="3554"/>
      <c r="W1012" s="3150"/>
      <c r="X1012" s="2656"/>
      <c r="Y1012" s="2656"/>
      <c r="Z1012" s="2656"/>
      <c r="AA1012" s="2656"/>
      <c r="AB1012" s="2656"/>
      <c r="AC1012" s="2656"/>
      <c r="AD1012" s="2656"/>
      <c r="AE1012" s="2656"/>
      <c r="AF1012" s="2656"/>
      <c r="AG1012" s="2656"/>
      <c r="AH1012" s="2656"/>
      <c r="AI1012" s="2656"/>
      <c r="AJ1012" s="2656"/>
      <c r="AK1012" s="2656"/>
      <c r="AL1012" s="2656"/>
      <c r="AM1012" s="2656"/>
      <c r="AN1012" s="2656"/>
      <c r="AO1012" s="2656"/>
      <c r="AP1012" s="2656"/>
      <c r="AQ1012" s="2656"/>
      <c r="AR1012" s="2656"/>
      <c r="AS1012" s="2656"/>
      <c r="AT1012" s="2656"/>
      <c r="AU1012" s="2656"/>
      <c r="AV1012" s="2656"/>
      <c r="AW1012" s="2656"/>
      <c r="AX1012" s="2656"/>
      <c r="AY1012" s="2656"/>
      <c r="AZ1012" s="2656"/>
      <c r="BA1012" s="2656"/>
      <c r="BB1012" s="2656"/>
      <c r="BC1012" s="2656"/>
      <c r="BD1012" s="2656"/>
      <c r="BE1012" s="2656"/>
      <c r="BF1012" s="2656"/>
      <c r="BG1012" s="2656"/>
      <c r="BH1012" s="2656"/>
      <c r="BI1012" s="2656"/>
    </row>
    <row r="1013" spans="1:61" ht="24.75" customHeight="1">
      <c r="A1013" s="3375"/>
      <c r="B1013" s="2646"/>
      <c r="C1013" s="2647"/>
      <c r="D1013" s="2646"/>
      <c r="E1013" s="3013"/>
      <c r="F1013" s="2655"/>
      <c r="G1013" s="2596"/>
      <c r="H1013" s="4138"/>
      <c r="I1013" s="3375"/>
      <c r="J1013" s="2648"/>
      <c r="K1013" s="3147"/>
      <c r="L1013" s="2785"/>
      <c r="M1013" s="2695"/>
      <c r="N1013" s="2649"/>
      <c r="O1013" s="2655"/>
      <c r="P1013" s="2651"/>
      <c r="Q1013" s="3440"/>
      <c r="R1013" s="3553"/>
      <c r="S1013" s="2307"/>
      <c r="T1013" s="3375"/>
      <c r="U1013" s="2648"/>
      <c r="V1013" s="3554"/>
      <c r="W1013" s="3150"/>
      <c r="X1013" s="2656"/>
      <c r="Y1013" s="2656"/>
      <c r="Z1013" s="2656"/>
      <c r="AA1013" s="2656"/>
      <c r="AB1013" s="2656"/>
      <c r="AC1013" s="2656"/>
      <c r="AD1013" s="2656"/>
      <c r="AE1013" s="2656"/>
      <c r="AF1013" s="2656"/>
      <c r="AG1013" s="2656"/>
      <c r="AH1013" s="2656"/>
      <c r="AI1013" s="2656"/>
      <c r="AJ1013" s="2656"/>
      <c r="AK1013" s="2656"/>
      <c r="AL1013" s="2656"/>
      <c r="AM1013" s="2656"/>
      <c r="AN1013" s="2656"/>
      <c r="AO1013" s="2656"/>
      <c r="AP1013" s="2656"/>
      <c r="AQ1013" s="2656"/>
      <c r="AR1013" s="2656"/>
      <c r="AS1013" s="2656"/>
      <c r="AT1013" s="2656"/>
      <c r="AU1013" s="2656"/>
      <c r="AV1013" s="2656"/>
      <c r="AW1013" s="2656"/>
      <c r="AX1013" s="2656"/>
      <c r="AY1013" s="2656"/>
      <c r="AZ1013" s="2656"/>
      <c r="BA1013" s="2656"/>
      <c r="BB1013" s="2656"/>
      <c r="BC1013" s="2656"/>
      <c r="BD1013" s="2656"/>
      <c r="BE1013" s="2656"/>
      <c r="BF1013" s="2656"/>
      <c r="BG1013" s="2656"/>
      <c r="BH1013" s="2656"/>
      <c r="BI1013" s="2656"/>
    </row>
    <row r="1014" spans="1:61" ht="24.75" customHeight="1">
      <c r="A1014" s="3375"/>
      <c r="B1014" s="2646"/>
      <c r="C1014" s="2647"/>
      <c r="D1014" s="2646"/>
      <c r="E1014" s="3013"/>
      <c r="F1014" s="2655"/>
      <c r="G1014" s="2596"/>
      <c r="H1014" s="4138"/>
      <c r="I1014" s="3375"/>
      <c r="J1014" s="2648"/>
      <c r="K1014" s="3147"/>
      <c r="L1014" s="2785"/>
      <c r="M1014" s="2695"/>
      <c r="N1014" s="2649"/>
      <c r="O1014" s="2655"/>
      <c r="P1014" s="2651"/>
      <c r="Q1014" s="3440"/>
      <c r="R1014" s="3553"/>
      <c r="S1014" s="2307"/>
      <c r="T1014" s="3375"/>
      <c r="U1014" s="2648"/>
      <c r="V1014" s="3554"/>
      <c r="W1014" s="3150"/>
      <c r="X1014" s="2656"/>
      <c r="Y1014" s="2656"/>
      <c r="Z1014" s="2656"/>
      <c r="AA1014" s="2656"/>
      <c r="AB1014" s="2656"/>
      <c r="AC1014" s="2656"/>
      <c r="AD1014" s="2656"/>
      <c r="AE1014" s="2656"/>
      <c r="AF1014" s="2656"/>
      <c r="AG1014" s="2656"/>
      <c r="AH1014" s="2656"/>
      <c r="AI1014" s="2656"/>
      <c r="AJ1014" s="2656"/>
      <c r="AK1014" s="2656"/>
      <c r="AL1014" s="2656"/>
      <c r="AM1014" s="2656"/>
      <c r="AN1014" s="2656"/>
      <c r="AO1014" s="2656"/>
      <c r="AP1014" s="2656"/>
      <c r="AQ1014" s="2656"/>
      <c r="AR1014" s="2656"/>
      <c r="AS1014" s="2656"/>
      <c r="AT1014" s="2656"/>
      <c r="AU1014" s="2656"/>
      <c r="AV1014" s="2656"/>
      <c r="AW1014" s="2656"/>
      <c r="AX1014" s="2656"/>
      <c r="AY1014" s="2656"/>
      <c r="AZ1014" s="2656"/>
      <c r="BA1014" s="2656"/>
      <c r="BB1014" s="2656"/>
      <c r="BC1014" s="2656"/>
      <c r="BD1014" s="2656"/>
      <c r="BE1014" s="2656"/>
      <c r="BF1014" s="2656"/>
      <c r="BG1014" s="2656"/>
      <c r="BH1014" s="2656"/>
      <c r="BI1014" s="2656"/>
    </row>
    <row r="1015" spans="1:61" ht="24.75" customHeight="1">
      <c r="A1015" s="3375"/>
      <c r="B1015" s="2646"/>
      <c r="C1015" s="2647"/>
      <c r="D1015" s="2646"/>
      <c r="E1015" s="3013"/>
      <c r="F1015" s="2655"/>
      <c r="G1015" s="2596"/>
      <c r="H1015" s="4138"/>
      <c r="I1015" s="3375"/>
      <c r="J1015" s="2648"/>
      <c r="K1015" s="3147"/>
      <c r="L1015" s="2785"/>
      <c r="M1015" s="2695"/>
      <c r="N1015" s="2649"/>
      <c r="O1015" s="2655"/>
      <c r="P1015" s="2651"/>
      <c r="Q1015" s="3440"/>
      <c r="R1015" s="3553"/>
      <c r="S1015" s="1407"/>
      <c r="T1015" s="3375"/>
      <c r="U1015" s="2648"/>
      <c r="V1015" s="3554"/>
      <c r="W1015" s="3150"/>
      <c r="X1015" s="2656"/>
      <c r="Y1015" s="2656"/>
      <c r="Z1015" s="2656"/>
      <c r="AA1015" s="2656"/>
      <c r="AB1015" s="2656"/>
      <c r="AC1015" s="2656"/>
      <c r="AD1015" s="2656"/>
      <c r="AE1015" s="2656"/>
      <c r="AF1015" s="2656"/>
      <c r="AG1015" s="2656"/>
      <c r="AH1015" s="2656"/>
      <c r="AI1015" s="2656"/>
      <c r="AJ1015" s="2656"/>
      <c r="AK1015" s="2656"/>
      <c r="AL1015" s="2656"/>
      <c r="AM1015" s="2656"/>
      <c r="AN1015" s="2656"/>
      <c r="AO1015" s="2656"/>
      <c r="AP1015" s="2656"/>
      <c r="AQ1015" s="2656"/>
      <c r="AR1015" s="2656"/>
      <c r="AS1015" s="2656"/>
      <c r="AT1015" s="2656"/>
      <c r="AU1015" s="2656"/>
      <c r="AV1015" s="2656"/>
      <c r="AW1015" s="2656"/>
      <c r="AX1015" s="2656"/>
      <c r="AY1015" s="2656"/>
      <c r="AZ1015" s="2656"/>
      <c r="BA1015" s="2656"/>
      <c r="BB1015" s="2656"/>
      <c r="BC1015" s="2656"/>
      <c r="BD1015" s="2656"/>
      <c r="BE1015" s="2656"/>
      <c r="BF1015" s="2656"/>
      <c r="BG1015" s="2656"/>
      <c r="BH1015" s="2656"/>
      <c r="BI1015" s="2656"/>
    </row>
    <row r="1016" spans="1:61" ht="24.75" customHeight="1">
      <c r="A1016" s="3375"/>
      <c r="B1016" s="2646"/>
      <c r="C1016" s="2647"/>
      <c r="D1016" s="2646"/>
      <c r="E1016" s="3013"/>
      <c r="F1016" s="2655"/>
      <c r="G1016" s="2596"/>
      <c r="H1016" s="4138"/>
      <c r="I1016" s="3375"/>
      <c r="J1016" s="2648"/>
      <c r="K1016" s="3147"/>
      <c r="L1016" s="2785"/>
      <c r="M1016" s="2695"/>
      <c r="N1016" s="2649"/>
      <c r="O1016" s="2655"/>
      <c r="P1016" s="2651"/>
      <c r="Q1016" s="3440"/>
      <c r="R1016" s="3553"/>
      <c r="S1016" s="1407"/>
      <c r="T1016" s="3375"/>
      <c r="U1016" s="2648"/>
      <c r="V1016" s="3554"/>
      <c r="W1016" s="3150"/>
      <c r="X1016" s="2656"/>
      <c r="Y1016" s="2656"/>
      <c r="Z1016" s="2656"/>
      <c r="AA1016" s="2656"/>
      <c r="AB1016" s="2656"/>
      <c r="AC1016" s="2656"/>
      <c r="AD1016" s="2656"/>
      <c r="AE1016" s="2656"/>
      <c r="AF1016" s="2656"/>
      <c r="AG1016" s="2656"/>
      <c r="AH1016" s="2656"/>
      <c r="AI1016" s="2656"/>
      <c r="AJ1016" s="2656"/>
      <c r="AK1016" s="2656"/>
      <c r="AL1016" s="2656"/>
      <c r="AM1016" s="2656"/>
      <c r="AN1016" s="2656"/>
      <c r="AO1016" s="2656"/>
      <c r="AP1016" s="2656"/>
      <c r="AQ1016" s="2656"/>
      <c r="AR1016" s="2656"/>
      <c r="AS1016" s="2656"/>
      <c r="AT1016" s="2656"/>
      <c r="AU1016" s="2656"/>
      <c r="AV1016" s="2656"/>
      <c r="AW1016" s="2656"/>
      <c r="AX1016" s="2656"/>
      <c r="AY1016" s="2656"/>
      <c r="AZ1016" s="2656"/>
      <c r="BA1016" s="2656"/>
      <c r="BB1016" s="2656"/>
      <c r="BC1016" s="2656"/>
      <c r="BD1016" s="2656"/>
      <c r="BE1016" s="2656"/>
      <c r="BF1016" s="2656"/>
      <c r="BG1016" s="2656"/>
      <c r="BH1016" s="2656"/>
      <c r="BI1016" s="2656"/>
    </row>
    <row r="1017" spans="1:61" ht="24.75" customHeight="1">
      <c r="A1017" s="3375"/>
      <c r="B1017" s="2646"/>
      <c r="C1017" s="2647"/>
      <c r="D1017" s="2646"/>
      <c r="E1017" s="3013"/>
      <c r="F1017" s="2655"/>
      <c r="G1017" s="2596"/>
      <c r="H1017" s="4138"/>
      <c r="I1017" s="3375"/>
      <c r="J1017" s="2648"/>
      <c r="K1017" s="3147"/>
      <c r="L1017" s="2785"/>
      <c r="M1017" s="2695"/>
      <c r="N1017" s="2649"/>
      <c r="O1017" s="2655"/>
      <c r="P1017" s="2651"/>
      <c r="Q1017" s="3440"/>
      <c r="R1017" s="3553"/>
      <c r="S1017" s="1407"/>
      <c r="T1017" s="3375"/>
      <c r="U1017" s="2648"/>
      <c r="V1017" s="3554"/>
      <c r="W1017" s="3150"/>
      <c r="X1017" s="2656"/>
      <c r="Y1017" s="2656"/>
      <c r="Z1017" s="2656"/>
      <c r="AA1017" s="2656"/>
      <c r="AB1017" s="2656"/>
      <c r="AC1017" s="2656"/>
      <c r="AD1017" s="2656"/>
      <c r="AE1017" s="2656"/>
      <c r="AF1017" s="2656"/>
      <c r="AG1017" s="2656"/>
      <c r="AH1017" s="2656"/>
      <c r="AI1017" s="2656"/>
      <c r="AJ1017" s="2656"/>
      <c r="AK1017" s="2656"/>
      <c r="AL1017" s="2656"/>
      <c r="AM1017" s="2656"/>
      <c r="AN1017" s="2656"/>
      <c r="AO1017" s="2656"/>
      <c r="AP1017" s="2656"/>
      <c r="AQ1017" s="2656"/>
      <c r="AR1017" s="2656"/>
      <c r="AS1017" s="2656"/>
      <c r="AT1017" s="2656"/>
      <c r="AU1017" s="2656"/>
      <c r="AV1017" s="2656"/>
      <c r="AW1017" s="2656"/>
      <c r="AX1017" s="2656"/>
      <c r="AY1017" s="2656"/>
      <c r="AZ1017" s="2656"/>
      <c r="BA1017" s="2656"/>
      <c r="BB1017" s="2656"/>
      <c r="BC1017" s="2656"/>
      <c r="BD1017" s="2656"/>
      <c r="BE1017" s="2656"/>
      <c r="BF1017" s="2656"/>
      <c r="BG1017" s="2656"/>
      <c r="BH1017" s="2656"/>
      <c r="BI1017" s="2656"/>
    </row>
    <row r="1018" spans="1:61" ht="24.75" customHeight="1">
      <c r="A1018" s="3375"/>
      <c r="B1018" s="2646"/>
      <c r="C1018" s="2647"/>
      <c r="D1018" s="2646"/>
      <c r="E1018" s="3013"/>
      <c r="F1018" s="2655"/>
      <c r="G1018" s="2596"/>
      <c r="H1018" s="4138"/>
      <c r="I1018" s="3375"/>
      <c r="J1018" s="2648"/>
      <c r="K1018" s="3147"/>
      <c r="L1018" s="2785"/>
      <c r="M1018" s="2695"/>
      <c r="N1018" s="2649"/>
      <c r="O1018" s="2655"/>
      <c r="P1018" s="2651"/>
      <c r="Q1018" s="3440"/>
      <c r="R1018" s="3553"/>
      <c r="S1018" s="1407"/>
      <c r="T1018" s="3375"/>
      <c r="U1018" s="2648"/>
      <c r="V1018" s="3554"/>
      <c r="W1018" s="3150"/>
      <c r="X1018" s="2656"/>
      <c r="Y1018" s="2656"/>
      <c r="Z1018" s="2656"/>
      <c r="AA1018" s="2656"/>
      <c r="AB1018" s="2656"/>
      <c r="AC1018" s="2656"/>
      <c r="AD1018" s="2656"/>
      <c r="AE1018" s="2656"/>
      <c r="AF1018" s="2656"/>
      <c r="AG1018" s="2656"/>
      <c r="AH1018" s="2656"/>
      <c r="AI1018" s="2656"/>
      <c r="AJ1018" s="2656"/>
      <c r="AK1018" s="2656"/>
      <c r="AL1018" s="2656"/>
      <c r="AM1018" s="2656"/>
      <c r="AN1018" s="2656"/>
      <c r="AO1018" s="2656"/>
      <c r="AP1018" s="2656"/>
      <c r="AQ1018" s="2656"/>
      <c r="AR1018" s="2656"/>
      <c r="AS1018" s="2656"/>
      <c r="AT1018" s="2656"/>
      <c r="AU1018" s="2656"/>
      <c r="AV1018" s="2656"/>
      <c r="AW1018" s="2656"/>
      <c r="AX1018" s="2656"/>
      <c r="AY1018" s="2656"/>
      <c r="AZ1018" s="2656"/>
      <c r="BA1018" s="2656"/>
      <c r="BB1018" s="2656"/>
      <c r="BC1018" s="2656"/>
      <c r="BD1018" s="2656"/>
      <c r="BE1018" s="2656"/>
      <c r="BF1018" s="2656"/>
      <c r="BG1018" s="2656"/>
      <c r="BH1018" s="2656"/>
      <c r="BI1018" s="2656"/>
    </row>
    <row r="1019" spans="1:61" ht="24.75" customHeight="1">
      <c r="A1019" s="3375"/>
      <c r="B1019" s="2646"/>
      <c r="C1019" s="2647"/>
      <c r="D1019" s="2646"/>
      <c r="E1019" s="3013"/>
      <c r="F1019" s="2655"/>
      <c r="G1019" s="2596"/>
      <c r="H1019" s="4138"/>
      <c r="I1019" s="3375"/>
      <c r="J1019" s="2648"/>
      <c r="K1019" s="3147"/>
      <c r="L1019" s="2785"/>
      <c r="M1019" s="2695"/>
      <c r="N1019" s="2649"/>
      <c r="O1019" s="2655"/>
      <c r="P1019" s="2651"/>
      <c r="Q1019" s="3440"/>
      <c r="R1019" s="3553"/>
      <c r="S1019" s="1407"/>
      <c r="T1019" s="3375"/>
      <c r="U1019" s="2648"/>
      <c r="V1019" s="3554"/>
      <c r="W1019" s="3150"/>
      <c r="X1019" s="2656"/>
      <c r="Y1019" s="2656"/>
      <c r="Z1019" s="2656"/>
      <c r="AA1019" s="2656"/>
      <c r="AB1019" s="2656"/>
      <c r="AC1019" s="2656"/>
      <c r="AD1019" s="2656"/>
      <c r="AE1019" s="2656"/>
      <c r="AF1019" s="2656"/>
      <c r="AG1019" s="2656"/>
      <c r="AH1019" s="2656"/>
      <c r="AI1019" s="2656"/>
      <c r="AJ1019" s="2656"/>
      <c r="AK1019" s="2656"/>
      <c r="AL1019" s="2656"/>
      <c r="AM1019" s="2656"/>
      <c r="AN1019" s="2656"/>
      <c r="AO1019" s="2656"/>
      <c r="AP1019" s="2656"/>
      <c r="AQ1019" s="2656"/>
      <c r="AR1019" s="2656"/>
      <c r="AS1019" s="2656"/>
      <c r="AT1019" s="2656"/>
      <c r="AU1019" s="2656"/>
      <c r="AV1019" s="2656"/>
      <c r="AW1019" s="2656"/>
      <c r="AX1019" s="2656"/>
      <c r="AY1019" s="2656"/>
      <c r="AZ1019" s="2656"/>
      <c r="BA1019" s="2656"/>
      <c r="BB1019" s="2656"/>
      <c r="BC1019" s="2656"/>
      <c r="BD1019" s="2656"/>
      <c r="BE1019" s="2656"/>
      <c r="BF1019" s="2656"/>
      <c r="BG1019" s="2656"/>
      <c r="BH1019" s="2656"/>
      <c r="BI1019" s="2656"/>
    </row>
    <row r="1020" spans="1:61" ht="24.75" customHeight="1">
      <c r="A1020" s="3375"/>
      <c r="B1020" s="2646"/>
      <c r="C1020" s="2647"/>
      <c r="D1020" s="2646"/>
      <c r="E1020" s="3013"/>
      <c r="F1020" s="2655"/>
      <c r="G1020" s="2596"/>
      <c r="H1020" s="4138"/>
      <c r="I1020" s="3375"/>
      <c r="J1020" s="2648"/>
      <c r="K1020" s="3147"/>
      <c r="L1020" s="2785"/>
      <c r="M1020" s="2695"/>
      <c r="N1020" s="2649"/>
      <c r="O1020" s="2655"/>
      <c r="P1020" s="2651"/>
      <c r="Q1020" s="3440"/>
      <c r="R1020" s="3553"/>
      <c r="S1020" s="1407"/>
      <c r="T1020" s="3375"/>
      <c r="U1020" s="2648"/>
      <c r="V1020" s="3554"/>
      <c r="W1020" s="3150"/>
      <c r="X1020" s="2656"/>
      <c r="Y1020" s="2656"/>
      <c r="Z1020" s="2656"/>
      <c r="AA1020" s="2656"/>
      <c r="AB1020" s="2656"/>
      <c r="AC1020" s="2656"/>
      <c r="AD1020" s="2656"/>
      <c r="AE1020" s="2656"/>
      <c r="AF1020" s="2656"/>
      <c r="AG1020" s="2656"/>
      <c r="AH1020" s="2656"/>
      <c r="AI1020" s="2656"/>
      <c r="AJ1020" s="2656"/>
      <c r="AK1020" s="2656"/>
      <c r="AL1020" s="2656"/>
      <c r="AM1020" s="2656"/>
      <c r="AN1020" s="2656"/>
      <c r="AO1020" s="2656"/>
      <c r="AP1020" s="2656"/>
      <c r="AQ1020" s="2656"/>
      <c r="AR1020" s="2656"/>
      <c r="AS1020" s="2656"/>
      <c r="AT1020" s="2656"/>
      <c r="AU1020" s="2656"/>
      <c r="AV1020" s="2656"/>
      <c r="AW1020" s="2656"/>
      <c r="AX1020" s="2656"/>
      <c r="AY1020" s="2656"/>
      <c r="AZ1020" s="2656"/>
      <c r="BA1020" s="2656"/>
      <c r="BB1020" s="2656"/>
      <c r="BC1020" s="2656"/>
      <c r="BD1020" s="2656"/>
      <c r="BE1020" s="2656"/>
      <c r="BF1020" s="2656"/>
      <c r="BG1020" s="2656"/>
      <c r="BH1020" s="2656"/>
      <c r="BI1020" s="2656"/>
    </row>
    <row r="1021" spans="1:61" ht="24.75" customHeight="1">
      <c r="A1021" s="3375"/>
      <c r="B1021" s="2646"/>
      <c r="C1021" s="2647"/>
      <c r="D1021" s="2646"/>
      <c r="E1021" s="3013"/>
      <c r="F1021" s="2655"/>
      <c r="G1021" s="2596"/>
      <c r="H1021" s="4138"/>
      <c r="I1021" s="3375"/>
      <c r="J1021" s="2648"/>
      <c r="K1021" s="3147"/>
      <c r="L1021" s="2785"/>
      <c r="M1021" s="2695"/>
      <c r="N1021" s="2649"/>
      <c r="O1021" s="2655"/>
      <c r="P1021" s="2651"/>
      <c r="Q1021" s="3440"/>
      <c r="R1021" s="3553"/>
      <c r="S1021" s="1407"/>
      <c r="T1021" s="3375"/>
      <c r="U1021" s="2648"/>
      <c r="V1021" s="3554"/>
      <c r="W1021" s="3150"/>
      <c r="X1021" s="2656"/>
      <c r="Y1021" s="2656"/>
      <c r="Z1021" s="2656"/>
      <c r="AA1021" s="2656"/>
      <c r="AB1021" s="2656"/>
      <c r="AC1021" s="2656"/>
      <c r="AD1021" s="2656"/>
      <c r="AE1021" s="2656"/>
      <c r="AF1021" s="2656"/>
      <c r="AG1021" s="2656"/>
      <c r="AH1021" s="2656"/>
      <c r="AI1021" s="2656"/>
      <c r="AJ1021" s="2656"/>
      <c r="AK1021" s="2656"/>
      <c r="AL1021" s="2656"/>
      <c r="AM1021" s="2656"/>
      <c r="AN1021" s="2656"/>
      <c r="AO1021" s="2656"/>
      <c r="AP1021" s="2656"/>
      <c r="AQ1021" s="2656"/>
      <c r="AR1021" s="2656"/>
      <c r="AS1021" s="2656"/>
      <c r="AT1021" s="2656"/>
      <c r="AU1021" s="2656"/>
      <c r="AV1021" s="2656"/>
      <c r="AW1021" s="2656"/>
      <c r="AX1021" s="2656"/>
      <c r="AY1021" s="2656"/>
      <c r="AZ1021" s="2656"/>
      <c r="BA1021" s="2656"/>
      <c r="BB1021" s="2656"/>
      <c r="BC1021" s="2656"/>
      <c r="BD1021" s="2656"/>
      <c r="BE1021" s="2656"/>
      <c r="BF1021" s="2656"/>
      <c r="BG1021" s="2656"/>
      <c r="BH1021" s="2656"/>
      <c r="BI1021" s="2656"/>
    </row>
    <row r="1022" spans="1:61" ht="24.75" customHeight="1">
      <c r="A1022" s="3375"/>
      <c r="B1022" s="2646"/>
      <c r="C1022" s="2647"/>
      <c r="D1022" s="2646"/>
      <c r="E1022" s="3013"/>
      <c r="F1022" s="2655"/>
      <c r="G1022" s="2596"/>
      <c r="H1022" s="4138"/>
      <c r="I1022" s="3375"/>
      <c r="J1022" s="2648"/>
      <c r="K1022" s="3147"/>
      <c r="L1022" s="2785"/>
      <c r="M1022" s="2695"/>
      <c r="N1022" s="2649"/>
      <c r="O1022" s="2655"/>
      <c r="P1022" s="2651"/>
      <c r="Q1022" s="3440"/>
      <c r="R1022" s="3553"/>
      <c r="S1022" s="1407"/>
      <c r="T1022" s="3375"/>
      <c r="U1022" s="2648"/>
      <c r="V1022" s="3554"/>
      <c r="W1022" s="3150"/>
      <c r="X1022" s="2656"/>
      <c r="Y1022" s="2656"/>
      <c r="Z1022" s="2656"/>
      <c r="AA1022" s="2656"/>
      <c r="AB1022" s="2656"/>
      <c r="AC1022" s="2656"/>
      <c r="AD1022" s="2656"/>
      <c r="AE1022" s="2656"/>
      <c r="AF1022" s="2656"/>
      <c r="AG1022" s="2656"/>
      <c r="AH1022" s="2656"/>
      <c r="AI1022" s="2656"/>
      <c r="AJ1022" s="2656"/>
      <c r="AK1022" s="2656"/>
      <c r="AL1022" s="2656"/>
      <c r="AM1022" s="2656"/>
      <c r="AN1022" s="2656"/>
      <c r="AO1022" s="2656"/>
      <c r="AP1022" s="2656"/>
      <c r="AQ1022" s="2656"/>
      <c r="AR1022" s="2656"/>
      <c r="AS1022" s="2656"/>
      <c r="AT1022" s="2656"/>
      <c r="AU1022" s="2656"/>
      <c r="AV1022" s="2656"/>
      <c r="AW1022" s="2656"/>
      <c r="AX1022" s="2656"/>
      <c r="AY1022" s="2656"/>
      <c r="AZ1022" s="2656"/>
      <c r="BA1022" s="2656"/>
      <c r="BB1022" s="2656"/>
      <c r="BC1022" s="2656"/>
      <c r="BD1022" s="2656"/>
      <c r="BE1022" s="2656"/>
      <c r="BF1022" s="2656"/>
      <c r="BG1022" s="2656"/>
      <c r="BH1022" s="2656"/>
      <c r="BI1022" s="2656"/>
    </row>
    <row r="1023" spans="1:61" ht="24.75" customHeight="1">
      <c r="A1023" s="3375"/>
      <c r="B1023" s="2646"/>
      <c r="C1023" s="2647"/>
      <c r="D1023" s="2646"/>
      <c r="E1023" s="3013"/>
      <c r="F1023" s="2655"/>
      <c r="G1023" s="2596"/>
      <c r="H1023" s="4138"/>
      <c r="I1023" s="3375"/>
      <c r="J1023" s="2648"/>
      <c r="K1023" s="3147"/>
      <c r="L1023" s="2785"/>
      <c r="M1023" s="2695"/>
      <c r="N1023" s="2649"/>
      <c r="O1023" s="2655"/>
      <c r="P1023" s="2651"/>
      <c r="Q1023" s="3440"/>
      <c r="R1023" s="3553"/>
      <c r="S1023" s="1407"/>
      <c r="T1023" s="3375"/>
      <c r="U1023" s="2648"/>
      <c r="V1023" s="3554"/>
      <c r="W1023" s="3150"/>
      <c r="X1023" s="2656"/>
      <c r="Y1023" s="2656"/>
      <c r="Z1023" s="2656"/>
      <c r="AA1023" s="2656"/>
      <c r="AB1023" s="2656"/>
      <c r="AC1023" s="2656"/>
      <c r="AD1023" s="2656"/>
      <c r="AE1023" s="2656"/>
      <c r="AF1023" s="2656"/>
      <c r="AG1023" s="2656"/>
      <c r="AH1023" s="2656"/>
      <c r="AI1023" s="2656"/>
      <c r="AJ1023" s="2656"/>
      <c r="AK1023" s="2656"/>
      <c r="AL1023" s="2656"/>
      <c r="AM1023" s="2656"/>
      <c r="AN1023" s="2656"/>
      <c r="AO1023" s="2656"/>
      <c r="AP1023" s="2656"/>
      <c r="AQ1023" s="2656"/>
      <c r="AR1023" s="2656"/>
      <c r="AS1023" s="2656"/>
      <c r="AT1023" s="2656"/>
      <c r="AU1023" s="2656"/>
      <c r="AV1023" s="2656"/>
      <c r="AW1023" s="2656"/>
      <c r="AX1023" s="2656"/>
      <c r="AY1023" s="2656"/>
      <c r="AZ1023" s="2656"/>
      <c r="BA1023" s="2656"/>
      <c r="BB1023" s="2656"/>
      <c r="BC1023" s="2656"/>
      <c r="BD1023" s="2656"/>
      <c r="BE1023" s="2656"/>
      <c r="BF1023" s="2656"/>
      <c r="BG1023" s="2656"/>
      <c r="BH1023" s="2656"/>
      <c r="BI1023" s="2656"/>
    </row>
    <row r="1024" spans="1:61" ht="24.75" customHeight="1">
      <c r="A1024" s="3375"/>
      <c r="B1024" s="2646"/>
      <c r="C1024" s="2647"/>
      <c r="D1024" s="2646"/>
      <c r="E1024" s="3013"/>
      <c r="F1024" s="2655"/>
      <c r="G1024" s="2596"/>
      <c r="H1024" s="4138"/>
      <c r="I1024" s="3375"/>
      <c r="J1024" s="2648"/>
      <c r="K1024" s="3147"/>
      <c r="L1024" s="2785"/>
      <c r="M1024" s="2695"/>
      <c r="N1024" s="2649"/>
      <c r="O1024" s="2655"/>
      <c r="P1024" s="2651"/>
      <c r="Q1024" s="3440"/>
      <c r="R1024" s="3553"/>
      <c r="S1024" s="1407"/>
      <c r="T1024" s="3375"/>
      <c r="U1024" s="2648"/>
      <c r="V1024" s="3554"/>
      <c r="W1024" s="3150"/>
      <c r="X1024" s="2656"/>
      <c r="Y1024" s="2656"/>
      <c r="Z1024" s="2656"/>
      <c r="AA1024" s="2656"/>
      <c r="AB1024" s="2656"/>
      <c r="AC1024" s="2656"/>
      <c r="AD1024" s="2656"/>
      <c r="AE1024" s="2656"/>
      <c r="AF1024" s="2656"/>
      <c r="AG1024" s="2656"/>
      <c r="AH1024" s="2656"/>
      <c r="AI1024" s="2656"/>
      <c r="AJ1024" s="2656"/>
      <c r="AK1024" s="2656"/>
      <c r="AL1024" s="2656"/>
      <c r="AM1024" s="2656"/>
      <c r="AN1024" s="2656"/>
      <c r="AO1024" s="2656"/>
      <c r="AP1024" s="2656"/>
      <c r="AQ1024" s="2656"/>
      <c r="AR1024" s="2656"/>
      <c r="AS1024" s="2656"/>
      <c r="AT1024" s="2656"/>
      <c r="AU1024" s="2656"/>
      <c r="AV1024" s="2656"/>
      <c r="AW1024" s="2656"/>
      <c r="AX1024" s="2656"/>
      <c r="AY1024" s="2656"/>
      <c r="AZ1024" s="2656"/>
      <c r="BA1024" s="2656"/>
      <c r="BB1024" s="2656"/>
      <c r="BC1024" s="2656"/>
      <c r="BD1024" s="2656"/>
      <c r="BE1024" s="2656"/>
      <c r="BF1024" s="2656"/>
      <c r="BG1024" s="2656"/>
      <c r="BH1024" s="2656"/>
      <c r="BI1024" s="2656"/>
    </row>
    <row r="1025" spans="1:61" ht="24.75" customHeight="1">
      <c r="A1025" s="3375"/>
      <c r="B1025" s="2646"/>
      <c r="C1025" s="2647"/>
      <c r="D1025" s="2646"/>
      <c r="E1025" s="3013"/>
      <c r="F1025" s="2655"/>
      <c r="G1025" s="2596"/>
      <c r="H1025" s="4138"/>
      <c r="I1025" s="3375"/>
      <c r="J1025" s="2648"/>
      <c r="K1025" s="3147"/>
      <c r="L1025" s="2785"/>
      <c r="M1025" s="2695"/>
      <c r="N1025" s="2649"/>
      <c r="O1025" s="2655"/>
      <c r="P1025" s="2651"/>
      <c r="Q1025" s="3440"/>
      <c r="R1025" s="3553"/>
      <c r="S1025" s="1407"/>
      <c r="T1025" s="3375"/>
      <c r="U1025" s="2648"/>
      <c r="V1025" s="3554"/>
      <c r="W1025" s="3150"/>
      <c r="X1025" s="2656"/>
      <c r="Y1025" s="2656"/>
      <c r="Z1025" s="2656"/>
      <c r="AA1025" s="2656"/>
      <c r="AB1025" s="2656"/>
      <c r="AC1025" s="2656"/>
      <c r="AD1025" s="2656"/>
      <c r="AE1025" s="2656"/>
      <c r="AF1025" s="2656"/>
      <c r="AG1025" s="2656"/>
      <c r="AH1025" s="2656"/>
      <c r="AI1025" s="2656"/>
      <c r="AJ1025" s="2656"/>
      <c r="AK1025" s="2656"/>
      <c r="AL1025" s="2656"/>
      <c r="AM1025" s="2656"/>
      <c r="AN1025" s="2656"/>
      <c r="AO1025" s="2656"/>
      <c r="AP1025" s="2656"/>
      <c r="AQ1025" s="2656"/>
      <c r="AR1025" s="2656"/>
      <c r="AS1025" s="2656"/>
      <c r="AT1025" s="2656"/>
      <c r="AU1025" s="2656"/>
      <c r="AV1025" s="2656"/>
      <c r="AW1025" s="2656"/>
      <c r="AX1025" s="2656"/>
      <c r="AY1025" s="2656"/>
      <c r="AZ1025" s="2656"/>
      <c r="BA1025" s="2656"/>
      <c r="BB1025" s="2656"/>
      <c r="BC1025" s="2656"/>
      <c r="BD1025" s="2656"/>
      <c r="BE1025" s="2656"/>
      <c r="BF1025" s="2656"/>
      <c r="BG1025" s="2656"/>
      <c r="BH1025" s="2656"/>
      <c r="BI1025" s="2656"/>
    </row>
    <row r="1026" spans="1:61" ht="24.75" customHeight="1">
      <c r="A1026" s="3375"/>
      <c r="B1026" s="2646"/>
      <c r="C1026" s="2647"/>
      <c r="D1026" s="2646"/>
      <c r="E1026" s="3013"/>
      <c r="F1026" s="2655"/>
      <c r="G1026" s="2596"/>
      <c r="H1026" s="4138"/>
      <c r="I1026" s="3375"/>
      <c r="J1026" s="2648"/>
      <c r="K1026" s="3147"/>
      <c r="L1026" s="2785"/>
      <c r="M1026" s="2695"/>
      <c r="N1026" s="2649"/>
      <c r="O1026" s="2655"/>
      <c r="P1026" s="2651"/>
      <c r="Q1026" s="3440"/>
      <c r="R1026" s="3553"/>
      <c r="S1026" s="1407"/>
      <c r="T1026" s="3375"/>
      <c r="U1026" s="2648"/>
      <c r="V1026" s="3554"/>
      <c r="W1026" s="3150"/>
      <c r="X1026" s="2656"/>
      <c r="Y1026" s="2656"/>
      <c r="Z1026" s="2656"/>
      <c r="AA1026" s="2656"/>
      <c r="AB1026" s="2656"/>
      <c r="AC1026" s="2656"/>
      <c r="AD1026" s="2656"/>
      <c r="AE1026" s="2656"/>
      <c r="AF1026" s="2656"/>
      <c r="AG1026" s="2656"/>
      <c r="AH1026" s="2656"/>
      <c r="AI1026" s="2656"/>
      <c r="AJ1026" s="2656"/>
      <c r="AK1026" s="2656"/>
      <c r="AL1026" s="2656"/>
      <c r="AM1026" s="2656"/>
      <c r="AN1026" s="2656"/>
      <c r="AO1026" s="2656"/>
      <c r="AP1026" s="2656"/>
      <c r="AQ1026" s="2656"/>
      <c r="AR1026" s="2656"/>
      <c r="AS1026" s="2656"/>
      <c r="AT1026" s="2656"/>
      <c r="AU1026" s="2656"/>
      <c r="AV1026" s="2656"/>
      <c r="AW1026" s="2656"/>
      <c r="AX1026" s="2656"/>
      <c r="AY1026" s="2656"/>
      <c r="AZ1026" s="2656"/>
      <c r="BA1026" s="2656"/>
      <c r="BB1026" s="2656"/>
      <c r="BC1026" s="2656"/>
      <c r="BD1026" s="2656"/>
      <c r="BE1026" s="2656"/>
      <c r="BF1026" s="2656"/>
      <c r="BG1026" s="2656"/>
      <c r="BH1026" s="2656"/>
      <c r="BI1026" s="2656"/>
    </row>
    <row r="1027" spans="1:61" ht="24.75" customHeight="1">
      <c r="A1027" s="3375"/>
      <c r="B1027" s="2646"/>
      <c r="C1027" s="2647"/>
      <c r="D1027" s="2646"/>
      <c r="E1027" s="3013"/>
      <c r="F1027" s="2655"/>
      <c r="G1027" s="2596"/>
      <c r="H1027" s="4138"/>
      <c r="I1027" s="3375"/>
      <c r="J1027" s="2648"/>
      <c r="K1027" s="3147"/>
      <c r="L1027" s="2785"/>
      <c r="M1027" s="2695"/>
      <c r="N1027" s="2649"/>
      <c r="O1027" s="2655"/>
      <c r="P1027" s="2651"/>
      <c r="Q1027" s="3440"/>
      <c r="R1027" s="3553"/>
      <c r="S1027" s="1407"/>
      <c r="T1027" s="3375"/>
      <c r="U1027" s="2648"/>
      <c r="V1027" s="3554"/>
      <c r="W1027" s="3150"/>
      <c r="X1027" s="2656"/>
      <c r="Y1027" s="2656"/>
      <c r="Z1027" s="2656"/>
      <c r="AA1027" s="2656"/>
      <c r="AB1027" s="2656"/>
      <c r="AC1027" s="2656"/>
      <c r="AD1027" s="2656"/>
      <c r="AE1027" s="2656"/>
      <c r="AF1027" s="2656"/>
      <c r="AG1027" s="2656"/>
      <c r="AH1027" s="2656"/>
      <c r="AI1027" s="2656"/>
      <c r="AJ1027" s="2656"/>
      <c r="AK1027" s="2656"/>
      <c r="AL1027" s="2656"/>
      <c r="AM1027" s="2656"/>
      <c r="AN1027" s="2656"/>
      <c r="AO1027" s="2656"/>
      <c r="AP1027" s="2656"/>
      <c r="AQ1027" s="2656"/>
      <c r="AR1027" s="2656"/>
      <c r="AS1027" s="2656"/>
      <c r="AT1027" s="2656"/>
      <c r="AU1027" s="2656"/>
      <c r="AV1027" s="2656"/>
      <c r="AW1027" s="2656"/>
      <c r="AX1027" s="2656"/>
      <c r="AY1027" s="2656"/>
      <c r="AZ1027" s="2656"/>
      <c r="BA1027" s="2656"/>
      <c r="BB1027" s="2656"/>
      <c r="BC1027" s="2656"/>
      <c r="BD1027" s="2656"/>
      <c r="BE1027" s="2656"/>
      <c r="BF1027" s="2656"/>
      <c r="BG1027" s="2656"/>
      <c r="BH1027" s="2656"/>
      <c r="BI1027" s="2656"/>
    </row>
    <row r="1028" spans="1:61" ht="24.75" customHeight="1">
      <c r="A1028" s="3375"/>
      <c r="B1028" s="2646"/>
      <c r="C1028" s="2647"/>
      <c r="D1028" s="2646"/>
      <c r="E1028" s="3013"/>
      <c r="F1028" s="2655"/>
      <c r="G1028" s="2596"/>
      <c r="H1028" s="4138"/>
      <c r="I1028" s="3375"/>
      <c r="J1028" s="2648"/>
      <c r="K1028" s="3147"/>
      <c r="L1028" s="2785"/>
      <c r="M1028" s="2695"/>
      <c r="N1028" s="2649"/>
      <c r="O1028" s="2655"/>
      <c r="P1028" s="2651"/>
      <c r="Q1028" s="3440"/>
      <c r="R1028" s="3553"/>
      <c r="S1028" s="1407"/>
      <c r="T1028" s="3375"/>
      <c r="U1028" s="2648"/>
      <c r="V1028" s="3554"/>
      <c r="W1028" s="3150"/>
      <c r="X1028" s="2656"/>
      <c r="Y1028" s="2656"/>
      <c r="Z1028" s="2656"/>
      <c r="AA1028" s="2656"/>
      <c r="AB1028" s="2656"/>
      <c r="AC1028" s="2656"/>
      <c r="AD1028" s="2656"/>
      <c r="AE1028" s="2656"/>
      <c r="AF1028" s="2656"/>
      <c r="AG1028" s="2656"/>
      <c r="AH1028" s="2656"/>
      <c r="AI1028" s="2656"/>
      <c r="AJ1028" s="2656"/>
      <c r="AK1028" s="2656"/>
      <c r="AL1028" s="2656"/>
      <c r="AM1028" s="2656"/>
      <c r="AN1028" s="2656"/>
      <c r="AO1028" s="2656"/>
      <c r="AP1028" s="2656"/>
      <c r="AQ1028" s="2656"/>
      <c r="AR1028" s="2656"/>
      <c r="AS1028" s="2656"/>
      <c r="AT1028" s="2656"/>
      <c r="AU1028" s="2656"/>
      <c r="AV1028" s="2656"/>
      <c r="AW1028" s="2656"/>
      <c r="AX1028" s="2656"/>
      <c r="AY1028" s="2656"/>
      <c r="AZ1028" s="2656"/>
      <c r="BA1028" s="2656"/>
      <c r="BB1028" s="2656"/>
      <c r="BC1028" s="2656"/>
      <c r="BD1028" s="2656"/>
      <c r="BE1028" s="2656"/>
      <c r="BF1028" s="2656"/>
      <c r="BG1028" s="2656"/>
      <c r="BH1028" s="2656"/>
      <c r="BI1028" s="2656"/>
    </row>
    <row r="1029" spans="1:61" ht="24.75" customHeight="1">
      <c r="A1029" s="3375"/>
      <c r="B1029" s="2646"/>
      <c r="C1029" s="2647"/>
      <c r="D1029" s="2646"/>
      <c r="E1029" s="3013"/>
      <c r="F1029" s="2655"/>
      <c r="G1029" s="2596"/>
      <c r="H1029" s="4138"/>
      <c r="I1029" s="3375"/>
      <c r="J1029" s="2648"/>
      <c r="K1029" s="3147"/>
      <c r="L1029" s="2785"/>
      <c r="M1029" s="2695"/>
      <c r="N1029" s="2649"/>
      <c r="O1029" s="2655"/>
      <c r="P1029" s="2651"/>
      <c r="Q1029" s="3440"/>
      <c r="R1029" s="3553"/>
      <c r="S1029" s="1407"/>
      <c r="T1029" s="3375"/>
      <c r="U1029" s="2648"/>
      <c r="V1029" s="3554"/>
      <c r="W1029" s="3150"/>
      <c r="X1029" s="2656"/>
      <c r="Y1029" s="2656"/>
      <c r="Z1029" s="2656"/>
      <c r="AA1029" s="2656"/>
      <c r="AB1029" s="2656"/>
      <c r="AC1029" s="2656"/>
      <c r="AD1029" s="2656"/>
      <c r="AE1029" s="2656"/>
      <c r="AF1029" s="2656"/>
      <c r="AG1029" s="2656"/>
      <c r="AH1029" s="2656"/>
      <c r="AI1029" s="2656"/>
      <c r="AJ1029" s="2656"/>
      <c r="AK1029" s="2656"/>
      <c r="AL1029" s="2656"/>
      <c r="AM1029" s="2656"/>
      <c r="AN1029" s="2656"/>
      <c r="AO1029" s="2656"/>
      <c r="AP1029" s="2656"/>
      <c r="AQ1029" s="2656"/>
      <c r="AR1029" s="2656"/>
      <c r="AS1029" s="2656"/>
      <c r="AT1029" s="2656"/>
      <c r="AU1029" s="2656"/>
      <c r="AV1029" s="2656"/>
      <c r="AW1029" s="2656"/>
      <c r="AX1029" s="2656"/>
      <c r="AY1029" s="2656"/>
      <c r="AZ1029" s="2656"/>
      <c r="BA1029" s="2656"/>
      <c r="BB1029" s="2656"/>
      <c r="BC1029" s="2656"/>
      <c r="BD1029" s="2656"/>
      <c r="BE1029" s="2656"/>
      <c r="BF1029" s="2656"/>
      <c r="BG1029" s="2656"/>
      <c r="BH1029" s="2656"/>
      <c r="BI1029" s="2656"/>
    </row>
    <row r="1030" spans="1:61" ht="24.75" customHeight="1">
      <c r="A1030" s="3375"/>
      <c r="B1030" s="2646"/>
      <c r="C1030" s="2647"/>
      <c r="D1030" s="2646"/>
      <c r="E1030" s="3013"/>
      <c r="F1030" s="2655"/>
      <c r="G1030" s="2596"/>
      <c r="H1030" s="4138"/>
      <c r="I1030" s="3375"/>
      <c r="J1030" s="2648"/>
      <c r="K1030" s="3147"/>
      <c r="L1030" s="2785"/>
      <c r="M1030" s="2695"/>
      <c r="N1030" s="2649"/>
      <c r="O1030" s="2655"/>
      <c r="P1030" s="2651"/>
      <c r="Q1030" s="3440"/>
      <c r="R1030" s="3553"/>
      <c r="S1030" s="1407"/>
      <c r="T1030" s="3375"/>
      <c r="U1030" s="2648"/>
      <c r="V1030" s="3554"/>
      <c r="W1030" s="3150"/>
      <c r="X1030" s="2656"/>
      <c r="Y1030" s="2656"/>
      <c r="Z1030" s="2656"/>
      <c r="AA1030" s="2656"/>
      <c r="AB1030" s="2656"/>
      <c r="AC1030" s="2656"/>
      <c r="AD1030" s="2656"/>
      <c r="AE1030" s="2656"/>
      <c r="AF1030" s="2656"/>
      <c r="AG1030" s="2656"/>
      <c r="AH1030" s="2656"/>
      <c r="AI1030" s="2656"/>
      <c r="AJ1030" s="2656"/>
      <c r="AK1030" s="2656"/>
      <c r="AL1030" s="2656"/>
      <c r="AM1030" s="2656"/>
      <c r="AN1030" s="2656"/>
      <c r="AO1030" s="2656"/>
      <c r="AP1030" s="2656"/>
      <c r="AQ1030" s="2656"/>
      <c r="AR1030" s="2656"/>
      <c r="AS1030" s="2656"/>
      <c r="AT1030" s="2656"/>
      <c r="AU1030" s="2656"/>
      <c r="AV1030" s="2656"/>
      <c r="AW1030" s="2656"/>
      <c r="AX1030" s="2656"/>
      <c r="AY1030" s="2656"/>
      <c r="AZ1030" s="2656"/>
      <c r="BA1030" s="2656"/>
      <c r="BB1030" s="2656"/>
      <c r="BC1030" s="2656"/>
      <c r="BD1030" s="2656"/>
      <c r="BE1030" s="2656"/>
      <c r="BF1030" s="2656"/>
      <c r="BG1030" s="2656"/>
      <c r="BH1030" s="2656"/>
      <c r="BI1030" s="2656"/>
    </row>
    <row r="1031" spans="1:61" ht="24.75" customHeight="1">
      <c r="A1031" s="3375"/>
      <c r="B1031" s="2646"/>
      <c r="C1031" s="2647"/>
      <c r="D1031" s="2646"/>
      <c r="E1031" s="3013"/>
      <c r="F1031" s="2655"/>
      <c r="G1031" s="2596"/>
      <c r="H1031" s="4138"/>
      <c r="I1031" s="3375"/>
      <c r="J1031" s="2648"/>
      <c r="K1031" s="3147"/>
      <c r="L1031" s="2785"/>
      <c r="M1031" s="2695"/>
      <c r="N1031" s="2649"/>
      <c r="O1031" s="2655"/>
      <c r="P1031" s="2651"/>
      <c r="Q1031" s="3440"/>
      <c r="R1031" s="3553"/>
      <c r="S1031" s="1407"/>
      <c r="T1031" s="3375"/>
      <c r="U1031" s="2648"/>
      <c r="V1031" s="3554"/>
      <c r="W1031" s="3150"/>
      <c r="X1031" s="2656"/>
      <c r="Y1031" s="2656"/>
      <c r="Z1031" s="2656"/>
      <c r="AA1031" s="2656"/>
      <c r="AB1031" s="2656"/>
      <c r="AC1031" s="2656"/>
      <c r="AD1031" s="2656"/>
      <c r="AE1031" s="2656"/>
      <c r="AF1031" s="2656"/>
      <c r="AG1031" s="2656"/>
      <c r="AH1031" s="2656"/>
      <c r="AI1031" s="2656"/>
      <c r="AJ1031" s="2656"/>
      <c r="AK1031" s="2656"/>
      <c r="AL1031" s="2656"/>
      <c r="AM1031" s="2656"/>
      <c r="AN1031" s="2656"/>
      <c r="AO1031" s="2656"/>
      <c r="AP1031" s="2656"/>
      <c r="AQ1031" s="2656"/>
      <c r="AR1031" s="2656"/>
      <c r="AS1031" s="2656"/>
      <c r="AT1031" s="2656"/>
      <c r="AU1031" s="2656"/>
      <c r="AV1031" s="2656"/>
      <c r="AW1031" s="2656"/>
      <c r="AX1031" s="2656"/>
      <c r="AY1031" s="2656"/>
      <c r="AZ1031" s="2656"/>
      <c r="BA1031" s="2656"/>
      <c r="BB1031" s="2656"/>
      <c r="BC1031" s="2656"/>
      <c r="BD1031" s="2656"/>
      <c r="BE1031" s="2656"/>
      <c r="BF1031" s="2656"/>
      <c r="BG1031" s="2656"/>
      <c r="BH1031" s="2656"/>
      <c r="BI1031" s="2656"/>
    </row>
    <row r="1032" spans="1:61" ht="24.75" customHeight="1">
      <c r="A1032" s="3375"/>
      <c r="B1032" s="2646"/>
      <c r="C1032" s="2647"/>
      <c r="D1032" s="2646"/>
      <c r="E1032" s="3013"/>
      <c r="F1032" s="2655"/>
      <c r="G1032" s="2596"/>
      <c r="H1032" s="4138"/>
      <c r="I1032" s="3375"/>
      <c r="J1032" s="2648"/>
      <c r="K1032" s="3147"/>
      <c r="L1032" s="2785"/>
      <c r="M1032" s="2695"/>
      <c r="N1032" s="2649"/>
      <c r="O1032" s="2655"/>
      <c r="P1032" s="2651"/>
      <c r="Q1032" s="3440"/>
      <c r="R1032" s="3553"/>
      <c r="S1032" s="1407"/>
      <c r="T1032" s="3375"/>
      <c r="U1032" s="2648"/>
      <c r="V1032" s="3554"/>
      <c r="W1032" s="3150"/>
      <c r="X1032" s="2656"/>
      <c r="Y1032" s="2656"/>
      <c r="Z1032" s="2656"/>
      <c r="AA1032" s="2656"/>
      <c r="AB1032" s="2656"/>
      <c r="AC1032" s="2656"/>
      <c r="AD1032" s="2656"/>
      <c r="AE1032" s="2656"/>
      <c r="AF1032" s="2656"/>
      <c r="AG1032" s="2656"/>
      <c r="AH1032" s="2656"/>
      <c r="AI1032" s="2656"/>
      <c r="AJ1032" s="2656"/>
      <c r="AK1032" s="2656"/>
      <c r="AL1032" s="2656"/>
      <c r="AM1032" s="2656"/>
      <c r="AN1032" s="2656"/>
      <c r="AO1032" s="2656"/>
      <c r="AP1032" s="2656"/>
      <c r="AQ1032" s="2656"/>
      <c r="AR1032" s="2656"/>
      <c r="AS1032" s="2656"/>
      <c r="AT1032" s="2656"/>
      <c r="AU1032" s="2656"/>
      <c r="AV1032" s="2656"/>
      <c r="AW1032" s="2656"/>
      <c r="AX1032" s="2656"/>
      <c r="AY1032" s="2656"/>
      <c r="AZ1032" s="2656"/>
      <c r="BA1032" s="2656"/>
      <c r="BB1032" s="2656"/>
      <c r="BC1032" s="2656"/>
      <c r="BD1032" s="2656"/>
      <c r="BE1032" s="2656"/>
      <c r="BF1032" s="2656"/>
      <c r="BG1032" s="2656"/>
      <c r="BH1032" s="2656"/>
      <c r="BI1032" s="2656"/>
    </row>
    <row r="1033" spans="1:61" ht="24.75" customHeight="1">
      <c r="A1033" s="3375"/>
      <c r="B1033" s="2646"/>
      <c r="C1033" s="2647"/>
      <c r="D1033" s="2646"/>
      <c r="E1033" s="3013"/>
      <c r="F1033" s="2655"/>
      <c r="G1033" s="2596"/>
      <c r="H1033" s="4138"/>
      <c r="I1033" s="3375"/>
      <c r="J1033" s="2648"/>
      <c r="K1033" s="3147"/>
      <c r="L1033" s="2785"/>
      <c r="M1033" s="2695"/>
      <c r="N1033" s="2649"/>
      <c r="O1033" s="2655"/>
      <c r="P1033" s="2651"/>
      <c r="Q1033" s="3440"/>
      <c r="R1033" s="3553"/>
      <c r="S1033" s="1407"/>
      <c r="T1033" s="3375"/>
      <c r="U1033" s="2648"/>
      <c r="V1033" s="3554"/>
      <c r="W1033" s="3150"/>
      <c r="X1033" s="2656"/>
      <c r="Y1033" s="2656"/>
      <c r="Z1033" s="2656"/>
      <c r="AA1033" s="2656"/>
      <c r="AB1033" s="2656"/>
      <c r="AC1033" s="2656"/>
      <c r="AD1033" s="2656"/>
      <c r="AE1033" s="2656"/>
      <c r="AF1033" s="2656"/>
      <c r="AG1033" s="2656"/>
      <c r="AH1033" s="2656"/>
      <c r="AI1033" s="2656"/>
      <c r="AJ1033" s="2656"/>
      <c r="AK1033" s="2656"/>
      <c r="AL1033" s="2656"/>
      <c r="AM1033" s="2656"/>
      <c r="AN1033" s="2656"/>
      <c r="AO1033" s="2656"/>
      <c r="AP1033" s="2656"/>
      <c r="AQ1033" s="2656"/>
      <c r="AR1033" s="2656"/>
      <c r="AS1033" s="2656"/>
      <c r="AT1033" s="2656"/>
      <c r="AU1033" s="2656"/>
      <c r="AV1033" s="2656"/>
      <c r="AW1033" s="2656"/>
      <c r="AX1033" s="2656"/>
      <c r="AY1033" s="2656"/>
      <c r="AZ1033" s="2656"/>
      <c r="BA1033" s="2656"/>
      <c r="BB1033" s="2656"/>
      <c r="BC1033" s="2656"/>
      <c r="BD1033" s="2656"/>
      <c r="BE1033" s="2656"/>
      <c r="BF1033" s="2656"/>
      <c r="BG1033" s="2656"/>
      <c r="BH1033" s="2656"/>
      <c r="BI1033" s="2656"/>
    </row>
    <row r="1034" spans="1:61" ht="24.75" customHeight="1">
      <c r="A1034" s="3375"/>
      <c r="B1034" s="2646"/>
      <c r="C1034" s="2647"/>
      <c r="D1034" s="2646"/>
      <c r="E1034" s="3013"/>
      <c r="F1034" s="2655"/>
      <c r="G1034" s="2596"/>
      <c r="H1034" s="4138"/>
      <c r="I1034" s="3375"/>
      <c r="J1034" s="2648"/>
      <c r="K1034" s="3147"/>
      <c r="L1034" s="2785"/>
      <c r="M1034" s="2695"/>
      <c r="N1034" s="2649"/>
      <c r="O1034" s="2655"/>
      <c r="P1034" s="2651"/>
      <c r="Q1034" s="3440"/>
      <c r="R1034" s="3553"/>
      <c r="S1034" s="1407"/>
      <c r="T1034" s="3375"/>
      <c r="U1034" s="2648"/>
      <c r="V1034" s="3554"/>
      <c r="W1034" s="3150"/>
      <c r="X1034" s="2656"/>
      <c r="Y1034" s="2656"/>
      <c r="Z1034" s="2656"/>
      <c r="AA1034" s="2656"/>
      <c r="AB1034" s="2656"/>
      <c r="AC1034" s="2656"/>
      <c r="AD1034" s="2656"/>
      <c r="AE1034" s="2656"/>
      <c r="AF1034" s="2656"/>
      <c r="AG1034" s="2656"/>
      <c r="AH1034" s="2656"/>
      <c r="AI1034" s="2656"/>
      <c r="AJ1034" s="2656"/>
      <c r="AK1034" s="2656"/>
      <c r="AL1034" s="2656"/>
      <c r="AM1034" s="2656"/>
      <c r="AN1034" s="2656"/>
      <c r="AO1034" s="2656"/>
      <c r="AP1034" s="2656"/>
      <c r="AQ1034" s="2656"/>
      <c r="AR1034" s="2656"/>
      <c r="AS1034" s="2656"/>
      <c r="AT1034" s="2656"/>
      <c r="AU1034" s="2656"/>
      <c r="AV1034" s="2656"/>
      <c r="AW1034" s="2656"/>
      <c r="AX1034" s="2656"/>
      <c r="AY1034" s="2656"/>
      <c r="AZ1034" s="2656"/>
      <c r="BA1034" s="2656"/>
      <c r="BB1034" s="2656"/>
      <c r="BC1034" s="2656"/>
      <c r="BD1034" s="2656"/>
      <c r="BE1034" s="2656"/>
      <c r="BF1034" s="2656"/>
      <c r="BG1034" s="2656"/>
      <c r="BH1034" s="2656"/>
      <c r="BI1034" s="2656"/>
    </row>
    <row r="1035" spans="1:61" ht="24.75" customHeight="1">
      <c r="A1035" s="3375"/>
      <c r="B1035" s="2646"/>
      <c r="C1035" s="2647"/>
      <c r="D1035" s="2646"/>
      <c r="E1035" s="3013"/>
      <c r="F1035" s="2655"/>
      <c r="G1035" s="2596"/>
      <c r="H1035" s="4138"/>
      <c r="I1035" s="3375"/>
      <c r="J1035" s="2648"/>
      <c r="K1035" s="3147"/>
      <c r="L1035" s="2785"/>
      <c r="M1035" s="2695"/>
      <c r="N1035" s="2649"/>
      <c r="O1035" s="2655"/>
      <c r="P1035" s="2651"/>
      <c r="Q1035" s="3440"/>
      <c r="R1035" s="3553"/>
      <c r="S1035" s="1407"/>
      <c r="T1035" s="3375"/>
      <c r="U1035" s="2648"/>
      <c r="V1035" s="3554"/>
      <c r="W1035" s="3150"/>
      <c r="X1035" s="2656"/>
      <c r="Y1035" s="2656"/>
      <c r="Z1035" s="2656"/>
      <c r="AA1035" s="2656"/>
      <c r="AB1035" s="2656"/>
      <c r="AC1035" s="2656"/>
      <c r="AD1035" s="2656"/>
      <c r="AE1035" s="2656"/>
      <c r="AF1035" s="2656"/>
      <c r="AG1035" s="2656"/>
      <c r="AH1035" s="2656"/>
      <c r="AI1035" s="2656"/>
      <c r="AJ1035" s="2656"/>
      <c r="AK1035" s="2656"/>
      <c r="AL1035" s="2656"/>
      <c r="AM1035" s="2656"/>
      <c r="AN1035" s="2656"/>
      <c r="AO1035" s="2656"/>
      <c r="AP1035" s="2656"/>
      <c r="AQ1035" s="2656"/>
      <c r="AR1035" s="2656"/>
      <c r="AS1035" s="2656"/>
      <c r="AT1035" s="2656"/>
      <c r="AU1035" s="2656"/>
      <c r="AV1035" s="2656"/>
      <c r="AW1035" s="2656"/>
      <c r="AX1035" s="2656"/>
      <c r="AY1035" s="2656"/>
      <c r="AZ1035" s="2656"/>
      <c r="BA1035" s="2656"/>
      <c r="BB1035" s="2656"/>
      <c r="BC1035" s="2656"/>
      <c r="BD1035" s="2656"/>
      <c r="BE1035" s="2656"/>
      <c r="BF1035" s="2656"/>
      <c r="BG1035" s="2656"/>
      <c r="BH1035" s="2656"/>
      <c r="BI1035" s="2656"/>
    </row>
    <row r="1036" spans="1:61" ht="24.75" customHeight="1">
      <c r="A1036" s="3375"/>
      <c r="B1036" s="2646"/>
      <c r="C1036" s="2647"/>
      <c r="D1036" s="2646"/>
      <c r="E1036" s="3013"/>
      <c r="F1036" s="2655"/>
      <c r="G1036" s="2596"/>
      <c r="H1036" s="4138"/>
      <c r="I1036" s="3375"/>
      <c r="J1036" s="2648"/>
      <c r="K1036" s="3147"/>
      <c r="L1036" s="2785"/>
      <c r="M1036" s="2695"/>
      <c r="N1036" s="2649"/>
      <c r="O1036" s="2655"/>
      <c r="P1036" s="2651"/>
      <c r="Q1036" s="3440"/>
      <c r="R1036" s="3553"/>
      <c r="S1036" s="1407"/>
      <c r="T1036" s="3375"/>
      <c r="U1036" s="2648"/>
      <c r="V1036" s="3554"/>
      <c r="W1036" s="3150"/>
      <c r="X1036" s="2656"/>
      <c r="Y1036" s="2656"/>
      <c r="Z1036" s="2656"/>
      <c r="AA1036" s="2656"/>
      <c r="AB1036" s="2656"/>
      <c r="AC1036" s="2656"/>
      <c r="AD1036" s="2656"/>
      <c r="AE1036" s="2656"/>
      <c r="AF1036" s="2656"/>
      <c r="AG1036" s="2656"/>
      <c r="AH1036" s="2656"/>
      <c r="AI1036" s="2656"/>
      <c r="AJ1036" s="2656"/>
      <c r="AK1036" s="2656"/>
      <c r="AL1036" s="2656"/>
      <c r="AM1036" s="2656"/>
      <c r="AN1036" s="2656"/>
      <c r="AO1036" s="2656"/>
      <c r="AP1036" s="2656"/>
      <c r="AQ1036" s="2656"/>
      <c r="AR1036" s="2656"/>
      <c r="AS1036" s="2656"/>
      <c r="AT1036" s="2656"/>
      <c r="AU1036" s="2656"/>
      <c r="AV1036" s="2656"/>
      <c r="AW1036" s="2656"/>
      <c r="AX1036" s="2656"/>
      <c r="AY1036" s="2656"/>
      <c r="AZ1036" s="2656"/>
      <c r="BA1036" s="2656"/>
      <c r="BB1036" s="2656"/>
      <c r="BC1036" s="2656"/>
      <c r="BD1036" s="2656"/>
      <c r="BE1036" s="2656"/>
      <c r="BF1036" s="2656"/>
      <c r="BG1036" s="2656"/>
      <c r="BH1036" s="2656"/>
      <c r="BI1036" s="2656"/>
    </row>
    <row r="1037" spans="1:61" ht="24.75" customHeight="1">
      <c r="A1037" s="3375"/>
      <c r="B1037" s="2646"/>
      <c r="C1037" s="2647"/>
      <c r="D1037" s="2646"/>
      <c r="E1037" s="3013"/>
      <c r="F1037" s="2655"/>
      <c r="G1037" s="2596"/>
      <c r="H1037" s="4138"/>
      <c r="I1037" s="3375"/>
      <c r="J1037" s="2648"/>
      <c r="K1037" s="3147"/>
      <c r="L1037" s="2785"/>
      <c r="M1037" s="2695"/>
      <c r="N1037" s="2649"/>
      <c r="O1037" s="2655"/>
      <c r="P1037" s="2651"/>
      <c r="Q1037" s="3440"/>
      <c r="R1037" s="3553"/>
      <c r="S1037" s="1407"/>
      <c r="T1037" s="3375"/>
      <c r="U1037" s="2648"/>
      <c r="V1037" s="3554"/>
      <c r="W1037" s="3150"/>
      <c r="X1037" s="2656"/>
      <c r="Y1037" s="2656"/>
      <c r="Z1037" s="2656"/>
      <c r="AA1037" s="2656"/>
      <c r="AB1037" s="2656"/>
      <c r="AC1037" s="2656"/>
      <c r="AD1037" s="2656"/>
      <c r="AE1037" s="2656"/>
      <c r="AF1037" s="2656"/>
      <c r="AG1037" s="2656"/>
      <c r="AH1037" s="2656"/>
      <c r="AI1037" s="2656"/>
      <c r="AJ1037" s="2656"/>
      <c r="AK1037" s="2656"/>
      <c r="AL1037" s="2656"/>
      <c r="AM1037" s="2656"/>
      <c r="AN1037" s="2656"/>
      <c r="AO1037" s="2656"/>
      <c r="AP1037" s="2656"/>
      <c r="AQ1037" s="2656"/>
      <c r="AR1037" s="2656"/>
      <c r="AS1037" s="2656"/>
      <c r="AT1037" s="2656"/>
      <c r="AU1037" s="2656"/>
      <c r="AV1037" s="2656"/>
      <c r="AW1037" s="2656"/>
      <c r="AX1037" s="2656"/>
      <c r="AY1037" s="2656"/>
      <c r="AZ1037" s="2656"/>
      <c r="BA1037" s="2656"/>
      <c r="BB1037" s="2656"/>
      <c r="BC1037" s="2656"/>
      <c r="BD1037" s="2656"/>
      <c r="BE1037" s="2656"/>
      <c r="BF1037" s="2656"/>
      <c r="BG1037" s="2656"/>
      <c r="BH1037" s="2656"/>
      <c r="BI1037" s="2656"/>
    </row>
    <row r="1038" spans="1:61" ht="24.75" customHeight="1">
      <c r="A1038" s="3375"/>
      <c r="B1038" s="2646"/>
      <c r="C1038" s="2647"/>
      <c r="D1038" s="2646"/>
      <c r="E1038" s="3013"/>
      <c r="F1038" s="2655"/>
      <c r="G1038" s="2596"/>
      <c r="H1038" s="4138"/>
      <c r="I1038" s="3375"/>
      <c r="J1038" s="2648"/>
      <c r="K1038" s="3147"/>
      <c r="L1038" s="2785"/>
      <c r="M1038" s="2695"/>
      <c r="N1038" s="2649"/>
      <c r="O1038" s="2655"/>
      <c r="P1038" s="2651"/>
      <c r="Q1038" s="3440"/>
      <c r="R1038" s="3553"/>
      <c r="S1038" s="1407"/>
      <c r="T1038" s="3375"/>
      <c r="U1038" s="2648"/>
      <c r="V1038" s="3554"/>
      <c r="W1038" s="3150"/>
      <c r="X1038" s="2656"/>
      <c r="Y1038" s="2656"/>
      <c r="Z1038" s="2656"/>
      <c r="AA1038" s="2656"/>
      <c r="AB1038" s="2656"/>
      <c r="AC1038" s="2656"/>
      <c r="AD1038" s="2656"/>
      <c r="AE1038" s="2656"/>
      <c r="AF1038" s="2656"/>
      <c r="AG1038" s="2656"/>
      <c r="AH1038" s="2656"/>
      <c r="AI1038" s="2656"/>
      <c r="AJ1038" s="2656"/>
      <c r="AK1038" s="2656"/>
      <c r="AL1038" s="2656"/>
      <c r="AM1038" s="2656"/>
      <c r="AN1038" s="2656"/>
      <c r="AO1038" s="2656"/>
      <c r="AP1038" s="2656"/>
      <c r="AQ1038" s="2656"/>
      <c r="AR1038" s="2656"/>
      <c r="AS1038" s="2656"/>
      <c r="AT1038" s="2656"/>
      <c r="AU1038" s="2656"/>
      <c r="AV1038" s="2656"/>
      <c r="AW1038" s="2656"/>
      <c r="AX1038" s="2656"/>
      <c r="AY1038" s="2656"/>
      <c r="AZ1038" s="2656"/>
      <c r="BA1038" s="2656"/>
      <c r="BB1038" s="2656"/>
      <c r="BC1038" s="2656"/>
      <c r="BD1038" s="2656"/>
      <c r="BE1038" s="2656"/>
      <c r="BF1038" s="2656"/>
      <c r="BG1038" s="2656"/>
      <c r="BH1038" s="2656"/>
      <c r="BI1038" s="2656"/>
    </row>
    <row r="1039" spans="1:61" ht="24.75" customHeight="1">
      <c r="A1039" s="3375"/>
      <c r="B1039" s="2646"/>
      <c r="C1039" s="2647"/>
      <c r="D1039" s="2646"/>
      <c r="E1039" s="3013"/>
      <c r="F1039" s="2655"/>
      <c r="G1039" s="2596"/>
      <c r="H1039" s="4138"/>
      <c r="I1039" s="3375"/>
      <c r="J1039" s="2648"/>
      <c r="K1039" s="3147"/>
      <c r="L1039" s="2785"/>
      <c r="M1039" s="2695"/>
      <c r="N1039" s="2649"/>
      <c r="O1039" s="2655"/>
      <c r="P1039" s="2651"/>
      <c r="Q1039" s="3440"/>
      <c r="R1039" s="3553"/>
      <c r="S1039" s="1407"/>
      <c r="T1039" s="3375"/>
      <c r="U1039" s="2648"/>
      <c r="V1039" s="3554"/>
      <c r="W1039" s="3150"/>
      <c r="X1039" s="2656"/>
      <c r="Y1039" s="2656"/>
      <c r="Z1039" s="2656"/>
      <c r="AA1039" s="2656"/>
      <c r="AB1039" s="2656"/>
      <c r="AC1039" s="2656"/>
      <c r="AD1039" s="2656"/>
      <c r="AE1039" s="2656"/>
      <c r="AF1039" s="2656"/>
      <c r="AG1039" s="2656"/>
      <c r="AH1039" s="2656"/>
      <c r="AI1039" s="2656"/>
      <c r="AJ1039" s="2656"/>
      <c r="AK1039" s="2656"/>
      <c r="AL1039" s="2656"/>
      <c r="AM1039" s="2656"/>
      <c r="AN1039" s="2656"/>
      <c r="AO1039" s="2656"/>
      <c r="AP1039" s="2656"/>
      <c r="AQ1039" s="2656"/>
      <c r="AR1039" s="2656"/>
      <c r="AS1039" s="2656"/>
      <c r="AT1039" s="2656"/>
      <c r="AU1039" s="2656"/>
      <c r="AV1039" s="2656"/>
      <c r="AW1039" s="2656"/>
      <c r="AX1039" s="2656"/>
      <c r="AY1039" s="2656"/>
      <c r="AZ1039" s="2656"/>
      <c r="BA1039" s="2656"/>
      <c r="BB1039" s="2656"/>
      <c r="BC1039" s="2656"/>
      <c r="BD1039" s="2656"/>
      <c r="BE1039" s="2656"/>
      <c r="BF1039" s="2656"/>
      <c r="BG1039" s="2656"/>
      <c r="BH1039" s="2656"/>
      <c r="BI1039" s="2656"/>
    </row>
    <row r="1040" spans="1:61" ht="24.75" customHeight="1">
      <c r="A1040" s="3375"/>
      <c r="B1040" s="2646"/>
      <c r="C1040" s="2647"/>
      <c r="D1040" s="2646"/>
      <c r="E1040" s="3013"/>
      <c r="F1040" s="2655"/>
      <c r="G1040" s="2596"/>
      <c r="H1040" s="4138"/>
      <c r="I1040" s="3375"/>
      <c r="J1040" s="2648"/>
      <c r="K1040" s="3147"/>
      <c r="L1040" s="2785"/>
      <c r="M1040" s="2695"/>
      <c r="N1040" s="2649"/>
      <c r="O1040" s="2655"/>
      <c r="P1040" s="2651"/>
      <c r="Q1040" s="3440"/>
      <c r="R1040" s="3553"/>
      <c r="S1040" s="1407"/>
      <c r="T1040" s="3375"/>
      <c r="U1040" s="2648"/>
      <c r="V1040" s="3554"/>
      <c r="W1040" s="3150"/>
      <c r="X1040" s="2656"/>
      <c r="Y1040" s="2656"/>
      <c r="Z1040" s="2656"/>
      <c r="AA1040" s="2656"/>
      <c r="AB1040" s="2656"/>
      <c r="AC1040" s="2656"/>
      <c r="AD1040" s="2656"/>
      <c r="AE1040" s="2656"/>
      <c r="AF1040" s="2656"/>
      <c r="AG1040" s="2656"/>
      <c r="AH1040" s="2656"/>
      <c r="AI1040" s="2656"/>
      <c r="AJ1040" s="2656"/>
      <c r="AK1040" s="2656"/>
      <c r="AL1040" s="2656"/>
      <c r="AM1040" s="2656"/>
      <c r="AN1040" s="2656"/>
      <c r="AO1040" s="2656"/>
      <c r="AP1040" s="2656"/>
      <c r="AQ1040" s="2656"/>
      <c r="AR1040" s="2656"/>
      <c r="AS1040" s="2656"/>
      <c r="AT1040" s="2656"/>
      <c r="AU1040" s="2656"/>
      <c r="AV1040" s="2656"/>
      <c r="AW1040" s="2656"/>
      <c r="AX1040" s="2656"/>
      <c r="AY1040" s="2656"/>
      <c r="AZ1040" s="2656"/>
      <c r="BA1040" s="2656"/>
      <c r="BB1040" s="2656"/>
      <c r="BC1040" s="2656"/>
      <c r="BD1040" s="2656"/>
      <c r="BE1040" s="2656"/>
      <c r="BF1040" s="2656"/>
      <c r="BG1040" s="2656"/>
      <c r="BH1040" s="2656"/>
      <c r="BI1040" s="2656"/>
    </row>
    <row r="1041" spans="1:61" ht="24.75" customHeight="1">
      <c r="A1041" s="3375"/>
      <c r="B1041" s="2646"/>
      <c r="C1041" s="2647"/>
      <c r="D1041" s="2646"/>
      <c r="E1041" s="3013"/>
      <c r="F1041" s="2655"/>
      <c r="G1041" s="2596"/>
      <c r="H1041" s="4138"/>
      <c r="I1041" s="3375"/>
      <c r="J1041" s="2648"/>
      <c r="K1041" s="3147"/>
      <c r="L1041" s="2785"/>
      <c r="M1041" s="2695"/>
      <c r="N1041" s="2649"/>
      <c r="O1041" s="2655"/>
      <c r="P1041" s="2651"/>
      <c r="Q1041" s="3440"/>
      <c r="R1041" s="3553"/>
      <c r="S1041" s="1407"/>
      <c r="T1041" s="3375"/>
      <c r="U1041" s="2648"/>
      <c r="V1041" s="3554"/>
      <c r="W1041" s="3150"/>
      <c r="X1041" s="2656"/>
      <c r="Y1041" s="2656"/>
      <c r="Z1041" s="2656"/>
      <c r="AA1041" s="2656"/>
      <c r="AB1041" s="2656"/>
      <c r="AC1041" s="2656"/>
      <c r="AD1041" s="2656"/>
      <c r="AE1041" s="2656"/>
      <c r="AF1041" s="2656"/>
      <c r="AG1041" s="2656"/>
      <c r="AH1041" s="2656"/>
      <c r="AI1041" s="2656"/>
      <c r="AJ1041" s="2656"/>
      <c r="AK1041" s="2656"/>
      <c r="AL1041" s="2656"/>
      <c r="AM1041" s="2656"/>
      <c r="AN1041" s="2656"/>
      <c r="AO1041" s="2656"/>
      <c r="AP1041" s="2656"/>
      <c r="AQ1041" s="2656"/>
      <c r="AR1041" s="2656"/>
      <c r="AS1041" s="2656"/>
      <c r="AT1041" s="2656"/>
      <c r="AU1041" s="2656"/>
      <c r="AV1041" s="2656"/>
      <c r="AW1041" s="2656"/>
      <c r="AX1041" s="2656"/>
      <c r="AY1041" s="2656"/>
      <c r="AZ1041" s="2656"/>
      <c r="BA1041" s="2656"/>
      <c r="BB1041" s="2656"/>
      <c r="BC1041" s="2656"/>
      <c r="BD1041" s="2656"/>
      <c r="BE1041" s="2656"/>
      <c r="BF1041" s="2656"/>
      <c r="BG1041" s="2656"/>
      <c r="BH1041" s="2656"/>
      <c r="BI1041" s="2656"/>
    </row>
    <row r="1042" spans="1:61" ht="24.75" customHeight="1">
      <c r="A1042" s="3375"/>
      <c r="B1042" s="2646"/>
      <c r="C1042" s="2647"/>
      <c r="D1042" s="2646"/>
      <c r="E1042" s="3013"/>
      <c r="F1042" s="2655"/>
      <c r="G1042" s="2596"/>
      <c r="H1042" s="4138"/>
      <c r="I1042" s="3375"/>
      <c r="J1042" s="2648"/>
      <c r="K1042" s="3147"/>
      <c r="L1042" s="2785"/>
      <c r="M1042" s="2695"/>
      <c r="N1042" s="2649"/>
      <c r="O1042" s="2655"/>
      <c r="P1042" s="2651"/>
      <c r="Q1042" s="3440"/>
      <c r="R1042" s="3553"/>
      <c r="S1042" s="1407"/>
      <c r="T1042" s="3375"/>
      <c r="U1042" s="2648"/>
      <c r="V1042" s="3554"/>
      <c r="W1042" s="3150"/>
      <c r="X1042" s="2656"/>
      <c r="Y1042" s="2656"/>
      <c r="Z1042" s="2656"/>
      <c r="AA1042" s="2656"/>
      <c r="AB1042" s="2656"/>
      <c r="AC1042" s="2656"/>
      <c r="AD1042" s="2656"/>
      <c r="AE1042" s="2656"/>
      <c r="AF1042" s="2656"/>
      <c r="AG1042" s="2656"/>
      <c r="AH1042" s="2656"/>
      <c r="AI1042" s="2656"/>
      <c r="AJ1042" s="2656"/>
      <c r="AK1042" s="2656"/>
      <c r="AL1042" s="2656"/>
      <c r="AM1042" s="2656"/>
      <c r="AN1042" s="2656"/>
      <c r="AO1042" s="2656"/>
      <c r="AP1042" s="2656"/>
      <c r="AQ1042" s="2656"/>
      <c r="AR1042" s="2656"/>
      <c r="AS1042" s="2656"/>
      <c r="AT1042" s="2656"/>
      <c r="AU1042" s="2656"/>
      <c r="AV1042" s="2656"/>
      <c r="AW1042" s="2656"/>
      <c r="AX1042" s="2656"/>
      <c r="AY1042" s="2656"/>
      <c r="AZ1042" s="2656"/>
      <c r="BA1042" s="2656"/>
      <c r="BB1042" s="2656"/>
      <c r="BC1042" s="2656"/>
      <c r="BD1042" s="2656"/>
      <c r="BE1042" s="2656"/>
      <c r="BF1042" s="2656"/>
      <c r="BG1042" s="2656"/>
      <c r="BH1042" s="2656"/>
      <c r="BI1042" s="2656"/>
    </row>
    <row r="1043" spans="1:61" ht="24.75" customHeight="1">
      <c r="A1043" s="3375"/>
      <c r="B1043" s="2646"/>
      <c r="C1043" s="2647"/>
      <c r="D1043" s="2646"/>
      <c r="E1043" s="3013"/>
      <c r="F1043" s="2655"/>
      <c r="G1043" s="2596"/>
      <c r="H1043" s="4138"/>
      <c r="I1043" s="3375"/>
      <c r="J1043" s="2648"/>
      <c r="K1043" s="3147"/>
      <c r="L1043" s="2785"/>
      <c r="M1043" s="2695"/>
      <c r="N1043" s="2649"/>
      <c r="O1043" s="2655"/>
      <c r="P1043" s="2651"/>
      <c r="Q1043" s="3440"/>
      <c r="R1043" s="3553"/>
      <c r="S1043" s="1407"/>
      <c r="T1043" s="3375"/>
      <c r="U1043" s="2648"/>
      <c r="V1043" s="3554"/>
      <c r="W1043" s="3150"/>
      <c r="X1043" s="2656"/>
      <c r="Y1043" s="2656"/>
      <c r="Z1043" s="2656"/>
      <c r="AA1043" s="2656"/>
      <c r="AB1043" s="2656"/>
      <c r="AC1043" s="2656"/>
      <c r="AD1043" s="2656"/>
      <c r="AE1043" s="2656"/>
      <c r="AF1043" s="2656"/>
      <c r="AG1043" s="2656"/>
      <c r="AH1043" s="2656"/>
      <c r="AI1043" s="2656"/>
      <c r="AJ1043" s="2656"/>
      <c r="AK1043" s="2656"/>
      <c r="AL1043" s="2656"/>
      <c r="AM1043" s="2656"/>
      <c r="AN1043" s="2656"/>
      <c r="AO1043" s="2656"/>
      <c r="AP1043" s="2656"/>
      <c r="AQ1043" s="2656"/>
      <c r="AR1043" s="2656"/>
      <c r="AS1043" s="2656"/>
      <c r="AT1043" s="2656"/>
      <c r="AU1043" s="2656"/>
      <c r="AV1043" s="2656"/>
      <c r="AW1043" s="2656"/>
      <c r="AX1043" s="2656"/>
      <c r="AY1043" s="2656"/>
      <c r="AZ1043" s="2656"/>
      <c r="BA1043" s="2656"/>
      <c r="BB1043" s="2656"/>
      <c r="BC1043" s="2656"/>
      <c r="BD1043" s="2656"/>
      <c r="BE1043" s="2656"/>
      <c r="BF1043" s="2656"/>
      <c r="BG1043" s="2656"/>
      <c r="BH1043" s="2656"/>
      <c r="BI1043" s="2656"/>
    </row>
    <row r="1044" spans="1:61" ht="24.75" customHeight="1">
      <c r="A1044" s="3375"/>
      <c r="B1044" s="2646"/>
      <c r="C1044" s="2647"/>
      <c r="D1044" s="2646"/>
      <c r="E1044" s="3013"/>
      <c r="F1044" s="2655"/>
      <c r="G1044" s="2596"/>
      <c r="H1044" s="4138"/>
      <c r="I1044" s="3375"/>
      <c r="J1044" s="2648"/>
      <c r="K1044" s="3147"/>
      <c r="L1044" s="2785"/>
      <c r="M1044" s="2695"/>
      <c r="N1044" s="2649"/>
      <c r="O1044" s="2655"/>
      <c r="P1044" s="2651"/>
      <c r="Q1044" s="3440"/>
      <c r="R1044" s="3553"/>
      <c r="S1044" s="1407"/>
      <c r="T1044" s="3375"/>
      <c r="U1044" s="2648"/>
      <c r="V1044" s="3554"/>
      <c r="W1044" s="3150"/>
      <c r="X1044" s="2656"/>
      <c r="Y1044" s="2656"/>
      <c r="Z1044" s="2656"/>
      <c r="AA1044" s="2656"/>
      <c r="AB1044" s="2656"/>
      <c r="AC1044" s="2656"/>
      <c r="AD1044" s="2656"/>
      <c r="AE1044" s="2656"/>
      <c r="AF1044" s="2656"/>
      <c r="AG1044" s="2656"/>
      <c r="AH1044" s="2656"/>
      <c r="AI1044" s="2656"/>
      <c r="AJ1044" s="2656"/>
      <c r="AK1044" s="2656"/>
      <c r="AL1044" s="2656"/>
      <c r="AM1044" s="2656"/>
      <c r="AN1044" s="2656"/>
      <c r="AO1044" s="2656"/>
      <c r="AP1044" s="2656"/>
      <c r="AQ1044" s="2656"/>
      <c r="AR1044" s="2656"/>
      <c r="AS1044" s="2656"/>
      <c r="AT1044" s="2656"/>
      <c r="AU1044" s="2656"/>
      <c r="AV1044" s="2656"/>
      <c r="AW1044" s="2656"/>
      <c r="AX1044" s="2656"/>
      <c r="AY1044" s="2656"/>
      <c r="AZ1044" s="2656"/>
      <c r="BA1044" s="2656"/>
      <c r="BB1044" s="2656"/>
      <c r="BC1044" s="2656"/>
      <c r="BD1044" s="2656"/>
      <c r="BE1044" s="2656"/>
      <c r="BF1044" s="2656"/>
      <c r="BG1044" s="2656"/>
      <c r="BH1044" s="2656"/>
      <c r="BI1044" s="2656"/>
    </row>
    <row r="1045" spans="1:61" ht="24.75" customHeight="1">
      <c r="A1045" s="3375"/>
      <c r="B1045" s="2646"/>
      <c r="C1045" s="2647"/>
      <c r="D1045" s="2646"/>
      <c r="E1045" s="3013"/>
      <c r="F1045" s="2655"/>
      <c r="G1045" s="2596"/>
      <c r="H1045" s="4138"/>
      <c r="I1045" s="3375"/>
      <c r="J1045" s="2648"/>
      <c r="K1045" s="3147"/>
      <c r="L1045" s="2785"/>
      <c r="M1045" s="2695"/>
      <c r="N1045" s="2649"/>
      <c r="O1045" s="2655"/>
      <c r="P1045" s="2651"/>
      <c r="Q1045" s="3440"/>
      <c r="R1045" s="3553"/>
      <c r="S1045" s="1407"/>
      <c r="T1045" s="3375"/>
      <c r="U1045" s="2648"/>
      <c r="V1045" s="3554"/>
      <c r="W1045" s="3150"/>
      <c r="X1045" s="2656"/>
      <c r="Y1045" s="2656"/>
      <c r="Z1045" s="2656"/>
      <c r="AA1045" s="2656"/>
      <c r="AB1045" s="2656"/>
      <c r="AC1045" s="2656"/>
      <c r="AD1045" s="2656"/>
      <c r="AE1045" s="2656"/>
      <c r="AF1045" s="2656"/>
      <c r="AG1045" s="2656"/>
      <c r="AH1045" s="2656"/>
      <c r="AI1045" s="2656"/>
      <c r="AJ1045" s="2656"/>
      <c r="AK1045" s="2656"/>
      <c r="AL1045" s="2656"/>
      <c r="AM1045" s="2656"/>
      <c r="AN1045" s="2656"/>
      <c r="AO1045" s="2656"/>
      <c r="AP1045" s="2656"/>
      <c r="AQ1045" s="2656"/>
      <c r="AR1045" s="2656"/>
      <c r="AS1045" s="2656"/>
      <c r="AT1045" s="2656"/>
      <c r="AU1045" s="2656"/>
      <c r="AV1045" s="2656"/>
      <c r="AW1045" s="2656"/>
      <c r="AX1045" s="2656"/>
      <c r="AY1045" s="2656"/>
      <c r="AZ1045" s="2656"/>
      <c r="BA1045" s="2656"/>
      <c r="BB1045" s="2656"/>
      <c r="BC1045" s="2656"/>
      <c r="BD1045" s="2656"/>
      <c r="BE1045" s="2656"/>
      <c r="BF1045" s="2656"/>
      <c r="BG1045" s="2656"/>
      <c r="BH1045" s="2656"/>
      <c r="BI1045" s="2656"/>
    </row>
    <row r="1046" spans="1:61" ht="24.75" customHeight="1">
      <c r="A1046" s="3375"/>
      <c r="B1046" s="2646"/>
      <c r="C1046" s="2647"/>
      <c r="D1046" s="2646"/>
      <c r="E1046" s="3013"/>
      <c r="F1046" s="2655"/>
      <c r="G1046" s="2596"/>
      <c r="H1046" s="4138"/>
      <c r="I1046" s="3375"/>
      <c r="J1046" s="2648"/>
      <c r="K1046" s="3147"/>
      <c r="L1046" s="2785"/>
      <c r="M1046" s="2695"/>
      <c r="N1046" s="2649"/>
      <c r="O1046" s="2655"/>
      <c r="P1046" s="2651"/>
      <c r="Q1046" s="3440"/>
      <c r="R1046" s="3553"/>
      <c r="S1046" s="1407"/>
      <c r="T1046" s="3375"/>
      <c r="U1046" s="2648"/>
      <c r="V1046" s="3554"/>
      <c r="W1046" s="3150"/>
      <c r="X1046" s="2656"/>
      <c r="Y1046" s="2656"/>
      <c r="Z1046" s="2656"/>
      <c r="AA1046" s="2656"/>
      <c r="AB1046" s="2656"/>
      <c r="AC1046" s="2656"/>
      <c r="AD1046" s="2656"/>
      <c r="AE1046" s="2656"/>
      <c r="AF1046" s="2656"/>
      <c r="AG1046" s="2656"/>
      <c r="AH1046" s="2656"/>
      <c r="AI1046" s="2656"/>
      <c r="AJ1046" s="2656"/>
      <c r="AK1046" s="2656"/>
      <c r="AL1046" s="2656"/>
      <c r="AM1046" s="2656"/>
      <c r="AN1046" s="2656"/>
      <c r="AO1046" s="2656"/>
      <c r="AP1046" s="2656"/>
      <c r="AQ1046" s="2656"/>
      <c r="AR1046" s="2656"/>
      <c r="AS1046" s="2656"/>
      <c r="AT1046" s="2656"/>
      <c r="AU1046" s="2656"/>
      <c r="AV1046" s="2656"/>
      <c r="AW1046" s="2656"/>
      <c r="AX1046" s="2656"/>
      <c r="AY1046" s="2656"/>
      <c r="AZ1046" s="2656"/>
      <c r="BA1046" s="2656"/>
      <c r="BB1046" s="2656"/>
      <c r="BC1046" s="2656"/>
      <c r="BD1046" s="2656"/>
      <c r="BE1046" s="2656"/>
      <c r="BF1046" s="2656"/>
      <c r="BG1046" s="2656"/>
      <c r="BH1046" s="2656"/>
      <c r="BI1046" s="2656"/>
    </row>
    <row r="1047" spans="1:61" ht="24.75" customHeight="1">
      <c r="A1047" s="3375"/>
      <c r="B1047" s="2646"/>
      <c r="C1047" s="2647"/>
      <c r="D1047" s="2646"/>
      <c r="E1047" s="3013"/>
      <c r="F1047" s="2655"/>
      <c r="G1047" s="2596"/>
      <c r="H1047" s="4138"/>
      <c r="I1047" s="3375"/>
      <c r="J1047" s="2648"/>
      <c r="K1047" s="3147"/>
      <c r="L1047" s="2785"/>
      <c r="M1047" s="2695"/>
      <c r="N1047" s="2649"/>
      <c r="O1047" s="2655"/>
      <c r="P1047" s="2651"/>
      <c r="Q1047" s="3440"/>
      <c r="R1047" s="3553"/>
      <c r="S1047" s="1407"/>
      <c r="T1047" s="3375"/>
      <c r="U1047" s="2648"/>
      <c r="V1047" s="3554"/>
      <c r="W1047" s="3150"/>
      <c r="X1047" s="2656"/>
      <c r="Y1047" s="2656"/>
      <c r="Z1047" s="2656"/>
      <c r="AA1047" s="2656"/>
      <c r="AB1047" s="2656"/>
      <c r="AC1047" s="2656"/>
      <c r="AD1047" s="2656"/>
      <c r="AE1047" s="2656"/>
      <c r="AF1047" s="2656"/>
      <c r="AG1047" s="2656"/>
      <c r="AH1047" s="2656"/>
      <c r="AI1047" s="2656"/>
      <c r="AJ1047" s="2656"/>
      <c r="AK1047" s="2656"/>
      <c r="AL1047" s="2656"/>
      <c r="AM1047" s="2656"/>
      <c r="AN1047" s="2656"/>
      <c r="AO1047" s="2656"/>
      <c r="AP1047" s="2656"/>
      <c r="AQ1047" s="2656"/>
      <c r="AR1047" s="2656"/>
      <c r="AS1047" s="2656"/>
      <c r="AT1047" s="2656"/>
      <c r="AU1047" s="2656"/>
      <c r="AV1047" s="2656"/>
      <c r="AW1047" s="2656"/>
      <c r="AX1047" s="2656"/>
      <c r="AY1047" s="2656"/>
      <c r="AZ1047" s="2656"/>
      <c r="BA1047" s="2656"/>
      <c r="BB1047" s="2656"/>
      <c r="BC1047" s="2656"/>
      <c r="BD1047" s="2656"/>
      <c r="BE1047" s="2656"/>
      <c r="BF1047" s="2656"/>
      <c r="BG1047" s="2656"/>
      <c r="BH1047" s="2656"/>
      <c r="BI1047" s="2656"/>
    </row>
    <row r="1048" spans="1:61" ht="24.75" customHeight="1">
      <c r="A1048" s="3375"/>
      <c r="B1048" s="2646"/>
      <c r="C1048" s="2647"/>
      <c r="D1048" s="2646"/>
      <c r="E1048" s="3013"/>
      <c r="F1048" s="2655"/>
      <c r="G1048" s="2596"/>
      <c r="H1048" s="4138"/>
      <c r="I1048" s="3375"/>
      <c r="J1048" s="2648"/>
      <c r="K1048" s="3147"/>
      <c r="L1048" s="2785"/>
      <c r="M1048" s="2695"/>
      <c r="N1048" s="2649"/>
      <c r="O1048" s="2655"/>
      <c r="P1048" s="2651"/>
      <c r="Q1048" s="3440"/>
      <c r="R1048" s="3553"/>
      <c r="S1048" s="1407"/>
      <c r="T1048" s="3375"/>
      <c r="U1048" s="2648"/>
      <c r="V1048" s="3554"/>
      <c r="W1048" s="3150"/>
      <c r="X1048" s="2656"/>
      <c r="Y1048" s="2656"/>
      <c r="Z1048" s="2656"/>
      <c r="AA1048" s="2656"/>
      <c r="AB1048" s="2656"/>
      <c r="AC1048" s="2656"/>
      <c r="AD1048" s="2656"/>
      <c r="AE1048" s="2656"/>
      <c r="AF1048" s="2656"/>
      <c r="AG1048" s="2656"/>
      <c r="AH1048" s="2656"/>
      <c r="AI1048" s="2656"/>
      <c r="AJ1048" s="2656"/>
      <c r="AK1048" s="2656"/>
      <c r="AL1048" s="2656"/>
      <c r="AM1048" s="2656"/>
      <c r="AN1048" s="2656"/>
      <c r="AO1048" s="2656"/>
      <c r="AP1048" s="2656"/>
      <c r="AQ1048" s="2656"/>
      <c r="AR1048" s="2656"/>
      <c r="AS1048" s="2656"/>
      <c r="AT1048" s="2656"/>
      <c r="AU1048" s="2656"/>
      <c r="AV1048" s="2656"/>
      <c r="AW1048" s="2656"/>
      <c r="AX1048" s="2656"/>
      <c r="AY1048" s="2656"/>
      <c r="AZ1048" s="2656"/>
      <c r="BA1048" s="2656"/>
      <c r="BB1048" s="2656"/>
      <c r="BC1048" s="2656"/>
      <c r="BD1048" s="2656"/>
      <c r="BE1048" s="2656"/>
      <c r="BF1048" s="2656"/>
      <c r="BG1048" s="2656"/>
      <c r="BH1048" s="2656"/>
      <c r="BI1048" s="2656"/>
    </row>
    <row r="1049" spans="1:61" ht="24.75" customHeight="1">
      <c r="A1049" s="3375"/>
      <c r="B1049" s="2646"/>
      <c r="C1049" s="2647"/>
      <c r="D1049" s="2646"/>
      <c r="E1049" s="3013"/>
      <c r="F1049" s="2655"/>
      <c r="G1049" s="2596"/>
      <c r="H1049" s="4138"/>
      <c r="I1049" s="3375"/>
      <c r="J1049" s="2648"/>
      <c r="K1049" s="3147"/>
      <c r="L1049" s="2785"/>
      <c r="M1049" s="2695"/>
      <c r="N1049" s="2649"/>
      <c r="O1049" s="2655"/>
      <c r="P1049" s="2651"/>
      <c r="Q1049" s="3440"/>
      <c r="R1049" s="3553"/>
      <c r="S1049" s="1407"/>
      <c r="T1049" s="3375"/>
      <c r="U1049" s="2648"/>
      <c r="V1049" s="3554"/>
      <c r="W1049" s="3150"/>
      <c r="X1049" s="2656"/>
      <c r="Y1049" s="2656"/>
      <c r="Z1049" s="2656"/>
      <c r="AA1049" s="2656"/>
      <c r="AB1049" s="2656"/>
      <c r="AC1049" s="2656"/>
      <c r="AD1049" s="2656"/>
      <c r="AE1049" s="2656"/>
      <c r="AF1049" s="2656"/>
      <c r="AG1049" s="2656"/>
      <c r="AH1049" s="2656"/>
      <c r="AI1049" s="2656"/>
      <c r="AJ1049" s="2656"/>
      <c r="AK1049" s="2656"/>
      <c r="AL1049" s="2656"/>
      <c r="AM1049" s="2656"/>
      <c r="AN1049" s="2656"/>
      <c r="AO1049" s="2656"/>
      <c r="AP1049" s="2656"/>
      <c r="AQ1049" s="2656"/>
      <c r="AR1049" s="2656"/>
      <c r="AS1049" s="2656"/>
      <c r="AT1049" s="2656"/>
      <c r="AU1049" s="2656"/>
      <c r="AV1049" s="2656"/>
      <c r="AW1049" s="2656"/>
      <c r="AX1049" s="2656"/>
      <c r="AY1049" s="2656"/>
      <c r="AZ1049" s="2656"/>
      <c r="BA1049" s="2656"/>
      <c r="BB1049" s="2656"/>
      <c r="BC1049" s="2656"/>
      <c r="BD1049" s="2656"/>
      <c r="BE1049" s="2656"/>
      <c r="BF1049" s="2656"/>
      <c r="BG1049" s="2656"/>
      <c r="BH1049" s="2656"/>
      <c r="BI1049" s="2656"/>
    </row>
    <row r="1050" spans="1:61" ht="24.75" customHeight="1">
      <c r="A1050" s="3375"/>
      <c r="B1050" s="2646"/>
      <c r="C1050" s="2647"/>
      <c r="D1050" s="2646"/>
      <c r="E1050" s="3013"/>
      <c r="F1050" s="2655"/>
      <c r="G1050" s="2596"/>
      <c r="H1050" s="4138"/>
      <c r="I1050" s="3375"/>
      <c r="J1050" s="2648"/>
      <c r="K1050" s="3147"/>
      <c r="L1050" s="2785"/>
      <c r="M1050" s="2695"/>
      <c r="N1050" s="2649"/>
      <c r="O1050" s="2655"/>
      <c r="P1050" s="2651"/>
      <c r="Q1050" s="3440"/>
      <c r="R1050" s="3553"/>
      <c r="S1050" s="1407"/>
      <c r="T1050" s="3375"/>
      <c r="U1050" s="2648"/>
      <c r="V1050" s="3554"/>
      <c r="W1050" s="3150"/>
      <c r="X1050" s="2656"/>
      <c r="Y1050" s="2656"/>
      <c r="Z1050" s="2656"/>
      <c r="AA1050" s="2656"/>
      <c r="AB1050" s="2656"/>
      <c r="AC1050" s="2656"/>
      <c r="AD1050" s="2656"/>
      <c r="AE1050" s="2656"/>
      <c r="AF1050" s="2656"/>
      <c r="AG1050" s="2656"/>
      <c r="AH1050" s="2656"/>
      <c r="AI1050" s="2656"/>
      <c r="AJ1050" s="2656"/>
      <c r="AK1050" s="2656"/>
      <c r="AL1050" s="2656"/>
      <c r="AM1050" s="2656"/>
      <c r="AN1050" s="2656"/>
      <c r="AO1050" s="2656"/>
      <c r="AP1050" s="2656"/>
      <c r="AQ1050" s="2656"/>
      <c r="AR1050" s="2656"/>
      <c r="AS1050" s="2656"/>
      <c r="AT1050" s="2656"/>
      <c r="AU1050" s="2656"/>
      <c r="AV1050" s="2656"/>
      <c r="AW1050" s="2656"/>
      <c r="AX1050" s="2656"/>
      <c r="AY1050" s="2656"/>
      <c r="AZ1050" s="2656"/>
      <c r="BA1050" s="2656"/>
      <c r="BB1050" s="2656"/>
      <c r="BC1050" s="2656"/>
      <c r="BD1050" s="2656"/>
      <c r="BE1050" s="2656"/>
      <c r="BF1050" s="2656"/>
      <c r="BG1050" s="2656"/>
      <c r="BH1050" s="2656"/>
      <c r="BI1050" s="2656"/>
    </row>
    <row r="1051" spans="1:61" ht="24.75" customHeight="1">
      <c r="A1051" s="3375"/>
      <c r="B1051" s="2646"/>
      <c r="C1051" s="2647"/>
      <c r="D1051" s="2646"/>
      <c r="E1051" s="3013"/>
      <c r="F1051" s="2655"/>
      <c r="G1051" s="2596"/>
      <c r="H1051" s="4138"/>
      <c r="I1051" s="3375"/>
      <c r="J1051" s="2648"/>
      <c r="K1051" s="3147"/>
      <c r="L1051" s="2785"/>
      <c r="M1051" s="2695"/>
      <c r="N1051" s="2649"/>
      <c r="O1051" s="2655"/>
      <c r="P1051" s="2651"/>
      <c r="Q1051" s="3440"/>
      <c r="R1051" s="3553"/>
      <c r="S1051" s="1407"/>
      <c r="T1051" s="3375"/>
      <c r="U1051" s="2648"/>
      <c r="V1051" s="3554"/>
      <c r="W1051" s="3150"/>
      <c r="X1051" s="2656"/>
      <c r="Y1051" s="2656"/>
      <c r="Z1051" s="2656"/>
      <c r="AA1051" s="2656"/>
      <c r="AB1051" s="2656"/>
      <c r="AC1051" s="2656"/>
      <c r="AD1051" s="2656"/>
      <c r="AE1051" s="2656"/>
      <c r="AF1051" s="2656"/>
      <c r="AG1051" s="2656"/>
      <c r="AH1051" s="2656"/>
      <c r="AI1051" s="2656"/>
      <c r="AJ1051" s="2656"/>
      <c r="AK1051" s="2656"/>
      <c r="AL1051" s="2656"/>
      <c r="AM1051" s="2656"/>
      <c r="AN1051" s="2656"/>
      <c r="AO1051" s="2656"/>
      <c r="AP1051" s="2656"/>
      <c r="AQ1051" s="2656"/>
      <c r="AR1051" s="2656"/>
      <c r="AS1051" s="2656"/>
      <c r="AT1051" s="2656"/>
      <c r="AU1051" s="2656"/>
      <c r="AV1051" s="2656"/>
      <c r="AW1051" s="2656"/>
      <c r="AX1051" s="2656"/>
      <c r="AY1051" s="2656"/>
      <c r="AZ1051" s="2656"/>
      <c r="BA1051" s="2656"/>
      <c r="BB1051" s="2656"/>
      <c r="BC1051" s="2656"/>
      <c r="BD1051" s="2656"/>
      <c r="BE1051" s="2656"/>
      <c r="BF1051" s="2656"/>
      <c r="BG1051" s="2656"/>
      <c r="BH1051" s="2656"/>
      <c r="BI1051" s="2656"/>
    </row>
    <row r="1052" spans="1:61" ht="24.75" customHeight="1">
      <c r="A1052" s="3375"/>
      <c r="B1052" s="2646"/>
      <c r="C1052" s="2647"/>
      <c r="D1052" s="2646"/>
      <c r="E1052" s="3013"/>
      <c r="F1052" s="2655"/>
      <c r="G1052" s="2596"/>
      <c r="H1052" s="4138"/>
      <c r="I1052" s="3375"/>
      <c r="J1052" s="2648"/>
      <c r="K1052" s="3147"/>
      <c r="L1052" s="2785"/>
      <c r="M1052" s="2695"/>
      <c r="N1052" s="2649"/>
      <c r="O1052" s="2655"/>
      <c r="P1052" s="2651"/>
      <c r="Q1052" s="3440"/>
      <c r="R1052" s="3553"/>
      <c r="S1052" s="1407"/>
      <c r="T1052" s="3375"/>
      <c r="U1052" s="2648"/>
      <c r="V1052" s="3554"/>
      <c r="W1052" s="3150"/>
      <c r="X1052" s="2656"/>
      <c r="Y1052" s="2656"/>
      <c r="Z1052" s="2656"/>
      <c r="AA1052" s="2656"/>
      <c r="AB1052" s="2656"/>
      <c r="AC1052" s="2656"/>
      <c r="AD1052" s="2656"/>
      <c r="AE1052" s="2656"/>
      <c r="AF1052" s="2656"/>
      <c r="AG1052" s="2656"/>
      <c r="AH1052" s="2656"/>
      <c r="AI1052" s="2656"/>
      <c r="AJ1052" s="2656"/>
      <c r="AK1052" s="2656"/>
      <c r="AL1052" s="2656"/>
      <c r="AM1052" s="2656"/>
      <c r="AN1052" s="2656"/>
      <c r="AO1052" s="2656"/>
      <c r="AP1052" s="2656"/>
      <c r="AQ1052" s="2656"/>
      <c r="AR1052" s="2656"/>
      <c r="AS1052" s="2656"/>
      <c r="AT1052" s="2656"/>
      <c r="AU1052" s="2656"/>
      <c r="AV1052" s="2656"/>
      <c r="AW1052" s="2656"/>
      <c r="AX1052" s="2656"/>
      <c r="AY1052" s="2656"/>
      <c r="AZ1052" s="2656"/>
      <c r="BA1052" s="2656"/>
      <c r="BB1052" s="2656"/>
      <c r="BC1052" s="2656"/>
      <c r="BD1052" s="2656"/>
      <c r="BE1052" s="2656"/>
      <c r="BF1052" s="2656"/>
      <c r="BG1052" s="2656"/>
      <c r="BH1052" s="2656"/>
      <c r="BI1052" s="2656"/>
    </row>
    <row r="1053" spans="1:61" ht="24.75" customHeight="1">
      <c r="A1053" s="3375"/>
      <c r="B1053" s="2646"/>
      <c r="C1053" s="2647"/>
      <c r="D1053" s="2646"/>
      <c r="E1053" s="3013"/>
      <c r="F1053" s="2655"/>
      <c r="G1053" s="2596"/>
      <c r="H1053" s="4138"/>
      <c r="I1053" s="3375"/>
      <c r="J1053" s="2648"/>
      <c r="K1053" s="3147"/>
      <c r="L1053" s="2785"/>
      <c r="M1053" s="2695"/>
      <c r="N1053" s="2649"/>
      <c r="O1053" s="2655"/>
      <c r="P1053" s="2651"/>
      <c r="Q1053" s="3440"/>
      <c r="R1053" s="3553"/>
      <c r="S1053" s="1407"/>
      <c r="T1053" s="3375"/>
      <c r="U1053" s="2648"/>
      <c r="V1053" s="3554"/>
      <c r="W1053" s="3150"/>
      <c r="X1053" s="2656"/>
      <c r="Y1053" s="2656"/>
      <c r="Z1053" s="2656"/>
      <c r="AA1053" s="2656"/>
      <c r="AB1053" s="2656"/>
      <c r="AC1053" s="2656"/>
      <c r="AD1053" s="2656"/>
      <c r="AE1053" s="2656"/>
      <c r="AF1053" s="2656"/>
      <c r="AG1053" s="2656"/>
      <c r="AH1053" s="2656"/>
      <c r="AI1053" s="2656"/>
      <c r="AJ1053" s="2656"/>
      <c r="AK1053" s="2656"/>
      <c r="AL1053" s="2656"/>
      <c r="AM1053" s="2656"/>
      <c r="AN1053" s="2656"/>
      <c r="AO1053" s="2656"/>
      <c r="AP1053" s="2656"/>
      <c r="AQ1053" s="2656"/>
      <c r="AR1053" s="2656"/>
      <c r="AS1053" s="2656"/>
      <c r="AT1053" s="2656"/>
      <c r="AU1053" s="2656"/>
      <c r="AV1053" s="2656"/>
      <c r="AW1053" s="2656"/>
      <c r="AX1053" s="2656"/>
      <c r="AY1053" s="2656"/>
      <c r="AZ1053" s="2656"/>
      <c r="BA1053" s="2656"/>
      <c r="BB1053" s="2656"/>
      <c r="BC1053" s="2656"/>
      <c r="BD1053" s="2656"/>
      <c r="BE1053" s="2656"/>
      <c r="BF1053" s="2656"/>
      <c r="BG1053" s="2656"/>
      <c r="BH1053" s="2656"/>
      <c r="BI1053" s="2656"/>
    </row>
    <row r="1054" spans="1:61" ht="24.75" customHeight="1">
      <c r="A1054" s="3375"/>
      <c r="B1054" s="2646"/>
      <c r="C1054" s="2647"/>
      <c r="D1054" s="2646"/>
      <c r="E1054" s="3013"/>
      <c r="F1054" s="2655"/>
      <c r="G1054" s="2596"/>
      <c r="H1054" s="4138"/>
      <c r="I1054" s="3375"/>
      <c r="J1054" s="2648"/>
      <c r="K1054" s="3147"/>
      <c r="L1054" s="2785"/>
      <c r="M1054" s="2695"/>
      <c r="N1054" s="2649"/>
      <c r="O1054" s="2655"/>
      <c r="P1054" s="2651"/>
      <c r="Q1054" s="3440"/>
      <c r="R1054" s="3553"/>
      <c r="S1054" s="1407"/>
      <c r="T1054" s="3375"/>
      <c r="U1054" s="2648"/>
      <c r="V1054" s="3554"/>
      <c r="W1054" s="3150"/>
      <c r="X1054" s="2656"/>
      <c r="Y1054" s="2656"/>
      <c r="Z1054" s="2656"/>
      <c r="AA1054" s="2656"/>
      <c r="AB1054" s="2656"/>
      <c r="AC1054" s="2656"/>
      <c r="AD1054" s="2656"/>
      <c r="AE1054" s="2656"/>
      <c r="AF1054" s="2656"/>
      <c r="AG1054" s="2656"/>
      <c r="AH1054" s="2656"/>
      <c r="AI1054" s="2656"/>
      <c r="AJ1054" s="2656"/>
      <c r="AK1054" s="2656"/>
      <c r="AL1054" s="2656"/>
      <c r="AM1054" s="2656"/>
      <c r="AN1054" s="2656"/>
      <c r="AO1054" s="2656"/>
      <c r="AP1054" s="2656"/>
      <c r="AQ1054" s="2656"/>
      <c r="AR1054" s="2656"/>
      <c r="AS1054" s="2656"/>
      <c r="AT1054" s="2656"/>
      <c r="AU1054" s="2656"/>
      <c r="AV1054" s="2656"/>
      <c r="AW1054" s="2656"/>
      <c r="AX1054" s="2656"/>
      <c r="AY1054" s="2656"/>
      <c r="AZ1054" s="2656"/>
      <c r="BA1054" s="2656"/>
      <c r="BB1054" s="2656"/>
      <c r="BC1054" s="2656"/>
      <c r="BD1054" s="2656"/>
      <c r="BE1054" s="2656"/>
      <c r="BF1054" s="2656"/>
      <c r="BG1054" s="2656"/>
      <c r="BH1054" s="2656"/>
      <c r="BI1054" s="2656"/>
    </row>
    <row r="1055" spans="1:61" ht="24.75" customHeight="1">
      <c r="A1055" s="3375"/>
      <c r="B1055" s="2646"/>
      <c r="C1055" s="2647"/>
      <c r="D1055" s="2646"/>
      <c r="E1055" s="3013"/>
      <c r="F1055" s="2655"/>
      <c r="G1055" s="2596"/>
      <c r="H1055" s="4138"/>
      <c r="I1055" s="3375"/>
      <c r="J1055" s="2648"/>
      <c r="K1055" s="3147"/>
      <c r="L1055" s="2785"/>
      <c r="M1055" s="2695"/>
      <c r="N1055" s="2649"/>
      <c r="O1055" s="2655"/>
      <c r="P1055" s="2651"/>
      <c r="Q1055" s="3440"/>
      <c r="R1055" s="3553"/>
      <c r="S1055" s="1407"/>
      <c r="T1055" s="3375"/>
      <c r="U1055" s="2648"/>
      <c r="V1055" s="3554"/>
      <c r="W1055" s="3150"/>
      <c r="X1055" s="2656"/>
      <c r="Y1055" s="2656"/>
      <c r="Z1055" s="2656"/>
      <c r="AA1055" s="2656"/>
      <c r="AB1055" s="2656"/>
      <c r="AC1055" s="2656"/>
      <c r="AD1055" s="2656"/>
      <c r="AE1055" s="2656"/>
      <c r="AF1055" s="2656"/>
      <c r="AG1055" s="2656"/>
      <c r="AH1055" s="2656"/>
      <c r="AI1055" s="2656"/>
      <c r="AJ1055" s="2656"/>
      <c r="AK1055" s="2656"/>
      <c r="AL1055" s="2656"/>
      <c r="AM1055" s="2656"/>
      <c r="AN1055" s="2656"/>
      <c r="AO1055" s="2656"/>
      <c r="AP1055" s="2656"/>
      <c r="AQ1055" s="2656"/>
      <c r="AR1055" s="2656"/>
      <c r="AS1055" s="2656"/>
      <c r="AT1055" s="2656"/>
      <c r="AU1055" s="2656"/>
      <c r="AV1055" s="2656"/>
      <c r="AW1055" s="2656"/>
      <c r="AX1055" s="2656"/>
      <c r="AY1055" s="2656"/>
      <c r="AZ1055" s="2656"/>
      <c r="BA1055" s="2656"/>
      <c r="BB1055" s="2656"/>
      <c r="BC1055" s="2656"/>
      <c r="BD1055" s="2656"/>
      <c r="BE1055" s="2656"/>
      <c r="BF1055" s="2656"/>
      <c r="BG1055" s="2656"/>
      <c r="BH1055" s="2656"/>
      <c r="BI1055" s="2656"/>
    </row>
    <row r="1056" spans="1:61" ht="24.75" customHeight="1">
      <c r="A1056" s="3375"/>
      <c r="B1056" s="2646"/>
      <c r="C1056" s="2647"/>
      <c r="D1056" s="2646"/>
      <c r="E1056" s="3013"/>
      <c r="F1056" s="2655"/>
      <c r="G1056" s="2596"/>
      <c r="H1056" s="4138"/>
      <c r="I1056" s="3375"/>
      <c r="J1056" s="2648"/>
      <c r="K1056" s="3147"/>
      <c r="L1056" s="2785"/>
      <c r="M1056" s="2695"/>
      <c r="N1056" s="2649"/>
      <c r="O1056" s="2655"/>
      <c r="P1056" s="2651"/>
      <c r="Q1056" s="3440"/>
      <c r="R1056" s="3553"/>
      <c r="S1056" s="1407"/>
      <c r="T1056" s="3375"/>
      <c r="U1056" s="2648"/>
      <c r="V1056" s="3554"/>
      <c r="W1056" s="3150"/>
      <c r="X1056" s="2656"/>
      <c r="Y1056" s="2656"/>
      <c r="Z1056" s="2656"/>
      <c r="AA1056" s="2656"/>
      <c r="AB1056" s="2656"/>
      <c r="AC1056" s="2656"/>
      <c r="AD1056" s="2656"/>
      <c r="AE1056" s="2656"/>
      <c r="AF1056" s="2656"/>
      <c r="AG1056" s="2656"/>
      <c r="AH1056" s="2656"/>
      <c r="AI1056" s="2656"/>
      <c r="AJ1056" s="2656"/>
      <c r="AK1056" s="2656"/>
      <c r="AL1056" s="2656"/>
      <c r="AM1056" s="2656"/>
      <c r="AN1056" s="2656"/>
      <c r="AO1056" s="2656"/>
      <c r="AP1056" s="2656"/>
      <c r="AQ1056" s="2656"/>
      <c r="AR1056" s="2656"/>
      <c r="AS1056" s="2656"/>
      <c r="AT1056" s="2656"/>
      <c r="AU1056" s="2656"/>
      <c r="AV1056" s="2656"/>
      <c r="AW1056" s="2656"/>
      <c r="AX1056" s="2656"/>
      <c r="AY1056" s="2656"/>
      <c r="AZ1056" s="2656"/>
      <c r="BA1056" s="2656"/>
      <c r="BB1056" s="2656"/>
      <c r="BC1056" s="2656"/>
      <c r="BD1056" s="2656"/>
      <c r="BE1056" s="2656"/>
      <c r="BF1056" s="2656"/>
      <c r="BG1056" s="2656"/>
      <c r="BH1056" s="2656"/>
      <c r="BI1056" s="2656"/>
    </row>
    <row r="1057" spans="1:61" ht="24.75" customHeight="1">
      <c r="A1057" s="3375"/>
      <c r="B1057" s="2646"/>
      <c r="C1057" s="2647"/>
      <c r="D1057" s="2646"/>
      <c r="E1057" s="3013"/>
      <c r="F1057" s="2655"/>
      <c r="G1057" s="2596"/>
      <c r="H1057" s="4138"/>
      <c r="I1057" s="3375"/>
      <c r="J1057" s="2648"/>
      <c r="K1057" s="3147"/>
      <c r="L1057" s="2785"/>
      <c r="M1057" s="2695"/>
      <c r="N1057" s="2649"/>
      <c r="O1057" s="2655"/>
      <c r="P1057" s="2651"/>
      <c r="Q1057" s="3440"/>
      <c r="R1057" s="3553"/>
      <c r="S1057" s="1407"/>
      <c r="T1057" s="3375"/>
      <c r="U1057" s="2648"/>
      <c r="V1057" s="3554"/>
      <c r="W1057" s="3150"/>
      <c r="X1057" s="2656"/>
      <c r="Y1057" s="2656"/>
      <c r="Z1057" s="2656"/>
      <c r="AA1057" s="2656"/>
      <c r="AB1057" s="2656"/>
      <c r="AC1057" s="2656"/>
      <c r="AD1057" s="2656"/>
      <c r="AE1057" s="2656"/>
      <c r="AF1057" s="2656"/>
      <c r="AG1057" s="2656"/>
      <c r="AH1057" s="2656"/>
      <c r="AI1057" s="2656"/>
      <c r="AJ1057" s="2656"/>
      <c r="AK1057" s="2656"/>
      <c r="AL1057" s="2656"/>
      <c r="AM1057" s="2656"/>
      <c r="AN1057" s="2656"/>
      <c r="AO1057" s="2656"/>
      <c r="AP1057" s="2656"/>
      <c r="AQ1057" s="2656"/>
      <c r="AR1057" s="2656"/>
      <c r="AS1057" s="2656"/>
      <c r="AT1057" s="2656"/>
      <c r="AU1057" s="2656"/>
      <c r="AV1057" s="2656"/>
      <c r="AW1057" s="2656"/>
      <c r="AX1057" s="2656"/>
      <c r="AY1057" s="2656"/>
      <c r="AZ1057" s="2656"/>
      <c r="BA1057" s="2656"/>
      <c r="BB1057" s="2656"/>
      <c r="BC1057" s="2656"/>
      <c r="BD1057" s="2656"/>
      <c r="BE1057" s="2656"/>
      <c r="BF1057" s="2656"/>
      <c r="BG1057" s="2656"/>
      <c r="BH1057" s="2656"/>
      <c r="BI1057" s="2656"/>
    </row>
    <row r="1058" spans="1:61" ht="24.75" customHeight="1">
      <c r="A1058" s="3375"/>
      <c r="B1058" s="2646"/>
      <c r="C1058" s="2647"/>
      <c r="D1058" s="2646"/>
      <c r="E1058" s="3013"/>
      <c r="F1058" s="2655"/>
      <c r="G1058" s="2596"/>
      <c r="H1058" s="4138"/>
      <c r="I1058" s="3375"/>
      <c r="J1058" s="2648"/>
      <c r="K1058" s="3147"/>
      <c r="L1058" s="2785"/>
      <c r="M1058" s="2695"/>
      <c r="N1058" s="2649"/>
      <c r="O1058" s="2655"/>
      <c r="P1058" s="2651"/>
      <c r="Q1058" s="3440"/>
      <c r="R1058" s="3553"/>
      <c r="S1058" s="1407"/>
      <c r="T1058" s="3375"/>
      <c r="U1058" s="2648"/>
      <c r="V1058" s="3554"/>
      <c r="W1058" s="3150"/>
      <c r="X1058" s="2656"/>
      <c r="Y1058" s="2656"/>
      <c r="Z1058" s="2656"/>
      <c r="AA1058" s="2656"/>
      <c r="AB1058" s="2656"/>
      <c r="AC1058" s="2656"/>
      <c r="AD1058" s="2656"/>
      <c r="AE1058" s="2656"/>
      <c r="AF1058" s="2656"/>
      <c r="AG1058" s="2656"/>
      <c r="AH1058" s="2656"/>
      <c r="AI1058" s="2656"/>
      <c r="AJ1058" s="2656"/>
      <c r="AK1058" s="2656"/>
      <c r="AL1058" s="2656"/>
      <c r="AM1058" s="2656"/>
      <c r="AN1058" s="2656"/>
      <c r="AO1058" s="2656"/>
      <c r="AP1058" s="2656"/>
      <c r="AQ1058" s="2656"/>
      <c r="AR1058" s="2656"/>
      <c r="AS1058" s="2656"/>
      <c r="AT1058" s="2656"/>
      <c r="AU1058" s="2656"/>
      <c r="AV1058" s="2656"/>
      <c r="AW1058" s="2656"/>
      <c r="AX1058" s="2656"/>
      <c r="AY1058" s="2656"/>
      <c r="AZ1058" s="2656"/>
      <c r="BA1058" s="2656"/>
      <c r="BB1058" s="2656"/>
      <c r="BC1058" s="2656"/>
      <c r="BD1058" s="2656"/>
      <c r="BE1058" s="2656"/>
      <c r="BF1058" s="2656"/>
      <c r="BG1058" s="2656"/>
      <c r="BH1058" s="2656"/>
      <c r="BI1058" s="2656"/>
    </row>
    <row r="1059" spans="1:61" ht="24.75" customHeight="1">
      <c r="A1059" s="3375"/>
      <c r="B1059" s="2646"/>
      <c r="C1059" s="2647"/>
      <c r="D1059" s="2646"/>
      <c r="E1059" s="3013"/>
      <c r="F1059" s="2655"/>
      <c r="G1059" s="2596"/>
      <c r="H1059" s="4138"/>
      <c r="I1059" s="3375"/>
      <c r="J1059" s="2648"/>
      <c r="K1059" s="3147"/>
      <c r="L1059" s="2785"/>
      <c r="M1059" s="2695"/>
      <c r="N1059" s="2649"/>
      <c r="O1059" s="2655"/>
      <c r="P1059" s="2651"/>
      <c r="Q1059" s="3440"/>
      <c r="R1059" s="3553"/>
      <c r="S1059" s="1407"/>
      <c r="T1059" s="3375"/>
      <c r="U1059" s="2648"/>
      <c r="V1059" s="3554"/>
      <c r="W1059" s="3150"/>
      <c r="X1059" s="2656"/>
      <c r="Y1059" s="2656"/>
      <c r="Z1059" s="2656"/>
      <c r="AA1059" s="2656"/>
      <c r="AB1059" s="2656"/>
      <c r="AC1059" s="2656"/>
      <c r="AD1059" s="2656"/>
      <c r="AE1059" s="2656"/>
      <c r="AF1059" s="2656"/>
      <c r="AG1059" s="2656"/>
      <c r="AH1059" s="2656"/>
      <c r="AI1059" s="2656"/>
      <c r="AJ1059" s="2656"/>
      <c r="AK1059" s="2656"/>
      <c r="AL1059" s="2656"/>
      <c r="AM1059" s="2656"/>
      <c r="AN1059" s="2656"/>
      <c r="AO1059" s="2656"/>
      <c r="AP1059" s="2656"/>
      <c r="AQ1059" s="2656"/>
      <c r="AR1059" s="2656"/>
      <c r="AS1059" s="2656"/>
      <c r="AT1059" s="2656"/>
      <c r="AU1059" s="2656"/>
      <c r="AV1059" s="2656"/>
      <c r="AW1059" s="2656"/>
      <c r="AX1059" s="2656"/>
      <c r="AY1059" s="2656"/>
      <c r="AZ1059" s="2656"/>
      <c r="BA1059" s="2656"/>
      <c r="BB1059" s="2656"/>
      <c r="BC1059" s="2656"/>
      <c r="BD1059" s="2656"/>
      <c r="BE1059" s="2656"/>
      <c r="BF1059" s="2656"/>
      <c r="BG1059" s="2656"/>
      <c r="BH1059" s="2656"/>
      <c r="BI1059" s="2656"/>
    </row>
    <row r="1060" spans="1:61" ht="24.75" customHeight="1">
      <c r="A1060" s="3375"/>
      <c r="B1060" s="2646"/>
      <c r="C1060" s="2647"/>
      <c r="D1060" s="2646"/>
      <c r="E1060" s="3013"/>
      <c r="F1060" s="2655"/>
      <c r="G1060" s="2596"/>
      <c r="H1060" s="4138"/>
      <c r="I1060" s="3375"/>
      <c r="J1060" s="2648"/>
      <c r="K1060" s="3147"/>
      <c r="L1060" s="2785"/>
      <c r="M1060" s="2695"/>
      <c r="N1060" s="2649"/>
      <c r="O1060" s="2655"/>
      <c r="P1060" s="2651"/>
      <c r="Q1060" s="3440"/>
      <c r="R1060" s="3553"/>
      <c r="S1060" s="1407"/>
      <c r="T1060" s="3375"/>
      <c r="U1060" s="2648"/>
      <c r="V1060" s="3554"/>
      <c r="W1060" s="3150"/>
      <c r="X1060" s="2656"/>
      <c r="Y1060" s="2656"/>
      <c r="Z1060" s="2656"/>
      <c r="AA1060" s="2656"/>
      <c r="AB1060" s="2656"/>
      <c r="AC1060" s="2656"/>
      <c r="AD1060" s="2656"/>
      <c r="AE1060" s="2656"/>
      <c r="AF1060" s="2656"/>
      <c r="AG1060" s="2656"/>
      <c r="AH1060" s="2656"/>
      <c r="AI1060" s="2656"/>
      <c r="AJ1060" s="2656"/>
      <c r="AK1060" s="2656"/>
      <c r="AL1060" s="2656"/>
      <c r="AM1060" s="2656"/>
      <c r="AN1060" s="2656"/>
      <c r="AO1060" s="2656"/>
      <c r="AP1060" s="2656"/>
      <c r="AQ1060" s="2656"/>
      <c r="AR1060" s="2656"/>
      <c r="AS1060" s="2656"/>
      <c r="AT1060" s="2656"/>
      <c r="AU1060" s="2656"/>
      <c r="AV1060" s="2656"/>
      <c r="AW1060" s="2656"/>
      <c r="AX1060" s="2656"/>
      <c r="AY1060" s="2656"/>
      <c r="AZ1060" s="2656"/>
      <c r="BA1060" s="2656"/>
      <c r="BB1060" s="2656"/>
      <c r="BC1060" s="2656"/>
      <c r="BD1060" s="2656"/>
      <c r="BE1060" s="2656"/>
      <c r="BF1060" s="2656"/>
      <c r="BG1060" s="2656"/>
      <c r="BH1060" s="2656"/>
      <c r="BI1060" s="2656"/>
    </row>
    <row r="1061" spans="1:61" ht="24.75" customHeight="1">
      <c r="A1061" s="3375"/>
      <c r="B1061" s="2646"/>
      <c r="C1061" s="2647"/>
      <c r="D1061" s="2646"/>
      <c r="E1061" s="3013"/>
      <c r="F1061" s="2655"/>
      <c r="G1061" s="2596"/>
      <c r="H1061" s="4138"/>
      <c r="I1061" s="3375"/>
      <c r="J1061" s="2648"/>
      <c r="K1061" s="3147"/>
      <c r="L1061" s="2785"/>
      <c r="M1061" s="2695"/>
      <c r="N1061" s="2649"/>
      <c r="O1061" s="2655"/>
      <c r="P1061" s="2651"/>
      <c r="Q1061" s="3440"/>
      <c r="R1061" s="3553"/>
      <c r="S1061" s="1407"/>
      <c r="T1061" s="3375"/>
      <c r="U1061" s="2648"/>
      <c r="V1061" s="3554"/>
      <c r="W1061" s="3150"/>
      <c r="X1061" s="2656"/>
      <c r="Y1061" s="2656"/>
      <c r="Z1061" s="2656"/>
      <c r="AA1061" s="2656"/>
      <c r="AB1061" s="2656"/>
      <c r="AC1061" s="2656"/>
      <c r="AD1061" s="2656"/>
      <c r="AE1061" s="2656"/>
      <c r="AF1061" s="2656"/>
      <c r="AG1061" s="2656"/>
      <c r="AH1061" s="2656"/>
      <c r="AI1061" s="2656"/>
      <c r="AJ1061" s="2656"/>
      <c r="AK1061" s="2656"/>
      <c r="AL1061" s="2656"/>
      <c r="AM1061" s="2656"/>
      <c r="AN1061" s="2656"/>
      <c r="AO1061" s="2656"/>
      <c r="AP1061" s="2656"/>
      <c r="AQ1061" s="2656"/>
      <c r="AR1061" s="2656"/>
      <c r="AS1061" s="2656"/>
      <c r="AT1061" s="2656"/>
      <c r="AU1061" s="2656"/>
      <c r="AV1061" s="2656"/>
      <c r="AW1061" s="2656"/>
      <c r="AX1061" s="2656"/>
      <c r="AY1061" s="2656"/>
      <c r="AZ1061" s="2656"/>
      <c r="BA1061" s="2656"/>
      <c r="BB1061" s="2656"/>
      <c r="BC1061" s="2656"/>
      <c r="BD1061" s="2656"/>
      <c r="BE1061" s="2656"/>
      <c r="BF1061" s="2656"/>
      <c r="BG1061" s="2656"/>
      <c r="BH1061" s="2656"/>
      <c r="BI1061" s="2656"/>
    </row>
    <row r="1062" spans="1:61" ht="24.75" customHeight="1">
      <c r="A1062" s="3375"/>
      <c r="B1062" s="2646"/>
      <c r="C1062" s="2647"/>
      <c r="D1062" s="2646"/>
      <c r="E1062" s="3013"/>
      <c r="F1062" s="2655"/>
      <c r="G1062" s="2596"/>
      <c r="H1062" s="4138"/>
      <c r="I1062" s="3375"/>
      <c r="J1062" s="2648"/>
      <c r="K1062" s="3147"/>
      <c r="L1062" s="2785"/>
      <c r="M1062" s="2695"/>
      <c r="N1062" s="2649"/>
      <c r="O1062" s="2655"/>
      <c r="P1062" s="2651"/>
      <c r="Q1062" s="3440"/>
      <c r="R1062" s="3553"/>
      <c r="S1062" s="1407"/>
      <c r="T1062" s="3375"/>
      <c r="U1062" s="2648"/>
      <c r="V1062" s="3554"/>
      <c r="W1062" s="3150"/>
      <c r="X1062" s="2656"/>
      <c r="Y1062" s="2656"/>
      <c r="Z1062" s="2656"/>
      <c r="AA1062" s="2656"/>
      <c r="AB1062" s="2656"/>
      <c r="AC1062" s="2656"/>
      <c r="AD1062" s="2656"/>
      <c r="AE1062" s="2656"/>
      <c r="AF1062" s="2656"/>
      <c r="AG1062" s="2656"/>
      <c r="AH1062" s="2656"/>
      <c r="AI1062" s="2656"/>
      <c r="AJ1062" s="2656"/>
      <c r="AK1062" s="2656"/>
      <c r="AL1062" s="2656"/>
      <c r="AM1062" s="2656"/>
      <c r="AN1062" s="2656"/>
      <c r="AO1062" s="2656"/>
      <c r="AP1062" s="2656"/>
      <c r="AQ1062" s="2656"/>
      <c r="AR1062" s="2656"/>
      <c r="AS1062" s="2656"/>
      <c r="AT1062" s="2656"/>
      <c r="AU1062" s="2656"/>
      <c r="AV1062" s="2656"/>
      <c r="AW1062" s="2656"/>
      <c r="AX1062" s="2656"/>
      <c r="AY1062" s="2656"/>
      <c r="AZ1062" s="2656"/>
      <c r="BA1062" s="2656"/>
      <c r="BB1062" s="2656"/>
      <c r="BC1062" s="2656"/>
      <c r="BD1062" s="2656"/>
      <c r="BE1062" s="2656"/>
      <c r="BF1062" s="2656"/>
      <c r="BG1062" s="2656"/>
      <c r="BH1062" s="2656"/>
      <c r="BI1062" s="2656"/>
    </row>
    <row r="1063" spans="1:61" ht="24.75" customHeight="1">
      <c r="A1063" s="3375"/>
      <c r="B1063" s="2646"/>
      <c r="C1063" s="2647"/>
      <c r="D1063" s="2646"/>
      <c r="E1063" s="3013"/>
      <c r="F1063" s="2655"/>
      <c r="G1063" s="2596"/>
      <c r="H1063" s="4138"/>
      <c r="I1063" s="3375"/>
      <c r="J1063" s="2648"/>
      <c r="K1063" s="3147"/>
      <c r="L1063" s="2785"/>
      <c r="M1063" s="2695"/>
      <c r="N1063" s="2649"/>
      <c r="O1063" s="2655"/>
      <c r="P1063" s="2651"/>
      <c r="Q1063" s="3440"/>
      <c r="R1063" s="3553"/>
      <c r="S1063" s="1407"/>
      <c r="T1063" s="3375"/>
      <c r="U1063" s="2648"/>
      <c r="V1063" s="3554"/>
      <c r="W1063" s="3150"/>
      <c r="X1063" s="2656"/>
      <c r="Y1063" s="2656"/>
      <c r="Z1063" s="2656"/>
      <c r="AA1063" s="2656"/>
      <c r="AB1063" s="2656"/>
      <c r="AC1063" s="2656"/>
      <c r="AD1063" s="2656"/>
      <c r="AE1063" s="2656"/>
      <c r="AF1063" s="2656"/>
      <c r="AG1063" s="2656"/>
      <c r="AH1063" s="2656"/>
      <c r="AI1063" s="2656"/>
      <c r="AJ1063" s="2656"/>
      <c r="AK1063" s="2656"/>
      <c r="AL1063" s="2656"/>
      <c r="AM1063" s="2656"/>
      <c r="AN1063" s="2656"/>
      <c r="AO1063" s="2656"/>
      <c r="AP1063" s="2656"/>
      <c r="AQ1063" s="2656"/>
      <c r="AR1063" s="2656"/>
      <c r="AS1063" s="2656"/>
      <c r="AT1063" s="2656"/>
      <c r="AU1063" s="2656"/>
      <c r="AV1063" s="2656"/>
      <c r="AW1063" s="2656"/>
      <c r="AX1063" s="2656"/>
      <c r="AY1063" s="2656"/>
      <c r="AZ1063" s="2656"/>
      <c r="BA1063" s="2656"/>
      <c r="BB1063" s="2656"/>
      <c r="BC1063" s="2656"/>
      <c r="BD1063" s="2656"/>
      <c r="BE1063" s="2656"/>
      <c r="BF1063" s="2656"/>
      <c r="BG1063" s="2656"/>
      <c r="BH1063" s="2656"/>
      <c r="BI1063" s="2656"/>
    </row>
    <row r="1064" spans="1:61" ht="24.75" customHeight="1">
      <c r="A1064" s="3375"/>
      <c r="B1064" s="2646"/>
      <c r="C1064" s="2647"/>
      <c r="D1064" s="2646"/>
      <c r="E1064" s="3013"/>
      <c r="F1064" s="2655"/>
      <c r="G1064" s="2596"/>
      <c r="H1064" s="4138"/>
      <c r="I1064" s="3375"/>
      <c r="J1064" s="2648"/>
      <c r="K1064" s="3147"/>
      <c r="L1064" s="2785"/>
      <c r="M1064" s="2695"/>
      <c r="N1064" s="2649"/>
      <c r="O1064" s="2655"/>
      <c r="P1064" s="2651"/>
      <c r="Q1064" s="3440"/>
      <c r="R1064" s="3553"/>
      <c r="S1064" s="1407"/>
      <c r="T1064" s="3375"/>
      <c r="U1064" s="2648"/>
      <c r="V1064" s="3554"/>
      <c r="W1064" s="3150"/>
      <c r="X1064" s="2656"/>
      <c r="Y1064" s="2656"/>
      <c r="Z1064" s="2656"/>
      <c r="AA1064" s="2656"/>
      <c r="AB1064" s="2656"/>
      <c r="AC1064" s="2656"/>
      <c r="AD1064" s="2656"/>
      <c r="AE1064" s="2656"/>
      <c r="AF1064" s="2656"/>
      <c r="AG1064" s="2656"/>
      <c r="AH1064" s="2656"/>
      <c r="AI1064" s="2656"/>
      <c r="AJ1064" s="2656"/>
      <c r="AK1064" s="2656"/>
      <c r="AL1064" s="2656"/>
      <c r="AM1064" s="2656"/>
      <c r="AN1064" s="2656"/>
      <c r="AO1064" s="2656"/>
      <c r="AP1064" s="2656"/>
      <c r="AQ1064" s="2656"/>
      <c r="AR1064" s="2656"/>
      <c r="AS1064" s="2656"/>
      <c r="AT1064" s="2656"/>
      <c r="AU1064" s="2656"/>
      <c r="AV1064" s="2656"/>
      <c r="AW1064" s="2656"/>
      <c r="AX1064" s="2656"/>
      <c r="AY1064" s="2656"/>
      <c r="AZ1064" s="2656"/>
      <c r="BA1064" s="2656"/>
      <c r="BB1064" s="2656"/>
      <c r="BC1064" s="2656"/>
      <c r="BD1064" s="2656"/>
      <c r="BE1064" s="2656"/>
      <c r="BF1064" s="2656"/>
      <c r="BG1064" s="2656"/>
      <c r="BH1064" s="2656"/>
      <c r="BI1064" s="2656"/>
    </row>
    <row r="1065" spans="1:61" ht="24.75" customHeight="1">
      <c r="A1065" s="3375"/>
      <c r="B1065" s="2646"/>
      <c r="C1065" s="2647"/>
      <c r="D1065" s="2646"/>
      <c r="E1065" s="3013"/>
      <c r="F1065" s="2655"/>
      <c r="G1065" s="2596"/>
      <c r="H1065" s="4138"/>
      <c r="I1065" s="3375"/>
      <c r="J1065" s="2648"/>
      <c r="K1065" s="3147"/>
      <c r="L1065" s="2785"/>
      <c r="M1065" s="2695"/>
      <c r="N1065" s="2649"/>
      <c r="O1065" s="2655"/>
      <c r="P1065" s="2651"/>
      <c r="Q1065" s="3440"/>
      <c r="R1065" s="3553"/>
      <c r="S1065" s="1407"/>
      <c r="T1065" s="3375"/>
      <c r="U1065" s="2648"/>
      <c r="V1065" s="3554"/>
      <c r="W1065" s="3150"/>
      <c r="X1065" s="2656"/>
      <c r="Y1065" s="2656"/>
      <c r="Z1065" s="2656"/>
      <c r="AA1065" s="2656"/>
      <c r="AB1065" s="2656"/>
      <c r="AC1065" s="2656"/>
      <c r="AD1065" s="2656"/>
      <c r="AE1065" s="2656"/>
      <c r="AF1065" s="2656"/>
      <c r="AG1065" s="2656"/>
      <c r="AH1065" s="2656"/>
      <c r="AI1065" s="2656"/>
      <c r="AJ1065" s="2656"/>
      <c r="AK1065" s="2656"/>
      <c r="AL1065" s="2656"/>
      <c r="AM1065" s="2656"/>
      <c r="AN1065" s="2656"/>
      <c r="AO1065" s="2656"/>
      <c r="AP1065" s="2656"/>
      <c r="AQ1065" s="2656"/>
      <c r="AR1065" s="2656"/>
      <c r="AS1065" s="2656"/>
      <c r="AT1065" s="2656"/>
      <c r="AU1065" s="2656"/>
      <c r="AV1065" s="2656"/>
      <c r="AW1065" s="2656"/>
      <c r="AX1065" s="2656"/>
      <c r="AY1065" s="2656"/>
      <c r="AZ1065" s="2656"/>
      <c r="BA1065" s="2656"/>
      <c r="BB1065" s="2656"/>
      <c r="BC1065" s="2656"/>
      <c r="BD1065" s="2656"/>
      <c r="BE1065" s="2656"/>
      <c r="BF1065" s="2656"/>
      <c r="BG1065" s="2656"/>
      <c r="BH1065" s="2656"/>
      <c r="BI1065" s="2656"/>
    </row>
    <row r="1066" spans="1:61" ht="24.75" customHeight="1">
      <c r="A1066" s="3375"/>
      <c r="B1066" s="2646"/>
      <c r="C1066" s="2647"/>
      <c r="D1066" s="2646"/>
      <c r="E1066" s="3013"/>
      <c r="F1066" s="2655"/>
      <c r="G1066" s="2596"/>
      <c r="H1066" s="4138"/>
      <c r="I1066" s="3375"/>
      <c r="J1066" s="2648"/>
      <c r="K1066" s="3147"/>
      <c r="L1066" s="2785"/>
      <c r="M1066" s="2695"/>
      <c r="N1066" s="2649"/>
      <c r="O1066" s="2655"/>
      <c r="P1066" s="2651"/>
      <c r="Q1066" s="3440"/>
      <c r="R1066" s="3553"/>
      <c r="S1066" s="1407"/>
      <c r="T1066" s="3375"/>
      <c r="U1066" s="2648"/>
      <c r="V1066" s="3554"/>
      <c r="W1066" s="3150"/>
      <c r="X1066" s="2656"/>
      <c r="Y1066" s="2656"/>
      <c r="Z1066" s="2656"/>
      <c r="AA1066" s="2656"/>
      <c r="AB1066" s="2656"/>
      <c r="AC1066" s="2656"/>
      <c r="AD1066" s="2656"/>
      <c r="AE1066" s="2656"/>
      <c r="AF1066" s="2656"/>
      <c r="AG1066" s="2656"/>
      <c r="AH1066" s="2656"/>
      <c r="AI1066" s="2656"/>
      <c r="AJ1066" s="2656"/>
      <c r="AK1066" s="2656"/>
      <c r="AL1066" s="2656"/>
      <c r="AM1066" s="2656"/>
      <c r="AN1066" s="2656"/>
      <c r="AO1066" s="2656"/>
      <c r="AP1066" s="2656"/>
      <c r="AQ1066" s="2656"/>
      <c r="AR1066" s="2656"/>
      <c r="AS1066" s="2656"/>
      <c r="AT1066" s="2656"/>
      <c r="AU1066" s="2656"/>
      <c r="AV1066" s="2656"/>
      <c r="AW1066" s="2656"/>
      <c r="AX1066" s="2656"/>
      <c r="AY1066" s="2656"/>
      <c r="AZ1066" s="2656"/>
      <c r="BA1066" s="2656"/>
      <c r="BB1066" s="2656"/>
      <c r="BC1066" s="2656"/>
      <c r="BD1066" s="2656"/>
      <c r="BE1066" s="2656"/>
      <c r="BF1066" s="2656"/>
      <c r="BG1066" s="2656"/>
      <c r="BH1066" s="2656"/>
      <c r="BI1066" s="2656"/>
    </row>
    <row r="1067" spans="1:61" ht="24.75" customHeight="1">
      <c r="A1067" s="3375"/>
      <c r="B1067" s="2646"/>
      <c r="C1067" s="2647"/>
      <c r="D1067" s="2646"/>
      <c r="E1067" s="3013"/>
      <c r="F1067" s="2655"/>
      <c r="G1067" s="2596"/>
      <c r="H1067" s="4138"/>
      <c r="I1067" s="3375"/>
      <c r="J1067" s="2648"/>
      <c r="K1067" s="3147"/>
      <c r="L1067" s="2785"/>
      <c r="M1067" s="2695"/>
      <c r="N1067" s="2649"/>
      <c r="O1067" s="2655"/>
      <c r="P1067" s="2651"/>
      <c r="Q1067" s="3440"/>
      <c r="R1067" s="3553"/>
      <c r="S1067" s="1407"/>
      <c r="T1067" s="3375"/>
      <c r="U1067" s="2648"/>
      <c r="V1067" s="3554"/>
      <c r="W1067" s="3150"/>
      <c r="X1067" s="2656"/>
      <c r="Y1067" s="2656"/>
      <c r="Z1067" s="2656"/>
      <c r="AA1067" s="2656"/>
      <c r="AB1067" s="2656"/>
      <c r="AC1067" s="2656"/>
      <c r="AD1067" s="2656"/>
      <c r="AE1067" s="2656"/>
      <c r="AF1067" s="2656"/>
      <c r="AG1067" s="2656"/>
      <c r="AH1067" s="2656"/>
      <c r="AI1067" s="2656"/>
      <c r="AJ1067" s="2656"/>
      <c r="AK1067" s="2656"/>
      <c r="AL1067" s="2656"/>
      <c r="AM1067" s="2656"/>
      <c r="AN1067" s="2656"/>
      <c r="AO1067" s="2656"/>
      <c r="AP1067" s="2656"/>
      <c r="AQ1067" s="2656"/>
      <c r="AR1067" s="2656"/>
      <c r="AS1067" s="2656"/>
      <c r="AT1067" s="2656"/>
      <c r="AU1067" s="2656"/>
      <c r="AV1067" s="2656"/>
      <c r="AW1067" s="2656"/>
      <c r="AX1067" s="2656"/>
      <c r="AY1067" s="2656"/>
      <c r="AZ1067" s="2656"/>
      <c r="BA1067" s="2656"/>
      <c r="BB1067" s="2656"/>
      <c r="BC1067" s="2656"/>
      <c r="BD1067" s="2656"/>
      <c r="BE1067" s="2656"/>
      <c r="BF1067" s="2656"/>
      <c r="BG1067" s="2656"/>
      <c r="BH1067" s="2656"/>
      <c r="BI1067" s="2656"/>
    </row>
    <row r="1068" spans="1:61" ht="24.75" customHeight="1">
      <c r="A1068" s="3375"/>
      <c r="B1068" s="2646"/>
      <c r="C1068" s="2647"/>
      <c r="D1068" s="2646"/>
      <c r="E1068" s="3013"/>
      <c r="F1068" s="2655"/>
      <c r="G1068" s="2596"/>
      <c r="H1068" s="4138"/>
      <c r="I1068" s="3375"/>
      <c r="J1068" s="2648"/>
      <c r="K1068" s="3147"/>
      <c r="L1068" s="2785"/>
      <c r="M1068" s="2695"/>
      <c r="N1068" s="2649"/>
      <c r="O1068" s="2655"/>
      <c r="P1068" s="2651"/>
      <c r="Q1068" s="3440"/>
      <c r="R1068" s="3553"/>
      <c r="S1068" s="1407"/>
      <c r="T1068" s="3375"/>
      <c r="U1068" s="2648"/>
      <c r="V1068" s="3554"/>
      <c r="W1068" s="3150"/>
      <c r="X1068" s="2656"/>
      <c r="Y1068" s="2656"/>
      <c r="Z1068" s="2656"/>
      <c r="AA1068" s="2656"/>
      <c r="AB1068" s="2656"/>
      <c r="AC1068" s="2656"/>
      <c r="AD1068" s="2656"/>
      <c r="AE1068" s="2656"/>
      <c r="AF1068" s="2656"/>
      <c r="AG1068" s="2656"/>
      <c r="AH1068" s="2656"/>
      <c r="AI1068" s="2656"/>
      <c r="AJ1068" s="2656"/>
      <c r="AK1068" s="2656"/>
      <c r="AL1068" s="2656"/>
      <c r="AM1068" s="2656"/>
      <c r="AN1068" s="2656"/>
      <c r="AO1068" s="2656"/>
      <c r="AP1068" s="2656"/>
      <c r="AQ1068" s="2656"/>
      <c r="AR1068" s="2656"/>
      <c r="AS1068" s="2656"/>
      <c r="AT1068" s="2656"/>
      <c r="AU1068" s="2656"/>
      <c r="AV1068" s="2656"/>
      <c r="AW1068" s="2656"/>
      <c r="AX1068" s="2656"/>
      <c r="AY1068" s="2656"/>
      <c r="AZ1068" s="2656"/>
      <c r="BA1068" s="2656"/>
      <c r="BB1068" s="2656"/>
      <c r="BC1068" s="2656"/>
      <c r="BD1068" s="2656"/>
      <c r="BE1068" s="2656"/>
      <c r="BF1068" s="2656"/>
      <c r="BG1068" s="2656"/>
      <c r="BH1068" s="2656"/>
      <c r="BI1068" s="2656"/>
    </row>
    <row r="1069" spans="1:61" ht="24.75" customHeight="1">
      <c r="A1069" s="3375"/>
      <c r="B1069" s="2646"/>
      <c r="C1069" s="2647"/>
      <c r="D1069" s="2646"/>
      <c r="E1069" s="3013"/>
      <c r="F1069" s="2655"/>
      <c r="G1069" s="2596"/>
      <c r="H1069" s="4138"/>
      <c r="I1069" s="3375"/>
      <c r="J1069" s="2648"/>
      <c r="K1069" s="3147"/>
      <c r="L1069" s="2785"/>
      <c r="M1069" s="2695"/>
      <c r="N1069" s="2649"/>
      <c r="O1069" s="2655"/>
      <c r="P1069" s="2651"/>
      <c r="Q1069" s="3440"/>
      <c r="R1069" s="3553"/>
      <c r="S1069" s="1407"/>
      <c r="T1069" s="3375"/>
      <c r="U1069" s="2648"/>
      <c r="V1069" s="3554"/>
      <c r="W1069" s="3150"/>
      <c r="X1069" s="2656"/>
      <c r="Y1069" s="2656"/>
      <c r="Z1069" s="2656"/>
      <c r="AA1069" s="2656"/>
      <c r="AB1069" s="2656"/>
      <c r="AC1069" s="2656"/>
      <c r="AD1069" s="2656"/>
      <c r="AE1069" s="2656"/>
      <c r="AF1069" s="2656"/>
      <c r="AG1069" s="2656"/>
      <c r="AH1069" s="2656"/>
      <c r="AI1069" s="2656"/>
      <c r="AJ1069" s="2656"/>
      <c r="AK1069" s="2656"/>
      <c r="AL1069" s="2656"/>
      <c r="AM1069" s="2656"/>
      <c r="AN1069" s="2656"/>
      <c r="AO1069" s="2656"/>
      <c r="AP1069" s="2656"/>
      <c r="AQ1069" s="2656"/>
      <c r="AR1069" s="2656"/>
      <c r="AS1069" s="2656"/>
      <c r="AT1069" s="2656"/>
      <c r="AU1069" s="2656"/>
      <c r="AV1069" s="2656"/>
      <c r="AW1069" s="2656"/>
      <c r="AX1069" s="2656"/>
      <c r="AY1069" s="2656"/>
      <c r="AZ1069" s="2656"/>
      <c r="BA1069" s="2656"/>
      <c r="BB1069" s="2656"/>
      <c r="BC1069" s="2656"/>
      <c r="BD1069" s="2656"/>
      <c r="BE1069" s="2656"/>
      <c r="BF1069" s="2656"/>
      <c r="BG1069" s="2656"/>
      <c r="BH1069" s="2656"/>
      <c r="BI1069" s="2656"/>
    </row>
    <row r="1070" spans="1:61" ht="24.75" customHeight="1">
      <c r="A1070" s="3375"/>
      <c r="B1070" s="2646"/>
      <c r="C1070" s="2647"/>
      <c r="D1070" s="2646"/>
      <c r="E1070" s="3013"/>
      <c r="F1070" s="2655"/>
      <c r="G1070" s="2596"/>
      <c r="H1070" s="4138"/>
      <c r="I1070" s="3375"/>
      <c r="J1070" s="2648"/>
      <c r="K1070" s="3147"/>
      <c r="L1070" s="2785"/>
      <c r="M1070" s="2695"/>
      <c r="N1070" s="2649"/>
      <c r="O1070" s="2655"/>
      <c r="P1070" s="2651"/>
      <c r="Q1070" s="3440"/>
      <c r="R1070" s="3553"/>
      <c r="S1070" s="1407"/>
      <c r="T1070" s="3375"/>
      <c r="U1070" s="2648"/>
      <c r="V1070" s="3554"/>
      <c r="W1070" s="3150"/>
      <c r="X1070" s="2656"/>
      <c r="Y1070" s="2656"/>
      <c r="Z1070" s="2656"/>
      <c r="AA1070" s="2656"/>
      <c r="AB1070" s="2656"/>
      <c r="AC1070" s="2656"/>
      <c r="AD1070" s="2656"/>
      <c r="AE1070" s="2656"/>
      <c r="AF1070" s="2656"/>
      <c r="AG1070" s="2656"/>
      <c r="AH1070" s="2656"/>
      <c r="AI1070" s="2656"/>
      <c r="AJ1070" s="2656"/>
      <c r="AK1070" s="2656"/>
      <c r="AL1070" s="2656"/>
      <c r="AM1070" s="2656"/>
      <c r="AN1070" s="2656"/>
      <c r="AO1070" s="2656"/>
      <c r="AP1070" s="2656"/>
      <c r="AQ1070" s="2656"/>
      <c r="AR1070" s="2656"/>
      <c r="AS1070" s="2656"/>
      <c r="AT1070" s="2656"/>
      <c r="AU1070" s="2656"/>
      <c r="AV1070" s="2656"/>
      <c r="AW1070" s="2656"/>
      <c r="AX1070" s="2656"/>
      <c r="AY1070" s="2656"/>
      <c r="AZ1070" s="2656"/>
      <c r="BA1070" s="2656"/>
      <c r="BB1070" s="2656"/>
      <c r="BC1070" s="2656"/>
      <c r="BD1070" s="2656"/>
      <c r="BE1070" s="2656"/>
      <c r="BF1070" s="2656"/>
      <c r="BG1070" s="2656"/>
      <c r="BH1070" s="2656"/>
      <c r="BI1070" s="2656"/>
    </row>
    <row r="1071" spans="1:61" ht="24.75" customHeight="1">
      <c r="A1071" s="3375"/>
      <c r="B1071" s="2646"/>
      <c r="C1071" s="2647"/>
      <c r="D1071" s="2646"/>
      <c r="E1071" s="3013"/>
      <c r="F1071" s="2655"/>
      <c r="G1071" s="2596"/>
      <c r="H1071" s="4138"/>
      <c r="I1071" s="3375"/>
      <c r="J1071" s="2648"/>
      <c r="K1071" s="3147"/>
      <c r="L1071" s="2785"/>
      <c r="M1071" s="2695"/>
      <c r="N1071" s="2649"/>
      <c r="O1071" s="2655"/>
      <c r="P1071" s="2651"/>
      <c r="Q1071" s="3440"/>
      <c r="R1071" s="3553"/>
      <c r="S1071" s="1407"/>
      <c r="T1071" s="3375"/>
      <c r="U1071" s="2648"/>
      <c r="V1071" s="3554"/>
      <c r="W1071" s="3150"/>
      <c r="X1071" s="2656"/>
      <c r="Y1071" s="2656"/>
      <c r="Z1071" s="2656"/>
      <c r="AA1071" s="2656"/>
      <c r="AB1071" s="2656"/>
      <c r="AC1071" s="2656"/>
      <c r="AD1071" s="2656"/>
      <c r="AE1071" s="2656"/>
      <c r="AF1071" s="2656"/>
      <c r="AG1071" s="2656"/>
      <c r="AH1071" s="2656"/>
      <c r="AI1071" s="2656"/>
      <c r="AJ1071" s="2656"/>
      <c r="AK1071" s="2656"/>
      <c r="AL1071" s="2656"/>
      <c r="AM1071" s="2656"/>
      <c r="AN1071" s="2656"/>
      <c r="AO1071" s="2656"/>
      <c r="AP1071" s="2656"/>
      <c r="AQ1071" s="2656"/>
      <c r="AR1071" s="2656"/>
      <c r="AS1071" s="2656"/>
      <c r="AT1071" s="2656"/>
      <c r="AU1071" s="2656"/>
      <c r="AV1071" s="2656"/>
      <c r="AW1071" s="2656"/>
      <c r="AX1071" s="2656"/>
      <c r="AY1071" s="2656"/>
      <c r="AZ1071" s="2656"/>
      <c r="BA1071" s="2656"/>
      <c r="BB1071" s="2656"/>
      <c r="BC1071" s="2656"/>
      <c r="BD1071" s="2656"/>
      <c r="BE1071" s="2656"/>
      <c r="BF1071" s="2656"/>
      <c r="BG1071" s="2656"/>
      <c r="BH1071" s="2656"/>
      <c r="BI1071" s="2656"/>
    </row>
    <row r="1072" spans="1:61" ht="24.75" customHeight="1">
      <c r="A1072" s="3375"/>
      <c r="B1072" s="2646"/>
      <c r="C1072" s="2647"/>
      <c r="D1072" s="2646"/>
      <c r="E1072" s="3013"/>
      <c r="F1072" s="2655"/>
      <c r="G1072" s="2596"/>
      <c r="H1072" s="4138"/>
      <c r="I1072" s="3375"/>
      <c r="J1072" s="2648"/>
      <c r="K1072" s="3147"/>
      <c r="L1072" s="2785"/>
      <c r="M1072" s="2695"/>
      <c r="N1072" s="2649"/>
      <c r="O1072" s="2655"/>
      <c r="P1072" s="2651"/>
      <c r="Q1072" s="3440"/>
      <c r="R1072" s="3553"/>
      <c r="S1072" s="1407"/>
      <c r="T1072" s="3375"/>
      <c r="U1072" s="2648"/>
      <c r="V1072" s="3554"/>
      <c r="W1072" s="3150"/>
      <c r="X1072" s="2656"/>
      <c r="Y1072" s="2656"/>
      <c r="Z1072" s="2656"/>
      <c r="AA1072" s="2656"/>
      <c r="AB1072" s="2656"/>
      <c r="AC1072" s="2656"/>
      <c r="AD1072" s="2656"/>
      <c r="AE1072" s="2656"/>
      <c r="AF1072" s="2656"/>
      <c r="AG1072" s="2656"/>
      <c r="AH1072" s="2656"/>
      <c r="AI1072" s="2656"/>
      <c r="AJ1072" s="2656"/>
      <c r="AK1072" s="2656"/>
      <c r="AL1072" s="2656"/>
      <c r="AM1072" s="2656"/>
      <c r="AN1072" s="2656"/>
      <c r="AO1072" s="2656"/>
      <c r="AP1072" s="2656"/>
      <c r="AQ1072" s="2656"/>
      <c r="AR1072" s="2656"/>
      <c r="AS1072" s="2656"/>
      <c r="AT1072" s="2656"/>
      <c r="AU1072" s="2656"/>
      <c r="AV1072" s="2656"/>
      <c r="AW1072" s="2656"/>
      <c r="AX1072" s="2656"/>
      <c r="AY1072" s="2656"/>
      <c r="AZ1072" s="2656"/>
      <c r="BA1072" s="2656"/>
      <c r="BB1072" s="2656"/>
      <c r="BC1072" s="2656"/>
      <c r="BD1072" s="2656"/>
      <c r="BE1072" s="2656"/>
      <c r="BF1072" s="2656"/>
      <c r="BG1072" s="2656"/>
      <c r="BH1072" s="2656"/>
      <c r="BI1072" s="2656"/>
    </row>
    <row r="1073" spans="1:61" ht="24.75" customHeight="1">
      <c r="A1073" s="3375"/>
      <c r="B1073" s="2646"/>
      <c r="C1073" s="2647"/>
      <c r="D1073" s="2646"/>
      <c r="E1073" s="3013"/>
      <c r="F1073" s="2655"/>
      <c r="G1073" s="2596"/>
      <c r="H1073" s="4138"/>
      <c r="I1073" s="3375"/>
      <c r="J1073" s="2648"/>
      <c r="K1073" s="3147"/>
      <c r="L1073" s="2785"/>
      <c r="M1073" s="2695"/>
      <c r="N1073" s="2649"/>
      <c r="O1073" s="2655"/>
      <c r="P1073" s="2651"/>
      <c r="Q1073" s="3440"/>
      <c r="R1073" s="3553"/>
      <c r="S1073" s="1407"/>
      <c r="T1073" s="3375"/>
      <c r="U1073" s="2648"/>
      <c r="V1073" s="3554"/>
      <c r="W1073" s="3150"/>
      <c r="X1073" s="2656"/>
      <c r="Y1073" s="2656"/>
      <c r="Z1073" s="2656"/>
      <c r="AA1073" s="2656"/>
      <c r="AB1073" s="2656"/>
      <c r="AC1073" s="2656"/>
      <c r="AD1073" s="2656"/>
      <c r="AE1073" s="2656"/>
      <c r="AF1073" s="2656"/>
      <c r="AG1073" s="2656"/>
      <c r="AH1073" s="2656"/>
      <c r="AI1073" s="2656"/>
      <c r="AJ1073" s="2656"/>
      <c r="AK1073" s="2656"/>
      <c r="AL1073" s="2656"/>
      <c r="AM1073" s="2656"/>
      <c r="AN1073" s="2656"/>
      <c r="AO1073" s="2656"/>
      <c r="AP1073" s="2656"/>
      <c r="AQ1073" s="2656"/>
      <c r="AR1073" s="2656"/>
      <c r="AS1073" s="2656"/>
      <c r="AT1073" s="2656"/>
      <c r="AU1073" s="2656"/>
      <c r="AV1073" s="2656"/>
      <c r="AW1073" s="2656"/>
      <c r="AX1073" s="2656"/>
      <c r="AY1073" s="2656"/>
      <c r="AZ1073" s="2656"/>
      <c r="BA1073" s="2656"/>
      <c r="BB1073" s="2656"/>
      <c r="BC1073" s="2656"/>
      <c r="BD1073" s="2656"/>
      <c r="BE1073" s="2656"/>
      <c r="BF1073" s="2656"/>
      <c r="BG1073" s="2656"/>
      <c r="BH1073" s="2656"/>
      <c r="BI1073" s="2656"/>
    </row>
    <row r="1074" spans="1:61" ht="24.75" customHeight="1">
      <c r="A1074" s="3375"/>
      <c r="B1074" s="2646"/>
      <c r="C1074" s="2647"/>
      <c r="D1074" s="2646"/>
      <c r="E1074" s="3013"/>
      <c r="F1074" s="2655"/>
      <c r="G1074" s="2596"/>
      <c r="H1074" s="4138"/>
      <c r="I1074" s="3375"/>
      <c r="J1074" s="2648"/>
      <c r="K1074" s="3147"/>
      <c r="L1074" s="2785"/>
      <c r="M1074" s="2695"/>
      <c r="N1074" s="2649"/>
      <c r="O1074" s="2655"/>
      <c r="P1074" s="2651"/>
      <c r="Q1074" s="3440"/>
      <c r="R1074" s="3553"/>
      <c r="S1074" s="1407"/>
      <c r="T1074" s="3375"/>
      <c r="U1074" s="2648"/>
      <c r="V1074" s="3554"/>
      <c r="W1074" s="3150"/>
      <c r="X1074" s="2656"/>
      <c r="Y1074" s="2656"/>
      <c r="Z1074" s="2656"/>
      <c r="AA1074" s="2656"/>
      <c r="AB1074" s="2656"/>
      <c r="AC1074" s="2656"/>
      <c r="AD1074" s="2656"/>
      <c r="AE1074" s="2656"/>
      <c r="AF1074" s="2656"/>
      <c r="AG1074" s="2656"/>
      <c r="AH1074" s="2656"/>
      <c r="AI1074" s="2656"/>
      <c r="AJ1074" s="2656"/>
      <c r="AK1074" s="2656"/>
      <c r="AL1074" s="2656"/>
      <c r="AM1074" s="2656"/>
      <c r="AN1074" s="2656"/>
      <c r="AO1074" s="2656"/>
      <c r="AP1074" s="2656"/>
      <c r="AQ1074" s="2656"/>
      <c r="AR1074" s="2656"/>
      <c r="AS1074" s="2656"/>
      <c r="AT1074" s="2656"/>
      <c r="AU1074" s="2656"/>
      <c r="AV1074" s="2656"/>
      <c r="AW1074" s="2656"/>
      <c r="AX1074" s="2656"/>
      <c r="AY1074" s="2656"/>
      <c r="AZ1074" s="2656"/>
      <c r="BA1074" s="2656"/>
      <c r="BB1074" s="2656"/>
      <c r="BC1074" s="2656"/>
      <c r="BD1074" s="2656"/>
      <c r="BE1074" s="2656"/>
      <c r="BF1074" s="2656"/>
      <c r="BG1074" s="2656"/>
      <c r="BH1074" s="2656"/>
      <c r="BI1074" s="2656"/>
    </row>
    <row r="1075" spans="1:61" ht="24.75" customHeight="1">
      <c r="A1075" s="3375"/>
      <c r="B1075" s="2646"/>
      <c r="C1075" s="2647"/>
      <c r="D1075" s="2646"/>
      <c r="E1075" s="3013"/>
      <c r="F1075" s="2655"/>
      <c r="G1075" s="2596"/>
      <c r="H1075" s="4138"/>
      <c r="I1075" s="3375"/>
      <c r="J1075" s="2648"/>
      <c r="K1075" s="3147"/>
      <c r="L1075" s="2785"/>
      <c r="M1075" s="2695"/>
      <c r="N1075" s="2649"/>
      <c r="O1075" s="2655"/>
      <c r="P1075" s="2651"/>
      <c r="Q1075" s="3440"/>
      <c r="R1075" s="3553"/>
      <c r="S1075" s="1407"/>
      <c r="T1075" s="3375"/>
      <c r="U1075" s="2648"/>
      <c r="V1075" s="3554"/>
      <c r="W1075" s="3150"/>
      <c r="X1075" s="2656"/>
      <c r="Y1075" s="2656"/>
      <c r="Z1075" s="2656"/>
      <c r="AA1075" s="2656"/>
      <c r="AB1075" s="2656"/>
      <c r="AC1075" s="2656"/>
      <c r="AD1075" s="2656"/>
      <c r="AE1075" s="2656"/>
      <c r="AF1075" s="2656"/>
      <c r="AG1075" s="2656"/>
      <c r="AH1075" s="2656"/>
      <c r="AI1075" s="2656"/>
      <c r="AJ1075" s="2656"/>
      <c r="AK1075" s="2656"/>
      <c r="AL1075" s="2656"/>
      <c r="AM1075" s="2656"/>
      <c r="AN1075" s="2656"/>
      <c r="AO1075" s="2656"/>
      <c r="AP1075" s="2656"/>
      <c r="AQ1075" s="2656"/>
      <c r="AR1075" s="2656"/>
      <c r="AS1075" s="2656"/>
      <c r="AT1075" s="2656"/>
      <c r="AU1075" s="2656"/>
      <c r="AV1075" s="2656"/>
      <c r="AW1075" s="2656"/>
      <c r="AX1075" s="2656"/>
      <c r="AY1075" s="2656"/>
      <c r="AZ1075" s="2656"/>
      <c r="BA1075" s="2656"/>
      <c r="BB1075" s="2656"/>
      <c r="BC1075" s="2656"/>
      <c r="BD1075" s="2656"/>
      <c r="BE1075" s="2656"/>
      <c r="BF1075" s="2656"/>
      <c r="BG1075" s="2656"/>
      <c r="BH1075" s="2656"/>
      <c r="BI1075" s="2656"/>
    </row>
    <row r="1076" spans="1:61" ht="24.75" customHeight="1">
      <c r="A1076" s="3375"/>
      <c r="B1076" s="2646"/>
      <c r="C1076" s="2647"/>
      <c r="D1076" s="2646"/>
      <c r="E1076" s="3013"/>
      <c r="F1076" s="2655"/>
      <c r="G1076" s="2596"/>
      <c r="H1076" s="4138"/>
      <c r="I1076" s="3375"/>
      <c r="J1076" s="2648"/>
      <c r="K1076" s="3147"/>
      <c r="L1076" s="2785"/>
      <c r="M1076" s="2695"/>
      <c r="N1076" s="2649"/>
      <c r="O1076" s="2655"/>
      <c r="P1076" s="2651"/>
      <c r="Q1076" s="3440"/>
      <c r="R1076" s="3553"/>
      <c r="S1076" s="1407"/>
      <c r="T1076" s="3375"/>
      <c r="U1076" s="2648"/>
      <c r="V1076" s="3554"/>
      <c r="W1076" s="3150"/>
      <c r="X1076" s="2656"/>
      <c r="Y1076" s="2656"/>
      <c r="Z1076" s="2656"/>
      <c r="AA1076" s="2656"/>
      <c r="AB1076" s="2656"/>
      <c r="AC1076" s="2656"/>
      <c r="AD1076" s="2656"/>
      <c r="AE1076" s="2656"/>
      <c r="AF1076" s="2656"/>
      <c r="AG1076" s="2656"/>
      <c r="AH1076" s="2656"/>
      <c r="AI1076" s="2656"/>
      <c r="AJ1076" s="2656"/>
      <c r="AK1076" s="2656"/>
      <c r="AL1076" s="2656"/>
      <c r="AM1076" s="2656"/>
      <c r="AN1076" s="2656"/>
      <c r="AO1076" s="2656"/>
      <c r="AP1076" s="2656"/>
      <c r="AQ1076" s="2656"/>
      <c r="AR1076" s="2656"/>
      <c r="AS1076" s="2656"/>
      <c r="AT1076" s="2656"/>
      <c r="AU1076" s="2656"/>
      <c r="AV1076" s="2656"/>
      <c r="AW1076" s="2656"/>
      <c r="AX1076" s="2656"/>
      <c r="AY1076" s="2656"/>
      <c r="AZ1076" s="2656"/>
      <c r="BA1076" s="2656"/>
      <c r="BB1076" s="2656"/>
      <c r="BC1076" s="2656"/>
      <c r="BD1076" s="2656"/>
      <c r="BE1076" s="2656"/>
      <c r="BF1076" s="2656"/>
      <c r="BG1076" s="2656"/>
      <c r="BH1076" s="2656"/>
      <c r="BI1076" s="2656"/>
    </row>
    <row r="1077" spans="1:61" ht="24.75" customHeight="1">
      <c r="A1077" s="3375"/>
      <c r="B1077" s="2646"/>
      <c r="C1077" s="2647"/>
      <c r="D1077" s="2646"/>
      <c r="E1077" s="3013"/>
      <c r="F1077" s="2655"/>
      <c r="G1077" s="2596"/>
      <c r="H1077" s="4138"/>
      <c r="I1077" s="3375"/>
      <c r="J1077" s="2648"/>
      <c r="K1077" s="3147"/>
      <c r="L1077" s="2785"/>
      <c r="M1077" s="2695"/>
      <c r="N1077" s="2649"/>
      <c r="O1077" s="2655"/>
      <c r="P1077" s="2651"/>
      <c r="Q1077" s="3440"/>
      <c r="R1077" s="3553"/>
      <c r="S1077" s="1407"/>
      <c r="T1077" s="3375"/>
      <c r="U1077" s="2648"/>
      <c r="V1077" s="3554"/>
      <c r="W1077" s="3150"/>
      <c r="X1077" s="2656"/>
      <c r="Y1077" s="2656"/>
      <c r="Z1077" s="2656"/>
      <c r="AA1077" s="2656"/>
      <c r="AB1077" s="2656"/>
      <c r="AC1077" s="2656"/>
      <c r="AD1077" s="2656"/>
      <c r="AE1077" s="2656"/>
      <c r="AF1077" s="2656"/>
      <c r="AG1077" s="2656"/>
      <c r="AH1077" s="2656"/>
      <c r="AI1077" s="2656"/>
      <c r="AJ1077" s="2656"/>
      <c r="AK1077" s="2656"/>
      <c r="AL1077" s="2656"/>
      <c r="AM1077" s="2656"/>
      <c r="AN1077" s="2656"/>
      <c r="AO1077" s="2656"/>
      <c r="AP1077" s="2656"/>
      <c r="AQ1077" s="2656"/>
      <c r="AR1077" s="2656"/>
      <c r="AS1077" s="2656"/>
      <c r="AT1077" s="2656"/>
      <c r="AU1077" s="2656"/>
      <c r="AV1077" s="2656"/>
      <c r="AW1077" s="2656"/>
      <c r="AX1077" s="2656"/>
      <c r="AY1077" s="2656"/>
      <c r="AZ1077" s="2656"/>
      <c r="BA1077" s="2656"/>
      <c r="BB1077" s="2656"/>
      <c r="BC1077" s="2656"/>
      <c r="BD1077" s="2656"/>
      <c r="BE1077" s="2656"/>
      <c r="BF1077" s="2656"/>
      <c r="BG1077" s="2656"/>
      <c r="BH1077" s="2656"/>
      <c r="BI1077" s="2656"/>
    </row>
    <row r="1078" spans="1:61" ht="24.75" customHeight="1">
      <c r="A1078" s="3375"/>
      <c r="B1078" s="2646"/>
      <c r="C1078" s="2647"/>
      <c r="D1078" s="2646"/>
      <c r="E1078" s="3013"/>
      <c r="F1078" s="2655"/>
      <c r="G1078" s="2596"/>
      <c r="H1078" s="4138"/>
      <c r="I1078" s="3375"/>
      <c r="J1078" s="2648"/>
      <c r="K1078" s="3147"/>
      <c r="L1078" s="2785"/>
      <c r="M1078" s="2695"/>
      <c r="N1078" s="2649"/>
      <c r="O1078" s="2655"/>
      <c r="P1078" s="2651"/>
      <c r="Q1078" s="3440"/>
      <c r="R1078" s="3553"/>
      <c r="S1078" s="1407"/>
      <c r="T1078" s="3375"/>
      <c r="U1078" s="2648"/>
      <c r="V1078" s="3554"/>
      <c r="W1078" s="3150"/>
      <c r="X1078" s="2656"/>
      <c r="Y1078" s="2656"/>
      <c r="Z1078" s="2656"/>
      <c r="AA1078" s="2656"/>
      <c r="AB1078" s="2656"/>
      <c r="AC1078" s="2656"/>
      <c r="AD1078" s="2656"/>
      <c r="AE1078" s="2656"/>
      <c r="AF1078" s="2656"/>
      <c r="AG1078" s="2656"/>
      <c r="AH1078" s="2656"/>
      <c r="AI1078" s="2656"/>
      <c r="AJ1078" s="2656"/>
      <c r="AK1078" s="2656"/>
      <c r="AL1078" s="2656"/>
      <c r="AM1078" s="2656"/>
      <c r="AN1078" s="2656"/>
      <c r="AO1078" s="2656"/>
      <c r="AP1078" s="2656"/>
      <c r="AQ1078" s="2656"/>
      <c r="AR1078" s="2656"/>
      <c r="AS1078" s="2656"/>
      <c r="AT1078" s="2656"/>
      <c r="AU1078" s="2656"/>
      <c r="AV1078" s="2656"/>
      <c r="AW1078" s="2656"/>
      <c r="AX1078" s="2656"/>
      <c r="AY1078" s="2656"/>
      <c r="AZ1078" s="2656"/>
      <c r="BA1078" s="2656"/>
      <c r="BB1078" s="2656"/>
      <c r="BC1078" s="2656"/>
      <c r="BD1078" s="2656"/>
      <c r="BE1078" s="2656"/>
      <c r="BF1078" s="2656"/>
      <c r="BG1078" s="2656"/>
      <c r="BH1078" s="2656"/>
      <c r="BI1078" s="2656"/>
    </row>
    <row r="1079" spans="1:61" ht="24.75" customHeight="1">
      <c r="A1079" s="3375"/>
      <c r="B1079" s="2646"/>
      <c r="C1079" s="2647"/>
      <c r="D1079" s="2646"/>
      <c r="E1079" s="3013"/>
      <c r="F1079" s="2655"/>
      <c r="G1079" s="2596"/>
      <c r="H1079" s="4138"/>
      <c r="I1079" s="3375"/>
      <c r="J1079" s="2648"/>
      <c r="K1079" s="3147"/>
      <c r="L1079" s="2785"/>
      <c r="M1079" s="2695"/>
      <c r="N1079" s="2649"/>
      <c r="O1079" s="2655"/>
      <c r="P1079" s="2651"/>
      <c r="Q1079" s="3440"/>
      <c r="R1079" s="3553"/>
      <c r="S1079" s="1407"/>
      <c r="T1079" s="3375"/>
      <c r="U1079" s="2648"/>
      <c r="V1079" s="3554"/>
      <c r="W1079" s="3150"/>
      <c r="X1079" s="2656"/>
      <c r="Y1079" s="2656"/>
      <c r="Z1079" s="2656"/>
      <c r="AA1079" s="2656"/>
      <c r="AB1079" s="2656"/>
      <c r="AC1079" s="2656"/>
      <c r="AD1079" s="2656"/>
      <c r="AE1079" s="2656"/>
      <c r="AF1079" s="2656"/>
      <c r="AG1079" s="2656"/>
      <c r="AH1079" s="2656"/>
      <c r="AI1079" s="2656"/>
      <c r="AJ1079" s="2656"/>
      <c r="AK1079" s="2656"/>
      <c r="AL1079" s="2656"/>
      <c r="AM1079" s="2656"/>
      <c r="AN1079" s="2656"/>
      <c r="AO1079" s="2656"/>
      <c r="AP1079" s="2656"/>
      <c r="AQ1079" s="2656"/>
      <c r="AR1079" s="2656"/>
      <c r="AS1079" s="2656"/>
      <c r="AT1079" s="2656"/>
      <c r="AU1079" s="2656"/>
      <c r="AV1079" s="2656"/>
      <c r="AW1079" s="2656"/>
      <c r="AX1079" s="2656"/>
      <c r="AY1079" s="2656"/>
      <c r="AZ1079" s="2656"/>
      <c r="BA1079" s="2656"/>
      <c r="BB1079" s="2656"/>
      <c r="BC1079" s="2656"/>
      <c r="BD1079" s="2656"/>
      <c r="BE1079" s="2656"/>
      <c r="BF1079" s="2656"/>
      <c r="BG1079" s="2656"/>
      <c r="BH1079" s="2656"/>
      <c r="BI1079" s="2656"/>
    </row>
    <row r="1080" spans="1:61" ht="24.75" customHeight="1">
      <c r="A1080" s="3375"/>
      <c r="B1080" s="2646"/>
      <c r="C1080" s="2647"/>
      <c r="D1080" s="2646"/>
      <c r="E1080" s="3013"/>
      <c r="F1080" s="2655"/>
      <c r="G1080" s="2596"/>
      <c r="H1080" s="4138"/>
      <c r="I1080" s="3375"/>
      <c r="J1080" s="2648"/>
      <c r="K1080" s="3147"/>
      <c r="L1080" s="2785"/>
      <c r="M1080" s="2695"/>
      <c r="N1080" s="2649"/>
      <c r="O1080" s="2655"/>
      <c r="P1080" s="2651"/>
      <c r="Q1080" s="3440"/>
      <c r="R1080" s="3553"/>
      <c r="S1080" s="1407"/>
      <c r="T1080" s="3375"/>
      <c r="U1080" s="2648"/>
      <c r="V1080" s="3554"/>
      <c r="W1080" s="3150"/>
      <c r="X1080" s="2656"/>
      <c r="Y1080" s="2656"/>
      <c r="Z1080" s="2656"/>
      <c r="AA1080" s="2656"/>
      <c r="AB1080" s="2656"/>
      <c r="AC1080" s="2656"/>
      <c r="AD1080" s="2656"/>
      <c r="AE1080" s="2656"/>
      <c r="AF1080" s="2656"/>
      <c r="AG1080" s="2656"/>
      <c r="AH1080" s="2656"/>
      <c r="AI1080" s="2656"/>
      <c r="AJ1080" s="2656"/>
      <c r="AK1080" s="2656"/>
      <c r="AL1080" s="2656"/>
      <c r="AM1080" s="2656"/>
      <c r="AN1080" s="2656"/>
      <c r="AO1080" s="2656"/>
      <c r="AP1080" s="2656"/>
      <c r="AQ1080" s="2656"/>
      <c r="AR1080" s="2656"/>
      <c r="AS1080" s="2656"/>
      <c r="AT1080" s="2656"/>
      <c r="AU1080" s="2656"/>
      <c r="AV1080" s="2656"/>
      <c r="AW1080" s="2656"/>
      <c r="AX1080" s="2656"/>
      <c r="AY1080" s="2656"/>
      <c r="AZ1080" s="2656"/>
      <c r="BA1080" s="2656"/>
      <c r="BB1080" s="2656"/>
      <c r="BC1080" s="2656"/>
      <c r="BD1080" s="2656"/>
      <c r="BE1080" s="2656"/>
      <c r="BF1080" s="2656"/>
      <c r="BG1080" s="2656"/>
      <c r="BH1080" s="2656"/>
      <c r="BI1080" s="2656"/>
    </row>
    <row r="1081" spans="1:61" ht="24.75" customHeight="1">
      <c r="A1081" s="3375"/>
      <c r="B1081" s="2646"/>
      <c r="C1081" s="2647"/>
      <c r="D1081" s="2646"/>
      <c r="E1081" s="3013"/>
      <c r="F1081" s="2655"/>
      <c r="G1081" s="2596"/>
      <c r="H1081" s="4138"/>
      <c r="I1081" s="3375"/>
      <c r="J1081" s="2648"/>
      <c r="K1081" s="3147"/>
      <c r="L1081" s="2785"/>
      <c r="M1081" s="2695"/>
      <c r="N1081" s="2649"/>
      <c r="O1081" s="2655"/>
      <c r="P1081" s="2651"/>
      <c r="Q1081" s="3440"/>
      <c r="R1081" s="3553"/>
      <c r="S1081" s="1407"/>
      <c r="T1081" s="3375"/>
      <c r="U1081" s="2648"/>
      <c r="V1081" s="3554"/>
      <c r="W1081" s="3150"/>
      <c r="X1081" s="2656"/>
      <c r="Y1081" s="2656"/>
      <c r="Z1081" s="2656"/>
      <c r="AA1081" s="2656"/>
      <c r="AB1081" s="2656"/>
      <c r="AC1081" s="2656"/>
      <c r="AD1081" s="2656"/>
      <c r="AE1081" s="2656"/>
      <c r="AF1081" s="2656"/>
      <c r="AG1081" s="2656"/>
      <c r="AH1081" s="2656"/>
      <c r="AI1081" s="2656"/>
      <c r="AJ1081" s="2656"/>
      <c r="AK1081" s="2656"/>
      <c r="AL1081" s="2656"/>
      <c r="AM1081" s="2656"/>
      <c r="AN1081" s="2656"/>
      <c r="AO1081" s="2656"/>
      <c r="AP1081" s="2656"/>
      <c r="AQ1081" s="2656"/>
      <c r="AR1081" s="2656"/>
      <c r="AS1081" s="2656"/>
      <c r="AT1081" s="2656"/>
      <c r="AU1081" s="2656"/>
      <c r="AV1081" s="2656"/>
      <c r="AW1081" s="2656"/>
      <c r="AX1081" s="2656"/>
      <c r="AY1081" s="2656"/>
      <c r="AZ1081" s="2656"/>
      <c r="BA1081" s="2656"/>
      <c r="BB1081" s="2656"/>
      <c r="BC1081" s="2656"/>
      <c r="BD1081" s="2656"/>
      <c r="BE1081" s="2656"/>
      <c r="BF1081" s="2656"/>
      <c r="BG1081" s="2656"/>
      <c r="BH1081" s="2656"/>
      <c r="BI1081" s="2656"/>
    </row>
    <row r="1082" spans="1:61" ht="24.75" customHeight="1">
      <c r="A1082" s="3375"/>
      <c r="B1082" s="2646"/>
      <c r="C1082" s="2647"/>
      <c r="D1082" s="2646"/>
      <c r="E1082" s="3013"/>
      <c r="F1082" s="2655"/>
      <c r="G1082" s="2596"/>
      <c r="H1082" s="4138"/>
      <c r="I1082" s="3375"/>
      <c r="J1082" s="2648"/>
      <c r="K1082" s="3147"/>
      <c r="L1082" s="2785"/>
      <c r="M1082" s="2695"/>
      <c r="N1082" s="2649"/>
      <c r="O1082" s="2655"/>
      <c r="P1082" s="2651"/>
      <c r="Q1082" s="3440"/>
      <c r="R1082" s="3553"/>
      <c r="S1082" s="1407"/>
      <c r="T1082" s="3375"/>
      <c r="U1082" s="2648"/>
      <c r="V1082" s="3554"/>
      <c r="W1082" s="3150"/>
      <c r="X1082" s="2656"/>
      <c r="Y1082" s="2656"/>
      <c r="Z1082" s="2656"/>
      <c r="AA1082" s="2656"/>
      <c r="AB1082" s="2656"/>
      <c r="AC1082" s="2656"/>
      <c r="AD1082" s="2656"/>
      <c r="AE1082" s="2656"/>
      <c r="AF1082" s="2656"/>
      <c r="AG1082" s="2656"/>
      <c r="AH1082" s="2656"/>
      <c r="AI1082" s="2656"/>
      <c r="AJ1082" s="2656"/>
      <c r="AK1082" s="2656"/>
      <c r="AL1082" s="2656"/>
      <c r="AM1082" s="2656"/>
      <c r="AN1082" s="2656"/>
      <c r="AO1082" s="2656"/>
      <c r="AP1082" s="2656"/>
      <c r="AQ1082" s="2656"/>
      <c r="AR1082" s="2656"/>
      <c r="AS1082" s="2656"/>
      <c r="AT1082" s="2656"/>
      <c r="AU1082" s="2656"/>
      <c r="AV1082" s="2656"/>
      <c r="AW1082" s="2656"/>
      <c r="AX1082" s="2656"/>
      <c r="AY1082" s="2656"/>
      <c r="AZ1082" s="2656"/>
      <c r="BA1082" s="2656"/>
      <c r="BB1082" s="2656"/>
      <c r="BC1082" s="2656"/>
      <c r="BD1082" s="2656"/>
      <c r="BE1082" s="2656"/>
      <c r="BF1082" s="2656"/>
      <c r="BG1082" s="2656"/>
      <c r="BH1082" s="2656"/>
      <c r="BI1082" s="2656"/>
    </row>
    <row r="1083" spans="1:61" ht="24.75" customHeight="1">
      <c r="A1083" s="3375"/>
      <c r="B1083" s="2646"/>
      <c r="C1083" s="2647"/>
      <c r="D1083" s="2646"/>
      <c r="E1083" s="3013"/>
      <c r="F1083" s="2655"/>
      <c r="G1083" s="2596"/>
      <c r="H1083" s="4138"/>
      <c r="I1083" s="3375"/>
      <c r="J1083" s="2648"/>
      <c r="K1083" s="3147"/>
      <c r="L1083" s="2785"/>
      <c r="M1083" s="2695"/>
      <c r="N1083" s="2649"/>
      <c r="O1083" s="2655"/>
      <c r="P1083" s="2651"/>
      <c r="Q1083" s="3440"/>
      <c r="R1083" s="3553"/>
      <c r="S1083" s="1407"/>
      <c r="T1083" s="3375"/>
      <c r="U1083" s="2648"/>
      <c r="V1083" s="3554"/>
      <c r="W1083" s="3150"/>
      <c r="X1083" s="2656"/>
      <c r="Y1083" s="2656"/>
      <c r="Z1083" s="2656"/>
      <c r="AA1083" s="2656"/>
      <c r="AB1083" s="2656"/>
      <c r="AC1083" s="2656"/>
      <c r="AD1083" s="2656"/>
      <c r="AE1083" s="2656"/>
      <c r="AF1083" s="2656"/>
      <c r="AG1083" s="2656"/>
      <c r="AH1083" s="2656"/>
      <c r="AI1083" s="2656"/>
      <c r="AJ1083" s="2656"/>
      <c r="AK1083" s="2656"/>
      <c r="AL1083" s="2656"/>
      <c r="AM1083" s="2656"/>
      <c r="AN1083" s="2656"/>
      <c r="AO1083" s="2656"/>
      <c r="AP1083" s="2656"/>
      <c r="AQ1083" s="2656"/>
      <c r="AR1083" s="2656"/>
      <c r="AS1083" s="2656"/>
      <c r="AT1083" s="2656"/>
      <c r="AU1083" s="2656"/>
      <c r="AV1083" s="2656"/>
      <c r="AW1083" s="2656"/>
      <c r="AX1083" s="2656"/>
      <c r="AY1083" s="2656"/>
      <c r="AZ1083" s="2656"/>
      <c r="BA1083" s="2656"/>
      <c r="BB1083" s="2656"/>
      <c r="BC1083" s="2656"/>
      <c r="BD1083" s="2656"/>
      <c r="BE1083" s="2656"/>
      <c r="BF1083" s="2656"/>
      <c r="BG1083" s="2656"/>
      <c r="BH1083" s="2656"/>
      <c r="BI1083" s="2656"/>
    </row>
    <row r="1084" spans="1:61" ht="24.75" customHeight="1">
      <c r="A1084" s="3375"/>
      <c r="B1084" s="2646"/>
      <c r="C1084" s="2647"/>
      <c r="D1084" s="2646"/>
      <c r="E1084" s="3013"/>
      <c r="F1084" s="2655"/>
      <c r="G1084" s="2596"/>
      <c r="H1084" s="4138"/>
      <c r="I1084" s="3375"/>
      <c r="J1084" s="2648"/>
      <c r="K1084" s="3147"/>
      <c r="L1084" s="2785"/>
      <c r="M1084" s="2695"/>
      <c r="N1084" s="2649"/>
      <c r="O1084" s="2655"/>
      <c r="P1084" s="2651"/>
      <c r="Q1084" s="3440"/>
      <c r="R1084" s="3553"/>
      <c r="S1084" s="1407"/>
      <c r="T1084" s="3375"/>
      <c r="U1084" s="2648"/>
      <c r="V1084" s="3554"/>
      <c r="W1084" s="3150"/>
      <c r="X1084" s="2656"/>
      <c r="Y1084" s="2656"/>
      <c r="Z1084" s="2656"/>
      <c r="AA1084" s="2656"/>
      <c r="AB1084" s="2656"/>
      <c r="AC1084" s="2656"/>
      <c r="AD1084" s="2656"/>
      <c r="AE1084" s="2656"/>
      <c r="AF1084" s="2656"/>
      <c r="AG1084" s="2656"/>
      <c r="AH1084" s="2656"/>
      <c r="AI1084" s="2656"/>
      <c r="AJ1084" s="2656"/>
      <c r="AK1084" s="2656"/>
      <c r="AL1084" s="2656"/>
      <c r="AM1084" s="2656"/>
      <c r="AN1084" s="2656"/>
      <c r="AO1084" s="2656"/>
      <c r="AP1084" s="2656"/>
      <c r="AQ1084" s="2656"/>
      <c r="AR1084" s="2656"/>
      <c r="AS1084" s="2656"/>
      <c r="AT1084" s="2656"/>
      <c r="AU1084" s="2656"/>
      <c r="AV1084" s="2656"/>
      <c r="AW1084" s="2656"/>
      <c r="AX1084" s="2656"/>
      <c r="AY1084" s="2656"/>
      <c r="AZ1084" s="2656"/>
      <c r="BA1084" s="2656"/>
      <c r="BB1084" s="2656"/>
      <c r="BC1084" s="2656"/>
      <c r="BD1084" s="2656"/>
      <c r="BE1084" s="2656"/>
      <c r="BF1084" s="2656"/>
      <c r="BG1084" s="2656"/>
      <c r="BH1084" s="2656"/>
      <c r="BI1084" s="2656"/>
    </row>
    <row r="1085" spans="1:61" ht="24.75" customHeight="1">
      <c r="A1085" s="3375"/>
      <c r="B1085" s="2646"/>
      <c r="C1085" s="2647"/>
      <c r="D1085" s="2646"/>
      <c r="E1085" s="3013"/>
      <c r="F1085" s="2655"/>
      <c r="G1085" s="2596"/>
      <c r="H1085" s="4138"/>
      <c r="I1085" s="3375"/>
      <c r="J1085" s="2648"/>
      <c r="K1085" s="3147"/>
      <c r="L1085" s="2785"/>
      <c r="M1085" s="2695"/>
      <c r="N1085" s="2649"/>
      <c r="O1085" s="2655"/>
      <c r="P1085" s="2651"/>
      <c r="Q1085" s="3440"/>
      <c r="R1085" s="3553"/>
      <c r="S1085" s="1407"/>
      <c r="T1085" s="3375"/>
      <c r="U1085" s="2648"/>
      <c r="V1085" s="3554"/>
      <c r="W1085" s="3150"/>
      <c r="X1085" s="2656"/>
      <c r="Y1085" s="2656"/>
      <c r="Z1085" s="2656"/>
      <c r="AA1085" s="2656"/>
      <c r="AB1085" s="2656"/>
      <c r="AC1085" s="2656"/>
      <c r="AD1085" s="2656"/>
      <c r="AE1085" s="2656"/>
      <c r="AF1085" s="2656"/>
      <c r="AG1085" s="2656"/>
      <c r="AH1085" s="2656"/>
      <c r="AI1085" s="2656"/>
      <c r="AJ1085" s="2656"/>
      <c r="AK1085" s="2656"/>
      <c r="AL1085" s="2656"/>
      <c r="AM1085" s="2656"/>
      <c r="AN1085" s="2656"/>
      <c r="AO1085" s="2656"/>
      <c r="AP1085" s="2656"/>
      <c r="AQ1085" s="2656"/>
      <c r="AR1085" s="2656"/>
      <c r="AS1085" s="2656"/>
      <c r="AT1085" s="2656"/>
      <c r="AU1085" s="2656"/>
      <c r="AV1085" s="2656"/>
      <c r="AW1085" s="2656"/>
      <c r="AX1085" s="2656"/>
      <c r="AY1085" s="2656"/>
      <c r="AZ1085" s="2656"/>
      <c r="BA1085" s="2656"/>
      <c r="BB1085" s="2656"/>
      <c r="BC1085" s="2656"/>
      <c r="BD1085" s="2656"/>
      <c r="BE1085" s="2656"/>
      <c r="BF1085" s="2656"/>
      <c r="BG1085" s="2656"/>
      <c r="BH1085" s="2656"/>
      <c r="BI1085" s="2656"/>
    </row>
    <row r="1086" spans="1:61" ht="24.75" customHeight="1">
      <c r="A1086" s="3375"/>
      <c r="B1086" s="2646"/>
      <c r="C1086" s="2647"/>
      <c r="D1086" s="2646"/>
      <c r="E1086" s="3013"/>
      <c r="F1086" s="2655"/>
      <c r="G1086" s="2596"/>
      <c r="H1086" s="4138"/>
      <c r="I1086" s="3375"/>
      <c r="J1086" s="2648"/>
      <c r="K1086" s="3147"/>
      <c r="L1086" s="2785"/>
      <c r="M1086" s="2695"/>
      <c r="N1086" s="2649"/>
      <c r="O1086" s="2655"/>
      <c r="P1086" s="2651"/>
      <c r="Q1086" s="3440"/>
      <c r="R1086" s="3553"/>
      <c r="S1086" s="1407"/>
      <c r="T1086" s="3375"/>
      <c r="U1086" s="2648"/>
      <c r="V1086" s="3554"/>
      <c r="W1086" s="3150"/>
      <c r="X1086" s="2656"/>
      <c r="Y1086" s="2656"/>
      <c r="Z1086" s="2656"/>
      <c r="AA1086" s="2656"/>
      <c r="AB1086" s="2656"/>
      <c r="AC1086" s="2656"/>
      <c r="AD1086" s="2656"/>
      <c r="AE1086" s="2656"/>
      <c r="AF1086" s="2656"/>
      <c r="AG1086" s="2656"/>
      <c r="AH1086" s="2656"/>
      <c r="AI1086" s="2656"/>
      <c r="AJ1086" s="2656"/>
      <c r="AK1086" s="2656"/>
      <c r="AL1086" s="2656"/>
      <c r="AM1086" s="2656"/>
      <c r="AN1086" s="2656"/>
      <c r="AO1086" s="2656"/>
      <c r="AP1086" s="2656"/>
      <c r="AQ1086" s="2656"/>
      <c r="AR1086" s="2656"/>
      <c r="AS1086" s="2656"/>
      <c r="AT1086" s="2656"/>
      <c r="AU1086" s="2656"/>
      <c r="AV1086" s="2656"/>
      <c r="AW1086" s="2656"/>
      <c r="AX1086" s="2656"/>
      <c r="AY1086" s="2656"/>
      <c r="AZ1086" s="2656"/>
      <c r="BA1086" s="2656"/>
      <c r="BB1086" s="2656"/>
      <c r="BC1086" s="2656"/>
      <c r="BD1086" s="2656"/>
      <c r="BE1086" s="2656"/>
      <c r="BF1086" s="2656"/>
      <c r="BG1086" s="2656"/>
      <c r="BH1086" s="2656"/>
      <c r="BI1086" s="2656"/>
    </row>
    <row r="1087" spans="1:61" ht="24.75" customHeight="1">
      <c r="A1087" s="3375"/>
      <c r="B1087" s="2646"/>
      <c r="C1087" s="2647"/>
      <c r="D1087" s="2646"/>
      <c r="E1087" s="3013"/>
      <c r="F1087" s="2655"/>
      <c r="G1087" s="2596"/>
      <c r="H1087" s="4138"/>
      <c r="I1087" s="3375"/>
      <c r="J1087" s="2648"/>
      <c r="K1087" s="3147"/>
      <c r="L1087" s="2785"/>
      <c r="M1087" s="2695"/>
      <c r="N1087" s="2649"/>
      <c r="O1087" s="2655"/>
      <c r="P1087" s="2651"/>
      <c r="Q1087" s="3440"/>
      <c r="R1087" s="3553"/>
      <c r="S1087" s="1407"/>
      <c r="T1087" s="3375"/>
      <c r="U1087" s="2648"/>
      <c r="V1087" s="3554"/>
      <c r="W1087" s="3150"/>
      <c r="X1087" s="2656"/>
      <c r="Y1087" s="2656"/>
      <c r="Z1087" s="2656"/>
      <c r="AA1087" s="2656"/>
      <c r="AB1087" s="2656"/>
      <c r="AC1087" s="2656"/>
      <c r="AD1087" s="2656"/>
      <c r="AE1087" s="2656"/>
      <c r="AF1087" s="2656"/>
      <c r="AG1087" s="2656"/>
      <c r="AH1087" s="2656"/>
      <c r="AI1087" s="2656"/>
      <c r="AJ1087" s="2656"/>
      <c r="AK1087" s="2656"/>
      <c r="AL1087" s="2656"/>
      <c r="AM1087" s="2656"/>
      <c r="AN1087" s="2656"/>
      <c r="AO1087" s="2656"/>
      <c r="AP1087" s="2656"/>
      <c r="AQ1087" s="2656"/>
      <c r="AR1087" s="2656"/>
      <c r="AS1087" s="2656"/>
      <c r="AT1087" s="2656"/>
      <c r="AU1087" s="2656"/>
      <c r="AV1087" s="2656"/>
      <c r="AW1087" s="2656"/>
      <c r="AX1087" s="2656"/>
      <c r="AY1087" s="2656"/>
      <c r="AZ1087" s="2656"/>
      <c r="BA1087" s="2656"/>
      <c r="BB1087" s="2656"/>
      <c r="BC1087" s="2656"/>
      <c r="BD1087" s="2656"/>
      <c r="BE1087" s="2656"/>
      <c r="BF1087" s="2656"/>
      <c r="BG1087" s="2656"/>
      <c r="BH1087" s="2656"/>
      <c r="BI1087" s="2656"/>
    </row>
    <row r="1088" spans="1:61" ht="24.75" customHeight="1">
      <c r="A1088" s="3375"/>
      <c r="B1088" s="2646"/>
      <c r="C1088" s="2647"/>
      <c r="D1088" s="2646"/>
      <c r="E1088" s="3013"/>
      <c r="F1088" s="2655"/>
      <c r="G1088" s="2596"/>
      <c r="H1088" s="4138"/>
      <c r="I1088" s="3375"/>
      <c r="J1088" s="2648"/>
      <c r="K1088" s="3147"/>
      <c r="L1088" s="2785"/>
      <c r="M1088" s="2695"/>
      <c r="N1088" s="2649"/>
      <c r="O1088" s="2655"/>
      <c r="P1088" s="2651"/>
      <c r="Q1088" s="3440"/>
      <c r="R1088" s="3553"/>
      <c r="S1088" s="1407"/>
      <c r="T1088" s="3375"/>
      <c r="U1088" s="2648"/>
      <c r="V1088" s="3554"/>
      <c r="W1088" s="3150"/>
      <c r="X1088" s="2656"/>
      <c r="Y1088" s="2656"/>
      <c r="Z1088" s="2656"/>
      <c r="AA1088" s="2656"/>
      <c r="AB1088" s="2656"/>
      <c r="AC1088" s="2656"/>
      <c r="AD1088" s="2656"/>
      <c r="AE1088" s="2656"/>
      <c r="AF1088" s="2656"/>
      <c r="AG1088" s="2656"/>
      <c r="AH1088" s="2656"/>
      <c r="AI1088" s="2656"/>
      <c r="AJ1088" s="2656"/>
      <c r="AK1088" s="2656"/>
      <c r="AL1088" s="2656"/>
      <c r="AM1088" s="2656"/>
      <c r="AN1088" s="2656"/>
      <c r="AO1088" s="2656"/>
      <c r="AP1088" s="2656"/>
      <c r="AQ1088" s="2656"/>
      <c r="AR1088" s="2656"/>
      <c r="AS1088" s="2656"/>
      <c r="AT1088" s="2656"/>
      <c r="AU1088" s="2656"/>
      <c r="AV1088" s="2656"/>
      <c r="AW1088" s="2656"/>
      <c r="AX1088" s="2656"/>
      <c r="AY1088" s="2656"/>
      <c r="AZ1088" s="2656"/>
      <c r="BA1088" s="2656"/>
      <c r="BB1088" s="2656"/>
      <c r="BC1088" s="2656"/>
      <c r="BD1088" s="2656"/>
      <c r="BE1088" s="2656"/>
      <c r="BF1088" s="2656"/>
      <c r="BG1088" s="2656"/>
      <c r="BH1088" s="2656"/>
      <c r="BI1088" s="2656"/>
    </row>
    <row r="1089" spans="1:61" ht="24.75" customHeight="1">
      <c r="A1089" s="3375"/>
      <c r="B1089" s="2646"/>
      <c r="C1089" s="2647"/>
      <c r="D1089" s="2646"/>
      <c r="E1089" s="3013"/>
      <c r="F1089" s="2655"/>
      <c r="G1089" s="2596"/>
      <c r="H1089" s="4138"/>
      <c r="I1089" s="3375"/>
      <c r="J1089" s="2648"/>
      <c r="K1089" s="3147"/>
      <c r="L1089" s="2785"/>
      <c r="M1089" s="2695"/>
      <c r="N1089" s="2649"/>
      <c r="O1089" s="2655"/>
      <c r="P1089" s="2651"/>
      <c r="Q1089" s="3440"/>
      <c r="R1089" s="3553"/>
      <c r="S1089" s="1407"/>
      <c r="T1089" s="3375"/>
      <c r="U1089" s="2648"/>
      <c r="V1089" s="3554"/>
      <c r="W1089" s="3150"/>
      <c r="X1089" s="2656"/>
      <c r="Y1089" s="2656"/>
      <c r="Z1089" s="2656"/>
      <c r="AA1089" s="2656"/>
      <c r="AB1089" s="2656"/>
      <c r="AC1089" s="2656"/>
      <c r="AD1089" s="2656"/>
      <c r="AE1089" s="2656"/>
      <c r="AF1089" s="2656"/>
      <c r="AG1089" s="2656"/>
      <c r="AH1089" s="2656"/>
      <c r="AI1089" s="2656"/>
      <c r="AJ1089" s="2656"/>
      <c r="AK1089" s="2656"/>
      <c r="AL1089" s="2656"/>
      <c r="AM1089" s="2656"/>
      <c r="AN1089" s="2656"/>
      <c r="AO1089" s="2656"/>
      <c r="AP1089" s="2656"/>
      <c r="AQ1089" s="2656"/>
      <c r="AR1089" s="2656"/>
      <c r="AS1089" s="2656"/>
      <c r="AT1089" s="2656"/>
      <c r="AU1089" s="2656"/>
      <c r="AV1089" s="2656"/>
      <c r="AW1089" s="2656"/>
      <c r="AX1089" s="2656"/>
      <c r="AY1089" s="2656"/>
      <c r="AZ1089" s="2656"/>
      <c r="BA1089" s="2656"/>
      <c r="BB1089" s="2656"/>
      <c r="BC1089" s="2656"/>
      <c r="BD1089" s="2656"/>
      <c r="BE1089" s="2656"/>
      <c r="BF1089" s="2656"/>
      <c r="BG1089" s="2656"/>
      <c r="BH1089" s="2656"/>
      <c r="BI1089" s="2656"/>
    </row>
    <row r="1090" spans="1:61" ht="24.75" customHeight="1">
      <c r="A1090" s="3375"/>
      <c r="B1090" s="2646"/>
      <c r="C1090" s="2647"/>
      <c r="D1090" s="2646"/>
      <c r="E1090" s="3013"/>
      <c r="F1090" s="2655"/>
      <c r="G1090" s="2596"/>
      <c r="H1090" s="4138"/>
      <c r="I1090" s="3375"/>
      <c r="J1090" s="2648"/>
      <c r="K1090" s="3147"/>
      <c r="L1090" s="2785"/>
      <c r="M1090" s="2695"/>
      <c r="N1090" s="2649"/>
      <c r="O1090" s="2655"/>
      <c r="P1090" s="2651"/>
      <c r="Q1090" s="3440"/>
      <c r="R1090" s="3553"/>
      <c r="S1090" s="1407"/>
      <c r="T1090" s="3375"/>
      <c r="U1090" s="2648"/>
      <c r="V1090" s="3554"/>
      <c r="W1090" s="3150"/>
      <c r="X1090" s="2656"/>
      <c r="Y1090" s="2656"/>
      <c r="Z1090" s="2656"/>
      <c r="AA1090" s="2656"/>
      <c r="AB1090" s="2656"/>
      <c r="AC1090" s="2656"/>
      <c r="AD1090" s="2656"/>
      <c r="AE1090" s="2656"/>
      <c r="AF1090" s="2656"/>
      <c r="AG1090" s="2656"/>
      <c r="AH1090" s="2656"/>
      <c r="AI1090" s="2656"/>
      <c r="AJ1090" s="2656"/>
      <c r="AK1090" s="2656"/>
      <c r="AL1090" s="2656"/>
      <c r="AM1090" s="2656"/>
      <c r="AN1090" s="2656"/>
      <c r="AO1090" s="2656"/>
      <c r="AP1090" s="2656"/>
      <c r="AQ1090" s="2656"/>
      <c r="AR1090" s="2656"/>
      <c r="AS1090" s="2656"/>
      <c r="AT1090" s="2656"/>
      <c r="AU1090" s="2656"/>
      <c r="AV1090" s="2656"/>
      <c r="AW1090" s="2656"/>
      <c r="AX1090" s="2656"/>
      <c r="AY1090" s="2656"/>
      <c r="AZ1090" s="2656"/>
      <c r="BA1090" s="2656"/>
      <c r="BB1090" s="2656"/>
      <c r="BC1090" s="2656"/>
      <c r="BD1090" s="2656"/>
      <c r="BE1090" s="2656"/>
      <c r="BF1090" s="2656"/>
      <c r="BG1090" s="2656"/>
      <c r="BH1090" s="2656"/>
      <c r="BI1090" s="2656"/>
    </row>
    <row r="1091" spans="1:61" ht="24.75" customHeight="1">
      <c r="A1091" s="3375"/>
      <c r="B1091" s="2646"/>
      <c r="C1091" s="2647"/>
      <c r="D1091" s="2646"/>
      <c r="E1091" s="3013"/>
      <c r="F1091" s="2655"/>
      <c r="G1091" s="2596"/>
      <c r="H1091" s="4138"/>
      <c r="I1091" s="3375"/>
      <c r="J1091" s="2648"/>
      <c r="K1091" s="3147"/>
      <c r="L1091" s="2785"/>
      <c r="M1091" s="2695"/>
      <c r="N1091" s="2649"/>
      <c r="O1091" s="2655"/>
      <c r="P1091" s="2651"/>
      <c r="Q1091" s="3440"/>
      <c r="R1091" s="3553"/>
      <c r="S1091" s="1407"/>
      <c r="T1091" s="3375"/>
      <c r="U1091" s="2648"/>
      <c r="V1091" s="3554"/>
      <c r="W1091" s="3150"/>
      <c r="X1091" s="2656"/>
      <c r="Y1091" s="2656"/>
      <c r="Z1091" s="2656"/>
      <c r="AA1091" s="2656"/>
      <c r="AB1091" s="2656"/>
      <c r="AC1091" s="2656"/>
      <c r="AD1091" s="2656"/>
      <c r="AE1091" s="2656"/>
      <c r="AF1091" s="2656"/>
      <c r="AG1091" s="2656"/>
      <c r="AH1091" s="2656"/>
      <c r="AI1091" s="2656"/>
      <c r="AJ1091" s="2656"/>
      <c r="AK1091" s="2656"/>
      <c r="AL1091" s="2656"/>
      <c r="AM1091" s="2656"/>
      <c r="AN1091" s="2656"/>
      <c r="AO1091" s="2656"/>
      <c r="AP1091" s="2656"/>
      <c r="AQ1091" s="2656"/>
      <c r="AR1091" s="2656"/>
      <c r="AS1091" s="2656"/>
      <c r="AT1091" s="2656"/>
      <c r="AU1091" s="2656"/>
      <c r="AV1091" s="2656"/>
      <c r="AW1091" s="2656"/>
      <c r="AX1091" s="2656"/>
      <c r="AY1091" s="2656"/>
      <c r="AZ1091" s="2656"/>
      <c r="BA1091" s="2656"/>
      <c r="BB1091" s="2656"/>
      <c r="BC1091" s="2656"/>
      <c r="BD1091" s="2656"/>
      <c r="BE1091" s="2656"/>
      <c r="BF1091" s="2656"/>
      <c r="BG1091" s="2656"/>
      <c r="BH1091" s="2656"/>
      <c r="BI1091" s="2656"/>
    </row>
    <row r="1092" spans="1:61" ht="24.75" customHeight="1">
      <c r="A1092" s="3375"/>
      <c r="B1092" s="2646"/>
      <c r="C1092" s="2647"/>
      <c r="D1092" s="2646"/>
      <c r="E1092" s="3013"/>
      <c r="F1092" s="2655"/>
      <c r="G1092" s="2596"/>
      <c r="H1092" s="4138"/>
      <c r="I1092" s="3375"/>
      <c r="J1092" s="2648"/>
      <c r="K1092" s="3147"/>
      <c r="L1092" s="2785"/>
      <c r="M1092" s="2695"/>
      <c r="N1092" s="2649"/>
      <c r="O1092" s="2655"/>
      <c r="P1092" s="2651"/>
      <c r="Q1092" s="3440"/>
      <c r="R1092" s="3553"/>
      <c r="S1092" s="1407"/>
      <c r="T1092" s="3375"/>
      <c r="U1092" s="2648"/>
      <c r="V1092" s="3554"/>
      <c r="W1092" s="3150"/>
      <c r="X1092" s="2656"/>
      <c r="Y1092" s="2656"/>
      <c r="Z1092" s="2656"/>
      <c r="AA1092" s="2656"/>
      <c r="AB1092" s="2656"/>
      <c r="AC1092" s="2656"/>
      <c r="AD1092" s="2656"/>
      <c r="AE1092" s="2656"/>
      <c r="AF1092" s="2656"/>
      <c r="AG1092" s="2656"/>
      <c r="AH1092" s="2656"/>
      <c r="AI1092" s="2656"/>
      <c r="AJ1092" s="2656"/>
      <c r="AK1092" s="2656"/>
      <c r="AL1092" s="2656"/>
      <c r="AM1092" s="2656"/>
      <c r="AN1092" s="2656"/>
      <c r="AO1092" s="2656"/>
      <c r="AP1092" s="2656"/>
      <c r="AQ1092" s="2656"/>
      <c r="AR1092" s="2656"/>
      <c r="AS1092" s="2656"/>
      <c r="AT1092" s="2656"/>
      <c r="AU1092" s="2656"/>
      <c r="AV1092" s="2656"/>
      <c r="AW1092" s="2656"/>
      <c r="AX1092" s="2656"/>
      <c r="AY1092" s="2656"/>
      <c r="AZ1092" s="2656"/>
      <c r="BA1092" s="2656"/>
      <c r="BB1092" s="2656"/>
      <c r="BC1092" s="2656"/>
      <c r="BD1092" s="2656"/>
      <c r="BE1092" s="2656"/>
      <c r="BF1092" s="2656"/>
      <c r="BG1092" s="2656"/>
      <c r="BH1092" s="2656"/>
      <c r="BI1092" s="2656"/>
    </row>
    <row r="1093" spans="1:61" ht="24.75" customHeight="1">
      <c r="A1093" s="3375"/>
      <c r="B1093" s="2646"/>
      <c r="C1093" s="2647"/>
      <c r="D1093" s="2646"/>
      <c r="E1093" s="3013"/>
      <c r="F1093" s="2655"/>
      <c r="G1093" s="2596"/>
      <c r="H1093" s="4138"/>
      <c r="I1093" s="3375"/>
      <c r="J1093" s="2648"/>
      <c r="K1093" s="3147"/>
      <c r="L1093" s="2785"/>
      <c r="M1093" s="2695"/>
      <c r="N1093" s="2649"/>
      <c r="O1093" s="2655"/>
      <c r="P1093" s="2651"/>
      <c r="Q1093" s="3440"/>
      <c r="R1093" s="3553"/>
      <c r="S1093" s="1407"/>
      <c r="T1093" s="3375"/>
      <c r="U1093" s="2648"/>
      <c r="V1093" s="3554"/>
      <c r="W1093" s="3150"/>
      <c r="X1093" s="2656"/>
      <c r="Y1093" s="2656"/>
      <c r="Z1093" s="2656"/>
      <c r="AA1093" s="2656"/>
      <c r="AB1093" s="2656"/>
      <c r="AC1093" s="2656"/>
      <c r="AD1093" s="2656"/>
      <c r="AE1093" s="2656"/>
      <c r="AF1093" s="2656"/>
      <c r="AG1093" s="2656"/>
      <c r="AH1093" s="2656"/>
      <c r="AI1093" s="2656"/>
      <c r="AJ1093" s="2656"/>
      <c r="AK1093" s="2656"/>
      <c r="AL1093" s="2656"/>
      <c r="AM1093" s="2656"/>
      <c r="AN1093" s="2656"/>
      <c r="AO1093" s="2656"/>
      <c r="AP1093" s="2656"/>
      <c r="AQ1093" s="2656"/>
      <c r="AR1093" s="2656"/>
      <c r="AS1093" s="2656"/>
      <c r="AT1093" s="2656"/>
      <c r="AU1093" s="2656"/>
      <c r="AV1093" s="2656"/>
      <c r="AW1093" s="2656"/>
      <c r="AX1093" s="2656"/>
      <c r="AY1093" s="2656"/>
      <c r="AZ1093" s="2656"/>
      <c r="BA1093" s="2656"/>
      <c r="BB1093" s="2656"/>
      <c r="BC1093" s="2656"/>
      <c r="BD1093" s="2656"/>
      <c r="BE1093" s="2656"/>
      <c r="BF1093" s="2656"/>
      <c r="BG1093" s="2656"/>
      <c r="BH1093" s="2656"/>
      <c r="BI1093" s="2656"/>
    </row>
    <row r="1094" spans="1:61" ht="24.75" customHeight="1">
      <c r="A1094" s="3375"/>
      <c r="B1094" s="2646"/>
      <c r="C1094" s="2647"/>
      <c r="D1094" s="2646"/>
      <c r="E1094" s="3013"/>
      <c r="F1094" s="2655"/>
      <c r="G1094" s="2596"/>
      <c r="H1094" s="4138"/>
      <c r="I1094" s="3375"/>
      <c r="J1094" s="2648"/>
      <c r="K1094" s="3147"/>
      <c r="L1094" s="2785"/>
      <c r="M1094" s="2695"/>
      <c r="N1094" s="2649"/>
      <c r="O1094" s="2655"/>
      <c r="P1094" s="2651"/>
      <c r="Q1094" s="3440"/>
      <c r="R1094" s="3553"/>
      <c r="S1094" s="1407"/>
      <c r="T1094" s="3375"/>
      <c r="U1094" s="2648"/>
      <c r="V1094" s="3554"/>
      <c r="W1094" s="3150"/>
      <c r="X1094" s="2656"/>
      <c r="Y1094" s="2656"/>
      <c r="Z1094" s="2656"/>
      <c r="AA1094" s="2656"/>
      <c r="AB1094" s="2656"/>
      <c r="AC1094" s="2656"/>
      <c r="AD1094" s="2656"/>
      <c r="AE1094" s="2656"/>
      <c r="AF1094" s="2656"/>
      <c r="AG1094" s="2656"/>
      <c r="AH1094" s="2656"/>
      <c r="AI1094" s="2656"/>
      <c r="AJ1094" s="2656"/>
      <c r="AK1094" s="2656"/>
      <c r="AL1094" s="2656"/>
      <c r="AM1094" s="2656"/>
      <c r="AN1094" s="2656"/>
      <c r="AO1094" s="2656"/>
      <c r="AP1094" s="2656"/>
      <c r="AQ1094" s="2656"/>
      <c r="AR1094" s="2656"/>
      <c r="AS1094" s="2656"/>
      <c r="AT1094" s="2656"/>
      <c r="AU1094" s="2656"/>
      <c r="AV1094" s="2656"/>
      <c r="AW1094" s="2656"/>
      <c r="AX1094" s="2656"/>
      <c r="AY1094" s="2656"/>
      <c r="AZ1094" s="2656"/>
      <c r="BA1094" s="2656"/>
      <c r="BB1094" s="2656"/>
      <c r="BC1094" s="2656"/>
      <c r="BD1094" s="2656"/>
      <c r="BE1094" s="2656"/>
      <c r="BF1094" s="2656"/>
      <c r="BG1094" s="2656"/>
      <c r="BH1094" s="2656"/>
      <c r="BI1094" s="2656"/>
    </row>
    <row r="1095" spans="1:61" ht="24.75" customHeight="1">
      <c r="A1095" s="3375"/>
      <c r="B1095" s="2646"/>
      <c r="C1095" s="2647"/>
      <c r="D1095" s="2646"/>
      <c r="E1095" s="3013"/>
      <c r="F1095" s="2655"/>
      <c r="G1095" s="2596"/>
      <c r="H1095" s="4138"/>
      <c r="I1095" s="3375"/>
      <c r="J1095" s="2648"/>
      <c r="K1095" s="3147"/>
      <c r="L1095" s="2785"/>
      <c r="M1095" s="2695"/>
      <c r="N1095" s="2649"/>
      <c r="O1095" s="2655"/>
      <c r="P1095" s="2651"/>
      <c r="Q1095" s="3440"/>
      <c r="R1095" s="3553"/>
      <c r="S1095" s="1407"/>
      <c r="T1095" s="3375"/>
      <c r="U1095" s="2648"/>
      <c r="V1095" s="3554"/>
      <c r="W1095" s="3150"/>
      <c r="X1095" s="2656"/>
      <c r="Y1095" s="2656"/>
      <c r="Z1095" s="2656"/>
      <c r="AA1095" s="2656"/>
      <c r="AB1095" s="2656"/>
      <c r="AC1095" s="2656"/>
      <c r="AD1095" s="2656"/>
      <c r="AE1095" s="2656"/>
      <c r="AF1095" s="2656"/>
      <c r="AG1095" s="2656"/>
      <c r="AH1095" s="2656"/>
      <c r="AI1095" s="2656"/>
      <c r="AJ1095" s="2656"/>
      <c r="AK1095" s="2656"/>
      <c r="AL1095" s="2656"/>
      <c r="AM1095" s="2656"/>
      <c r="AN1095" s="2656"/>
      <c r="AO1095" s="2656"/>
      <c r="AP1095" s="2656"/>
      <c r="AQ1095" s="2656"/>
      <c r="AR1095" s="2656"/>
      <c r="AS1095" s="2656"/>
      <c r="AT1095" s="2656"/>
      <c r="AU1095" s="2656"/>
      <c r="AV1095" s="2656"/>
      <c r="AW1095" s="2656"/>
      <c r="AX1095" s="2656"/>
      <c r="AY1095" s="2656"/>
      <c r="AZ1095" s="2656"/>
      <c r="BA1095" s="2656"/>
      <c r="BB1095" s="2656"/>
      <c r="BC1095" s="2656"/>
      <c r="BD1095" s="2656"/>
      <c r="BE1095" s="2656"/>
      <c r="BF1095" s="2656"/>
      <c r="BG1095" s="2656"/>
      <c r="BH1095" s="2656"/>
      <c r="BI1095" s="2656"/>
    </row>
    <row r="1096" spans="1:61" ht="24.75" customHeight="1">
      <c r="A1096" s="3375"/>
      <c r="B1096" s="2646"/>
      <c r="C1096" s="2647"/>
      <c r="D1096" s="2646"/>
      <c r="E1096" s="3013"/>
      <c r="F1096" s="2655"/>
      <c r="G1096" s="2596"/>
      <c r="H1096" s="4138"/>
      <c r="I1096" s="3375"/>
      <c r="J1096" s="2648"/>
      <c r="K1096" s="3147"/>
      <c r="L1096" s="2785"/>
      <c r="M1096" s="2695"/>
      <c r="N1096" s="2649"/>
      <c r="O1096" s="2655"/>
      <c r="P1096" s="2651"/>
      <c r="Q1096" s="3440"/>
      <c r="R1096" s="3553"/>
      <c r="S1096" s="1407"/>
      <c r="T1096" s="3375"/>
      <c r="U1096" s="2648"/>
      <c r="V1096" s="3554"/>
      <c r="W1096" s="3150"/>
      <c r="X1096" s="2656"/>
      <c r="Y1096" s="2656"/>
      <c r="Z1096" s="2656"/>
      <c r="AA1096" s="2656"/>
      <c r="AB1096" s="2656"/>
      <c r="AC1096" s="2656"/>
      <c r="AD1096" s="2656"/>
      <c r="AE1096" s="2656"/>
      <c r="AF1096" s="2656"/>
      <c r="AG1096" s="2656"/>
      <c r="AH1096" s="2656"/>
      <c r="AI1096" s="2656"/>
      <c r="AJ1096" s="2656"/>
      <c r="AK1096" s="2656"/>
      <c r="AL1096" s="2656"/>
      <c r="AM1096" s="2656"/>
      <c r="AN1096" s="2656"/>
      <c r="AO1096" s="2656"/>
      <c r="AP1096" s="2656"/>
      <c r="AQ1096" s="2656"/>
      <c r="AR1096" s="2656"/>
      <c r="AS1096" s="2656"/>
      <c r="AT1096" s="2656"/>
      <c r="AU1096" s="2656"/>
      <c r="AV1096" s="2656"/>
      <c r="AW1096" s="2656"/>
      <c r="AX1096" s="2656"/>
      <c r="AY1096" s="2656"/>
      <c r="AZ1096" s="2656"/>
      <c r="BA1096" s="2656"/>
      <c r="BB1096" s="2656"/>
      <c r="BC1096" s="2656"/>
      <c r="BD1096" s="2656"/>
      <c r="BE1096" s="2656"/>
      <c r="BF1096" s="2656"/>
      <c r="BG1096" s="2656"/>
      <c r="BH1096" s="2656"/>
      <c r="BI1096" s="2656"/>
    </row>
    <row r="1097" spans="1:61" ht="24.75" customHeight="1">
      <c r="A1097" s="3375"/>
      <c r="B1097" s="2646"/>
      <c r="C1097" s="2647"/>
      <c r="D1097" s="2646"/>
      <c r="E1097" s="3013"/>
      <c r="F1097" s="2655"/>
      <c r="G1097" s="2596"/>
      <c r="H1097" s="4138"/>
      <c r="I1097" s="3375"/>
      <c r="J1097" s="2648"/>
      <c r="K1097" s="3147"/>
      <c r="L1097" s="2785"/>
      <c r="M1097" s="2695"/>
      <c r="N1097" s="2649"/>
      <c r="O1097" s="2655"/>
      <c r="P1097" s="2651"/>
      <c r="Q1097" s="3440"/>
      <c r="R1097" s="3553"/>
      <c r="S1097" s="1407"/>
      <c r="T1097" s="3375"/>
      <c r="U1097" s="2648"/>
      <c r="V1097" s="3554"/>
      <c r="W1097" s="3150"/>
      <c r="X1097" s="2656"/>
      <c r="Y1097" s="2656"/>
      <c r="Z1097" s="2656"/>
      <c r="AA1097" s="2656"/>
      <c r="AB1097" s="2656"/>
      <c r="AC1097" s="2656"/>
      <c r="AD1097" s="2656"/>
      <c r="AE1097" s="2656"/>
      <c r="AF1097" s="2656"/>
      <c r="AG1097" s="2656"/>
      <c r="AH1097" s="2656"/>
      <c r="AI1097" s="2656"/>
      <c r="AJ1097" s="2656"/>
      <c r="AK1097" s="2656"/>
      <c r="AL1097" s="2656"/>
      <c r="AM1097" s="2656"/>
      <c r="AN1097" s="2656"/>
      <c r="AO1097" s="2656"/>
      <c r="AP1097" s="2656"/>
      <c r="AQ1097" s="2656"/>
      <c r="AR1097" s="2656"/>
      <c r="AS1097" s="2656"/>
      <c r="AT1097" s="2656"/>
      <c r="AU1097" s="2656"/>
      <c r="AV1097" s="2656"/>
      <c r="AW1097" s="2656"/>
      <c r="AX1097" s="2656"/>
      <c r="AY1097" s="2656"/>
      <c r="AZ1097" s="2656"/>
      <c r="BA1097" s="2656"/>
      <c r="BB1097" s="2656"/>
      <c r="BC1097" s="2656"/>
      <c r="BD1097" s="2656"/>
      <c r="BE1097" s="2656"/>
      <c r="BF1097" s="2656"/>
      <c r="BG1097" s="2656"/>
      <c r="BH1097" s="2656"/>
      <c r="BI1097" s="2656"/>
    </row>
    <row r="1098" spans="1:61" ht="24.75" customHeight="1">
      <c r="A1098" s="3375"/>
      <c r="B1098" s="2646"/>
      <c r="C1098" s="2647"/>
      <c r="D1098" s="2646"/>
      <c r="E1098" s="3013"/>
      <c r="F1098" s="2655"/>
      <c r="G1098" s="2596"/>
      <c r="H1098" s="4138"/>
      <c r="I1098" s="3375"/>
      <c r="J1098" s="2648"/>
      <c r="K1098" s="3147"/>
      <c r="L1098" s="2785"/>
      <c r="M1098" s="2695"/>
      <c r="N1098" s="2649"/>
      <c r="O1098" s="2655"/>
      <c r="P1098" s="2651"/>
      <c r="Q1098" s="3440"/>
      <c r="R1098" s="3553"/>
      <c r="S1098" s="1407"/>
      <c r="T1098" s="3375"/>
      <c r="U1098" s="2648"/>
      <c r="V1098" s="3554"/>
      <c r="W1098" s="3150"/>
      <c r="X1098" s="2656"/>
      <c r="Y1098" s="2656"/>
      <c r="Z1098" s="2656"/>
      <c r="AA1098" s="2656"/>
      <c r="AB1098" s="2656"/>
      <c r="AC1098" s="2656"/>
      <c r="AD1098" s="2656"/>
      <c r="AE1098" s="2656"/>
      <c r="AF1098" s="2656"/>
      <c r="AG1098" s="2656"/>
      <c r="AH1098" s="2656"/>
      <c r="AI1098" s="2656"/>
      <c r="AJ1098" s="2656"/>
      <c r="AK1098" s="2656"/>
      <c r="AL1098" s="2656"/>
      <c r="AM1098" s="2656"/>
      <c r="AN1098" s="2656"/>
      <c r="AO1098" s="2656"/>
      <c r="AP1098" s="2656"/>
      <c r="AQ1098" s="2656"/>
      <c r="AR1098" s="2656"/>
      <c r="AS1098" s="2656"/>
      <c r="AT1098" s="2656"/>
      <c r="AU1098" s="2656"/>
      <c r="AV1098" s="2656"/>
      <c r="AW1098" s="2656"/>
      <c r="AX1098" s="2656"/>
      <c r="AY1098" s="2656"/>
      <c r="AZ1098" s="2656"/>
      <c r="BA1098" s="2656"/>
      <c r="BB1098" s="2656"/>
      <c r="BC1098" s="2656"/>
      <c r="BD1098" s="2656"/>
      <c r="BE1098" s="2656"/>
      <c r="BF1098" s="2656"/>
      <c r="BG1098" s="2656"/>
      <c r="BH1098" s="2656"/>
      <c r="BI1098" s="2656"/>
    </row>
    <row r="1099" spans="1:61" ht="24.75" customHeight="1">
      <c r="A1099" s="3375"/>
      <c r="B1099" s="2646"/>
      <c r="C1099" s="2647"/>
      <c r="D1099" s="2646"/>
      <c r="E1099" s="3013"/>
      <c r="F1099" s="2655"/>
      <c r="G1099" s="2596"/>
      <c r="H1099" s="4138"/>
      <c r="I1099" s="3375"/>
      <c r="J1099" s="2648"/>
      <c r="K1099" s="3147"/>
      <c r="L1099" s="2785"/>
      <c r="M1099" s="2695"/>
      <c r="N1099" s="2649"/>
      <c r="O1099" s="2655"/>
      <c r="P1099" s="2651"/>
      <c r="Q1099" s="3440"/>
      <c r="R1099" s="3553"/>
      <c r="S1099" s="1407"/>
      <c r="T1099" s="3375"/>
      <c r="U1099" s="2648"/>
      <c r="V1099" s="3554"/>
      <c r="W1099" s="3150"/>
      <c r="X1099" s="2656"/>
      <c r="Y1099" s="2656"/>
      <c r="Z1099" s="2656"/>
      <c r="AA1099" s="2656"/>
      <c r="AB1099" s="2656"/>
      <c r="AC1099" s="2656"/>
      <c r="AD1099" s="2656"/>
      <c r="AE1099" s="2656"/>
      <c r="AF1099" s="2656"/>
      <c r="AG1099" s="2656"/>
      <c r="AH1099" s="2656"/>
      <c r="AI1099" s="2656"/>
      <c r="AJ1099" s="2656"/>
      <c r="AK1099" s="2656"/>
      <c r="AL1099" s="2656"/>
      <c r="AM1099" s="2656"/>
      <c r="AN1099" s="2656"/>
      <c r="AO1099" s="2656"/>
      <c r="AP1099" s="2656"/>
      <c r="AQ1099" s="2656"/>
      <c r="AR1099" s="2656"/>
      <c r="AS1099" s="2656"/>
      <c r="AT1099" s="2656"/>
      <c r="AU1099" s="2656"/>
      <c r="AV1099" s="2656"/>
      <c r="AW1099" s="2656"/>
      <c r="AX1099" s="2656"/>
      <c r="AY1099" s="2656"/>
      <c r="AZ1099" s="2656"/>
      <c r="BA1099" s="2656"/>
      <c r="BB1099" s="2656"/>
      <c r="BC1099" s="2656"/>
      <c r="BD1099" s="2656"/>
      <c r="BE1099" s="2656"/>
      <c r="BF1099" s="2656"/>
      <c r="BG1099" s="2656"/>
      <c r="BH1099" s="2656"/>
      <c r="BI1099" s="2656"/>
    </row>
    <row r="1100" spans="1:61" ht="24.75" customHeight="1">
      <c r="A1100" s="3375"/>
      <c r="B1100" s="2646"/>
      <c r="C1100" s="2647"/>
      <c r="D1100" s="2646"/>
      <c r="E1100" s="3013"/>
      <c r="F1100" s="2655"/>
      <c r="G1100" s="2596"/>
      <c r="H1100" s="4138"/>
      <c r="I1100" s="3375"/>
      <c r="J1100" s="2648"/>
      <c r="K1100" s="3147"/>
      <c r="L1100" s="2785"/>
      <c r="M1100" s="2695"/>
      <c r="N1100" s="2649"/>
      <c r="O1100" s="2655"/>
      <c r="P1100" s="2651"/>
      <c r="Q1100" s="3440"/>
      <c r="R1100" s="3553"/>
      <c r="S1100" s="1407"/>
      <c r="T1100" s="3375"/>
      <c r="U1100" s="2648"/>
      <c r="V1100" s="3554"/>
      <c r="W1100" s="3150"/>
      <c r="X1100" s="2656"/>
      <c r="Y1100" s="2656"/>
      <c r="Z1100" s="2656"/>
      <c r="AA1100" s="2656"/>
      <c r="AB1100" s="2656"/>
      <c r="AC1100" s="2656"/>
      <c r="AD1100" s="2656"/>
      <c r="AE1100" s="2656"/>
      <c r="AF1100" s="2656"/>
      <c r="AG1100" s="2656"/>
      <c r="AH1100" s="2656"/>
      <c r="AI1100" s="2656"/>
      <c r="AJ1100" s="2656"/>
      <c r="AK1100" s="2656"/>
      <c r="AL1100" s="2656"/>
      <c r="AM1100" s="2656"/>
      <c r="AN1100" s="2656"/>
      <c r="AO1100" s="2656"/>
      <c r="AP1100" s="2656"/>
      <c r="AQ1100" s="2656"/>
      <c r="AR1100" s="2656"/>
      <c r="AS1100" s="2656"/>
      <c r="AT1100" s="2656"/>
      <c r="AU1100" s="2656"/>
      <c r="AV1100" s="2656"/>
      <c r="AW1100" s="2656"/>
      <c r="AX1100" s="2656"/>
      <c r="AY1100" s="2656"/>
      <c r="AZ1100" s="2656"/>
      <c r="BA1100" s="2656"/>
      <c r="BB1100" s="2656"/>
      <c r="BC1100" s="2656"/>
      <c r="BD1100" s="2656"/>
      <c r="BE1100" s="2656"/>
      <c r="BF1100" s="2656"/>
      <c r="BG1100" s="2656"/>
      <c r="BH1100" s="2656"/>
      <c r="BI1100" s="2656"/>
    </row>
    <row r="1101" spans="1:61" ht="24.75" customHeight="1">
      <c r="A1101" s="3375"/>
      <c r="B1101" s="2646"/>
      <c r="C1101" s="2647"/>
      <c r="D1101" s="2646"/>
      <c r="E1101" s="3013"/>
      <c r="F1101" s="2655"/>
      <c r="G1101" s="2596"/>
      <c r="H1101" s="4138"/>
      <c r="I1101" s="3375"/>
      <c r="J1101" s="2648"/>
      <c r="K1101" s="3147"/>
      <c r="L1101" s="2785"/>
      <c r="M1101" s="2695"/>
      <c r="N1101" s="2649"/>
      <c r="O1101" s="2655"/>
      <c r="P1101" s="2651"/>
      <c r="Q1101" s="3440"/>
      <c r="R1101" s="3553"/>
      <c r="S1101" s="1407"/>
      <c r="T1101" s="3375"/>
      <c r="U1101" s="2648"/>
      <c r="V1101" s="3554"/>
      <c r="W1101" s="3150"/>
      <c r="X1101" s="2656"/>
      <c r="Y1101" s="2656"/>
      <c r="Z1101" s="2656"/>
      <c r="AA1101" s="2656"/>
      <c r="AB1101" s="2656"/>
      <c r="AC1101" s="2656"/>
      <c r="AD1101" s="2656"/>
      <c r="AE1101" s="2656"/>
      <c r="AF1101" s="2656"/>
      <c r="AG1101" s="2656"/>
      <c r="AH1101" s="2656"/>
      <c r="AI1101" s="2656"/>
      <c r="AJ1101" s="2656"/>
      <c r="AK1101" s="2656"/>
      <c r="AL1101" s="2656"/>
      <c r="AM1101" s="2656"/>
      <c r="AN1101" s="2656"/>
      <c r="AO1101" s="2656"/>
      <c r="AP1101" s="2656"/>
      <c r="AQ1101" s="2656"/>
      <c r="AR1101" s="2656"/>
      <c r="AS1101" s="2656"/>
      <c r="AT1101" s="2656"/>
      <c r="AU1101" s="2656"/>
      <c r="AV1101" s="2656"/>
      <c r="AW1101" s="2656"/>
      <c r="AX1101" s="2656"/>
      <c r="AY1101" s="2656"/>
      <c r="AZ1101" s="2656"/>
      <c r="BA1101" s="2656"/>
      <c r="BB1101" s="2656"/>
      <c r="BC1101" s="2656"/>
      <c r="BD1101" s="2656"/>
      <c r="BE1101" s="2656"/>
      <c r="BF1101" s="2656"/>
      <c r="BG1101" s="2656"/>
      <c r="BH1101" s="2656"/>
      <c r="BI1101" s="2656"/>
    </row>
    <row r="1102" spans="1:61" ht="24.75" customHeight="1">
      <c r="A1102" s="3375"/>
      <c r="B1102" s="2646"/>
      <c r="C1102" s="2647"/>
      <c r="D1102" s="2646"/>
      <c r="E1102" s="3013"/>
      <c r="F1102" s="2655"/>
      <c r="G1102" s="2596"/>
      <c r="H1102" s="4138"/>
      <c r="I1102" s="3375"/>
      <c r="J1102" s="2648"/>
      <c r="K1102" s="3147"/>
      <c r="L1102" s="2785"/>
      <c r="M1102" s="2695"/>
      <c r="N1102" s="2649"/>
      <c r="O1102" s="2655"/>
      <c r="P1102" s="2651"/>
      <c r="Q1102" s="3440"/>
      <c r="R1102" s="3553"/>
      <c r="S1102" s="1407"/>
      <c r="T1102" s="3375"/>
      <c r="U1102" s="2648"/>
      <c r="V1102" s="3554"/>
      <c r="W1102" s="3150"/>
      <c r="X1102" s="2656"/>
      <c r="Y1102" s="2656"/>
      <c r="Z1102" s="2656"/>
      <c r="AA1102" s="2656"/>
      <c r="AB1102" s="2656"/>
      <c r="AC1102" s="2656"/>
      <c r="AD1102" s="2656"/>
      <c r="AE1102" s="2656"/>
      <c r="AF1102" s="2656"/>
      <c r="AG1102" s="2656"/>
      <c r="AH1102" s="2656"/>
      <c r="AI1102" s="2656"/>
      <c r="AJ1102" s="2656"/>
      <c r="AK1102" s="2656"/>
      <c r="AL1102" s="2656"/>
      <c r="AM1102" s="2656"/>
      <c r="AN1102" s="2656"/>
      <c r="AO1102" s="2656"/>
      <c r="AP1102" s="2656"/>
      <c r="AQ1102" s="2656"/>
      <c r="AR1102" s="2656"/>
      <c r="AS1102" s="2656"/>
      <c r="AT1102" s="2656"/>
      <c r="AU1102" s="2656"/>
      <c r="AV1102" s="2656"/>
      <c r="AW1102" s="2656"/>
      <c r="AX1102" s="2656"/>
      <c r="AY1102" s="2656"/>
      <c r="AZ1102" s="2656"/>
      <c r="BA1102" s="2656"/>
      <c r="BB1102" s="2656"/>
      <c r="BC1102" s="2656"/>
      <c r="BD1102" s="2656"/>
      <c r="BE1102" s="2656"/>
      <c r="BF1102" s="2656"/>
      <c r="BG1102" s="2656"/>
      <c r="BH1102" s="2656"/>
      <c r="BI1102" s="2656"/>
    </row>
    <row r="1103" spans="1:61" ht="24.75" customHeight="1">
      <c r="A1103" s="3375"/>
      <c r="B1103" s="2646"/>
      <c r="C1103" s="2647"/>
      <c r="D1103" s="2646"/>
      <c r="E1103" s="3013"/>
      <c r="F1103" s="2655"/>
      <c r="G1103" s="2596"/>
      <c r="H1103" s="4138"/>
      <c r="I1103" s="3375"/>
      <c r="J1103" s="2648"/>
      <c r="K1103" s="3147"/>
      <c r="L1103" s="2785"/>
      <c r="M1103" s="2695"/>
      <c r="N1103" s="2649"/>
      <c r="O1103" s="2655"/>
      <c r="P1103" s="2651"/>
      <c r="Q1103" s="3440"/>
      <c r="R1103" s="3553"/>
      <c r="S1103" s="1407"/>
      <c r="T1103" s="3375"/>
      <c r="U1103" s="2648"/>
      <c r="V1103" s="3554"/>
      <c r="W1103" s="3150"/>
      <c r="X1103" s="2656"/>
      <c r="Y1103" s="2656"/>
      <c r="Z1103" s="2656"/>
      <c r="AA1103" s="2656"/>
      <c r="AB1103" s="2656"/>
      <c r="AC1103" s="2656"/>
      <c r="AD1103" s="2656"/>
      <c r="AE1103" s="2656"/>
      <c r="AF1103" s="2656"/>
      <c r="AG1103" s="2656"/>
      <c r="AH1103" s="2656"/>
      <c r="AI1103" s="2656"/>
      <c r="AJ1103" s="2656"/>
      <c r="AK1103" s="2656"/>
      <c r="AL1103" s="2656"/>
      <c r="AM1103" s="2656"/>
      <c r="AN1103" s="2656"/>
      <c r="AO1103" s="2656"/>
      <c r="AP1103" s="2656"/>
      <c r="AQ1103" s="2656"/>
      <c r="AR1103" s="2656"/>
      <c r="AS1103" s="2656"/>
      <c r="AT1103" s="2656"/>
      <c r="AU1103" s="2656"/>
      <c r="AV1103" s="2656"/>
      <c r="AW1103" s="2656"/>
      <c r="AX1103" s="2656"/>
      <c r="AY1103" s="2656"/>
      <c r="AZ1103" s="2656"/>
      <c r="BA1103" s="2656"/>
      <c r="BB1103" s="2656"/>
      <c r="BC1103" s="2656"/>
      <c r="BD1103" s="2656"/>
      <c r="BE1103" s="2656"/>
      <c r="BF1103" s="2656"/>
      <c r="BG1103" s="2656"/>
      <c r="BH1103" s="2656"/>
      <c r="BI1103" s="2656"/>
    </row>
    <row r="1104" spans="1:61" ht="24.75" customHeight="1">
      <c r="A1104" s="3375"/>
      <c r="B1104" s="2646"/>
      <c r="C1104" s="2647"/>
      <c r="D1104" s="2646"/>
      <c r="E1104" s="3013"/>
      <c r="F1104" s="2655"/>
      <c r="G1104" s="2596"/>
      <c r="H1104" s="4138"/>
      <c r="I1104" s="3375"/>
      <c r="J1104" s="2648"/>
      <c r="K1104" s="3147"/>
      <c r="L1104" s="2785"/>
      <c r="M1104" s="2695"/>
      <c r="N1104" s="2649"/>
      <c r="O1104" s="2655"/>
      <c r="P1104" s="2651"/>
      <c r="Q1104" s="3440"/>
      <c r="R1104" s="3553"/>
      <c r="S1104" s="1407"/>
      <c r="T1104" s="3375"/>
      <c r="U1104" s="2648"/>
      <c r="V1104" s="3554"/>
      <c r="W1104" s="3150"/>
      <c r="X1104" s="2656"/>
      <c r="Y1104" s="2656"/>
      <c r="Z1104" s="2656"/>
      <c r="AA1104" s="2656"/>
      <c r="AB1104" s="2656"/>
      <c r="AC1104" s="2656"/>
      <c r="AD1104" s="2656"/>
      <c r="AE1104" s="2656"/>
      <c r="AF1104" s="2656"/>
      <c r="AG1104" s="2656"/>
      <c r="AH1104" s="2656"/>
      <c r="AI1104" s="2656"/>
      <c r="AJ1104" s="2656"/>
      <c r="AK1104" s="2656"/>
      <c r="AL1104" s="2656"/>
      <c r="AM1104" s="2656"/>
      <c r="AN1104" s="2656"/>
      <c r="AO1104" s="2656"/>
      <c r="AP1104" s="2656"/>
      <c r="AQ1104" s="2656"/>
      <c r="AR1104" s="2656"/>
      <c r="AS1104" s="2656"/>
      <c r="AT1104" s="2656"/>
      <c r="AU1104" s="2656"/>
      <c r="AV1104" s="2656"/>
      <c r="AW1104" s="2656"/>
      <c r="AX1104" s="2656"/>
      <c r="AY1104" s="2656"/>
      <c r="AZ1104" s="2656"/>
      <c r="BA1104" s="2656"/>
      <c r="BB1104" s="2656"/>
      <c r="BC1104" s="2656"/>
      <c r="BD1104" s="2656"/>
      <c r="BE1104" s="2656"/>
      <c r="BF1104" s="2656"/>
      <c r="BG1104" s="2656"/>
      <c r="BH1104" s="2656"/>
      <c r="BI1104" s="2656"/>
    </row>
    <row r="1105" spans="1:61" ht="24.75" customHeight="1">
      <c r="A1105" s="3375"/>
      <c r="B1105" s="2646"/>
      <c r="C1105" s="2647"/>
      <c r="D1105" s="2646"/>
      <c r="E1105" s="3013"/>
      <c r="F1105" s="2655"/>
      <c r="G1105" s="2596"/>
      <c r="H1105" s="4138"/>
      <c r="I1105" s="3375"/>
      <c r="J1105" s="2648"/>
      <c r="K1105" s="3147"/>
      <c r="L1105" s="2785"/>
      <c r="M1105" s="2695"/>
      <c r="N1105" s="2649"/>
      <c r="O1105" s="2655"/>
      <c r="P1105" s="2651"/>
      <c r="Q1105" s="3440"/>
      <c r="R1105" s="3553"/>
      <c r="S1105" s="1407"/>
      <c r="T1105" s="3375"/>
      <c r="U1105" s="2648"/>
      <c r="V1105" s="3554"/>
      <c r="W1105" s="3150"/>
      <c r="X1105" s="2656"/>
      <c r="Y1105" s="2656"/>
      <c r="Z1105" s="2656"/>
      <c r="AA1105" s="2656"/>
      <c r="AB1105" s="2656"/>
      <c r="AC1105" s="2656"/>
      <c r="AD1105" s="2656"/>
      <c r="AE1105" s="2656"/>
      <c r="AF1105" s="2656"/>
      <c r="AG1105" s="2656"/>
      <c r="AH1105" s="2656"/>
      <c r="AI1105" s="2656"/>
      <c r="AJ1105" s="2656"/>
      <c r="AK1105" s="2656"/>
      <c r="AL1105" s="2656"/>
      <c r="AM1105" s="2656"/>
      <c r="AN1105" s="2656"/>
      <c r="AO1105" s="2656"/>
      <c r="AP1105" s="2656"/>
      <c r="AQ1105" s="2656"/>
      <c r="AR1105" s="2656"/>
      <c r="AS1105" s="2656"/>
      <c r="AT1105" s="2656"/>
      <c r="AU1105" s="2656"/>
      <c r="AV1105" s="2656"/>
      <c r="AW1105" s="2656"/>
      <c r="AX1105" s="2656"/>
      <c r="AY1105" s="2656"/>
      <c r="AZ1105" s="2656"/>
      <c r="BA1105" s="2656"/>
      <c r="BB1105" s="2656"/>
      <c r="BC1105" s="2656"/>
      <c r="BD1105" s="2656"/>
      <c r="BE1105" s="2656"/>
      <c r="BF1105" s="2656"/>
      <c r="BG1105" s="2656"/>
      <c r="BH1105" s="2656"/>
      <c r="BI1105" s="2656"/>
    </row>
    <row r="1106" spans="1:61" ht="24.75" customHeight="1">
      <c r="A1106" s="3375"/>
      <c r="B1106" s="2646"/>
      <c r="C1106" s="2647"/>
      <c r="D1106" s="2646"/>
      <c r="E1106" s="3013"/>
      <c r="F1106" s="2655"/>
      <c r="G1106" s="2596"/>
      <c r="H1106" s="4138"/>
      <c r="I1106" s="3375"/>
      <c r="J1106" s="2648"/>
      <c r="K1106" s="3147"/>
      <c r="L1106" s="2785"/>
      <c r="M1106" s="2695"/>
      <c r="N1106" s="2649"/>
      <c r="O1106" s="2655"/>
      <c r="P1106" s="2651"/>
      <c r="Q1106" s="3440"/>
      <c r="R1106" s="3553"/>
      <c r="S1106" s="1407"/>
      <c r="T1106" s="3375"/>
      <c r="U1106" s="2648"/>
      <c r="V1106" s="3554"/>
      <c r="W1106" s="3150"/>
      <c r="X1106" s="2656"/>
      <c r="Y1106" s="2656"/>
      <c r="Z1106" s="2656"/>
      <c r="AA1106" s="2656"/>
      <c r="AB1106" s="2656"/>
      <c r="AC1106" s="2656"/>
      <c r="AD1106" s="2656"/>
      <c r="AE1106" s="2656"/>
      <c r="AF1106" s="2656"/>
      <c r="AG1106" s="2656"/>
      <c r="AH1106" s="2656"/>
      <c r="AI1106" s="2656"/>
      <c r="AJ1106" s="2656"/>
      <c r="AK1106" s="2656"/>
      <c r="AL1106" s="2656"/>
      <c r="AM1106" s="2656"/>
      <c r="AN1106" s="2656"/>
      <c r="AO1106" s="2656"/>
      <c r="AP1106" s="2656"/>
      <c r="AQ1106" s="2656"/>
      <c r="AR1106" s="2656"/>
      <c r="AS1106" s="2656"/>
      <c r="AT1106" s="2656"/>
      <c r="AU1106" s="2656"/>
      <c r="AV1106" s="2656"/>
      <c r="AW1106" s="2656"/>
      <c r="AX1106" s="2656"/>
      <c r="AY1106" s="2656"/>
      <c r="AZ1106" s="2656"/>
      <c r="BA1106" s="2656"/>
      <c r="BB1106" s="2656"/>
      <c r="BC1106" s="2656"/>
      <c r="BD1106" s="2656"/>
      <c r="BE1106" s="2656"/>
      <c r="BF1106" s="2656"/>
      <c r="BG1106" s="2656"/>
      <c r="BH1106" s="2656"/>
      <c r="BI1106" s="2656"/>
    </row>
    <row r="1107" spans="1:61" ht="24.75" customHeight="1">
      <c r="A1107" s="3375"/>
      <c r="B1107" s="2646"/>
      <c r="C1107" s="2647"/>
      <c r="D1107" s="2646"/>
      <c r="E1107" s="3013"/>
      <c r="F1107" s="2655"/>
      <c r="G1107" s="2596"/>
      <c r="H1107" s="4138"/>
      <c r="I1107" s="3375"/>
      <c r="J1107" s="2648"/>
      <c r="K1107" s="3147"/>
      <c r="L1107" s="2785"/>
      <c r="M1107" s="2695"/>
      <c r="N1107" s="2649"/>
      <c r="O1107" s="2655"/>
      <c r="P1107" s="2651"/>
      <c r="Q1107" s="3440"/>
      <c r="R1107" s="3553"/>
      <c r="S1107" s="1407"/>
      <c r="T1107" s="3375"/>
      <c r="U1107" s="2648"/>
      <c r="V1107" s="3554"/>
      <c r="W1107" s="3150"/>
      <c r="X1107" s="2656"/>
      <c r="Y1107" s="2656"/>
      <c r="Z1107" s="2656"/>
      <c r="AA1107" s="2656"/>
      <c r="AB1107" s="2656"/>
      <c r="AC1107" s="2656"/>
      <c r="AD1107" s="2656"/>
      <c r="AE1107" s="2656"/>
      <c r="AF1107" s="2656"/>
      <c r="AG1107" s="2656"/>
      <c r="AH1107" s="2656"/>
      <c r="AI1107" s="2656"/>
      <c r="AJ1107" s="2656"/>
      <c r="AK1107" s="2656"/>
      <c r="AL1107" s="2656"/>
      <c r="AM1107" s="2656"/>
      <c r="AN1107" s="2656"/>
      <c r="AO1107" s="2656"/>
      <c r="AP1107" s="2656"/>
      <c r="AQ1107" s="2656"/>
      <c r="AR1107" s="2656"/>
      <c r="AS1107" s="2656"/>
      <c r="AT1107" s="2656"/>
      <c r="AU1107" s="2656"/>
      <c r="AV1107" s="2656"/>
      <c r="AW1107" s="2656"/>
      <c r="AX1107" s="2656"/>
      <c r="AY1107" s="2656"/>
      <c r="AZ1107" s="2656"/>
      <c r="BA1107" s="2656"/>
      <c r="BB1107" s="2656"/>
      <c r="BC1107" s="2656"/>
      <c r="BD1107" s="2656"/>
      <c r="BE1107" s="2656"/>
      <c r="BF1107" s="2656"/>
      <c r="BG1107" s="2656"/>
      <c r="BH1107" s="2656"/>
      <c r="BI1107" s="2656"/>
    </row>
    <row r="1108" spans="1:61" ht="24.75" customHeight="1">
      <c r="A1108" s="3375"/>
      <c r="B1108" s="2646"/>
      <c r="C1108" s="2647"/>
      <c r="D1108" s="2646"/>
      <c r="E1108" s="3013"/>
      <c r="F1108" s="2655"/>
      <c r="G1108" s="2596"/>
      <c r="H1108" s="4138"/>
      <c r="I1108" s="3375"/>
      <c r="J1108" s="2648"/>
      <c r="K1108" s="3147"/>
      <c r="L1108" s="2785"/>
      <c r="M1108" s="2695"/>
      <c r="N1108" s="2649"/>
      <c r="O1108" s="2655"/>
      <c r="P1108" s="2651"/>
      <c r="Q1108" s="3440"/>
      <c r="R1108" s="3553"/>
      <c r="S1108" s="1407"/>
      <c r="T1108" s="3375"/>
      <c r="U1108" s="2648"/>
      <c r="V1108" s="3554"/>
      <c r="W1108" s="3150"/>
      <c r="X1108" s="2656"/>
      <c r="Y1108" s="2656"/>
      <c r="Z1108" s="2656"/>
      <c r="AA1108" s="2656"/>
      <c r="AB1108" s="2656"/>
      <c r="AC1108" s="2656"/>
      <c r="AD1108" s="2656"/>
      <c r="AE1108" s="2656"/>
      <c r="AF1108" s="2656"/>
      <c r="AG1108" s="2656"/>
      <c r="AH1108" s="2656"/>
      <c r="AI1108" s="2656"/>
      <c r="AJ1108" s="2656"/>
      <c r="AK1108" s="2656"/>
      <c r="AL1108" s="2656"/>
      <c r="AM1108" s="2656"/>
      <c r="AN1108" s="2656"/>
      <c r="AO1108" s="2656"/>
      <c r="AP1108" s="2656"/>
      <c r="AQ1108" s="2656"/>
      <c r="AR1108" s="2656"/>
      <c r="AS1108" s="2656"/>
      <c r="AT1108" s="2656"/>
      <c r="AU1108" s="2656"/>
      <c r="AV1108" s="2656"/>
      <c r="AW1108" s="2656"/>
      <c r="AX1108" s="2656"/>
      <c r="AY1108" s="2656"/>
      <c r="AZ1108" s="2656"/>
      <c r="BA1108" s="2656"/>
      <c r="BB1108" s="2656"/>
      <c r="BC1108" s="2656"/>
      <c r="BD1108" s="2656"/>
      <c r="BE1108" s="2656"/>
      <c r="BF1108" s="2656"/>
      <c r="BG1108" s="2656"/>
      <c r="BH1108" s="2656"/>
      <c r="BI1108" s="2656"/>
    </row>
    <row r="1109" spans="1:61" ht="24.75" customHeight="1">
      <c r="A1109" s="3375"/>
      <c r="B1109" s="2646"/>
      <c r="C1109" s="2647"/>
      <c r="D1109" s="2646"/>
      <c r="E1109" s="3013"/>
      <c r="F1109" s="2655"/>
      <c r="G1109" s="2596"/>
      <c r="H1109" s="4138"/>
      <c r="I1109" s="3375"/>
      <c r="J1109" s="2648"/>
      <c r="K1109" s="3147"/>
      <c r="L1109" s="2785"/>
      <c r="M1109" s="2695"/>
      <c r="N1109" s="2649"/>
      <c r="O1109" s="2655"/>
      <c r="P1109" s="2651"/>
      <c r="Q1109" s="3440"/>
      <c r="R1109" s="3553"/>
      <c r="S1109" s="1407"/>
      <c r="T1109" s="3375"/>
      <c r="U1109" s="2648"/>
      <c r="V1109" s="3554"/>
      <c r="W1109" s="3150"/>
      <c r="X1109" s="2656"/>
      <c r="Y1109" s="2656"/>
      <c r="Z1109" s="2656"/>
      <c r="AA1109" s="2656"/>
      <c r="AB1109" s="2656"/>
      <c r="AC1109" s="2656"/>
      <c r="AD1109" s="2656"/>
      <c r="AE1109" s="2656"/>
      <c r="AF1109" s="2656"/>
      <c r="AG1109" s="2656"/>
      <c r="AH1109" s="2656"/>
      <c r="AI1109" s="2656"/>
      <c r="AJ1109" s="2656"/>
      <c r="AK1109" s="2656"/>
      <c r="AL1109" s="2656"/>
      <c r="AM1109" s="2656"/>
      <c r="AN1109" s="2656"/>
      <c r="AO1109" s="2656"/>
      <c r="AP1109" s="2656"/>
      <c r="AQ1109" s="2656"/>
      <c r="AR1109" s="2656"/>
      <c r="AS1109" s="2656"/>
      <c r="AT1109" s="2656"/>
      <c r="AU1109" s="2656"/>
      <c r="AV1109" s="2656"/>
      <c r="AW1109" s="2656"/>
      <c r="AX1109" s="2656"/>
      <c r="AY1109" s="2656"/>
      <c r="AZ1109" s="2656"/>
      <c r="BA1109" s="2656"/>
      <c r="BB1109" s="2656"/>
      <c r="BC1109" s="2656"/>
      <c r="BD1109" s="2656"/>
      <c r="BE1109" s="2656"/>
      <c r="BF1109" s="2656"/>
      <c r="BG1109" s="2656"/>
      <c r="BH1109" s="2656"/>
      <c r="BI1109" s="2656"/>
    </row>
    <row r="1110" spans="1:61" ht="24.75" customHeight="1">
      <c r="A1110" s="3375"/>
      <c r="B1110" s="2646"/>
      <c r="C1110" s="2647"/>
      <c r="D1110" s="2646"/>
      <c r="E1110" s="3013"/>
      <c r="F1110" s="2655"/>
      <c r="G1110" s="2596"/>
      <c r="H1110" s="4138"/>
      <c r="I1110" s="3375"/>
      <c r="J1110" s="2648"/>
      <c r="K1110" s="3147"/>
      <c r="L1110" s="2785"/>
      <c r="M1110" s="2695"/>
      <c r="N1110" s="2649"/>
      <c r="O1110" s="2655"/>
      <c r="P1110" s="2651"/>
      <c r="Q1110" s="3440"/>
      <c r="R1110" s="3553"/>
      <c r="S1110" s="1407"/>
      <c r="T1110" s="3375"/>
      <c r="U1110" s="2648"/>
      <c r="V1110" s="3554"/>
      <c r="W1110" s="3150"/>
      <c r="X1110" s="2656"/>
      <c r="Y1110" s="2656"/>
      <c r="Z1110" s="2656"/>
      <c r="AA1110" s="2656"/>
      <c r="AB1110" s="2656"/>
      <c r="AC1110" s="2656"/>
      <c r="AD1110" s="2656"/>
      <c r="AE1110" s="2656"/>
      <c r="AF1110" s="2656"/>
      <c r="AG1110" s="2656"/>
      <c r="AH1110" s="2656"/>
      <c r="AI1110" s="2656"/>
      <c r="AJ1110" s="2656"/>
      <c r="AK1110" s="2656"/>
      <c r="AL1110" s="2656"/>
      <c r="AM1110" s="2656"/>
      <c r="AN1110" s="2656"/>
      <c r="AO1110" s="2656"/>
      <c r="AP1110" s="2656"/>
      <c r="AQ1110" s="2656"/>
      <c r="AR1110" s="2656"/>
      <c r="AS1110" s="2656"/>
      <c r="AT1110" s="2656"/>
      <c r="AU1110" s="2656"/>
      <c r="AV1110" s="2656"/>
      <c r="AW1110" s="2656"/>
      <c r="AX1110" s="2656"/>
      <c r="AY1110" s="2656"/>
      <c r="AZ1110" s="2656"/>
      <c r="BA1110" s="2656"/>
      <c r="BB1110" s="2656"/>
      <c r="BC1110" s="2656"/>
      <c r="BD1110" s="2656"/>
      <c r="BE1110" s="2656"/>
      <c r="BF1110" s="2656"/>
      <c r="BG1110" s="2656"/>
      <c r="BH1110" s="2656"/>
      <c r="BI1110" s="2656"/>
    </row>
    <row r="1111" spans="1:61" ht="24.75" customHeight="1">
      <c r="A1111" s="3375"/>
      <c r="B1111" s="2646"/>
      <c r="C1111" s="2647"/>
      <c r="D1111" s="2646"/>
      <c r="E1111" s="3013"/>
      <c r="F1111" s="2655"/>
      <c r="G1111" s="2596"/>
      <c r="H1111" s="4138"/>
      <c r="I1111" s="3375"/>
      <c r="J1111" s="2648"/>
      <c r="K1111" s="3147"/>
      <c r="L1111" s="2785"/>
      <c r="M1111" s="2695"/>
      <c r="N1111" s="2649"/>
      <c r="O1111" s="2655"/>
      <c r="P1111" s="2651"/>
      <c r="Q1111" s="3440"/>
      <c r="R1111" s="3553"/>
      <c r="S1111" s="1407"/>
      <c r="T1111" s="3375"/>
      <c r="U1111" s="2648"/>
      <c r="V1111" s="3554"/>
      <c r="W1111" s="3150"/>
      <c r="X1111" s="2656"/>
      <c r="Y1111" s="2656"/>
      <c r="Z1111" s="2656"/>
      <c r="AA1111" s="2656"/>
      <c r="AB1111" s="2656"/>
      <c r="AC1111" s="2656"/>
      <c r="AD1111" s="2656"/>
      <c r="AE1111" s="2656"/>
      <c r="AF1111" s="2656"/>
      <c r="AG1111" s="2656"/>
      <c r="AH1111" s="2656"/>
      <c r="AI1111" s="2656"/>
      <c r="AJ1111" s="2656"/>
      <c r="AK1111" s="2656"/>
      <c r="AL1111" s="2656"/>
      <c r="AM1111" s="2656"/>
      <c r="AN1111" s="2656"/>
      <c r="AO1111" s="2656"/>
      <c r="AP1111" s="2656"/>
      <c r="AQ1111" s="2656"/>
      <c r="AR1111" s="2656"/>
      <c r="AS1111" s="2656"/>
      <c r="AT1111" s="2656"/>
      <c r="AU1111" s="2656"/>
      <c r="AV1111" s="2656"/>
      <c r="AW1111" s="2656"/>
      <c r="AX1111" s="2656"/>
      <c r="AY1111" s="2656"/>
      <c r="AZ1111" s="2656"/>
      <c r="BA1111" s="2656"/>
      <c r="BB1111" s="2656"/>
      <c r="BC1111" s="2656"/>
      <c r="BD1111" s="2656"/>
      <c r="BE1111" s="2656"/>
      <c r="BF1111" s="2656"/>
      <c r="BG1111" s="2656"/>
      <c r="BH1111" s="2656"/>
      <c r="BI1111" s="2656"/>
    </row>
    <row r="1112" spans="1:61" ht="24.75" customHeight="1">
      <c r="A1112" s="3375"/>
      <c r="B1112" s="2646"/>
      <c r="C1112" s="2647"/>
      <c r="D1112" s="2646"/>
      <c r="E1112" s="3013"/>
      <c r="F1112" s="2655"/>
      <c r="G1112" s="2596"/>
      <c r="H1112" s="4138"/>
      <c r="I1112" s="3375"/>
      <c r="J1112" s="2648"/>
      <c r="K1112" s="3147"/>
      <c r="L1112" s="2785"/>
      <c r="M1112" s="2695"/>
      <c r="N1112" s="2649"/>
      <c r="O1112" s="2655"/>
      <c r="P1112" s="2651"/>
      <c r="Q1112" s="3440"/>
      <c r="R1112" s="3553"/>
      <c r="S1112" s="1407"/>
      <c r="T1112" s="3375"/>
      <c r="U1112" s="2648"/>
      <c r="V1112" s="3554"/>
      <c r="W1112" s="3150"/>
      <c r="X1112" s="2656"/>
      <c r="Y1112" s="2656"/>
      <c r="Z1112" s="2656"/>
      <c r="AA1112" s="2656"/>
      <c r="AB1112" s="2656"/>
      <c r="AC1112" s="2656"/>
      <c r="AD1112" s="2656"/>
      <c r="AE1112" s="2656"/>
      <c r="AF1112" s="2656"/>
      <c r="AG1112" s="2656"/>
      <c r="AH1112" s="2656"/>
      <c r="AI1112" s="2656"/>
      <c r="AJ1112" s="2656"/>
      <c r="AK1112" s="2656"/>
      <c r="AL1112" s="2656"/>
      <c r="AM1112" s="2656"/>
      <c r="AN1112" s="2656"/>
      <c r="AO1112" s="2656"/>
      <c r="AP1112" s="2656"/>
      <c r="AQ1112" s="2656"/>
      <c r="AR1112" s="2656"/>
      <c r="AS1112" s="2656"/>
      <c r="AT1112" s="2656"/>
      <c r="AU1112" s="2656"/>
      <c r="AV1112" s="2656"/>
      <c r="AW1112" s="2656"/>
      <c r="AX1112" s="2656"/>
      <c r="AY1112" s="2656"/>
      <c r="AZ1112" s="2656"/>
      <c r="BA1112" s="2656"/>
      <c r="BB1112" s="2656"/>
      <c r="BC1112" s="2656"/>
      <c r="BD1112" s="2656"/>
      <c r="BE1112" s="2656"/>
      <c r="BF1112" s="2656"/>
      <c r="BG1112" s="2656"/>
      <c r="BH1112" s="2656"/>
      <c r="BI1112" s="2656"/>
    </row>
    <row r="1113" spans="1:61" ht="24.75" customHeight="1">
      <c r="A1113" s="3375"/>
      <c r="B1113" s="2646"/>
      <c r="C1113" s="2647"/>
      <c r="D1113" s="2646"/>
      <c r="E1113" s="3013"/>
      <c r="F1113" s="2655"/>
      <c r="G1113" s="2596"/>
      <c r="H1113" s="4138"/>
      <c r="I1113" s="3375"/>
      <c r="J1113" s="2648"/>
      <c r="K1113" s="3147"/>
      <c r="L1113" s="2785"/>
      <c r="M1113" s="2695"/>
      <c r="N1113" s="2649"/>
      <c r="O1113" s="2655"/>
      <c r="P1113" s="2651"/>
      <c r="Q1113" s="3440"/>
      <c r="R1113" s="3553"/>
      <c r="S1113" s="1407"/>
      <c r="T1113" s="3375"/>
      <c r="U1113" s="2648"/>
      <c r="V1113" s="3554"/>
      <c r="W1113" s="3150"/>
      <c r="X1113" s="2656"/>
      <c r="Y1113" s="2656"/>
      <c r="Z1113" s="2656"/>
      <c r="AA1113" s="2656"/>
      <c r="AB1113" s="2656"/>
      <c r="AC1113" s="2656"/>
      <c r="AD1113" s="2656"/>
      <c r="AE1113" s="2656"/>
      <c r="AF1113" s="2656"/>
      <c r="AG1113" s="2656"/>
      <c r="AH1113" s="2656"/>
      <c r="AI1113" s="2656"/>
      <c r="AJ1113" s="2656"/>
      <c r="AK1113" s="2656"/>
      <c r="AL1113" s="2656"/>
      <c r="AM1113" s="2656"/>
      <c r="AN1113" s="2656"/>
      <c r="AO1113" s="2656"/>
      <c r="AP1113" s="2656"/>
      <c r="AQ1113" s="2656"/>
      <c r="AR1113" s="2656"/>
      <c r="AS1113" s="2656"/>
      <c r="AT1113" s="2656"/>
      <c r="AU1113" s="2656"/>
      <c r="AV1113" s="2656"/>
      <c r="AW1113" s="2656"/>
      <c r="AX1113" s="2656"/>
      <c r="AY1113" s="2656"/>
      <c r="AZ1113" s="2656"/>
      <c r="BA1113" s="2656"/>
      <c r="BB1113" s="2656"/>
      <c r="BC1113" s="2656"/>
      <c r="BD1113" s="2656"/>
      <c r="BE1113" s="2656"/>
      <c r="BF1113" s="2656"/>
      <c r="BG1113" s="2656"/>
      <c r="BH1113" s="2656"/>
      <c r="BI1113" s="2656"/>
    </row>
    <row r="1114" spans="1:61" ht="24.75" customHeight="1">
      <c r="A1114" s="3375"/>
      <c r="B1114" s="2646"/>
      <c r="C1114" s="2647"/>
      <c r="D1114" s="2646"/>
      <c r="E1114" s="3013"/>
      <c r="F1114" s="2655"/>
      <c r="G1114" s="2596"/>
      <c r="H1114" s="4138"/>
      <c r="I1114" s="3375"/>
      <c r="J1114" s="2648"/>
      <c r="K1114" s="3147"/>
      <c r="L1114" s="2785"/>
      <c r="M1114" s="2695"/>
      <c r="N1114" s="2649"/>
      <c r="O1114" s="2655"/>
      <c r="P1114" s="2651"/>
      <c r="Q1114" s="3440"/>
      <c r="R1114" s="3553"/>
      <c r="S1114" s="1407"/>
      <c r="T1114" s="3375"/>
      <c r="U1114" s="2648"/>
      <c r="V1114" s="3554"/>
      <c r="W1114" s="3150"/>
      <c r="X1114" s="2656"/>
      <c r="Y1114" s="2656"/>
      <c r="Z1114" s="2656"/>
      <c r="AA1114" s="2656"/>
      <c r="AB1114" s="2656"/>
      <c r="AC1114" s="2656"/>
      <c r="AD1114" s="2656"/>
      <c r="AE1114" s="2656"/>
      <c r="AF1114" s="2656"/>
      <c r="AG1114" s="2656"/>
      <c r="AH1114" s="2656"/>
      <c r="AI1114" s="2656"/>
      <c r="AJ1114" s="2656"/>
      <c r="AK1114" s="2656"/>
      <c r="AL1114" s="2656"/>
      <c r="AM1114" s="2656"/>
      <c r="AN1114" s="2656"/>
      <c r="AO1114" s="2656"/>
      <c r="AP1114" s="2656"/>
      <c r="AQ1114" s="2656"/>
      <c r="AR1114" s="2656"/>
      <c r="AS1114" s="2656"/>
      <c r="AT1114" s="2656"/>
      <c r="AU1114" s="2656"/>
      <c r="AV1114" s="2656"/>
      <c r="AW1114" s="2656"/>
      <c r="AX1114" s="2656"/>
      <c r="AY1114" s="2656"/>
      <c r="AZ1114" s="2656"/>
      <c r="BA1114" s="2656"/>
      <c r="BB1114" s="2656"/>
      <c r="BC1114" s="2656"/>
      <c r="BD1114" s="2656"/>
      <c r="BE1114" s="2656"/>
      <c r="BF1114" s="2656"/>
      <c r="BG1114" s="2656"/>
      <c r="BH1114" s="2656"/>
      <c r="BI1114" s="2656"/>
    </row>
    <row r="1115" spans="1:61" ht="24.75" customHeight="1">
      <c r="A1115" s="3375"/>
      <c r="B1115" s="2646"/>
      <c r="C1115" s="2647"/>
      <c r="D1115" s="2646"/>
      <c r="E1115" s="3013"/>
      <c r="F1115" s="2655"/>
      <c r="G1115" s="2596"/>
      <c r="H1115" s="4138"/>
      <c r="I1115" s="3375"/>
      <c r="J1115" s="2648"/>
      <c r="K1115" s="3147"/>
      <c r="L1115" s="2785"/>
      <c r="M1115" s="2695"/>
      <c r="N1115" s="2649"/>
      <c r="O1115" s="2655"/>
      <c r="P1115" s="2651"/>
      <c r="Q1115" s="3440"/>
      <c r="R1115" s="3553"/>
      <c r="S1115" s="1407"/>
      <c r="T1115" s="3375"/>
      <c r="U1115" s="2648"/>
      <c r="V1115" s="3554"/>
      <c r="W1115" s="3150"/>
      <c r="X1115" s="2656"/>
      <c r="Y1115" s="2656"/>
      <c r="Z1115" s="2656"/>
      <c r="AA1115" s="2656"/>
      <c r="AB1115" s="2656"/>
      <c r="AC1115" s="2656"/>
      <c r="AD1115" s="2656"/>
      <c r="AE1115" s="2656"/>
      <c r="AF1115" s="2656"/>
      <c r="AG1115" s="2656"/>
      <c r="AH1115" s="2656"/>
      <c r="AI1115" s="2656"/>
      <c r="AJ1115" s="2656"/>
      <c r="AK1115" s="2656"/>
      <c r="AL1115" s="2656"/>
      <c r="AM1115" s="2656"/>
      <c r="AN1115" s="2656"/>
      <c r="AO1115" s="2656"/>
      <c r="AP1115" s="2656"/>
      <c r="AQ1115" s="2656"/>
      <c r="AR1115" s="2656"/>
      <c r="AS1115" s="2656"/>
      <c r="AT1115" s="2656"/>
      <c r="AU1115" s="2656"/>
      <c r="AV1115" s="2656"/>
      <c r="AW1115" s="2656"/>
      <c r="AX1115" s="2656"/>
      <c r="AY1115" s="2656"/>
      <c r="AZ1115" s="2656"/>
      <c r="BA1115" s="2656"/>
      <c r="BB1115" s="2656"/>
      <c r="BC1115" s="2656"/>
      <c r="BD1115" s="2656"/>
      <c r="BE1115" s="2656"/>
      <c r="BF1115" s="2656"/>
      <c r="BG1115" s="2656"/>
      <c r="BH1115" s="2656"/>
      <c r="BI1115" s="2656"/>
    </row>
    <row r="1116" spans="1:61" ht="24.75" customHeight="1">
      <c r="A1116" s="3375"/>
      <c r="B1116" s="2646"/>
      <c r="C1116" s="2647"/>
      <c r="D1116" s="2646"/>
      <c r="E1116" s="3013"/>
      <c r="F1116" s="2655"/>
      <c r="G1116" s="2596"/>
      <c r="H1116" s="4138"/>
      <c r="I1116" s="3375"/>
      <c r="J1116" s="2648"/>
      <c r="K1116" s="3147"/>
      <c r="L1116" s="2785"/>
      <c r="M1116" s="2695"/>
      <c r="N1116" s="2649"/>
      <c r="O1116" s="2655"/>
      <c r="P1116" s="2651"/>
      <c r="Q1116" s="3440"/>
      <c r="R1116" s="3553"/>
      <c r="S1116" s="1407"/>
      <c r="T1116" s="3375"/>
      <c r="U1116" s="2648"/>
      <c r="V1116" s="3554"/>
      <c r="W1116" s="3150"/>
      <c r="X1116" s="2656"/>
      <c r="Y1116" s="2656"/>
      <c r="Z1116" s="2656"/>
      <c r="AA1116" s="2656"/>
      <c r="AB1116" s="2656"/>
      <c r="AC1116" s="2656"/>
      <c r="AD1116" s="2656"/>
      <c r="AE1116" s="2656"/>
      <c r="AF1116" s="2656"/>
      <c r="AG1116" s="2656"/>
      <c r="AH1116" s="2656"/>
      <c r="AI1116" s="2656"/>
      <c r="AJ1116" s="2656"/>
      <c r="AK1116" s="2656"/>
      <c r="AL1116" s="2656"/>
      <c r="AM1116" s="2656"/>
      <c r="AN1116" s="2656"/>
      <c r="AO1116" s="2656"/>
      <c r="AP1116" s="2656"/>
      <c r="AQ1116" s="2656"/>
      <c r="AR1116" s="2656"/>
      <c r="AS1116" s="2656"/>
      <c r="AT1116" s="2656"/>
      <c r="AU1116" s="2656"/>
      <c r="AV1116" s="2656"/>
      <c r="AW1116" s="2656"/>
      <c r="AX1116" s="2656"/>
      <c r="AY1116" s="2656"/>
      <c r="AZ1116" s="2656"/>
      <c r="BA1116" s="2656"/>
      <c r="BB1116" s="2656"/>
      <c r="BC1116" s="2656"/>
      <c r="BD1116" s="2656"/>
      <c r="BE1116" s="2656"/>
      <c r="BF1116" s="2656"/>
      <c r="BG1116" s="2656"/>
      <c r="BH1116" s="2656"/>
      <c r="BI1116" s="2656"/>
    </row>
    <row r="1117" spans="1:61" ht="24.75" customHeight="1">
      <c r="A1117" s="3375"/>
      <c r="B1117" s="2646"/>
      <c r="C1117" s="2647"/>
      <c r="D1117" s="2646"/>
      <c r="E1117" s="3013"/>
      <c r="F1117" s="2655"/>
      <c r="G1117" s="2596"/>
      <c r="H1117" s="4138"/>
      <c r="I1117" s="3375"/>
      <c r="J1117" s="2648"/>
      <c r="K1117" s="3147"/>
      <c r="L1117" s="2785"/>
      <c r="M1117" s="2695"/>
      <c r="N1117" s="2649"/>
      <c r="O1117" s="2655"/>
      <c r="P1117" s="2651"/>
      <c r="Q1117" s="3440"/>
      <c r="R1117" s="3553"/>
      <c r="S1117" s="1407"/>
      <c r="T1117" s="3375"/>
      <c r="U1117" s="2648"/>
      <c r="V1117" s="3554"/>
      <c r="W1117" s="3150"/>
      <c r="X1117" s="2656"/>
      <c r="Y1117" s="2656"/>
      <c r="Z1117" s="2656"/>
      <c r="AA1117" s="2656"/>
      <c r="AB1117" s="2656"/>
      <c r="AC1117" s="2656"/>
      <c r="AD1117" s="2656"/>
      <c r="AE1117" s="2656"/>
      <c r="AF1117" s="2656"/>
      <c r="AG1117" s="2656"/>
      <c r="AH1117" s="2656"/>
      <c r="AI1117" s="2656"/>
      <c r="AJ1117" s="2656"/>
      <c r="AK1117" s="2656"/>
      <c r="AL1117" s="2656"/>
      <c r="AM1117" s="2656"/>
      <c r="AN1117" s="2656"/>
      <c r="AO1117" s="2656"/>
      <c r="AP1117" s="2656"/>
      <c r="AQ1117" s="2656"/>
      <c r="AR1117" s="2656"/>
      <c r="AS1117" s="2656"/>
      <c r="AT1117" s="2656"/>
      <c r="AU1117" s="2656"/>
      <c r="AV1117" s="2656"/>
      <c r="AW1117" s="2656"/>
      <c r="AX1117" s="2656"/>
      <c r="AY1117" s="2656"/>
      <c r="AZ1117" s="2656"/>
      <c r="BA1117" s="2656"/>
      <c r="BB1117" s="2656"/>
      <c r="BC1117" s="2656"/>
      <c r="BD1117" s="2656"/>
      <c r="BE1117" s="2656"/>
      <c r="BF1117" s="2656"/>
      <c r="BG1117" s="2656"/>
      <c r="BH1117" s="2656"/>
      <c r="BI1117" s="2656"/>
    </row>
    <row r="1118" spans="1:61" ht="24.75" customHeight="1">
      <c r="A1118" s="3375"/>
      <c r="B1118" s="2646"/>
      <c r="C1118" s="2647"/>
      <c r="D1118" s="2646"/>
      <c r="E1118" s="3013"/>
      <c r="F1118" s="2655"/>
      <c r="G1118" s="2596"/>
      <c r="H1118" s="4138"/>
      <c r="I1118" s="3375"/>
      <c r="J1118" s="2648"/>
      <c r="K1118" s="3147"/>
      <c r="L1118" s="2785"/>
      <c r="M1118" s="2695"/>
      <c r="N1118" s="2649"/>
      <c r="O1118" s="2655"/>
      <c r="P1118" s="2651"/>
      <c r="Q1118" s="3440"/>
      <c r="R1118" s="3553"/>
      <c r="S1118" s="1407"/>
      <c r="T1118" s="3375"/>
      <c r="U1118" s="2648"/>
      <c r="V1118" s="3554"/>
      <c r="W1118" s="3150"/>
      <c r="X1118" s="2656"/>
      <c r="Y1118" s="2656"/>
      <c r="Z1118" s="2656"/>
      <c r="AA1118" s="2656"/>
      <c r="AB1118" s="2656"/>
      <c r="AC1118" s="2656"/>
      <c r="AD1118" s="2656"/>
      <c r="AE1118" s="2656"/>
      <c r="AF1118" s="2656"/>
      <c r="AG1118" s="2656"/>
      <c r="AH1118" s="2656"/>
      <c r="AI1118" s="2656"/>
      <c r="AJ1118" s="2656"/>
      <c r="AK1118" s="2656"/>
      <c r="AL1118" s="2656"/>
      <c r="AM1118" s="2656"/>
      <c r="AN1118" s="2656"/>
      <c r="AO1118" s="2656"/>
      <c r="AP1118" s="2656"/>
      <c r="AQ1118" s="2656"/>
      <c r="AR1118" s="2656"/>
      <c r="AS1118" s="2656"/>
      <c r="AT1118" s="2656"/>
      <c r="AU1118" s="2656"/>
      <c r="AV1118" s="2656"/>
      <c r="AW1118" s="2656"/>
      <c r="AX1118" s="2656"/>
      <c r="AY1118" s="2656"/>
      <c r="AZ1118" s="2656"/>
      <c r="BA1118" s="2656"/>
      <c r="BB1118" s="2656"/>
      <c r="BC1118" s="2656"/>
      <c r="BD1118" s="2656"/>
      <c r="BE1118" s="2656"/>
      <c r="BF1118" s="2656"/>
      <c r="BG1118" s="2656"/>
      <c r="BH1118" s="2656"/>
      <c r="BI1118" s="2656"/>
    </row>
    <row r="1119" spans="1:61" ht="24.75" customHeight="1">
      <c r="A1119" s="3375"/>
      <c r="B1119" s="2646"/>
      <c r="C1119" s="2647"/>
      <c r="D1119" s="2646"/>
      <c r="E1119" s="3013"/>
      <c r="F1119" s="2655"/>
      <c r="G1119" s="2596"/>
      <c r="H1119" s="4138"/>
      <c r="I1119" s="3375"/>
      <c r="J1119" s="2648"/>
      <c r="K1119" s="3147"/>
      <c r="L1119" s="2785"/>
      <c r="M1119" s="2695"/>
      <c r="N1119" s="2649"/>
      <c r="O1119" s="2655"/>
      <c r="P1119" s="2651"/>
      <c r="Q1119" s="3440"/>
      <c r="R1119" s="3553"/>
      <c r="S1119" s="1407"/>
      <c r="T1119" s="3375"/>
      <c r="U1119" s="2648"/>
      <c r="V1119" s="3554"/>
      <c r="W1119" s="3150"/>
      <c r="X1119" s="2656"/>
      <c r="Y1119" s="2656"/>
      <c r="Z1119" s="2656"/>
      <c r="AA1119" s="2656"/>
      <c r="AB1119" s="2656"/>
      <c r="AC1119" s="2656"/>
      <c r="AD1119" s="2656"/>
      <c r="AE1119" s="2656"/>
      <c r="AF1119" s="2656"/>
      <c r="AG1119" s="2656"/>
      <c r="AH1119" s="2656"/>
      <c r="AI1119" s="2656"/>
      <c r="AJ1119" s="2656"/>
      <c r="AK1119" s="2656"/>
      <c r="AL1119" s="2656"/>
      <c r="AM1119" s="2656"/>
      <c r="AN1119" s="2656"/>
      <c r="AO1119" s="2656"/>
      <c r="AP1119" s="2656"/>
      <c r="AQ1119" s="2656"/>
      <c r="AR1119" s="2656"/>
      <c r="AS1119" s="2656"/>
      <c r="AT1119" s="2656"/>
      <c r="AU1119" s="2656"/>
      <c r="AV1119" s="2656"/>
      <c r="AW1119" s="2656"/>
      <c r="AX1119" s="2656"/>
      <c r="AY1119" s="2656"/>
      <c r="AZ1119" s="2656"/>
      <c r="BA1119" s="2656"/>
      <c r="BB1119" s="2656"/>
      <c r="BC1119" s="2656"/>
      <c r="BD1119" s="2656"/>
      <c r="BE1119" s="2656"/>
      <c r="BF1119" s="2656"/>
      <c r="BG1119" s="2656"/>
      <c r="BH1119" s="2656"/>
      <c r="BI1119" s="2656"/>
    </row>
    <row r="1120" spans="1:61" ht="24.75" customHeight="1">
      <c r="A1120" s="3375"/>
      <c r="B1120" s="2646"/>
      <c r="C1120" s="2647"/>
      <c r="D1120" s="2646"/>
      <c r="E1120" s="3013"/>
      <c r="F1120" s="2655"/>
      <c r="G1120" s="2596"/>
      <c r="H1120" s="4138"/>
      <c r="I1120" s="3375"/>
      <c r="J1120" s="2648"/>
      <c r="K1120" s="3147"/>
      <c r="L1120" s="2785"/>
      <c r="M1120" s="2695"/>
      <c r="N1120" s="2649"/>
      <c r="O1120" s="2655"/>
      <c r="P1120" s="2651"/>
      <c r="Q1120" s="3440"/>
      <c r="R1120" s="3553"/>
      <c r="S1120" s="1407"/>
      <c r="T1120" s="3375"/>
      <c r="U1120" s="2648"/>
      <c r="V1120" s="3554"/>
      <c r="W1120" s="3150"/>
      <c r="X1120" s="2656"/>
      <c r="Y1120" s="2656"/>
      <c r="Z1120" s="2656"/>
      <c r="AA1120" s="2656"/>
      <c r="AB1120" s="2656"/>
      <c r="AC1120" s="2656"/>
      <c r="AD1120" s="2656"/>
      <c r="AE1120" s="2656"/>
      <c r="AF1120" s="2656"/>
      <c r="AG1120" s="2656"/>
      <c r="AH1120" s="2656"/>
      <c r="AI1120" s="2656"/>
      <c r="AJ1120" s="2656"/>
      <c r="AK1120" s="2656"/>
      <c r="AL1120" s="2656"/>
      <c r="AM1120" s="2656"/>
      <c r="AN1120" s="2656"/>
      <c r="AO1120" s="2656"/>
      <c r="AP1120" s="2656"/>
      <c r="AQ1120" s="2656"/>
      <c r="AR1120" s="2656"/>
      <c r="AS1120" s="2656"/>
      <c r="AT1120" s="2656"/>
      <c r="AU1120" s="2656"/>
      <c r="AV1120" s="2656"/>
      <c r="AW1120" s="2656"/>
      <c r="AX1120" s="2656"/>
      <c r="AY1120" s="2656"/>
      <c r="AZ1120" s="2656"/>
      <c r="BA1120" s="2656"/>
      <c r="BB1120" s="2656"/>
      <c r="BC1120" s="2656"/>
      <c r="BD1120" s="2656"/>
      <c r="BE1120" s="2656"/>
      <c r="BF1120" s="2656"/>
      <c r="BG1120" s="2656"/>
      <c r="BH1120" s="2656"/>
      <c r="BI1120" s="2656"/>
    </row>
    <row r="1121" spans="1:61" ht="24.75" customHeight="1">
      <c r="A1121" s="3375"/>
      <c r="B1121" s="2646"/>
      <c r="C1121" s="2647"/>
      <c r="D1121" s="2646"/>
      <c r="E1121" s="3013"/>
      <c r="F1121" s="2655"/>
      <c r="G1121" s="2596"/>
      <c r="H1121" s="4138"/>
      <c r="I1121" s="3375"/>
      <c r="J1121" s="2648"/>
      <c r="K1121" s="3147"/>
      <c r="L1121" s="2785"/>
      <c r="M1121" s="2695"/>
      <c r="N1121" s="2649"/>
      <c r="O1121" s="2655"/>
      <c r="P1121" s="2651"/>
      <c r="Q1121" s="3440"/>
      <c r="R1121" s="3553"/>
      <c r="S1121" s="1407"/>
      <c r="T1121" s="3375"/>
      <c r="U1121" s="2648"/>
      <c r="V1121" s="3554"/>
      <c r="W1121" s="3150"/>
      <c r="X1121" s="2656"/>
      <c r="Y1121" s="2656"/>
      <c r="Z1121" s="2656"/>
      <c r="AA1121" s="2656"/>
      <c r="AB1121" s="2656"/>
      <c r="AC1121" s="2656"/>
      <c r="AD1121" s="2656"/>
      <c r="AE1121" s="2656"/>
      <c r="AF1121" s="2656"/>
      <c r="AG1121" s="2656"/>
      <c r="AH1121" s="2656"/>
      <c r="AI1121" s="2656"/>
      <c r="AJ1121" s="2656"/>
      <c r="AK1121" s="2656"/>
      <c r="AL1121" s="2656"/>
      <c r="AM1121" s="2656"/>
      <c r="AN1121" s="2656"/>
      <c r="AO1121" s="2656"/>
      <c r="AP1121" s="2656"/>
      <c r="AQ1121" s="2656"/>
      <c r="AR1121" s="2656"/>
      <c r="AS1121" s="2656"/>
      <c r="AT1121" s="2656"/>
      <c r="AU1121" s="2656"/>
      <c r="AV1121" s="2656"/>
      <c r="AW1121" s="2656"/>
      <c r="AX1121" s="2656"/>
      <c r="AY1121" s="2656"/>
      <c r="AZ1121" s="2656"/>
      <c r="BA1121" s="2656"/>
      <c r="BB1121" s="2656"/>
      <c r="BC1121" s="2656"/>
      <c r="BD1121" s="2656"/>
      <c r="BE1121" s="2656"/>
      <c r="BF1121" s="2656"/>
      <c r="BG1121" s="2656"/>
      <c r="BH1121" s="2656"/>
      <c r="BI1121" s="2656"/>
    </row>
    <row r="1122" spans="1:61" ht="24.75" customHeight="1">
      <c r="A1122" s="3375"/>
      <c r="B1122" s="2646"/>
      <c r="C1122" s="2647"/>
      <c r="D1122" s="2646"/>
      <c r="E1122" s="3013"/>
      <c r="F1122" s="2655"/>
      <c r="G1122" s="2596"/>
      <c r="H1122" s="4138"/>
      <c r="I1122" s="3375"/>
      <c r="J1122" s="2648"/>
      <c r="K1122" s="3147"/>
      <c r="L1122" s="2785"/>
      <c r="M1122" s="2695"/>
      <c r="N1122" s="2649"/>
      <c r="O1122" s="2655"/>
      <c r="P1122" s="2651"/>
      <c r="Q1122" s="3440"/>
      <c r="R1122" s="3553"/>
      <c r="S1122" s="1407"/>
      <c r="T1122" s="3375"/>
      <c r="U1122" s="2648"/>
      <c r="V1122" s="3554"/>
      <c r="W1122" s="3150"/>
      <c r="X1122" s="2656"/>
      <c r="Y1122" s="2656"/>
      <c r="Z1122" s="2656"/>
      <c r="AA1122" s="2656"/>
      <c r="AB1122" s="2656"/>
      <c r="AC1122" s="2656"/>
      <c r="AD1122" s="2656"/>
      <c r="AE1122" s="2656"/>
      <c r="AF1122" s="2656"/>
      <c r="AG1122" s="2656"/>
      <c r="AH1122" s="2656"/>
      <c r="AI1122" s="2656"/>
      <c r="AJ1122" s="2656"/>
      <c r="AK1122" s="2656"/>
      <c r="AL1122" s="2656"/>
      <c r="AM1122" s="2656"/>
      <c r="AN1122" s="2656"/>
      <c r="AO1122" s="2656"/>
      <c r="AP1122" s="2656"/>
      <c r="AQ1122" s="2656"/>
      <c r="AR1122" s="2656"/>
      <c r="AS1122" s="2656"/>
      <c r="AT1122" s="2656"/>
      <c r="AU1122" s="2656"/>
      <c r="AV1122" s="2656"/>
      <c r="AW1122" s="2656"/>
      <c r="AX1122" s="2656"/>
      <c r="AY1122" s="2656"/>
      <c r="AZ1122" s="2656"/>
      <c r="BA1122" s="2656"/>
      <c r="BB1122" s="2656"/>
      <c r="BC1122" s="2656"/>
      <c r="BD1122" s="2656"/>
      <c r="BE1122" s="2656"/>
      <c r="BF1122" s="2656"/>
      <c r="BG1122" s="2656"/>
      <c r="BH1122" s="2656"/>
      <c r="BI1122" s="2656"/>
    </row>
    <row r="1123" spans="1:61" ht="24.75" customHeight="1">
      <c r="A1123" s="3375"/>
      <c r="B1123" s="2646"/>
      <c r="C1123" s="2647"/>
      <c r="D1123" s="2646"/>
      <c r="E1123" s="3013"/>
      <c r="F1123" s="2655"/>
      <c r="G1123" s="2596"/>
      <c r="H1123" s="4138"/>
      <c r="I1123" s="3375"/>
      <c r="J1123" s="2648"/>
      <c r="K1123" s="3147"/>
      <c r="L1123" s="2785"/>
      <c r="M1123" s="2695"/>
      <c r="N1123" s="2649"/>
      <c r="O1123" s="2655"/>
      <c r="P1123" s="2651"/>
      <c r="Q1123" s="3440"/>
      <c r="R1123" s="3553"/>
      <c r="S1123" s="1407"/>
      <c r="T1123" s="3375"/>
      <c r="U1123" s="2648"/>
      <c r="V1123" s="3554"/>
      <c r="W1123" s="3150"/>
      <c r="X1123" s="2656"/>
      <c r="Y1123" s="2656"/>
      <c r="Z1123" s="2656"/>
      <c r="AA1123" s="2656"/>
      <c r="AB1123" s="2656"/>
      <c r="AC1123" s="2656"/>
      <c r="AD1123" s="2656"/>
      <c r="AE1123" s="2656"/>
      <c r="AF1123" s="2656"/>
      <c r="AG1123" s="2656"/>
      <c r="AH1123" s="2656"/>
      <c r="AI1123" s="2656"/>
      <c r="AJ1123" s="2656"/>
      <c r="AK1123" s="2656"/>
      <c r="AL1123" s="2656"/>
      <c r="AM1123" s="2656"/>
      <c r="AN1123" s="2656"/>
      <c r="AO1123" s="2656"/>
      <c r="AP1123" s="2656"/>
      <c r="AQ1123" s="2656"/>
      <c r="AR1123" s="2656"/>
      <c r="AS1123" s="2656"/>
      <c r="AT1123" s="2656"/>
      <c r="AU1123" s="2656"/>
      <c r="AV1123" s="2656"/>
      <c r="AW1123" s="2656"/>
      <c r="AX1123" s="2656"/>
      <c r="AY1123" s="2656"/>
      <c r="AZ1123" s="2656"/>
      <c r="BA1123" s="2656"/>
      <c r="BB1123" s="2656"/>
      <c r="BC1123" s="2656"/>
      <c r="BD1123" s="2656"/>
      <c r="BE1123" s="2656"/>
      <c r="BF1123" s="2656"/>
      <c r="BG1123" s="2656"/>
      <c r="BH1123" s="2656"/>
      <c r="BI1123" s="2656"/>
    </row>
    <row r="1124" spans="1:61" ht="24.75" customHeight="1">
      <c r="A1124" s="3375"/>
      <c r="B1124" s="2646"/>
      <c r="C1124" s="2647"/>
      <c r="D1124" s="2646"/>
      <c r="E1124" s="3013"/>
      <c r="F1124" s="2655"/>
      <c r="G1124" s="2596"/>
      <c r="H1124" s="4138"/>
      <c r="I1124" s="3375"/>
      <c r="J1124" s="2648"/>
      <c r="K1124" s="3147"/>
      <c r="L1124" s="2785"/>
      <c r="M1124" s="2695"/>
      <c r="N1124" s="2649"/>
      <c r="O1124" s="2655"/>
      <c r="P1124" s="2651"/>
      <c r="Q1124" s="3440"/>
      <c r="R1124" s="3553"/>
      <c r="S1124" s="1407"/>
      <c r="T1124" s="3375"/>
      <c r="U1124" s="2648"/>
      <c r="V1124" s="3554"/>
      <c r="W1124" s="3150"/>
      <c r="X1124" s="2656"/>
      <c r="Y1124" s="2656"/>
      <c r="Z1124" s="2656"/>
      <c r="AA1124" s="2656"/>
      <c r="AB1124" s="2656"/>
      <c r="AC1124" s="2656"/>
      <c r="AD1124" s="2656"/>
      <c r="AE1124" s="2656"/>
      <c r="AF1124" s="2656"/>
      <c r="AG1124" s="2656"/>
      <c r="AH1124" s="2656"/>
      <c r="AI1124" s="2656"/>
      <c r="AJ1124" s="2656"/>
      <c r="AK1124" s="2656"/>
      <c r="AL1124" s="2656"/>
      <c r="AM1124" s="2656"/>
      <c r="AN1124" s="2656"/>
      <c r="AO1124" s="2656"/>
      <c r="AP1124" s="2656"/>
      <c r="AQ1124" s="2656"/>
      <c r="AR1124" s="2656"/>
      <c r="AS1124" s="2656"/>
      <c r="AT1124" s="2656"/>
      <c r="AU1124" s="2656"/>
      <c r="AV1124" s="2656"/>
      <c r="AW1124" s="2656"/>
      <c r="AX1124" s="2656"/>
      <c r="AY1124" s="2656"/>
      <c r="AZ1124" s="2656"/>
      <c r="BA1124" s="2656"/>
      <c r="BB1124" s="2656"/>
      <c r="BC1124" s="2656"/>
      <c r="BD1124" s="2656"/>
      <c r="BE1124" s="2656"/>
      <c r="BF1124" s="2656"/>
      <c r="BG1124" s="2656"/>
      <c r="BH1124" s="2656"/>
      <c r="BI1124" s="2656"/>
    </row>
    <row r="1125" spans="1:61" ht="24.75" customHeight="1">
      <c r="A1125" s="3375"/>
      <c r="B1125" s="2646"/>
      <c r="C1125" s="2647"/>
      <c r="D1125" s="2646"/>
      <c r="E1125" s="3013"/>
      <c r="F1125" s="2655"/>
      <c r="G1125" s="2596"/>
      <c r="H1125" s="4138"/>
      <c r="I1125" s="3375"/>
      <c r="J1125" s="2648"/>
      <c r="K1125" s="3147"/>
      <c r="L1125" s="2785"/>
      <c r="M1125" s="2695"/>
      <c r="N1125" s="2649"/>
      <c r="O1125" s="2655"/>
      <c r="P1125" s="2651"/>
      <c r="Q1125" s="3440"/>
      <c r="R1125" s="3553"/>
      <c r="S1125" s="1407"/>
      <c r="T1125" s="3375"/>
      <c r="U1125" s="2648"/>
      <c r="V1125" s="3554"/>
      <c r="W1125" s="3150"/>
      <c r="X1125" s="2656"/>
      <c r="Y1125" s="2656"/>
      <c r="Z1125" s="2656"/>
      <c r="AA1125" s="2656"/>
      <c r="AB1125" s="2656"/>
      <c r="AC1125" s="2656"/>
      <c r="AD1125" s="2656"/>
      <c r="AE1125" s="2656"/>
      <c r="AF1125" s="2656"/>
      <c r="AG1125" s="2656"/>
      <c r="AH1125" s="2656"/>
      <c r="AI1125" s="2656"/>
      <c r="AJ1125" s="2656"/>
      <c r="AK1125" s="2656"/>
      <c r="AL1125" s="2656"/>
      <c r="AM1125" s="2656"/>
      <c r="AN1125" s="2656"/>
      <c r="AO1125" s="2656"/>
      <c r="AP1125" s="2656"/>
      <c r="AQ1125" s="2656"/>
      <c r="AR1125" s="2656"/>
      <c r="AS1125" s="2656"/>
      <c r="AT1125" s="2656"/>
      <c r="AU1125" s="2656"/>
      <c r="AV1125" s="2656"/>
      <c r="AW1125" s="2656"/>
      <c r="AX1125" s="2656"/>
      <c r="AY1125" s="2656"/>
      <c r="AZ1125" s="2656"/>
      <c r="BA1125" s="2656"/>
      <c r="BB1125" s="2656"/>
      <c r="BC1125" s="2656"/>
      <c r="BD1125" s="2656"/>
      <c r="BE1125" s="2656"/>
      <c r="BF1125" s="2656"/>
      <c r="BG1125" s="2656"/>
      <c r="BH1125" s="2656"/>
      <c r="BI1125" s="2656"/>
    </row>
    <row r="1126" spans="1:61" ht="24.75" customHeight="1">
      <c r="A1126" s="3375"/>
      <c r="B1126" s="2646"/>
      <c r="C1126" s="2647"/>
      <c r="D1126" s="2646"/>
      <c r="E1126" s="3013"/>
      <c r="F1126" s="2655"/>
      <c r="G1126" s="2596"/>
      <c r="H1126" s="4138"/>
      <c r="I1126" s="3375"/>
      <c r="J1126" s="2648"/>
      <c r="K1126" s="3147"/>
      <c r="L1126" s="2785"/>
      <c r="M1126" s="2695"/>
      <c r="N1126" s="2649"/>
      <c r="O1126" s="2655"/>
      <c r="P1126" s="2651"/>
      <c r="Q1126" s="3440"/>
      <c r="R1126" s="3553"/>
      <c r="S1126" s="1407"/>
      <c r="T1126" s="3375"/>
      <c r="U1126" s="2648"/>
      <c r="V1126" s="3554"/>
      <c r="W1126" s="3150"/>
      <c r="X1126" s="2656"/>
      <c r="Y1126" s="2656"/>
      <c r="Z1126" s="2656"/>
      <c r="AA1126" s="2656"/>
      <c r="AB1126" s="2656"/>
      <c r="AC1126" s="2656"/>
      <c r="AD1126" s="2656"/>
      <c r="AE1126" s="2656"/>
      <c r="AF1126" s="2656"/>
      <c r="AG1126" s="2656"/>
      <c r="AH1126" s="2656"/>
      <c r="AI1126" s="2656"/>
      <c r="AJ1126" s="2656"/>
      <c r="AK1126" s="2656"/>
      <c r="AL1126" s="2656"/>
      <c r="AM1126" s="2656"/>
      <c r="AN1126" s="2656"/>
      <c r="AO1126" s="2656"/>
      <c r="AP1126" s="2656"/>
      <c r="AQ1126" s="2656"/>
      <c r="AR1126" s="2656"/>
      <c r="AS1126" s="2656"/>
      <c r="AT1126" s="2656"/>
      <c r="AU1126" s="2656"/>
      <c r="AV1126" s="2656"/>
      <c r="AW1126" s="2656"/>
      <c r="AX1126" s="2656"/>
      <c r="AY1126" s="2656"/>
      <c r="AZ1126" s="2656"/>
      <c r="BA1126" s="2656"/>
      <c r="BB1126" s="2656"/>
      <c r="BC1126" s="2656"/>
      <c r="BD1126" s="2656"/>
      <c r="BE1126" s="2656"/>
      <c r="BF1126" s="2656"/>
      <c r="BG1126" s="2656"/>
      <c r="BH1126" s="2656"/>
      <c r="BI1126" s="2656"/>
    </row>
    <row r="1127" spans="1:61" ht="24.75" customHeight="1">
      <c r="A1127" s="3375"/>
      <c r="B1127" s="2646"/>
      <c r="C1127" s="2647"/>
      <c r="D1127" s="2646"/>
      <c r="E1127" s="3013"/>
      <c r="F1127" s="2655"/>
      <c r="G1127" s="2596"/>
      <c r="H1127" s="4138"/>
      <c r="I1127" s="3375"/>
      <c r="J1127" s="2648"/>
      <c r="K1127" s="3147"/>
      <c r="L1127" s="2785"/>
      <c r="M1127" s="2695"/>
      <c r="N1127" s="2649"/>
      <c r="O1127" s="2655"/>
      <c r="P1127" s="2651"/>
      <c r="Q1127" s="3440"/>
      <c r="R1127" s="3553"/>
      <c r="S1127" s="1407"/>
      <c r="T1127" s="3375"/>
      <c r="U1127" s="2648"/>
      <c r="V1127" s="3554"/>
      <c r="W1127" s="3150"/>
      <c r="X1127" s="2656"/>
      <c r="Y1127" s="2656"/>
      <c r="Z1127" s="2656"/>
      <c r="AA1127" s="2656"/>
      <c r="AB1127" s="2656"/>
      <c r="AC1127" s="2656"/>
      <c r="AD1127" s="2656"/>
      <c r="AE1127" s="2656"/>
      <c r="AF1127" s="2656"/>
      <c r="AG1127" s="2656"/>
      <c r="AH1127" s="2656"/>
      <c r="AI1127" s="2656"/>
      <c r="AJ1127" s="2656"/>
      <c r="AK1127" s="2656"/>
      <c r="AL1127" s="2656"/>
      <c r="AM1127" s="2656"/>
      <c r="AN1127" s="2656"/>
      <c r="AO1127" s="2656"/>
      <c r="AP1127" s="2656"/>
      <c r="AQ1127" s="2656"/>
      <c r="AR1127" s="2656"/>
      <c r="AS1127" s="2656"/>
      <c r="AT1127" s="2656"/>
      <c r="AU1127" s="2656"/>
      <c r="AV1127" s="2656"/>
      <c r="AW1127" s="2656"/>
      <c r="AX1127" s="2656"/>
      <c r="AY1127" s="2656"/>
      <c r="AZ1127" s="2656"/>
      <c r="BA1127" s="2656"/>
      <c r="BB1127" s="2656"/>
      <c r="BC1127" s="2656"/>
      <c r="BD1127" s="2656"/>
      <c r="BE1127" s="2656"/>
      <c r="BF1127" s="2656"/>
      <c r="BG1127" s="2656"/>
      <c r="BH1127" s="2656"/>
      <c r="BI1127" s="2656"/>
    </row>
    <row r="1128" spans="1:61" ht="24.75" customHeight="1">
      <c r="A1128" s="3375"/>
      <c r="B1128" s="2646"/>
      <c r="C1128" s="2647"/>
      <c r="D1128" s="2646"/>
      <c r="E1128" s="3013"/>
      <c r="F1128" s="2655"/>
      <c r="G1128" s="2596"/>
      <c r="H1128" s="4138"/>
      <c r="I1128" s="3375"/>
      <c r="J1128" s="2648"/>
      <c r="K1128" s="3147"/>
      <c r="L1128" s="2785"/>
      <c r="M1128" s="2695"/>
      <c r="N1128" s="2649"/>
      <c r="O1128" s="2655"/>
      <c r="P1128" s="2651"/>
      <c r="Q1128" s="3440"/>
      <c r="R1128" s="3553"/>
      <c r="S1128" s="1407"/>
      <c r="T1128" s="3375"/>
      <c r="U1128" s="2648"/>
      <c r="V1128" s="3554"/>
      <c r="W1128" s="3150"/>
      <c r="X1128" s="2656"/>
      <c r="Y1128" s="2656"/>
      <c r="Z1128" s="2656"/>
      <c r="AA1128" s="2656"/>
      <c r="AB1128" s="2656"/>
      <c r="AC1128" s="2656"/>
      <c r="AD1128" s="2656"/>
      <c r="AE1128" s="2656"/>
      <c r="AF1128" s="2656"/>
      <c r="AG1128" s="2656"/>
      <c r="AH1128" s="2656"/>
      <c r="AI1128" s="2656"/>
      <c r="AJ1128" s="2656"/>
      <c r="AK1128" s="2656"/>
      <c r="AL1128" s="2656"/>
      <c r="AM1128" s="2656"/>
      <c r="AN1128" s="2656"/>
      <c r="AO1128" s="2656"/>
      <c r="AP1128" s="2656"/>
      <c r="AQ1128" s="2656"/>
      <c r="AR1128" s="2656"/>
      <c r="AS1128" s="2656"/>
      <c r="AT1128" s="2656"/>
      <c r="AU1128" s="2656"/>
      <c r="AV1128" s="2656"/>
      <c r="AW1128" s="2656"/>
      <c r="AX1128" s="2656"/>
      <c r="AY1128" s="2656"/>
      <c r="AZ1128" s="2656"/>
      <c r="BA1128" s="2656"/>
      <c r="BB1128" s="2656"/>
      <c r="BC1128" s="2656"/>
      <c r="BD1128" s="2656"/>
      <c r="BE1128" s="2656"/>
      <c r="BF1128" s="2656"/>
      <c r="BG1128" s="2656"/>
      <c r="BH1128" s="2656"/>
      <c r="BI1128" s="2656"/>
    </row>
    <row r="1129" spans="1:61" ht="24.75" customHeight="1">
      <c r="A1129" s="3375"/>
      <c r="B1129" s="2646"/>
      <c r="C1129" s="2647"/>
      <c r="D1129" s="2646"/>
      <c r="E1129" s="3013"/>
      <c r="F1129" s="2655"/>
      <c r="G1129" s="2596"/>
      <c r="H1129" s="4138"/>
      <c r="I1129" s="3375"/>
      <c r="J1129" s="2648"/>
      <c r="K1129" s="3147"/>
      <c r="L1129" s="2785"/>
      <c r="M1129" s="2695"/>
      <c r="N1129" s="2649"/>
      <c r="O1129" s="2655"/>
      <c r="P1129" s="2651"/>
      <c r="Q1129" s="3440"/>
      <c r="R1129" s="3553"/>
      <c r="S1129" s="1407"/>
      <c r="T1129" s="3375"/>
      <c r="U1129" s="2648"/>
      <c r="V1129" s="3554"/>
      <c r="W1129" s="3150"/>
      <c r="X1129" s="2656"/>
      <c r="Y1129" s="2656"/>
      <c r="Z1129" s="2656"/>
      <c r="AA1129" s="2656"/>
      <c r="AB1129" s="2656"/>
      <c r="AC1129" s="2656"/>
      <c r="AD1129" s="2656"/>
      <c r="AE1129" s="2656"/>
      <c r="AF1129" s="2656"/>
      <c r="AG1129" s="2656"/>
      <c r="AH1129" s="2656"/>
      <c r="AI1129" s="2656"/>
      <c r="AJ1129" s="2656"/>
      <c r="AK1129" s="2656"/>
      <c r="AL1129" s="2656"/>
      <c r="AM1129" s="2656"/>
      <c r="AN1129" s="2656"/>
      <c r="AO1129" s="2656"/>
      <c r="AP1129" s="2656"/>
      <c r="AQ1129" s="2656"/>
      <c r="AR1129" s="2656"/>
      <c r="AS1129" s="2656"/>
      <c r="AT1129" s="2656"/>
      <c r="AU1129" s="2656"/>
      <c r="AV1129" s="2656"/>
      <c r="AW1129" s="2656"/>
      <c r="AX1129" s="2656"/>
      <c r="AY1129" s="2656"/>
      <c r="AZ1129" s="2656"/>
      <c r="BA1129" s="2656"/>
      <c r="BB1129" s="2656"/>
      <c r="BC1129" s="2656"/>
      <c r="BD1129" s="2656"/>
      <c r="BE1129" s="2656"/>
      <c r="BF1129" s="2656"/>
      <c r="BG1129" s="2656"/>
      <c r="BH1129" s="2656"/>
      <c r="BI1129" s="2656"/>
    </row>
    <row r="1130" spans="1:61" ht="24.75" customHeight="1">
      <c r="A1130" s="3375"/>
      <c r="B1130" s="2646"/>
      <c r="C1130" s="2647"/>
      <c r="D1130" s="2646"/>
      <c r="E1130" s="3013"/>
      <c r="F1130" s="2655"/>
      <c r="G1130" s="2596"/>
      <c r="H1130" s="4138"/>
      <c r="I1130" s="3375"/>
      <c r="J1130" s="2648"/>
      <c r="K1130" s="3147"/>
      <c r="L1130" s="2785"/>
      <c r="M1130" s="2695"/>
      <c r="N1130" s="2649"/>
      <c r="O1130" s="2655"/>
      <c r="P1130" s="2651"/>
      <c r="Q1130" s="3440"/>
      <c r="R1130" s="3553"/>
      <c r="S1130" s="1407"/>
      <c r="T1130" s="3375"/>
      <c r="U1130" s="2648"/>
      <c r="V1130" s="3554"/>
      <c r="W1130" s="3150"/>
      <c r="X1130" s="2656"/>
      <c r="Y1130" s="2656"/>
      <c r="Z1130" s="2656"/>
      <c r="AA1130" s="2656"/>
      <c r="AB1130" s="2656"/>
      <c r="AC1130" s="2656"/>
      <c r="AD1130" s="2656"/>
      <c r="AE1130" s="2656"/>
      <c r="AF1130" s="2656"/>
      <c r="AG1130" s="2656"/>
      <c r="AH1130" s="2656"/>
      <c r="AI1130" s="2656"/>
      <c r="AJ1130" s="2656"/>
      <c r="AK1130" s="2656"/>
      <c r="AL1130" s="2656"/>
      <c r="AM1130" s="2656"/>
      <c r="AN1130" s="2656"/>
      <c r="AO1130" s="2656"/>
      <c r="AP1130" s="2656"/>
      <c r="AQ1130" s="2656"/>
      <c r="AR1130" s="2656"/>
      <c r="AS1130" s="2656"/>
      <c r="AT1130" s="2656"/>
      <c r="AU1130" s="2656"/>
      <c r="AV1130" s="2656"/>
      <c r="AW1130" s="2656"/>
      <c r="AX1130" s="2656"/>
      <c r="AY1130" s="2656"/>
      <c r="AZ1130" s="2656"/>
      <c r="BA1130" s="2656"/>
      <c r="BB1130" s="2656"/>
      <c r="BC1130" s="2656"/>
      <c r="BD1130" s="2656"/>
      <c r="BE1130" s="2656"/>
      <c r="BF1130" s="2656"/>
      <c r="BG1130" s="2656"/>
      <c r="BH1130" s="2656"/>
      <c r="BI1130" s="2656"/>
    </row>
    <row r="1131" spans="1:61" ht="24.75" customHeight="1">
      <c r="A1131" s="3375"/>
      <c r="B1131" s="2646"/>
      <c r="C1131" s="2647"/>
      <c r="D1131" s="2646"/>
      <c r="E1131" s="3013"/>
      <c r="F1131" s="2655"/>
      <c r="G1131" s="2596"/>
      <c r="H1131" s="4138"/>
      <c r="I1131" s="3375"/>
      <c r="J1131" s="2648"/>
      <c r="K1131" s="3147"/>
      <c r="L1131" s="2785"/>
      <c r="M1131" s="2695"/>
      <c r="N1131" s="2649"/>
      <c r="O1131" s="2655"/>
      <c r="P1131" s="2651"/>
      <c r="Q1131" s="3440"/>
      <c r="R1131" s="3553"/>
      <c r="S1131" s="1407"/>
      <c r="T1131" s="3375"/>
      <c r="U1131" s="2648"/>
      <c r="V1131" s="3554"/>
      <c r="W1131" s="3150"/>
      <c r="X1131" s="2656"/>
      <c r="Y1131" s="2656"/>
      <c r="Z1131" s="2656"/>
      <c r="AA1131" s="2656"/>
      <c r="AB1131" s="2656"/>
      <c r="AC1131" s="2656"/>
      <c r="AD1131" s="2656"/>
      <c r="AE1131" s="2656"/>
      <c r="AF1131" s="2656"/>
      <c r="AG1131" s="2656"/>
      <c r="AH1131" s="2656"/>
      <c r="AI1131" s="2656"/>
      <c r="AJ1131" s="2656"/>
      <c r="AK1131" s="2656"/>
      <c r="AL1131" s="2656"/>
      <c r="AM1131" s="2656"/>
      <c r="AN1131" s="2656"/>
      <c r="AO1131" s="2656"/>
      <c r="AP1131" s="2656"/>
      <c r="AQ1131" s="2656"/>
      <c r="AR1131" s="2656"/>
      <c r="AS1131" s="2656"/>
      <c r="AT1131" s="2656"/>
      <c r="AU1131" s="2656"/>
      <c r="AV1131" s="2656"/>
      <c r="AW1131" s="2656"/>
      <c r="AX1131" s="2656"/>
      <c r="AY1131" s="2656"/>
      <c r="AZ1131" s="2656"/>
      <c r="BA1131" s="2656"/>
      <c r="BB1131" s="2656"/>
      <c r="BC1131" s="2656"/>
      <c r="BD1131" s="2656"/>
      <c r="BE1131" s="2656"/>
      <c r="BF1131" s="2656"/>
      <c r="BG1131" s="2656"/>
      <c r="BH1131" s="2656"/>
      <c r="BI1131" s="2656"/>
    </row>
    <row r="1132" spans="1:61" ht="24.75" customHeight="1">
      <c r="A1132" s="3375"/>
      <c r="B1132" s="2646"/>
      <c r="C1132" s="2647"/>
      <c r="D1132" s="2646"/>
      <c r="E1132" s="3013"/>
      <c r="F1132" s="2655"/>
      <c r="G1132" s="2596"/>
      <c r="H1132" s="4138"/>
      <c r="I1132" s="3375"/>
      <c r="J1132" s="2648"/>
      <c r="K1132" s="3147"/>
      <c r="L1132" s="2785"/>
      <c r="M1132" s="2695"/>
      <c r="N1132" s="2649"/>
      <c r="O1132" s="2655"/>
      <c r="P1132" s="2651"/>
      <c r="Q1132" s="3440"/>
      <c r="R1132" s="3553"/>
      <c r="S1132" s="1407"/>
      <c r="T1132" s="3375"/>
      <c r="U1132" s="2648"/>
      <c r="V1132" s="3554"/>
      <c r="W1132" s="3150"/>
      <c r="X1132" s="2656"/>
      <c r="Y1132" s="2656"/>
      <c r="Z1132" s="2656"/>
      <c r="AA1132" s="2656"/>
      <c r="AB1132" s="2656"/>
      <c r="AC1132" s="2656"/>
      <c r="AD1132" s="2656"/>
      <c r="AE1132" s="2656"/>
      <c r="AF1132" s="2656"/>
      <c r="AG1132" s="2656"/>
      <c r="AH1132" s="2656"/>
      <c r="AI1132" s="2656"/>
      <c r="AJ1132" s="2656"/>
      <c r="AK1132" s="2656"/>
      <c r="AL1132" s="2656"/>
      <c r="AM1132" s="2656"/>
      <c r="AN1132" s="2656"/>
      <c r="AO1132" s="2656"/>
      <c r="AP1132" s="2656"/>
      <c r="AQ1132" s="2656"/>
      <c r="AR1132" s="2656"/>
      <c r="AS1132" s="2656"/>
      <c r="AT1132" s="2656"/>
      <c r="AU1132" s="2656"/>
      <c r="AV1132" s="2656"/>
      <c r="AW1132" s="2656"/>
      <c r="AX1132" s="2656"/>
      <c r="AY1132" s="2656"/>
      <c r="AZ1132" s="2656"/>
      <c r="BA1132" s="2656"/>
      <c r="BB1132" s="2656"/>
      <c r="BC1132" s="2656"/>
      <c r="BD1132" s="2656"/>
      <c r="BE1132" s="2656"/>
      <c r="BF1132" s="2656"/>
      <c r="BG1132" s="2656"/>
      <c r="BH1132" s="2656"/>
      <c r="BI1132" s="2656"/>
    </row>
    <row r="1133" spans="1:61" ht="24.75" customHeight="1">
      <c r="A1133" s="3375"/>
      <c r="B1133" s="2646"/>
      <c r="C1133" s="2647"/>
      <c r="D1133" s="2646"/>
      <c r="E1133" s="3013"/>
      <c r="F1133" s="2655"/>
      <c r="G1133" s="2596"/>
      <c r="H1133" s="4138"/>
      <c r="I1133" s="3375"/>
      <c r="J1133" s="2648"/>
      <c r="K1133" s="3147"/>
      <c r="L1133" s="2785"/>
      <c r="M1133" s="2695"/>
      <c r="N1133" s="2649"/>
      <c r="O1133" s="2655"/>
      <c r="P1133" s="2651"/>
      <c r="Q1133" s="3440"/>
      <c r="R1133" s="3553"/>
      <c r="S1133" s="1407"/>
      <c r="T1133" s="3375"/>
      <c r="U1133" s="2648"/>
      <c r="V1133" s="3554"/>
      <c r="W1133" s="3150"/>
      <c r="X1133" s="2656"/>
      <c r="Y1133" s="2656"/>
      <c r="Z1133" s="2656"/>
      <c r="AA1133" s="2656"/>
      <c r="AB1133" s="2656"/>
      <c r="AC1133" s="2656"/>
      <c r="AD1133" s="2656"/>
      <c r="AE1133" s="2656"/>
      <c r="AF1133" s="2656"/>
      <c r="AG1133" s="2656"/>
      <c r="AH1133" s="2656"/>
      <c r="AI1133" s="2656"/>
      <c r="AJ1133" s="2656"/>
      <c r="AK1133" s="2656"/>
      <c r="AL1133" s="2656"/>
      <c r="AM1133" s="2656"/>
      <c r="AN1133" s="2656"/>
      <c r="AO1133" s="2656"/>
      <c r="AP1133" s="2656"/>
      <c r="AQ1133" s="2656"/>
      <c r="AR1133" s="2656"/>
      <c r="AS1133" s="2656"/>
      <c r="AT1133" s="2656"/>
      <c r="AU1133" s="2656"/>
      <c r="AV1133" s="2656"/>
      <c r="AW1133" s="2656"/>
      <c r="AX1133" s="2656"/>
      <c r="AY1133" s="2656"/>
      <c r="AZ1133" s="2656"/>
      <c r="BA1133" s="2656"/>
      <c r="BB1133" s="2656"/>
      <c r="BC1133" s="2656"/>
      <c r="BD1133" s="2656"/>
      <c r="BE1133" s="2656"/>
      <c r="BF1133" s="2656"/>
      <c r="BG1133" s="2656"/>
      <c r="BH1133" s="2656"/>
      <c r="BI1133" s="2656"/>
    </row>
    <row r="1134" spans="1:61" ht="24.75" customHeight="1">
      <c r="A1134" s="3375"/>
      <c r="B1134" s="2646"/>
      <c r="C1134" s="2647"/>
      <c r="D1134" s="2646"/>
      <c r="E1134" s="3013"/>
      <c r="F1134" s="2655"/>
      <c r="G1134" s="2596"/>
      <c r="H1134" s="4138"/>
      <c r="I1134" s="3375"/>
      <c r="J1134" s="2648"/>
      <c r="K1134" s="3147"/>
      <c r="L1134" s="2785"/>
      <c r="M1134" s="2695"/>
      <c r="N1134" s="2649"/>
      <c r="O1134" s="2655"/>
      <c r="P1134" s="2651"/>
      <c r="Q1134" s="3440"/>
      <c r="R1134" s="3553"/>
      <c r="S1134" s="1407"/>
      <c r="T1134" s="3375"/>
      <c r="U1134" s="2648"/>
      <c r="V1134" s="3554"/>
      <c r="W1134" s="3150"/>
      <c r="X1134" s="2656"/>
      <c r="Y1134" s="2656"/>
      <c r="Z1134" s="2656"/>
      <c r="AA1134" s="2656"/>
      <c r="AB1134" s="2656"/>
      <c r="AC1134" s="2656"/>
      <c r="AD1134" s="2656"/>
      <c r="AE1134" s="2656"/>
      <c r="AF1134" s="2656"/>
      <c r="AG1134" s="2656"/>
      <c r="AH1134" s="2656"/>
      <c r="AI1134" s="2656"/>
      <c r="AJ1134" s="2656"/>
      <c r="AK1134" s="2656"/>
      <c r="AL1134" s="2656"/>
      <c r="AM1134" s="2656"/>
      <c r="AN1134" s="2656"/>
      <c r="AO1134" s="2656"/>
      <c r="AP1134" s="2656"/>
      <c r="AQ1134" s="2656"/>
      <c r="AR1134" s="2656"/>
      <c r="AS1134" s="2656"/>
      <c r="AT1134" s="2656"/>
      <c r="AU1134" s="2656"/>
      <c r="AV1134" s="2656"/>
      <c r="AW1134" s="2656"/>
      <c r="AX1134" s="2656"/>
      <c r="AY1134" s="2656"/>
      <c r="AZ1134" s="2656"/>
      <c r="BA1134" s="2656"/>
      <c r="BB1134" s="2656"/>
      <c r="BC1134" s="2656"/>
      <c r="BD1134" s="2656"/>
      <c r="BE1134" s="2656"/>
      <c r="BF1134" s="2656"/>
      <c r="BG1134" s="2656"/>
      <c r="BH1134" s="2656"/>
      <c r="BI1134" s="2656"/>
    </row>
    <row r="1135" spans="1:61" ht="24.75" customHeight="1">
      <c r="A1135" s="3375"/>
      <c r="B1135" s="2646"/>
      <c r="C1135" s="2647"/>
      <c r="D1135" s="2646"/>
      <c r="E1135" s="3013"/>
      <c r="F1135" s="2655"/>
      <c r="G1135" s="2596"/>
      <c r="H1135" s="4138"/>
      <c r="I1135" s="3375"/>
      <c r="J1135" s="2648"/>
      <c r="K1135" s="3147"/>
      <c r="L1135" s="2785"/>
      <c r="M1135" s="2695"/>
      <c r="N1135" s="2649"/>
      <c r="O1135" s="2655"/>
      <c r="P1135" s="2651"/>
      <c r="Q1135" s="3440"/>
      <c r="R1135" s="3553"/>
      <c r="S1135" s="1407"/>
      <c r="T1135" s="3375"/>
      <c r="U1135" s="2648"/>
      <c r="V1135" s="3554"/>
      <c r="W1135" s="3150"/>
      <c r="X1135" s="2656"/>
      <c r="Y1135" s="2656"/>
      <c r="Z1135" s="2656"/>
      <c r="AA1135" s="2656"/>
      <c r="AB1135" s="2656"/>
      <c r="AC1135" s="2656"/>
      <c r="AD1135" s="2656"/>
      <c r="AE1135" s="2656"/>
      <c r="AF1135" s="2656"/>
      <c r="AG1135" s="2656"/>
      <c r="AH1135" s="2656"/>
      <c r="AI1135" s="2656"/>
      <c r="AJ1135" s="2656"/>
      <c r="AK1135" s="2656"/>
      <c r="AL1135" s="2656"/>
      <c r="AM1135" s="2656"/>
      <c r="AN1135" s="2656"/>
      <c r="AO1135" s="2656"/>
      <c r="AP1135" s="2656"/>
      <c r="AQ1135" s="2656"/>
      <c r="AR1135" s="2656"/>
      <c r="AS1135" s="2656"/>
      <c r="AT1135" s="2656"/>
      <c r="AU1135" s="2656"/>
      <c r="AV1135" s="2656"/>
      <c r="AW1135" s="2656"/>
      <c r="AX1135" s="2656"/>
      <c r="AY1135" s="2656"/>
      <c r="AZ1135" s="2656"/>
      <c r="BA1135" s="2656"/>
      <c r="BB1135" s="2656"/>
      <c r="BC1135" s="2656"/>
      <c r="BD1135" s="2656"/>
      <c r="BE1135" s="2656"/>
      <c r="BF1135" s="2656"/>
      <c r="BG1135" s="2656"/>
      <c r="BH1135" s="2656"/>
      <c r="BI1135" s="2656"/>
    </row>
    <row r="1136" spans="1:61" ht="24.75" customHeight="1">
      <c r="A1136" s="3375"/>
      <c r="B1136" s="2646"/>
      <c r="C1136" s="2647"/>
      <c r="D1136" s="2646"/>
      <c r="E1136" s="3013"/>
      <c r="F1136" s="2655"/>
      <c r="G1136" s="2596"/>
      <c r="H1136" s="4138"/>
      <c r="I1136" s="3375"/>
      <c r="J1136" s="2648"/>
      <c r="K1136" s="3147"/>
      <c r="L1136" s="2785"/>
      <c r="M1136" s="2695"/>
      <c r="N1136" s="2649"/>
      <c r="O1136" s="2655"/>
      <c r="P1136" s="2651"/>
      <c r="Q1136" s="3440"/>
      <c r="R1136" s="3553"/>
      <c r="S1136" s="1407"/>
      <c r="T1136" s="3375"/>
      <c r="U1136" s="2648"/>
      <c r="V1136" s="3554"/>
      <c r="W1136" s="3150"/>
      <c r="X1136" s="2656"/>
      <c r="Y1136" s="2656"/>
      <c r="Z1136" s="2656"/>
      <c r="AA1136" s="2656"/>
      <c r="AB1136" s="2656"/>
      <c r="AC1136" s="2656"/>
      <c r="AD1136" s="2656"/>
      <c r="AE1136" s="2656"/>
      <c r="AF1136" s="2656"/>
      <c r="AG1136" s="2656"/>
      <c r="AH1136" s="2656"/>
      <c r="AI1136" s="2656"/>
      <c r="AJ1136" s="2656"/>
      <c r="AK1136" s="2656"/>
      <c r="AL1136" s="2656"/>
      <c r="AM1136" s="2656"/>
      <c r="AN1136" s="2656"/>
      <c r="AO1136" s="2656"/>
      <c r="AP1136" s="2656"/>
      <c r="AQ1136" s="2656"/>
      <c r="AR1136" s="2656"/>
      <c r="AS1136" s="2656"/>
      <c r="AT1136" s="2656"/>
      <c r="AU1136" s="2656"/>
      <c r="AV1136" s="2656"/>
      <c r="AW1136" s="2656"/>
      <c r="AX1136" s="2656"/>
      <c r="AY1136" s="2656"/>
      <c r="AZ1136" s="2656"/>
      <c r="BA1136" s="2656"/>
      <c r="BB1136" s="2656"/>
      <c r="BC1136" s="2656"/>
      <c r="BD1136" s="2656"/>
      <c r="BE1136" s="2656"/>
      <c r="BF1136" s="2656"/>
      <c r="BG1136" s="2656"/>
      <c r="BH1136" s="2656"/>
      <c r="BI1136" s="2656"/>
    </row>
    <row r="1137" spans="1:61" ht="24.75" customHeight="1">
      <c r="A1137" s="3375"/>
      <c r="B1137" s="2646"/>
      <c r="C1137" s="2647"/>
      <c r="D1137" s="2646"/>
      <c r="E1137" s="3013"/>
      <c r="F1137" s="2655"/>
      <c r="G1137" s="2596"/>
      <c r="H1137" s="4138"/>
      <c r="I1137" s="3375"/>
      <c r="J1137" s="2648"/>
      <c r="K1137" s="3147"/>
      <c r="L1137" s="2785"/>
      <c r="M1137" s="2695"/>
      <c r="N1137" s="2649"/>
      <c r="O1137" s="2655"/>
      <c r="P1137" s="2651"/>
      <c r="Q1137" s="3440"/>
      <c r="R1137" s="3553"/>
      <c r="S1137" s="1407"/>
      <c r="T1137" s="3375"/>
      <c r="U1137" s="2648"/>
      <c r="V1137" s="3554"/>
      <c r="W1137" s="3150"/>
      <c r="X1137" s="2656"/>
      <c r="Y1137" s="2656"/>
      <c r="Z1137" s="2656"/>
      <c r="AA1137" s="2656"/>
      <c r="AB1137" s="2656"/>
      <c r="AC1137" s="2656"/>
      <c r="AD1137" s="2656"/>
      <c r="AE1137" s="2656"/>
      <c r="AF1137" s="2656"/>
      <c r="AG1137" s="2656"/>
      <c r="AH1137" s="2656"/>
      <c r="AI1137" s="2656"/>
      <c r="AJ1137" s="2656"/>
      <c r="AK1137" s="2656"/>
      <c r="AL1137" s="2656"/>
      <c r="AM1137" s="2656"/>
      <c r="AN1137" s="2656"/>
      <c r="AO1137" s="2656"/>
      <c r="AP1137" s="2656"/>
      <c r="AQ1137" s="2656"/>
      <c r="AR1137" s="2656"/>
      <c r="AS1137" s="2656"/>
      <c r="AT1137" s="2656"/>
      <c r="AU1137" s="2656"/>
      <c r="AV1137" s="2656"/>
      <c r="AW1137" s="2656"/>
      <c r="AX1137" s="2656"/>
      <c r="AY1137" s="2656"/>
      <c r="AZ1137" s="2656"/>
      <c r="BA1137" s="2656"/>
      <c r="BB1137" s="2656"/>
      <c r="BC1137" s="2656"/>
      <c r="BD1137" s="2656"/>
      <c r="BE1137" s="2656"/>
      <c r="BF1137" s="2656"/>
      <c r="BG1137" s="2656"/>
      <c r="BH1137" s="2656"/>
      <c r="BI1137" s="2656"/>
    </row>
    <row r="1138" spans="1:61" ht="24.75" customHeight="1">
      <c r="A1138" s="3375"/>
      <c r="B1138" s="2646"/>
      <c r="C1138" s="2647"/>
      <c r="D1138" s="2646"/>
      <c r="E1138" s="3013"/>
      <c r="F1138" s="2655"/>
      <c r="G1138" s="2596"/>
      <c r="H1138" s="4138"/>
      <c r="I1138" s="3375"/>
      <c r="J1138" s="2648"/>
      <c r="K1138" s="3147"/>
      <c r="L1138" s="2785"/>
      <c r="M1138" s="2695"/>
      <c r="N1138" s="2649"/>
      <c r="O1138" s="2655"/>
      <c r="P1138" s="2651"/>
      <c r="Q1138" s="3440"/>
      <c r="R1138" s="3553"/>
      <c r="S1138" s="1407"/>
      <c r="T1138" s="3375"/>
      <c r="U1138" s="2648"/>
      <c r="V1138" s="3554"/>
      <c r="W1138" s="3150"/>
      <c r="X1138" s="2656"/>
      <c r="Y1138" s="2656"/>
      <c r="Z1138" s="2656"/>
      <c r="AA1138" s="2656"/>
      <c r="AB1138" s="2656"/>
      <c r="AC1138" s="2656"/>
      <c r="AD1138" s="2656"/>
      <c r="AE1138" s="2656"/>
      <c r="AF1138" s="2656"/>
      <c r="AG1138" s="2656"/>
      <c r="AH1138" s="2656"/>
      <c r="AI1138" s="2656"/>
      <c r="AJ1138" s="2656"/>
      <c r="AK1138" s="2656"/>
      <c r="AL1138" s="2656"/>
      <c r="AM1138" s="2656"/>
      <c r="AN1138" s="2656"/>
      <c r="AO1138" s="2656"/>
      <c r="AP1138" s="2656"/>
      <c r="AQ1138" s="2656"/>
      <c r="AR1138" s="2656"/>
      <c r="AS1138" s="2656"/>
      <c r="AT1138" s="2656"/>
      <c r="AU1138" s="2656"/>
      <c r="AV1138" s="2656"/>
      <c r="AW1138" s="2656"/>
      <c r="AX1138" s="2656"/>
      <c r="AY1138" s="2656"/>
      <c r="AZ1138" s="2656"/>
      <c r="BA1138" s="2656"/>
      <c r="BB1138" s="2656"/>
      <c r="BC1138" s="2656"/>
      <c r="BD1138" s="2656"/>
      <c r="BE1138" s="2656"/>
      <c r="BF1138" s="2656"/>
      <c r="BG1138" s="2656"/>
      <c r="BH1138" s="2656"/>
      <c r="BI1138" s="2656"/>
    </row>
    <row r="1139" spans="1:61" ht="24.75" customHeight="1">
      <c r="A1139" s="3375"/>
      <c r="B1139" s="2646"/>
      <c r="C1139" s="2647"/>
      <c r="D1139" s="2646"/>
      <c r="E1139" s="3013"/>
      <c r="F1139" s="2655"/>
      <c r="G1139" s="2596"/>
      <c r="H1139" s="4138"/>
      <c r="I1139" s="3375"/>
      <c r="J1139" s="2648"/>
      <c r="K1139" s="3147"/>
      <c r="L1139" s="2785"/>
      <c r="M1139" s="2695"/>
      <c r="N1139" s="2649"/>
      <c r="O1139" s="2655"/>
      <c r="P1139" s="2651"/>
      <c r="Q1139" s="3440"/>
      <c r="R1139" s="3553"/>
      <c r="S1139" s="1407"/>
      <c r="T1139" s="3375"/>
      <c r="U1139" s="2648"/>
      <c r="V1139" s="3554"/>
      <c r="W1139" s="3150"/>
      <c r="X1139" s="2656"/>
      <c r="Y1139" s="2656"/>
      <c r="Z1139" s="2656"/>
      <c r="AA1139" s="2656"/>
      <c r="AB1139" s="2656"/>
      <c r="AC1139" s="2656"/>
      <c r="AD1139" s="2656"/>
      <c r="AE1139" s="2656"/>
      <c r="AF1139" s="2656"/>
      <c r="AG1139" s="2656"/>
      <c r="AH1139" s="2656"/>
      <c r="AI1139" s="2656"/>
      <c r="AJ1139" s="2656"/>
      <c r="AK1139" s="2656"/>
      <c r="AL1139" s="2656"/>
      <c r="AM1139" s="2656"/>
      <c r="AN1139" s="2656"/>
      <c r="AO1139" s="2656"/>
      <c r="AP1139" s="2656"/>
      <c r="AQ1139" s="2656"/>
      <c r="AR1139" s="2656"/>
      <c r="AS1139" s="2656"/>
      <c r="AT1139" s="2656"/>
      <c r="AU1139" s="2656"/>
      <c r="AV1139" s="2656"/>
      <c r="AW1139" s="2656"/>
      <c r="AX1139" s="2656"/>
      <c r="AY1139" s="2656"/>
      <c r="AZ1139" s="2656"/>
      <c r="BA1139" s="2656"/>
      <c r="BB1139" s="2656"/>
      <c r="BC1139" s="2656"/>
      <c r="BD1139" s="2656"/>
      <c r="BE1139" s="2656"/>
      <c r="BF1139" s="2656"/>
      <c r="BG1139" s="2656"/>
      <c r="BH1139" s="2656"/>
      <c r="BI1139" s="2656"/>
    </row>
    <row r="1140" spans="1:61" ht="24.75" customHeight="1">
      <c r="A1140" s="3375"/>
      <c r="B1140" s="2646"/>
      <c r="C1140" s="2647"/>
      <c r="D1140" s="2646"/>
      <c r="E1140" s="3013"/>
      <c r="F1140" s="2655"/>
      <c r="G1140" s="2596"/>
      <c r="H1140" s="4138"/>
      <c r="I1140" s="3375"/>
      <c r="J1140" s="2648"/>
      <c r="K1140" s="3147"/>
      <c r="L1140" s="2785"/>
      <c r="M1140" s="2695"/>
      <c r="N1140" s="2649"/>
      <c r="O1140" s="2655"/>
      <c r="P1140" s="2651"/>
      <c r="Q1140" s="3440"/>
      <c r="R1140" s="3553"/>
      <c r="S1140" s="1407"/>
      <c r="T1140" s="3375"/>
      <c r="U1140" s="2648"/>
      <c r="V1140" s="3554"/>
      <c r="W1140" s="3150"/>
      <c r="X1140" s="2656"/>
      <c r="Y1140" s="2656"/>
      <c r="Z1140" s="2656"/>
      <c r="AA1140" s="2656"/>
      <c r="AB1140" s="2656"/>
      <c r="AC1140" s="2656"/>
      <c r="AD1140" s="2656"/>
      <c r="AE1140" s="2656"/>
      <c r="AF1140" s="2656"/>
      <c r="AG1140" s="2656"/>
      <c r="AH1140" s="2656"/>
      <c r="AI1140" s="2656"/>
      <c r="AJ1140" s="2656"/>
      <c r="AK1140" s="2656"/>
      <c r="AL1140" s="2656"/>
      <c r="AM1140" s="2656"/>
      <c r="AN1140" s="2656"/>
      <c r="AO1140" s="2656"/>
      <c r="AP1140" s="2656"/>
      <c r="AQ1140" s="2656"/>
      <c r="AR1140" s="2656"/>
      <c r="AS1140" s="2656"/>
      <c r="AT1140" s="2656"/>
      <c r="AU1140" s="2656"/>
      <c r="AV1140" s="2656"/>
      <c r="AW1140" s="2656"/>
      <c r="AX1140" s="2656"/>
      <c r="AY1140" s="2656"/>
      <c r="AZ1140" s="2656"/>
      <c r="BA1140" s="2656"/>
      <c r="BB1140" s="2656"/>
      <c r="BC1140" s="2656"/>
      <c r="BD1140" s="2656"/>
      <c r="BE1140" s="2656"/>
      <c r="BF1140" s="2656"/>
      <c r="BG1140" s="2656"/>
      <c r="BH1140" s="2656"/>
      <c r="BI1140" s="2656"/>
    </row>
    <row r="1141" spans="1:61" ht="24.75" customHeight="1">
      <c r="A1141" s="3375"/>
      <c r="B1141" s="2646"/>
      <c r="C1141" s="2647"/>
      <c r="D1141" s="2646"/>
      <c r="E1141" s="3013"/>
      <c r="F1141" s="2655"/>
      <c r="G1141" s="2596"/>
      <c r="H1141" s="4138"/>
      <c r="I1141" s="3375"/>
      <c r="J1141" s="2648"/>
      <c r="K1141" s="3147"/>
      <c r="L1141" s="2785"/>
      <c r="M1141" s="2695"/>
      <c r="N1141" s="2649"/>
      <c r="O1141" s="2655"/>
      <c r="P1141" s="2651"/>
      <c r="Q1141" s="3440"/>
      <c r="R1141" s="3553"/>
      <c r="S1141" s="1407"/>
      <c r="T1141" s="3375"/>
      <c r="U1141" s="2648"/>
      <c r="V1141" s="3554"/>
      <c r="W1141" s="3150"/>
      <c r="X1141" s="2656"/>
      <c r="Y1141" s="2656"/>
      <c r="Z1141" s="2656"/>
      <c r="AA1141" s="2656"/>
      <c r="AB1141" s="2656"/>
      <c r="AC1141" s="2656"/>
      <c r="AD1141" s="2656"/>
      <c r="AE1141" s="2656"/>
      <c r="AF1141" s="2656"/>
      <c r="AG1141" s="2656"/>
      <c r="AH1141" s="2656"/>
      <c r="AI1141" s="2656"/>
      <c r="AJ1141" s="2656"/>
      <c r="AK1141" s="2656"/>
      <c r="AL1141" s="2656"/>
      <c r="AM1141" s="2656"/>
      <c r="AN1141" s="2656"/>
      <c r="AO1141" s="2656"/>
      <c r="AP1141" s="2656"/>
      <c r="AQ1141" s="2656"/>
      <c r="AR1141" s="2656"/>
      <c r="AS1141" s="2656"/>
      <c r="AT1141" s="2656"/>
      <c r="AU1141" s="2656"/>
      <c r="AV1141" s="2656"/>
      <c r="AW1141" s="2656"/>
      <c r="AX1141" s="2656"/>
      <c r="AY1141" s="2656"/>
      <c r="AZ1141" s="2656"/>
      <c r="BA1141" s="2656"/>
      <c r="BB1141" s="2656"/>
      <c r="BC1141" s="2656"/>
      <c r="BD1141" s="2656"/>
      <c r="BE1141" s="2656"/>
      <c r="BF1141" s="2656"/>
      <c r="BG1141" s="2656"/>
      <c r="BH1141" s="2656"/>
      <c r="BI1141" s="2656"/>
    </row>
    <row r="1142" spans="1:61" ht="24.75" customHeight="1">
      <c r="A1142" s="3375"/>
      <c r="B1142" s="2646"/>
      <c r="C1142" s="2647"/>
      <c r="D1142" s="2646"/>
      <c r="E1142" s="3013"/>
      <c r="F1142" s="2655"/>
      <c r="G1142" s="2596"/>
      <c r="H1142" s="4138"/>
      <c r="I1142" s="3375"/>
      <c r="J1142" s="2648"/>
      <c r="K1142" s="3147"/>
      <c r="L1142" s="2785"/>
      <c r="M1142" s="2695"/>
      <c r="N1142" s="2649"/>
      <c r="O1142" s="2655"/>
      <c r="P1142" s="2651"/>
      <c r="Q1142" s="3440"/>
      <c r="R1142" s="3553"/>
      <c r="S1142" s="1407"/>
      <c r="T1142" s="3375"/>
      <c r="U1142" s="2648"/>
      <c r="V1142" s="3554"/>
      <c r="W1142" s="3150"/>
      <c r="X1142" s="2656"/>
      <c r="Y1142" s="2656"/>
      <c r="Z1142" s="2656"/>
      <c r="AA1142" s="2656"/>
      <c r="AB1142" s="2656"/>
      <c r="AC1142" s="2656"/>
      <c r="AD1142" s="2656"/>
      <c r="AE1142" s="2656"/>
      <c r="AF1142" s="2656"/>
      <c r="AG1142" s="2656"/>
      <c r="AH1142" s="2656"/>
      <c r="AI1142" s="2656"/>
      <c r="AJ1142" s="2656"/>
      <c r="AK1142" s="2656"/>
      <c r="AL1142" s="2656"/>
      <c r="AM1142" s="2656"/>
      <c r="AN1142" s="2656"/>
      <c r="AO1142" s="2656"/>
      <c r="AP1142" s="2656"/>
      <c r="AQ1142" s="2656"/>
      <c r="AR1142" s="2656"/>
      <c r="AS1142" s="2656"/>
      <c r="AT1142" s="2656"/>
      <c r="AU1142" s="2656"/>
      <c r="AV1142" s="2656"/>
      <c r="AW1142" s="2656"/>
      <c r="AX1142" s="2656"/>
      <c r="AY1142" s="2656"/>
      <c r="AZ1142" s="2656"/>
      <c r="BA1142" s="2656"/>
      <c r="BB1142" s="2656"/>
      <c r="BC1142" s="2656"/>
      <c r="BD1142" s="2656"/>
      <c r="BE1142" s="2656"/>
      <c r="BF1142" s="2656"/>
      <c r="BG1142" s="2656"/>
      <c r="BH1142" s="2656"/>
      <c r="BI1142" s="2656"/>
    </row>
    <row r="1143" spans="1:61" ht="24.75" customHeight="1">
      <c r="A1143" s="3375"/>
      <c r="B1143" s="2646"/>
      <c r="C1143" s="2647"/>
      <c r="D1143" s="2646"/>
      <c r="E1143" s="3013"/>
      <c r="F1143" s="2655"/>
      <c r="G1143" s="2596"/>
      <c r="H1143" s="4138"/>
      <c r="I1143" s="3375"/>
      <c r="J1143" s="2648"/>
      <c r="K1143" s="3147"/>
      <c r="L1143" s="2785"/>
      <c r="M1143" s="2695"/>
      <c r="N1143" s="2649"/>
      <c r="O1143" s="2655"/>
      <c r="P1143" s="2651"/>
      <c r="Q1143" s="3440"/>
      <c r="R1143" s="3553"/>
      <c r="S1143" s="1407"/>
      <c r="T1143" s="3375"/>
      <c r="U1143" s="2648"/>
      <c r="V1143" s="3554"/>
      <c r="W1143" s="3150"/>
      <c r="X1143" s="2656"/>
      <c r="Y1143" s="2656"/>
      <c r="Z1143" s="2656"/>
      <c r="AA1143" s="2656"/>
      <c r="AB1143" s="2656"/>
      <c r="AC1143" s="2656"/>
      <c r="AD1143" s="2656"/>
      <c r="AE1143" s="2656"/>
      <c r="AF1143" s="2656"/>
      <c r="AG1143" s="2656"/>
      <c r="AH1143" s="2656"/>
      <c r="AI1143" s="2656"/>
      <c r="AJ1143" s="2656"/>
      <c r="AK1143" s="2656"/>
      <c r="AL1143" s="2656"/>
      <c r="AM1143" s="2656"/>
      <c r="AN1143" s="2656"/>
      <c r="AO1143" s="2656"/>
      <c r="AP1143" s="2656"/>
      <c r="AQ1143" s="2656"/>
      <c r="AR1143" s="2656"/>
      <c r="AS1143" s="2656"/>
      <c r="AT1143" s="2656"/>
      <c r="AU1143" s="2656"/>
      <c r="AV1143" s="2656"/>
      <c r="AW1143" s="2656"/>
      <c r="AX1143" s="2656"/>
      <c r="AY1143" s="2656"/>
      <c r="AZ1143" s="2656"/>
      <c r="BA1143" s="2656"/>
      <c r="BB1143" s="2656"/>
      <c r="BC1143" s="2656"/>
      <c r="BD1143" s="2656"/>
      <c r="BE1143" s="2656"/>
      <c r="BF1143" s="2656"/>
      <c r="BG1143" s="2656"/>
      <c r="BH1143" s="2656"/>
      <c r="BI1143" s="2656"/>
    </row>
    <row r="1144" spans="1:61" ht="24.75" customHeight="1">
      <c r="A1144" s="3375"/>
      <c r="B1144" s="2646"/>
      <c r="C1144" s="2647"/>
      <c r="D1144" s="2646"/>
      <c r="E1144" s="3013"/>
      <c r="F1144" s="2655"/>
      <c r="G1144" s="2596"/>
      <c r="H1144" s="4138"/>
      <c r="I1144" s="3375"/>
      <c r="J1144" s="2648"/>
      <c r="K1144" s="3147"/>
      <c r="L1144" s="2785"/>
      <c r="M1144" s="2695"/>
      <c r="N1144" s="2649"/>
      <c r="O1144" s="2655"/>
      <c r="P1144" s="2651"/>
      <c r="Q1144" s="3440"/>
      <c r="R1144" s="3553"/>
      <c r="S1144" s="1407"/>
      <c r="T1144" s="3375"/>
      <c r="U1144" s="2648"/>
      <c r="V1144" s="3554"/>
      <c r="W1144" s="3150"/>
      <c r="X1144" s="2656"/>
      <c r="Y1144" s="2656"/>
      <c r="Z1144" s="2656"/>
      <c r="AA1144" s="2656"/>
      <c r="AB1144" s="2656"/>
      <c r="AC1144" s="2656"/>
      <c r="AD1144" s="2656"/>
      <c r="AE1144" s="2656"/>
      <c r="AF1144" s="2656"/>
      <c r="AG1144" s="2656"/>
      <c r="AH1144" s="2656"/>
      <c r="AI1144" s="2656"/>
      <c r="AJ1144" s="2656"/>
      <c r="AK1144" s="2656"/>
      <c r="AL1144" s="2656"/>
      <c r="AM1144" s="2656"/>
      <c r="AN1144" s="2656"/>
      <c r="AO1144" s="2656"/>
      <c r="AP1144" s="2656"/>
      <c r="AQ1144" s="2656"/>
      <c r="AR1144" s="2656"/>
      <c r="AS1144" s="2656"/>
      <c r="AT1144" s="2656"/>
      <c r="AU1144" s="2656"/>
      <c r="AV1144" s="2656"/>
      <c r="AW1144" s="2656"/>
      <c r="AX1144" s="2656"/>
      <c r="AY1144" s="2656"/>
      <c r="AZ1144" s="2656"/>
      <c r="BA1144" s="2656"/>
      <c r="BB1144" s="2656"/>
      <c r="BC1144" s="2656"/>
      <c r="BD1144" s="2656"/>
      <c r="BE1144" s="2656"/>
      <c r="BF1144" s="2656"/>
      <c r="BG1144" s="2656"/>
      <c r="BH1144" s="2656"/>
      <c r="BI1144" s="2656"/>
    </row>
    <row r="1145" spans="1:61" ht="24.75" customHeight="1">
      <c r="A1145" s="3375"/>
      <c r="B1145" s="2646"/>
      <c r="C1145" s="2647"/>
      <c r="D1145" s="2646"/>
      <c r="E1145" s="3013"/>
      <c r="F1145" s="2655"/>
      <c r="G1145" s="2596"/>
      <c r="H1145" s="4138"/>
      <c r="I1145" s="3375"/>
      <c r="J1145" s="2648"/>
      <c r="K1145" s="3147"/>
      <c r="L1145" s="2785"/>
      <c r="M1145" s="2695"/>
      <c r="N1145" s="2649"/>
      <c r="O1145" s="2655"/>
      <c r="P1145" s="2651"/>
      <c r="Q1145" s="3440"/>
      <c r="R1145" s="3553"/>
      <c r="S1145" s="1407"/>
      <c r="T1145" s="3375"/>
      <c r="U1145" s="2648"/>
      <c r="V1145" s="3554"/>
      <c r="W1145" s="3150"/>
      <c r="X1145" s="2656"/>
      <c r="Y1145" s="2656"/>
      <c r="Z1145" s="2656"/>
      <c r="AA1145" s="2656"/>
      <c r="AB1145" s="2656"/>
      <c r="AC1145" s="2656"/>
      <c r="AD1145" s="2656"/>
      <c r="AE1145" s="2656"/>
      <c r="AF1145" s="2656"/>
      <c r="AG1145" s="2656"/>
      <c r="AH1145" s="2656"/>
      <c r="AI1145" s="2656"/>
      <c r="AJ1145" s="2656"/>
      <c r="AK1145" s="2656"/>
      <c r="AL1145" s="2656"/>
      <c r="AM1145" s="2656"/>
      <c r="AN1145" s="2656"/>
      <c r="AO1145" s="2656"/>
      <c r="AP1145" s="2656"/>
      <c r="AQ1145" s="2656"/>
      <c r="AR1145" s="2656"/>
      <c r="AS1145" s="2656"/>
      <c r="AT1145" s="2656"/>
      <c r="AU1145" s="2656"/>
      <c r="AV1145" s="2656"/>
      <c r="AW1145" s="2656"/>
      <c r="AX1145" s="2656"/>
      <c r="AY1145" s="2656"/>
      <c r="AZ1145" s="2656"/>
      <c r="BA1145" s="2656"/>
      <c r="BB1145" s="2656"/>
      <c r="BC1145" s="2656"/>
      <c r="BD1145" s="2656"/>
      <c r="BE1145" s="2656"/>
      <c r="BF1145" s="2656"/>
      <c r="BG1145" s="2656"/>
      <c r="BH1145" s="2656"/>
      <c r="BI1145" s="2656"/>
    </row>
    <row r="1146" spans="1:61" ht="24.75" customHeight="1">
      <c r="A1146" s="3375"/>
      <c r="B1146" s="2646"/>
      <c r="C1146" s="2647"/>
      <c r="D1146" s="2646"/>
      <c r="E1146" s="3013"/>
      <c r="F1146" s="2655"/>
      <c r="G1146" s="2596"/>
      <c r="H1146" s="4138"/>
      <c r="I1146" s="3375"/>
      <c r="J1146" s="2648"/>
      <c r="K1146" s="3147"/>
      <c r="L1146" s="2785"/>
      <c r="M1146" s="2695"/>
      <c r="N1146" s="2649"/>
      <c r="O1146" s="2655"/>
      <c r="P1146" s="2651"/>
      <c r="Q1146" s="3440"/>
      <c r="R1146" s="3553"/>
      <c r="S1146" s="1407"/>
      <c r="T1146" s="3375"/>
      <c r="U1146" s="2648"/>
      <c r="V1146" s="3554"/>
      <c r="W1146" s="3150"/>
      <c r="X1146" s="2656"/>
      <c r="Y1146" s="2656"/>
      <c r="Z1146" s="2656"/>
      <c r="AA1146" s="2656"/>
      <c r="AB1146" s="2656"/>
      <c r="AC1146" s="2656"/>
      <c r="AD1146" s="2656"/>
      <c r="AE1146" s="2656"/>
      <c r="AF1146" s="2656"/>
      <c r="AG1146" s="2656"/>
      <c r="AH1146" s="2656"/>
      <c r="AI1146" s="2656"/>
      <c r="AJ1146" s="2656"/>
      <c r="AK1146" s="2656"/>
      <c r="AL1146" s="2656"/>
      <c r="AM1146" s="2656"/>
      <c r="AN1146" s="2656"/>
      <c r="AO1146" s="2656"/>
      <c r="AP1146" s="2656"/>
      <c r="AQ1146" s="2656"/>
      <c r="AR1146" s="2656"/>
      <c r="AS1146" s="2656"/>
      <c r="AT1146" s="2656"/>
      <c r="AU1146" s="2656"/>
      <c r="AV1146" s="2656"/>
      <c r="AW1146" s="2656"/>
      <c r="AX1146" s="2656"/>
      <c r="AY1146" s="2656"/>
      <c r="AZ1146" s="2656"/>
      <c r="BA1146" s="2656"/>
      <c r="BB1146" s="2656"/>
      <c r="BC1146" s="2656"/>
      <c r="BD1146" s="2656"/>
      <c r="BE1146" s="2656"/>
      <c r="BF1146" s="2656"/>
      <c r="BG1146" s="2656"/>
      <c r="BH1146" s="2656"/>
      <c r="BI1146" s="2656"/>
    </row>
    <row r="1147" spans="1:61" ht="24.75" customHeight="1">
      <c r="A1147" s="3375"/>
      <c r="B1147" s="2646"/>
      <c r="C1147" s="2647"/>
      <c r="D1147" s="2646"/>
      <c r="E1147" s="3013"/>
      <c r="F1147" s="2655"/>
      <c r="G1147" s="2596"/>
      <c r="H1147" s="4138"/>
      <c r="I1147" s="3375"/>
      <c r="J1147" s="2648"/>
      <c r="K1147" s="3147"/>
      <c r="L1147" s="2785"/>
      <c r="M1147" s="2695"/>
      <c r="N1147" s="2649"/>
      <c r="O1147" s="2655"/>
      <c r="P1147" s="2651"/>
      <c r="Q1147" s="3440"/>
      <c r="R1147" s="3553"/>
      <c r="S1147" s="1407"/>
      <c r="T1147" s="3375"/>
      <c r="U1147" s="2648"/>
      <c r="V1147" s="3554"/>
      <c r="W1147" s="3150"/>
      <c r="X1147" s="2656"/>
      <c r="Y1147" s="2656"/>
      <c r="Z1147" s="2656"/>
      <c r="AA1147" s="2656"/>
      <c r="AB1147" s="2656"/>
      <c r="AC1147" s="2656"/>
      <c r="AD1147" s="2656"/>
      <c r="AE1147" s="2656"/>
      <c r="AF1147" s="2656"/>
      <c r="AG1147" s="2656"/>
      <c r="AH1147" s="2656"/>
      <c r="AI1147" s="2656"/>
      <c r="AJ1147" s="2656"/>
      <c r="AK1147" s="2656"/>
      <c r="AL1147" s="2656"/>
      <c r="AM1147" s="2656"/>
      <c r="AN1147" s="2656"/>
      <c r="AO1147" s="2656"/>
      <c r="AP1147" s="2656"/>
      <c r="AQ1147" s="2656"/>
      <c r="AR1147" s="2656"/>
      <c r="AS1147" s="2656"/>
      <c r="AT1147" s="2656"/>
      <c r="AU1147" s="2656"/>
      <c r="AV1147" s="2656"/>
      <c r="AW1147" s="2656"/>
      <c r="AX1147" s="2656"/>
      <c r="AY1147" s="2656"/>
      <c r="AZ1147" s="2656"/>
      <c r="BA1147" s="2656"/>
      <c r="BB1147" s="2656"/>
      <c r="BC1147" s="2656"/>
      <c r="BD1147" s="2656"/>
      <c r="BE1147" s="2656"/>
      <c r="BF1147" s="2656"/>
      <c r="BG1147" s="2656"/>
      <c r="BH1147" s="2656"/>
      <c r="BI1147" s="2656"/>
    </row>
    <row r="1148" spans="1:61" ht="24.75" customHeight="1">
      <c r="A1148" s="3375"/>
      <c r="B1148" s="2646"/>
      <c r="C1148" s="2647"/>
      <c r="D1148" s="2646"/>
      <c r="E1148" s="3013"/>
      <c r="F1148" s="2655"/>
      <c r="G1148" s="2596"/>
      <c r="H1148" s="4138"/>
      <c r="I1148" s="3375"/>
      <c r="J1148" s="2648"/>
      <c r="K1148" s="3147"/>
      <c r="L1148" s="2785"/>
      <c r="M1148" s="2695"/>
      <c r="N1148" s="2649"/>
      <c r="O1148" s="2655"/>
      <c r="P1148" s="2651"/>
      <c r="Q1148" s="3440"/>
      <c r="R1148" s="3553"/>
      <c r="S1148" s="1407"/>
      <c r="T1148" s="3375"/>
      <c r="U1148" s="2648"/>
      <c r="V1148" s="3554"/>
      <c r="W1148" s="3150"/>
      <c r="X1148" s="2656"/>
      <c r="Y1148" s="2656"/>
      <c r="Z1148" s="2656"/>
      <c r="AA1148" s="2656"/>
      <c r="AB1148" s="2656"/>
      <c r="AC1148" s="2656"/>
      <c r="AD1148" s="2656"/>
      <c r="AE1148" s="2656"/>
      <c r="AF1148" s="2656"/>
      <c r="AG1148" s="2656"/>
      <c r="AH1148" s="2656"/>
      <c r="AI1148" s="2656"/>
      <c r="AJ1148" s="2656"/>
      <c r="AK1148" s="2656"/>
      <c r="AL1148" s="2656"/>
      <c r="AM1148" s="2656"/>
      <c r="AN1148" s="2656"/>
      <c r="AO1148" s="2656"/>
      <c r="AP1148" s="2656"/>
      <c r="AQ1148" s="2656"/>
      <c r="AR1148" s="2656"/>
      <c r="AS1148" s="2656"/>
      <c r="AT1148" s="2656"/>
      <c r="AU1148" s="2656"/>
      <c r="AV1148" s="2656"/>
      <c r="AW1148" s="2656"/>
      <c r="AX1148" s="2656"/>
      <c r="AY1148" s="2656"/>
      <c r="AZ1148" s="2656"/>
      <c r="BA1148" s="2656"/>
      <c r="BB1148" s="2656"/>
      <c r="BC1148" s="2656"/>
      <c r="BD1148" s="2656"/>
      <c r="BE1148" s="2656"/>
      <c r="BF1148" s="2656"/>
      <c r="BG1148" s="2656"/>
      <c r="BH1148" s="2656"/>
      <c r="BI1148" s="2656"/>
    </row>
    <row r="1149" spans="1:61" ht="24.75" customHeight="1">
      <c r="A1149" s="3375"/>
      <c r="B1149" s="2646"/>
      <c r="C1149" s="2647"/>
      <c r="D1149" s="2646"/>
      <c r="E1149" s="3013"/>
      <c r="F1149" s="2655"/>
      <c r="G1149" s="2596"/>
      <c r="H1149" s="4138"/>
      <c r="I1149" s="3375"/>
      <c r="J1149" s="2648"/>
      <c r="K1149" s="3147"/>
      <c r="L1149" s="2785"/>
      <c r="M1149" s="2695"/>
      <c r="N1149" s="2649"/>
      <c r="O1149" s="2655"/>
      <c r="P1149" s="2651"/>
      <c r="Q1149" s="3440"/>
      <c r="R1149" s="3553"/>
      <c r="S1149" s="1407"/>
      <c r="T1149" s="3375"/>
      <c r="U1149" s="2648"/>
      <c r="V1149" s="3554"/>
      <c r="W1149" s="3150"/>
      <c r="X1149" s="2656"/>
      <c r="Y1149" s="2656"/>
      <c r="Z1149" s="2656"/>
      <c r="AA1149" s="2656"/>
      <c r="AB1149" s="2656"/>
      <c r="AC1149" s="2656"/>
      <c r="AD1149" s="2656"/>
      <c r="AE1149" s="2656"/>
      <c r="AF1149" s="2656"/>
      <c r="AG1149" s="2656"/>
      <c r="AH1149" s="2656"/>
      <c r="AI1149" s="2656"/>
      <c r="AJ1149" s="2656"/>
      <c r="AK1149" s="2656"/>
      <c r="AL1149" s="2656"/>
      <c r="AM1149" s="2656"/>
      <c r="AN1149" s="2656"/>
      <c r="AO1149" s="2656"/>
      <c r="AP1149" s="2656"/>
      <c r="AQ1149" s="2656"/>
      <c r="AR1149" s="2656"/>
      <c r="AS1149" s="2656"/>
      <c r="AT1149" s="2656"/>
      <c r="AU1149" s="2656"/>
      <c r="AV1149" s="2656"/>
      <c r="AW1149" s="2656"/>
      <c r="AX1149" s="2656"/>
      <c r="AY1149" s="2656"/>
      <c r="AZ1149" s="2656"/>
      <c r="BA1149" s="2656"/>
      <c r="BB1149" s="2656"/>
      <c r="BC1149" s="2656"/>
      <c r="BD1149" s="2656"/>
      <c r="BE1149" s="2656"/>
      <c r="BF1149" s="2656"/>
      <c r="BG1149" s="2656"/>
      <c r="BH1149" s="2656"/>
      <c r="BI1149" s="2656"/>
    </row>
    <row r="1150" spans="1:61" ht="24.75" customHeight="1">
      <c r="A1150" s="3375"/>
      <c r="B1150" s="2646"/>
      <c r="C1150" s="2647"/>
      <c r="D1150" s="2646"/>
      <c r="E1150" s="3013"/>
      <c r="F1150" s="2655"/>
      <c r="G1150" s="2596"/>
      <c r="H1150" s="4138"/>
      <c r="I1150" s="3375"/>
      <c r="J1150" s="2648"/>
      <c r="K1150" s="3147"/>
      <c r="L1150" s="2785"/>
      <c r="M1150" s="2695"/>
      <c r="N1150" s="2649"/>
      <c r="O1150" s="2655"/>
      <c r="P1150" s="2651"/>
      <c r="Q1150" s="3440"/>
      <c r="R1150" s="3553"/>
      <c r="S1150" s="1407"/>
      <c r="T1150" s="3375"/>
      <c r="U1150" s="2648"/>
      <c r="V1150" s="3554"/>
      <c r="W1150" s="3150"/>
      <c r="X1150" s="2656"/>
      <c r="Y1150" s="2656"/>
      <c r="Z1150" s="2656"/>
      <c r="AA1150" s="2656"/>
      <c r="AB1150" s="2656"/>
      <c r="AC1150" s="2656"/>
      <c r="AD1150" s="2656"/>
      <c r="AE1150" s="2656"/>
      <c r="AF1150" s="2656"/>
      <c r="AG1150" s="2656"/>
      <c r="AH1150" s="2656"/>
      <c r="AI1150" s="2656"/>
      <c r="AJ1150" s="2656"/>
      <c r="AK1150" s="2656"/>
      <c r="AL1150" s="2656"/>
      <c r="AM1150" s="2656"/>
      <c r="AN1150" s="2656"/>
      <c r="AO1150" s="2656"/>
      <c r="AP1150" s="2656"/>
      <c r="AQ1150" s="2656"/>
      <c r="AR1150" s="2656"/>
      <c r="AS1150" s="2656"/>
      <c r="AT1150" s="2656"/>
      <c r="AU1150" s="2656"/>
      <c r="AV1150" s="2656"/>
      <c r="AW1150" s="2656"/>
      <c r="AX1150" s="2656"/>
      <c r="AY1150" s="2656"/>
      <c r="AZ1150" s="2656"/>
      <c r="BA1150" s="2656"/>
      <c r="BB1150" s="2656"/>
      <c r="BC1150" s="2656"/>
      <c r="BD1150" s="2656"/>
      <c r="BE1150" s="2656"/>
      <c r="BF1150" s="2656"/>
      <c r="BG1150" s="2656"/>
      <c r="BH1150" s="2656"/>
      <c r="BI1150" s="2656"/>
    </row>
    <row r="1151" spans="1:61" ht="24.75" customHeight="1">
      <c r="A1151" s="3375"/>
      <c r="B1151" s="2646"/>
      <c r="C1151" s="2647"/>
      <c r="D1151" s="2646"/>
      <c r="E1151" s="3013"/>
      <c r="F1151" s="2655"/>
      <c r="G1151" s="2596"/>
      <c r="H1151" s="4138"/>
      <c r="I1151" s="3375"/>
      <c r="J1151" s="2648"/>
      <c r="K1151" s="3147"/>
      <c r="L1151" s="2785"/>
      <c r="M1151" s="2695"/>
      <c r="N1151" s="2649"/>
      <c r="O1151" s="2655"/>
      <c r="P1151" s="2651"/>
      <c r="Q1151" s="3440"/>
      <c r="R1151" s="3553"/>
      <c r="S1151" s="1407"/>
      <c r="T1151" s="3375"/>
      <c r="U1151" s="2648"/>
      <c r="V1151" s="3554"/>
      <c r="W1151" s="3150"/>
      <c r="X1151" s="2656"/>
      <c r="Y1151" s="2656"/>
      <c r="Z1151" s="2656"/>
      <c r="AA1151" s="2656"/>
      <c r="AB1151" s="2656"/>
      <c r="AC1151" s="2656"/>
      <c r="AD1151" s="2656"/>
      <c r="AE1151" s="2656"/>
      <c r="AF1151" s="2656"/>
      <c r="AG1151" s="2656"/>
      <c r="AH1151" s="2656"/>
      <c r="AI1151" s="2656"/>
      <c r="AJ1151" s="2656"/>
      <c r="AK1151" s="2656"/>
      <c r="AL1151" s="2656"/>
      <c r="AM1151" s="2656"/>
      <c r="AN1151" s="2656"/>
      <c r="AO1151" s="2656"/>
      <c r="AP1151" s="2656"/>
      <c r="AQ1151" s="2656"/>
      <c r="AR1151" s="2656"/>
      <c r="AS1151" s="2656"/>
      <c r="AT1151" s="2656"/>
      <c r="AU1151" s="2656"/>
      <c r="AV1151" s="2656"/>
      <c r="AW1151" s="2656"/>
      <c r="AX1151" s="2656"/>
      <c r="AY1151" s="2656"/>
      <c r="AZ1151" s="2656"/>
      <c r="BA1151" s="2656"/>
      <c r="BB1151" s="2656"/>
      <c r="BC1151" s="2656"/>
      <c r="BD1151" s="2656"/>
      <c r="BE1151" s="2656"/>
      <c r="BF1151" s="2656"/>
      <c r="BG1151" s="2656"/>
      <c r="BH1151" s="2656"/>
      <c r="BI1151" s="2656"/>
    </row>
    <row r="1152" spans="1:61" ht="24.75" customHeight="1">
      <c r="A1152" s="3375"/>
      <c r="B1152" s="2646"/>
      <c r="C1152" s="2647"/>
      <c r="D1152" s="2646"/>
      <c r="E1152" s="3013"/>
      <c r="F1152" s="2655"/>
      <c r="G1152" s="2596"/>
      <c r="H1152" s="4138"/>
      <c r="I1152" s="3375"/>
      <c r="J1152" s="2648"/>
      <c r="K1152" s="3147"/>
      <c r="L1152" s="2785"/>
      <c r="M1152" s="2695"/>
      <c r="N1152" s="2649"/>
      <c r="O1152" s="2655"/>
      <c r="P1152" s="2651"/>
      <c r="Q1152" s="3440"/>
      <c r="R1152" s="3553"/>
      <c r="S1152" s="1407"/>
      <c r="T1152" s="3375"/>
      <c r="U1152" s="2648"/>
      <c r="V1152" s="3554"/>
      <c r="W1152" s="3150"/>
      <c r="X1152" s="2656"/>
      <c r="Y1152" s="2656"/>
      <c r="Z1152" s="2656"/>
      <c r="AA1152" s="2656"/>
      <c r="AB1152" s="2656"/>
      <c r="AC1152" s="2656"/>
      <c r="AD1152" s="2656"/>
      <c r="AE1152" s="2656"/>
      <c r="AF1152" s="2656"/>
      <c r="AG1152" s="2656"/>
      <c r="AH1152" s="2656"/>
      <c r="AI1152" s="2656"/>
      <c r="AJ1152" s="2656"/>
      <c r="AK1152" s="2656"/>
      <c r="AL1152" s="2656"/>
      <c r="AM1152" s="2656"/>
      <c r="AN1152" s="2656"/>
      <c r="AO1152" s="2656"/>
      <c r="AP1152" s="2656"/>
      <c r="AQ1152" s="2656"/>
      <c r="AR1152" s="2656"/>
      <c r="AS1152" s="2656"/>
      <c r="AT1152" s="2656"/>
      <c r="AU1152" s="2656"/>
      <c r="AV1152" s="2656"/>
      <c r="AW1152" s="2656"/>
      <c r="AX1152" s="2656"/>
      <c r="AY1152" s="2656"/>
      <c r="AZ1152" s="2656"/>
      <c r="BA1152" s="2656"/>
      <c r="BB1152" s="2656"/>
      <c r="BC1152" s="2656"/>
      <c r="BD1152" s="2656"/>
      <c r="BE1152" s="2656"/>
      <c r="BF1152" s="2656"/>
      <c r="BG1152" s="2656"/>
      <c r="BH1152" s="2656"/>
      <c r="BI1152" s="2656"/>
    </row>
    <row r="1153" spans="1:61" ht="24.75" customHeight="1">
      <c r="A1153" s="3375"/>
      <c r="B1153" s="2646"/>
      <c r="C1153" s="2647"/>
      <c r="D1153" s="2646"/>
      <c r="E1153" s="3013"/>
      <c r="F1153" s="2655"/>
      <c r="G1153" s="2596"/>
      <c r="H1153" s="4138"/>
      <c r="I1153" s="3375"/>
      <c r="J1153" s="2648"/>
      <c r="K1153" s="3147"/>
      <c r="L1153" s="2785"/>
      <c r="M1153" s="2695"/>
      <c r="N1153" s="2649"/>
      <c r="O1153" s="2655"/>
      <c r="P1153" s="2651"/>
      <c r="Q1153" s="3440"/>
      <c r="R1153" s="3553"/>
      <c r="S1153" s="1407"/>
      <c r="T1153" s="3375"/>
      <c r="U1153" s="2648"/>
      <c r="V1153" s="3554"/>
      <c r="W1153" s="3150"/>
      <c r="X1153" s="2656"/>
      <c r="Y1153" s="2656"/>
      <c r="Z1153" s="2656"/>
      <c r="AA1153" s="2656"/>
      <c r="AB1153" s="2656"/>
      <c r="AC1153" s="2656"/>
      <c r="AD1153" s="2656"/>
      <c r="AE1153" s="2656"/>
      <c r="AF1153" s="2656"/>
      <c r="AG1153" s="2656"/>
      <c r="AH1153" s="2656"/>
      <c r="AI1153" s="2656"/>
      <c r="AJ1153" s="2656"/>
      <c r="AK1153" s="2656"/>
      <c r="AL1153" s="2656"/>
      <c r="AM1153" s="2656"/>
      <c r="AN1153" s="2656"/>
      <c r="AO1153" s="2656"/>
      <c r="AP1153" s="2656"/>
      <c r="AQ1153" s="2656"/>
      <c r="AR1153" s="2656"/>
      <c r="AS1153" s="2656"/>
      <c r="AT1153" s="2656"/>
      <c r="AU1153" s="2656"/>
      <c r="AV1153" s="2656"/>
      <c r="AW1153" s="2656"/>
      <c r="AX1153" s="2656"/>
      <c r="AY1153" s="2656"/>
      <c r="AZ1153" s="2656"/>
      <c r="BA1153" s="2656"/>
      <c r="BB1153" s="2656"/>
      <c r="BC1153" s="2656"/>
      <c r="BD1153" s="2656"/>
      <c r="BE1153" s="2656"/>
      <c r="BF1153" s="2656"/>
      <c r="BG1153" s="2656"/>
      <c r="BH1153" s="2656"/>
      <c r="BI1153" s="2656"/>
    </row>
    <row r="1154" spans="1:61" ht="24.75" customHeight="1">
      <c r="A1154" s="3375"/>
      <c r="B1154" s="2646"/>
      <c r="C1154" s="2647"/>
      <c r="D1154" s="2646"/>
      <c r="E1154" s="3013"/>
      <c r="F1154" s="2655"/>
      <c r="G1154" s="2596"/>
      <c r="H1154" s="4138"/>
      <c r="I1154" s="3375"/>
      <c r="J1154" s="2648"/>
      <c r="K1154" s="3147"/>
      <c r="L1154" s="2785"/>
      <c r="M1154" s="2695"/>
      <c r="N1154" s="2649"/>
      <c r="O1154" s="2655"/>
      <c r="P1154" s="2651"/>
      <c r="Q1154" s="3440"/>
      <c r="R1154" s="3553"/>
      <c r="S1154" s="1407"/>
      <c r="T1154" s="3375"/>
      <c r="U1154" s="2648"/>
      <c r="V1154" s="3554"/>
      <c r="W1154" s="3150"/>
      <c r="X1154" s="2656"/>
      <c r="Y1154" s="2656"/>
      <c r="Z1154" s="2656"/>
      <c r="AA1154" s="2656"/>
      <c r="AB1154" s="2656"/>
      <c r="AC1154" s="2656"/>
      <c r="AD1154" s="2656"/>
      <c r="AE1154" s="2656"/>
      <c r="AF1154" s="2656"/>
      <c r="AG1154" s="2656"/>
      <c r="AH1154" s="2656"/>
      <c r="AI1154" s="2656"/>
      <c r="AJ1154" s="2656"/>
      <c r="AK1154" s="2656"/>
      <c r="AL1154" s="2656"/>
      <c r="AM1154" s="2656"/>
      <c r="AN1154" s="2656"/>
      <c r="AO1154" s="2656"/>
      <c r="AP1154" s="2656"/>
      <c r="AQ1154" s="2656"/>
      <c r="AR1154" s="2656"/>
      <c r="AS1154" s="2656"/>
      <c r="AT1154" s="2656"/>
      <c r="AU1154" s="2656"/>
      <c r="AV1154" s="2656"/>
      <c r="AW1154" s="2656"/>
      <c r="AX1154" s="2656"/>
      <c r="AY1154" s="2656"/>
      <c r="AZ1154" s="2656"/>
      <c r="BA1154" s="2656"/>
      <c r="BB1154" s="2656"/>
      <c r="BC1154" s="2656"/>
      <c r="BD1154" s="2656"/>
      <c r="BE1154" s="2656"/>
      <c r="BF1154" s="2656"/>
      <c r="BG1154" s="2656"/>
      <c r="BH1154" s="2656"/>
      <c r="BI1154" s="2656"/>
    </row>
    <row r="1155" spans="1:61" ht="24.75" customHeight="1">
      <c r="A1155" s="3375"/>
      <c r="B1155" s="2646"/>
      <c r="C1155" s="2647"/>
      <c r="D1155" s="2646"/>
      <c r="E1155" s="3013"/>
      <c r="F1155" s="2655"/>
      <c r="G1155" s="2596"/>
      <c r="H1155" s="4138"/>
      <c r="I1155" s="3375"/>
      <c r="J1155" s="2648"/>
      <c r="K1155" s="3147"/>
      <c r="L1155" s="2785"/>
      <c r="M1155" s="2695"/>
      <c r="N1155" s="2649"/>
      <c r="O1155" s="2655"/>
      <c r="P1155" s="2651"/>
      <c r="Q1155" s="3440"/>
      <c r="R1155" s="3553"/>
      <c r="S1155" s="1407"/>
      <c r="T1155" s="3375"/>
      <c r="U1155" s="2648"/>
      <c r="V1155" s="3554"/>
      <c r="W1155" s="3150"/>
      <c r="X1155" s="2656"/>
      <c r="Y1155" s="2656"/>
      <c r="Z1155" s="2656"/>
      <c r="AA1155" s="2656"/>
      <c r="AB1155" s="2656"/>
      <c r="AC1155" s="2656"/>
      <c r="AD1155" s="2656"/>
      <c r="AE1155" s="2656"/>
      <c r="AF1155" s="2656"/>
      <c r="AG1155" s="2656"/>
      <c r="AH1155" s="2656"/>
      <c r="AI1155" s="2656"/>
      <c r="AJ1155" s="2656"/>
      <c r="AK1155" s="2656"/>
      <c r="AL1155" s="2656"/>
      <c r="AM1155" s="2656"/>
      <c r="AN1155" s="2656"/>
      <c r="AO1155" s="2656"/>
      <c r="AP1155" s="2656"/>
      <c r="AQ1155" s="2656"/>
      <c r="AR1155" s="2656"/>
      <c r="AS1155" s="2656"/>
      <c r="AT1155" s="2656"/>
      <c r="AU1155" s="2656"/>
      <c r="AV1155" s="2656"/>
      <c r="AW1155" s="2656"/>
      <c r="AX1155" s="2656"/>
      <c r="AY1155" s="2656"/>
      <c r="AZ1155" s="2656"/>
      <c r="BA1155" s="2656"/>
      <c r="BB1155" s="2656"/>
      <c r="BC1155" s="2656"/>
      <c r="BD1155" s="2656"/>
      <c r="BE1155" s="2656"/>
      <c r="BF1155" s="2656"/>
      <c r="BG1155" s="2656"/>
      <c r="BH1155" s="2656"/>
      <c r="BI1155" s="2656"/>
    </row>
    <row r="1156" spans="1:61" ht="24.75" customHeight="1">
      <c r="A1156" s="3375"/>
      <c r="B1156" s="2646"/>
      <c r="C1156" s="2647"/>
      <c r="D1156" s="2646"/>
      <c r="E1156" s="3013"/>
      <c r="F1156" s="2655"/>
      <c r="G1156" s="2596"/>
      <c r="H1156" s="4138"/>
      <c r="I1156" s="3375"/>
      <c r="J1156" s="2648"/>
      <c r="K1156" s="3147"/>
      <c r="L1156" s="2785"/>
      <c r="M1156" s="2695"/>
      <c r="N1156" s="2649"/>
      <c r="O1156" s="2655"/>
      <c r="P1156" s="2651"/>
      <c r="Q1156" s="3440"/>
      <c r="R1156" s="3553"/>
      <c r="S1156" s="1407"/>
      <c r="T1156" s="3375"/>
      <c r="U1156" s="2648"/>
      <c r="V1156" s="3554"/>
      <c r="W1156" s="3150"/>
      <c r="X1156" s="2656"/>
      <c r="Y1156" s="2656"/>
      <c r="Z1156" s="2656"/>
      <c r="AA1156" s="2656"/>
      <c r="AB1156" s="2656"/>
      <c r="AC1156" s="2656"/>
      <c r="AD1156" s="2656"/>
      <c r="AE1156" s="2656"/>
      <c r="AF1156" s="2656"/>
      <c r="AG1156" s="2656"/>
      <c r="AH1156" s="2656"/>
      <c r="AI1156" s="2656"/>
      <c r="AJ1156" s="2656"/>
      <c r="AK1156" s="2656"/>
      <c r="AL1156" s="2656"/>
      <c r="AM1156" s="2656"/>
      <c r="AN1156" s="2656"/>
      <c r="AO1156" s="2656"/>
      <c r="AP1156" s="2656"/>
      <c r="AQ1156" s="2656"/>
      <c r="AR1156" s="2656"/>
      <c r="AS1156" s="2656"/>
      <c r="AT1156" s="2656"/>
      <c r="AU1156" s="2656"/>
      <c r="AV1156" s="2656"/>
      <c r="AW1156" s="2656"/>
      <c r="AX1156" s="2656"/>
      <c r="AY1156" s="2656"/>
      <c r="AZ1156" s="2656"/>
      <c r="BA1156" s="2656"/>
      <c r="BB1156" s="2656"/>
      <c r="BC1156" s="2656"/>
      <c r="BD1156" s="2656"/>
      <c r="BE1156" s="2656"/>
      <c r="BF1156" s="2656"/>
      <c r="BG1156" s="2656"/>
      <c r="BH1156" s="2656"/>
      <c r="BI1156" s="2656"/>
    </row>
    <row r="1157" spans="1:61" ht="24.75" customHeight="1">
      <c r="A1157" s="3375"/>
      <c r="B1157" s="2646"/>
      <c r="C1157" s="2647"/>
      <c r="D1157" s="2646"/>
      <c r="E1157" s="3013"/>
      <c r="F1157" s="2655"/>
      <c r="G1157" s="2596"/>
      <c r="H1157" s="4138"/>
      <c r="I1157" s="3375"/>
      <c r="J1157" s="2648"/>
      <c r="K1157" s="3147"/>
      <c r="L1157" s="2785"/>
      <c r="M1157" s="2695"/>
      <c r="N1157" s="2649"/>
      <c r="O1157" s="2655"/>
      <c r="P1157" s="2651"/>
      <c r="Q1157" s="3440"/>
      <c r="R1157" s="3553"/>
      <c r="S1157" s="1407"/>
      <c r="T1157" s="3375"/>
      <c r="U1157" s="2648"/>
      <c r="V1157" s="3554"/>
      <c r="W1157" s="3150"/>
      <c r="X1157" s="2656"/>
      <c r="Y1157" s="2656"/>
      <c r="Z1157" s="2656"/>
      <c r="AA1157" s="2656"/>
      <c r="AB1157" s="2656"/>
      <c r="AC1157" s="2656"/>
      <c r="AD1157" s="2656"/>
      <c r="AE1157" s="2656"/>
      <c r="AF1157" s="2656"/>
      <c r="AG1157" s="2656"/>
      <c r="AH1157" s="2656"/>
      <c r="AI1157" s="2656"/>
      <c r="AJ1157" s="2656"/>
      <c r="AK1157" s="2656"/>
      <c r="AL1157" s="2656"/>
      <c r="AM1157" s="2656"/>
      <c r="AN1157" s="2656"/>
      <c r="AO1157" s="2656"/>
      <c r="AP1157" s="2656"/>
      <c r="AQ1157" s="2656"/>
      <c r="AR1157" s="2656"/>
      <c r="AS1157" s="2656"/>
      <c r="AT1157" s="2656"/>
      <c r="AU1157" s="2656"/>
      <c r="AV1157" s="2656"/>
      <c r="AW1157" s="2656"/>
      <c r="AX1157" s="2656"/>
      <c r="AY1157" s="2656"/>
      <c r="AZ1157" s="2656"/>
      <c r="BA1157" s="2656"/>
      <c r="BB1157" s="2656"/>
      <c r="BC1157" s="2656"/>
      <c r="BD1157" s="2656"/>
      <c r="BE1157" s="2656"/>
      <c r="BF1157" s="2656"/>
      <c r="BG1157" s="2656"/>
      <c r="BH1157" s="2656"/>
      <c r="BI1157" s="2656"/>
    </row>
    <row r="1158" spans="1:61" ht="24.75" customHeight="1">
      <c r="A1158" s="3375"/>
      <c r="B1158" s="2646"/>
      <c r="C1158" s="2647"/>
      <c r="D1158" s="2646"/>
      <c r="E1158" s="3013"/>
      <c r="F1158" s="2655"/>
      <c r="G1158" s="2596"/>
      <c r="H1158" s="4138"/>
      <c r="I1158" s="3375"/>
      <c r="J1158" s="2648"/>
      <c r="K1158" s="3147"/>
      <c r="L1158" s="2785"/>
      <c r="M1158" s="2695"/>
      <c r="N1158" s="2649"/>
      <c r="O1158" s="2655"/>
      <c r="P1158" s="2651"/>
      <c r="Q1158" s="3440"/>
      <c r="R1158" s="3553"/>
      <c r="S1158" s="1407"/>
      <c r="T1158" s="3375"/>
      <c r="U1158" s="2648"/>
      <c r="V1158" s="3554"/>
      <c r="W1158" s="3150"/>
      <c r="X1158" s="2656"/>
      <c r="Y1158" s="2656"/>
      <c r="Z1158" s="2656"/>
      <c r="AA1158" s="2656"/>
      <c r="AB1158" s="2656"/>
      <c r="AC1158" s="2656"/>
      <c r="AD1158" s="2656"/>
      <c r="AE1158" s="2656"/>
      <c r="AF1158" s="2656"/>
      <c r="AG1158" s="2656"/>
      <c r="AH1158" s="2656"/>
      <c r="AI1158" s="2656"/>
      <c r="AJ1158" s="2656"/>
      <c r="AK1158" s="2656"/>
      <c r="AL1158" s="2656"/>
      <c r="AM1158" s="2656"/>
      <c r="AN1158" s="2656"/>
      <c r="AO1158" s="2656"/>
      <c r="AP1158" s="2656"/>
      <c r="AQ1158" s="2656"/>
      <c r="AR1158" s="2656"/>
      <c r="AS1158" s="2656"/>
      <c r="AT1158" s="2656"/>
      <c r="AU1158" s="2656"/>
      <c r="AV1158" s="2656"/>
      <c r="AW1158" s="2656"/>
      <c r="AX1158" s="2656"/>
      <c r="AY1158" s="2656"/>
      <c r="AZ1158" s="2656"/>
      <c r="BA1158" s="2656"/>
      <c r="BB1158" s="2656"/>
      <c r="BC1158" s="2656"/>
      <c r="BD1158" s="2656"/>
      <c r="BE1158" s="2656"/>
      <c r="BF1158" s="2656"/>
      <c r="BG1158" s="2656"/>
      <c r="BH1158" s="2656"/>
      <c r="BI1158" s="2656"/>
    </row>
    <row r="1159" spans="1:61" ht="24.75" customHeight="1">
      <c r="A1159" s="3375"/>
      <c r="B1159" s="2646"/>
      <c r="C1159" s="2647"/>
      <c r="D1159" s="2646"/>
      <c r="E1159" s="3013"/>
      <c r="F1159" s="2655"/>
      <c r="G1159" s="2596"/>
      <c r="H1159" s="4138"/>
      <c r="I1159" s="3375"/>
      <c r="J1159" s="2648"/>
      <c r="K1159" s="3147"/>
      <c r="L1159" s="2785"/>
      <c r="M1159" s="2695"/>
      <c r="N1159" s="2649"/>
      <c r="O1159" s="2655"/>
      <c r="P1159" s="2651"/>
      <c r="Q1159" s="3440"/>
      <c r="R1159" s="3553"/>
      <c r="S1159" s="1407"/>
      <c r="T1159" s="3375"/>
      <c r="U1159" s="2648"/>
      <c r="V1159" s="3554"/>
      <c r="W1159" s="3150"/>
      <c r="X1159" s="2656"/>
      <c r="Y1159" s="2656"/>
      <c r="Z1159" s="2656"/>
      <c r="AA1159" s="2656"/>
      <c r="AB1159" s="2656"/>
      <c r="AC1159" s="2656"/>
      <c r="AD1159" s="2656"/>
      <c r="AE1159" s="2656"/>
      <c r="AF1159" s="2656"/>
      <c r="AG1159" s="2656"/>
      <c r="AH1159" s="2656"/>
      <c r="AI1159" s="2656"/>
      <c r="AJ1159" s="2656"/>
      <c r="AK1159" s="2656"/>
      <c r="AL1159" s="2656"/>
      <c r="AM1159" s="2656"/>
      <c r="AN1159" s="2656"/>
      <c r="AO1159" s="2656"/>
      <c r="AP1159" s="2656"/>
      <c r="AQ1159" s="2656"/>
      <c r="AR1159" s="2656"/>
      <c r="AS1159" s="2656"/>
      <c r="AT1159" s="2656"/>
      <c r="AU1159" s="2656"/>
      <c r="AV1159" s="2656"/>
      <c r="AW1159" s="2656"/>
      <c r="AX1159" s="2656"/>
      <c r="AY1159" s="2656"/>
      <c r="AZ1159" s="2656"/>
      <c r="BA1159" s="2656"/>
      <c r="BB1159" s="2656"/>
      <c r="BC1159" s="2656"/>
      <c r="BD1159" s="2656"/>
      <c r="BE1159" s="2656"/>
      <c r="BF1159" s="2656"/>
      <c r="BG1159" s="2656"/>
      <c r="BH1159" s="2656"/>
      <c r="BI1159" s="2656"/>
    </row>
    <row r="1160" spans="1:61" ht="24.75" customHeight="1">
      <c r="A1160" s="3375"/>
      <c r="B1160" s="2646"/>
      <c r="C1160" s="2647"/>
      <c r="D1160" s="2646"/>
      <c r="E1160" s="3013"/>
      <c r="F1160" s="2655"/>
      <c r="G1160" s="2596"/>
      <c r="H1160" s="4138"/>
      <c r="I1160" s="3375"/>
      <c r="J1160" s="2648"/>
      <c r="K1160" s="3147"/>
      <c r="L1160" s="2785"/>
      <c r="M1160" s="2695"/>
      <c r="N1160" s="2649"/>
      <c r="O1160" s="2655"/>
      <c r="P1160" s="2651"/>
      <c r="Q1160" s="3440"/>
      <c r="R1160" s="3553"/>
      <c r="S1160" s="1407"/>
      <c r="T1160" s="3375"/>
      <c r="U1160" s="2648"/>
      <c r="V1160" s="3554"/>
      <c r="W1160" s="3150"/>
      <c r="X1160" s="2656"/>
      <c r="Y1160" s="2656"/>
      <c r="Z1160" s="2656"/>
      <c r="AA1160" s="2656"/>
      <c r="AB1160" s="2656"/>
      <c r="AC1160" s="2656"/>
      <c r="AD1160" s="2656"/>
      <c r="AE1160" s="2656"/>
      <c r="AF1160" s="2656"/>
      <c r="AG1160" s="2656"/>
      <c r="AH1160" s="2656"/>
      <c r="AI1160" s="2656"/>
      <c r="AJ1160" s="2656"/>
      <c r="AK1160" s="2656"/>
      <c r="AL1160" s="2656"/>
      <c r="AM1160" s="2656"/>
      <c r="AN1160" s="2656"/>
      <c r="AO1160" s="2656"/>
      <c r="AP1160" s="2656"/>
      <c r="AQ1160" s="2656"/>
      <c r="AR1160" s="2656"/>
      <c r="AS1160" s="2656"/>
      <c r="AT1160" s="2656"/>
      <c r="AU1160" s="2656"/>
      <c r="AV1160" s="2656"/>
      <c r="AW1160" s="2656"/>
      <c r="AX1160" s="2656"/>
      <c r="AY1160" s="2656"/>
      <c r="AZ1160" s="2656"/>
      <c r="BA1160" s="2656"/>
      <c r="BB1160" s="2656"/>
      <c r="BC1160" s="2656"/>
      <c r="BD1160" s="2656"/>
      <c r="BE1160" s="2656"/>
      <c r="BF1160" s="2656"/>
      <c r="BG1160" s="2656"/>
      <c r="BH1160" s="2656"/>
      <c r="BI1160" s="2656"/>
    </row>
    <row r="1161" spans="1:61" ht="24.75" customHeight="1">
      <c r="A1161" s="3375"/>
      <c r="B1161" s="2646"/>
      <c r="C1161" s="2647"/>
      <c r="D1161" s="2646"/>
      <c r="E1161" s="3013"/>
      <c r="F1161" s="2655"/>
      <c r="G1161" s="2596"/>
      <c r="H1161" s="4138"/>
      <c r="I1161" s="3375"/>
      <c r="J1161" s="2648"/>
      <c r="K1161" s="3147"/>
      <c r="L1161" s="2785"/>
      <c r="M1161" s="2695"/>
      <c r="N1161" s="2649"/>
      <c r="O1161" s="2655"/>
      <c r="P1161" s="2651"/>
      <c r="Q1161" s="3440"/>
      <c r="R1161" s="3553"/>
      <c r="S1161" s="1407"/>
      <c r="T1161" s="3375"/>
      <c r="U1161" s="2648"/>
      <c r="V1161" s="3554"/>
      <c r="W1161" s="3150"/>
      <c r="X1161" s="2656"/>
      <c r="Y1161" s="2656"/>
      <c r="Z1161" s="2656"/>
      <c r="AA1161" s="2656"/>
      <c r="AB1161" s="2656"/>
      <c r="AC1161" s="2656"/>
      <c r="AD1161" s="2656"/>
      <c r="AE1161" s="2656"/>
      <c r="AF1161" s="2656"/>
      <c r="AG1161" s="2656"/>
      <c r="AH1161" s="2656"/>
      <c r="AI1161" s="2656"/>
      <c r="AJ1161" s="2656"/>
      <c r="AK1161" s="2656"/>
      <c r="AL1161" s="2656"/>
      <c r="AM1161" s="2656"/>
      <c r="AN1161" s="2656"/>
      <c r="AO1161" s="2656"/>
      <c r="AP1161" s="2656"/>
      <c r="AQ1161" s="2656"/>
      <c r="AR1161" s="2656"/>
      <c r="AS1161" s="2656"/>
      <c r="AT1161" s="2656"/>
      <c r="AU1161" s="2656"/>
      <c r="AV1161" s="2656"/>
      <c r="AW1161" s="2656"/>
      <c r="AX1161" s="2656"/>
      <c r="AY1161" s="2656"/>
      <c r="AZ1161" s="2656"/>
      <c r="BA1161" s="2656"/>
      <c r="BB1161" s="2656"/>
      <c r="BC1161" s="2656"/>
      <c r="BD1161" s="2656"/>
      <c r="BE1161" s="2656"/>
      <c r="BF1161" s="2656"/>
      <c r="BG1161" s="2656"/>
      <c r="BH1161" s="2656"/>
      <c r="BI1161" s="2656"/>
    </row>
    <row r="1162" spans="1:61" ht="24.75" customHeight="1">
      <c r="A1162" s="3375"/>
      <c r="B1162" s="2646"/>
      <c r="C1162" s="2647"/>
      <c r="D1162" s="2646"/>
      <c r="E1162" s="3013"/>
      <c r="F1162" s="2655"/>
      <c r="G1162" s="2596"/>
      <c r="H1162" s="4138"/>
      <c r="I1162" s="3375"/>
      <c r="J1162" s="2648"/>
      <c r="K1162" s="3147"/>
      <c r="L1162" s="2785"/>
      <c r="M1162" s="2695"/>
      <c r="N1162" s="2649"/>
      <c r="O1162" s="2655"/>
      <c r="P1162" s="2651"/>
      <c r="Q1162" s="3440"/>
      <c r="R1162" s="3553"/>
      <c r="S1162" s="1407"/>
      <c r="T1162" s="3375"/>
      <c r="U1162" s="2648"/>
      <c r="V1162" s="3554"/>
      <c r="W1162" s="3150"/>
      <c r="X1162" s="2656"/>
      <c r="Y1162" s="2656"/>
      <c r="Z1162" s="2656"/>
      <c r="AA1162" s="2656"/>
      <c r="AB1162" s="2656"/>
      <c r="AC1162" s="2656"/>
      <c r="AD1162" s="2656"/>
      <c r="AE1162" s="2656"/>
      <c r="AF1162" s="2656"/>
      <c r="AG1162" s="2656"/>
      <c r="AH1162" s="2656"/>
      <c r="AI1162" s="2656"/>
      <c r="AJ1162" s="2656"/>
      <c r="AK1162" s="2656"/>
      <c r="AL1162" s="2656"/>
      <c r="AM1162" s="2656"/>
      <c r="AN1162" s="2656"/>
      <c r="AO1162" s="2656"/>
      <c r="AP1162" s="2656"/>
      <c r="AQ1162" s="2656"/>
      <c r="AR1162" s="2656"/>
      <c r="AS1162" s="2656"/>
      <c r="AT1162" s="2656"/>
      <c r="AU1162" s="2656"/>
      <c r="AV1162" s="2656"/>
      <c r="AW1162" s="2656"/>
      <c r="AX1162" s="2656"/>
      <c r="AY1162" s="2656"/>
      <c r="AZ1162" s="2656"/>
      <c r="BA1162" s="2656"/>
      <c r="BB1162" s="2656"/>
      <c r="BC1162" s="2656"/>
      <c r="BD1162" s="2656"/>
      <c r="BE1162" s="2656"/>
      <c r="BF1162" s="2656"/>
      <c r="BG1162" s="2656"/>
      <c r="BH1162" s="2656"/>
      <c r="BI1162" s="2656"/>
    </row>
    <row r="1163" spans="1:61" ht="24.75" customHeight="1">
      <c r="A1163" s="3375"/>
      <c r="B1163" s="2646"/>
      <c r="C1163" s="2647"/>
      <c r="D1163" s="2646"/>
      <c r="E1163" s="3013"/>
      <c r="F1163" s="2655"/>
      <c r="G1163" s="2596"/>
      <c r="H1163" s="4138"/>
      <c r="I1163" s="3375"/>
      <c r="J1163" s="2648"/>
      <c r="K1163" s="3147"/>
      <c r="L1163" s="2785"/>
      <c r="M1163" s="2695"/>
      <c r="N1163" s="2649"/>
      <c r="O1163" s="2655"/>
      <c r="P1163" s="2651"/>
      <c r="Q1163" s="3440"/>
      <c r="R1163" s="3553"/>
      <c r="S1163" s="1407"/>
      <c r="T1163" s="3375"/>
      <c r="U1163" s="2648"/>
      <c r="V1163" s="3554"/>
      <c r="W1163" s="3150"/>
      <c r="X1163" s="2656"/>
      <c r="Y1163" s="2656"/>
      <c r="Z1163" s="2656"/>
      <c r="AA1163" s="2656"/>
      <c r="AB1163" s="2656"/>
      <c r="AC1163" s="2656"/>
      <c r="AD1163" s="2656"/>
      <c r="AE1163" s="2656"/>
      <c r="AF1163" s="2656"/>
      <c r="AG1163" s="2656"/>
      <c r="AH1163" s="2656"/>
      <c r="AI1163" s="2656"/>
      <c r="AJ1163" s="2656"/>
      <c r="AK1163" s="2656"/>
      <c r="AL1163" s="2656"/>
      <c r="AM1163" s="2656"/>
      <c r="AN1163" s="2656"/>
      <c r="AO1163" s="2656"/>
      <c r="AP1163" s="2656"/>
      <c r="AQ1163" s="2656"/>
      <c r="AR1163" s="2656"/>
      <c r="AS1163" s="2656"/>
      <c r="AT1163" s="2656"/>
      <c r="AU1163" s="2656"/>
      <c r="AV1163" s="2656"/>
      <c r="AW1163" s="2656"/>
      <c r="AX1163" s="2656"/>
      <c r="AY1163" s="2656"/>
      <c r="AZ1163" s="2656"/>
      <c r="BA1163" s="2656"/>
      <c r="BB1163" s="2656"/>
      <c r="BC1163" s="2656"/>
      <c r="BD1163" s="2656"/>
      <c r="BE1163" s="2656"/>
      <c r="BF1163" s="2656"/>
      <c r="BG1163" s="2656"/>
      <c r="BH1163" s="2656"/>
      <c r="BI1163" s="2656"/>
    </row>
    <row r="1164" spans="1:61" ht="24.75" customHeight="1">
      <c r="A1164" s="3375"/>
      <c r="B1164" s="2646"/>
      <c r="C1164" s="2647"/>
      <c r="D1164" s="2646"/>
      <c r="E1164" s="3013"/>
      <c r="F1164" s="2655"/>
      <c r="G1164" s="2596"/>
      <c r="H1164" s="4138"/>
      <c r="I1164" s="3375"/>
      <c r="J1164" s="2648"/>
      <c r="K1164" s="3147"/>
      <c r="L1164" s="2785"/>
      <c r="M1164" s="2695"/>
      <c r="N1164" s="2649"/>
      <c r="O1164" s="2655"/>
      <c r="P1164" s="2651"/>
      <c r="Q1164" s="3440"/>
      <c r="R1164" s="3553"/>
      <c r="S1164" s="1407"/>
      <c r="T1164" s="3375"/>
      <c r="U1164" s="2648"/>
      <c r="V1164" s="3554"/>
      <c r="W1164" s="3150"/>
      <c r="X1164" s="2656"/>
      <c r="Y1164" s="2656"/>
      <c r="Z1164" s="2656"/>
      <c r="AA1164" s="2656"/>
      <c r="AB1164" s="2656"/>
      <c r="AC1164" s="2656"/>
      <c r="AD1164" s="2656"/>
      <c r="AE1164" s="2656"/>
      <c r="AF1164" s="2656"/>
      <c r="AG1164" s="2656"/>
      <c r="AH1164" s="2656"/>
      <c r="AI1164" s="2656"/>
      <c r="AJ1164" s="2656"/>
      <c r="AK1164" s="2656"/>
      <c r="AL1164" s="2656"/>
      <c r="AM1164" s="2656"/>
      <c r="AN1164" s="2656"/>
      <c r="AO1164" s="2656"/>
      <c r="AP1164" s="2656"/>
      <c r="AQ1164" s="2656"/>
      <c r="AR1164" s="2656"/>
      <c r="AS1164" s="2656"/>
      <c r="AT1164" s="2656"/>
      <c r="AU1164" s="2656"/>
      <c r="AV1164" s="2656"/>
      <c r="AW1164" s="2656"/>
      <c r="AX1164" s="2656"/>
      <c r="AY1164" s="2656"/>
      <c r="AZ1164" s="2656"/>
      <c r="BA1164" s="2656"/>
      <c r="BB1164" s="2656"/>
      <c r="BC1164" s="2656"/>
      <c r="BD1164" s="2656"/>
      <c r="BE1164" s="2656"/>
      <c r="BF1164" s="2656"/>
      <c r="BG1164" s="2656"/>
      <c r="BH1164" s="2656"/>
      <c r="BI1164" s="2656"/>
    </row>
    <row r="1165" spans="1:61" ht="24.75" customHeight="1">
      <c r="A1165" s="3375"/>
      <c r="B1165" s="2646"/>
      <c r="C1165" s="2647"/>
      <c r="D1165" s="2646"/>
      <c r="E1165" s="3013"/>
      <c r="F1165" s="2655"/>
      <c r="G1165" s="2596"/>
      <c r="H1165" s="4138"/>
      <c r="I1165" s="3375"/>
      <c r="J1165" s="2648"/>
      <c r="K1165" s="3147"/>
      <c r="L1165" s="2785"/>
      <c r="M1165" s="2695"/>
      <c r="N1165" s="2649"/>
      <c r="O1165" s="2655"/>
      <c r="P1165" s="2651"/>
      <c r="Q1165" s="3440"/>
      <c r="R1165" s="3553"/>
      <c r="S1165" s="1407"/>
      <c r="T1165" s="3375"/>
      <c r="U1165" s="2648"/>
      <c r="V1165" s="3554"/>
      <c r="W1165" s="3150"/>
      <c r="X1165" s="2656"/>
      <c r="Y1165" s="2656"/>
      <c r="Z1165" s="2656"/>
      <c r="AA1165" s="2656"/>
      <c r="AB1165" s="2656"/>
      <c r="AC1165" s="2656"/>
      <c r="AD1165" s="2656"/>
      <c r="AE1165" s="2656"/>
      <c r="AF1165" s="2656"/>
      <c r="AG1165" s="2656"/>
      <c r="AH1165" s="2656"/>
      <c r="AI1165" s="2656"/>
      <c r="AJ1165" s="2656"/>
      <c r="AK1165" s="2656"/>
      <c r="AL1165" s="2656"/>
      <c r="AM1165" s="2656"/>
      <c r="AN1165" s="2656"/>
      <c r="AO1165" s="2656"/>
      <c r="AP1165" s="2656"/>
      <c r="AQ1165" s="2656"/>
      <c r="AR1165" s="2656"/>
      <c r="AS1165" s="2656"/>
      <c r="AT1165" s="2656"/>
      <c r="AU1165" s="2656"/>
      <c r="AV1165" s="2656"/>
      <c r="AW1165" s="2656"/>
      <c r="AX1165" s="2656"/>
      <c r="AY1165" s="2656"/>
      <c r="AZ1165" s="2656"/>
      <c r="BA1165" s="2656"/>
      <c r="BB1165" s="2656"/>
      <c r="BC1165" s="2656"/>
      <c r="BD1165" s="2656"/>
      <c r="BE1165" s="2656"/>
      <c r="BF1165" s="2656"/>
      <c r="BG1165" s="2656"/>
      <c r="BH1165" s="2656"/>
      <c r="BI1165" s="2656"/>
    </row>
    <row r="1166" spans="1:61" ht="24.75" customHeight="1">
      <c r="A1166" s="3375"/>
      <c r="B1166" s="2646"/>
      <c r="C1166" s="2647"/>
      <c r="D1166" s="2646"/>
      <c r="E1166" s="3013"/>
      <c r="F1166" s="2655"/>
      <c r="G1166" s="2596"/>
      <c r="H1166" s="4138"/>
      <c r="I1166" s="3375"/>
      <c r="J1166" s="2648"/>
      <c r="K1166" s="3147"/>
      <c r="L1166" s="2785"/>
      <c r="M1166" s="2695"/>
      <c r="N1166" s="2649"/>
      <c r="O1166" s="2655"/>
      <c r="P1166" s="2651"/>
      <c r="Q1166" s="3440"/>
      <c r="R1166" s="3553"/>
      <c r="S1166" s="1407"/>
      <c r="T1166" s="3375"/>
      <c r="U1166" s="2648"/>
      <c r="V1166" s="3554"/>
      <c r="W1166" s="3150"/>
      <c r="X1166" s="2656"/>
      <c r="Y1166" s="2656"/>
      <c r="Z1166" s="2656"/>
      <c r="AA1166" s="2656"/>
      <c r="AB1166" s="2656"/>
      <c r="AC1166" s="2656"/>
      <c r="AD1166" s="2656"/>
      <c r="AE1166" s="2656"/>
      <c r="AF1166" s="2656"/>
      <c r="AG1166" s="2656"/>
      <c r="AH1166" s="2656"/>
      <c r="AI1166" s="2656"/>
      <c r="AJ1166" s="2656"/>
      <c r="AK1166" s="2656"/>
      <c r="AL1166" s="2656"/>
      <c r="AM1166" s="2656"/>
      <c r="AN1166" s="2656"/>
      <c r="AO1166" s="2656"/>
      <c r="AP1166" s="2656"/>
      <c r="AQ1166" s="2656"/>
      <c r="AR1166" s="2656"/>
      <c r="AS1166" s="2656"/>
      <c r="AT1166" s="2656"/>
      <c r="AU1166" s="2656"/>
      <c r="AV1166" s="2656"/>
      <c r="AW1166" s="2656"/>
      <c r="AX1166" s="2656"/>
      <c r="AY1166" s="2656"/>
      <c r="AZ1166" s="2656"/>
      <c r="BA1166" s="2656"/>
      <c r="BB1166" s="2656"/>
      <c r="BC1166" s="2656"/>
      <c r="BD1166" s="2656"/>
      <c r="BE1166" s="2656"/>
      <c r="BF1166" s="2656"/>
      <c r="BG1166" s="2656"/>
      <c r="BH1166" s="2656"/>
      <c r="BI1166" s="2656"/>
    </row>
    <row r="1167" spans="1:61" ht="24.75" customHeight="1">
      <c r="A1167" s="3375"/>
      <c r="B1167" s="2646"/>
      <c r="C1167" s="2647"/>
      <c r="D1167" s="2646"/>
      <c r="E1167" s="3013"/>
      <c r="F1167" s="2655"/>
      <c r="G1167" s="2596"/>
      <c r="H1167" s="4138"/>
      <c r="I1167" s="3375"/>
      <c r="J1167" s="2648"/>
      <c r="K1167" s="3147"/>
      <c r="L1167" s="2785"/>
      <c r="M1167" s="2695"/>
      <c r="N1167" s="2649"/>
      <c r="O1167" s="2655"/>
      <c r="P1167" s="2651"/>
      <c r="Q1167" s="3440"/>
      <c r="R1167" s="3553"/>
      <c r="S1167" s="1407"/>
      <c r="T1167" s="3375"/>
      <c r="U1167" s="2648"/>
      <c r="V1167" s="3554"/>
      <c r="W1167" s="3150"/>
      <c r="X1167" s="2656"/>
      <c r="Y1167" s="2656"/>
      <c r="Z1167" s="2656"/>
      <c r="AA1167" s="2656"/>
      <c r="AB1167" s="2656"/>
      <c r="AC1167" s="2656"/>
      <c r="AD1167" s="2656"/>
      <c r="AE1167" s="2656"/>
      <c r="AF1167" s="2656"/>
      <c r="AG1167" s="2656"/>
      <c r="AH1167" s="2656"/>
      <c r="AI1167" s="2656"/>
      <c r="AJ1167" s="2656"/>
      <c r="AK1167" s="2656"/>
      <c r="AL1167" s="2656"/>
      <c r="AM1167" s="2656"/>
      <c r="AN1167" s="2656"/>
      <c r="AO1167" s="2656"/>
      <c r="AP1167" s="2656"/>
      <c r="AQ1167" s="2656"/>
      <c r="AR1167" s="2656"/>
      <c r="AS1167" s="2656"/>
      <c r="AT1167" s="2656"/>
      <c r="AU1167" s="2656"/>
      <c r="AV1167" s="2656"/>
      <c r="AW1167" s="2656"/>
      <c r="AX1167" s="2656"/>
      <c r="AY1167" s="2656"/>
      <c r="AZ1167" s="2656"/>
      <c r="BA1167" s="2656"/>
      <c r="BB1167" s="2656"/>
      <c r="BC1167" s="2656"/>
      <c r="BD1167" s="2656"/>
      <c r="BE1167" s="2656"/>
      <c r="BF1167" s="2656"/>
      <c r="BG1167" s="2656"/>
      <c r="BH1167" s="2656"/>
      <c r="BI1167" s="2656"/>
    </row>
    <row r="1168" spans="1:61" ht="24.75" customHeight="1">
      <c r="A1168" s="3375"/>
      <c r="B1168" s="2646"/>
      <c r="C1168" s="2647"/>
      <c r="D1168" s="2646"/>
      <c r="E1168" s="3013"/>
      <c r="F1168" s="2655"/>
      <c r="G1168" s="2596"/>
      <c r="H1168" s="4138"/>
      <c r="I1168" s="3375"/>
      <c r="J1168" s="2648"/>
      <c r="K1168" s="3147"/>
      <c r="L1168" s="2785"/>
      <c r="M1168" s="2695"/>
      <c r="N1168" s="2649"/>
      <c r="O1168" s="2655"/>
      <c r="P1168" s="2651"/>
      <c r="Q1168" s="3440"/>
      <c r="R1168" s="3553"/>
      <c r="S1168" s="1407"/>
      <c r="T1168" s="3375"/>
      <c r="U1168" s="2648"/>
      <c r="V1168" s="3554"/>
      <c r="W1168" s="3150"/>
      <c r="X1168" s="2656"/>
      <c r="Y1168" s="2656"/>
      <c r="Z1168" s="2656"/>
      <c r="AA1168" s="2656"/>
      <c r="AB1168" s="2656"/>
      <c r="AC1168" s="2656"/>
      <c r="AD1168" s="2656"/>
      <c r="AE1168" s="2656"/>
      <c r="AF1168" s="2656"/>
      <c r="AG1168" s="2656"/>
      <c r="AH1168" s="2656"/>
      <c r="AI1168" s="2656"/>
      <c r="AJ1168" s="2656"/>
      <c r="AK1168" s="2656"/>
      <c r="AL1168" s="2656"/>
      <c r="AM1168" s="2656"/>
      <c r="AN1168" s="2656"/>
      <c r="AO1168" s="2656"/>
      <c r="AP1168" s="2656"/>
      <c r="AQ1168" s="2656"/>
      <c r="AR1168" s="2656"/>
      <c r="AS1168" s="2656"/>
      <c r="AT1168" s="2656"/>
      <c r="AU1168" s="2656"/>
      <c r="AV1168" s="2656"/>
      <c r="AW1168" s="2656"/>
      <c r="AX1168" s="2656"/>
      <c r="AY1168" s="2656"/>
      <c r="AZ1168" s="2656"/>
      <c r="BA1168" s="2656"/>
      <c r="BB1168" s="2656"/>
      <c r="BC1168" s="2656"/>
      <c r="BD1168" s="2656"/>
      <c r="BE1168" s="2656"/>
      <c r="BF1168" s="2656"/>
      <c r="BG1168" s="2656"/>
      <c r="BH1168" s="2656"/>
      <c r="BI1168" s="2656"/>
    </row>
    <row r="1169" spans="1:61" ht="24.75" customHeight="1">
      <c r="A1169" s="3375"/>
      <c r="B1169" s="2646"/>
      <c r="C1169" s="2647"/>
      <c r="D1169" s="2646"/>
      <c r="E1169" s="3013"/>
      <c r="F1169" s="2655"/>
      <c r="G1169" s="2596"/>
      <c r="H1169" s="4138"/>
      <c r="I1169" s="3375"/>
      <c r="J1169" s="2648"/>
      <c r="K1169" s="3147"/>
      <c r="L1169" s="2785"/>
      <c r="M1169" s="2695"/>
      <c r="N1169" s="2649"/>
      <c r="O1169" s="2655"/>
      <c r="P1169" s="2651"/>
      <c r="Q1169" s="3440"/>
      <c r="R1169" s="3553"/>
      <c r="S1169" s="1407"/>
      <c r="T1169" s="3375"/>
      <c r="U1169" s="2648"/>
      <c r="V1169" s="3554"/>
      <c r="W1169" s="3150"/>
      <c r="X1169" s="2656"/>
      <c r="Y1169" s="2656"/>
      <c r="Z1169" s="2656"/>
      <c r="AA1169" s="2656"/>
      <c r="AB1169" s="2656"/>
      <c r="AC1169" s="2656"/>
      <c r="AD1169" s="2656"/>
      <c r="AE1169" s="2656"/>
      <c r="AF1169" s="2656"/>
      <c r="AG1169" s="2656"/>
      <c r="AH1169" s="2656"/>
      <c r="AI1169" s="2656"/>
      <c r="AJ1169" s="2656"/>
      <c r="AK1169" s="2656"/>
      <c r="AL1169" s="2656"/>
      <c r="AM1169" s="2656"/>
      <c r="AN1169" s="2656"/>
      <c r="AO1169" s="2656"/>
      <c r="AP1169" s="2656"/>
      <c r="AQ1169" s="2656"/>
      <c r="AR1169" s="2656"/>
      <c r="AS1169" s="2656"/>
      <c r="AT1169" s="2656"/>
      <c r="AU1169" s="2656"/>
      <c r="AV1169" s="2656"/>
      <c r="AW1169" s="2656"/>
      <c r="AX1169" s="2656"/>
      <c r="AY1169" s="2656"/>
      <c r="AZ1169" s="2656"/>
      <c r="BA1169" s="2656"/>
      <c r="BB1169" s="2656"/>
      <c r="BC1169" s="2656"/>
      <c r="BD1169" s="2656"/>
      <c r="BE1169" s="2656"/>
      <c r="BF1169" s="2656"/>
      <c r="BG1169" s="2656"/>
      <c r="BH1169" s="2656"/>
      <c r="BI1169" s="2656"/>
    </row>
    <row r="1170" spans="1:61" ht="24.75" customHeight="1">
      <c r="A1170" s="3375"/>
      <c r="B1170" s="2646"/>
      <c r="C1170" s="2647"/>
      <c r="D1170" s="2646"/>
      <c r="E1170" s="3013"/>
      <c r="F1170" s="2655"/>
      <c r="G1170" s="2596"/>
      <c r="H1170" s="4138"/>
      <c r="I1170" s="3375"/>
      <c r="J1170" s="2648"/>
      <c r="K1170" s="3147"/>
      <c r="L1170" s="2785"/>
      <c r="M1170" s="2695"/>
      <c r="N1170" s="2649"/>
      <c r="O1170" s="2655"/>
      <c r="P1170" s="2651"/>
      <c r="Q1170" s="3440"/>
      <c r="R1170" s="3553"/>
      <c r="S1170" s="1407"/>
      <c r="T1170" s="3375"/>
      <c r="U1170" s="2648"/>
      <c r="V1170" s="3554"/>
      <c r="W1170" s="3150"/>
      <c r="X1170" s="2656"/>
      <c r="Y1170" s="2656"/>
      <c r="Z1170" s="2656"/>
      <c r="AA1170" s="2656"/>
      <c r="AB1170" s="2656"/>
      <c r="AC1170" s="2656"/>
      <c r="AD1170" s="2656"/>
      <c r="AE1170" s="2656"/>
      <c r="AF1170" s="2656"/>
      <c r="AG1170" s="2656"/>
      <c r="AH1170" s="2656"/>
      <c r="AI1170" s="2656"/>
      <c r="AJ1170" s="2656"/>
      <c r="AK1170" s="2656"/>
      <c r="AL1170" s="2656"/>
      <c r="AM1170" s="2656"/>
      <c r="AN1170" s="2656"/>
      <c r="AO1170" s="2656"/>
      <c r="AP1170" s="2656"/>
      <c r="AQ1170" s="2656"/>
      <c r="AR1170" s="2656"/>
      <c r="AS1170" s="2656"/>
      <c r="AT1170" s="2656"/>
      <c r="AU1170" s="2656"/>
      <c r="AV1170" s="2656"/>
      <c r="AW1170" s="2656"/>
      <c r="AX1170" s="2656"/>
      <c r="AY1170" s="2656"/>
      <c r="AZ1170" s="2656"/>
      <c r="BA1170" s="2656"/>
      <c r="BB1170" s="2656"/>
      <c r="BC1170" s="2656"/>
      <c r="BD1170" s="2656"/>
      <c r="BE1170" s="2656"/>
      <c r="BF1170" s="2656"/>
      <c r="BG1170" s="2656"/>
      <c r="BH1170" s="2656"/>
      <c r="BI1170" s="2656"/>
    </row>
    <row r="1171" spans="1:61" ht="24.75" customHeight="1">
      <c r="A1171" s="3375"/>
      <c r="B1171" s="2646"/>
      <c r="C1171" s="2647"/>
      <c r="D1171" s="2646"/>
      <c r="E1171" s="3013"/>
      <c r="F1171" s="2655"/>
      <c r="G1171" s="2596"/>
      <c r="H1171" s="4138"/>
      <c r="I1171" s="3375"/>
      <c r="J1171" s="2648"/>
      <c r="K1171" s="3147"/>
      <c r="L1171" s="2785"/>
      <c r="M1171" s="2695"/>
      <c r="N1171" s="2649"/>
      <c r="O1171" s="2655"/>
      <c r="P1171" s="2651"/>
      <c r="Q1171" s="3440"/>
      <c r="R1171" s="3553"/>
      <c r="S1171" s="1407"/>
      <c r="T1171" s="3375"/>
      <c r="U1171" s="2648"/>
      <c r="V1171" s="3554"/>
      <c r="W1171" s="3150"/>
      <c r="X1171" s="2656"/>
      <c r="Y1171" s="2656"/>
      <c r="Z1171" s="2656"/>
      <c r="AA1171" s="2656"/>
      <c r="AB1171" s="2656"/>
      <c r="AC1171" s="2656"/>
      <c r="AD1171" s="2656"/>
      <c r="AE1171" s="2656"/>
      <c r="AF1171" s="2656"/>
      <c r="AG1171" s="2656"/>
      <c r="AH1171" s="2656"/>
      <c r="AI1171" s="2656"/>
      <c r="AJ1171" s="2656"/>
      <c r="AK1171" s="2656"/>
      <c r="AL1171" s="2656"/>
      <c r="AM1171" s="2656"/>
      <c r="AN1171" s="2656"/>
      <c r="AO1171" s="2656"/>
      <c r="AP1171" s="2656"/>
      <c r="AQ1171" s="2656"/>
      <c r="AR1171" s="2656"/>
      <c r="AS1171" s="2656"/>
      <c r="AT1171" s="2656"/>
      <c r="AU1171" s="2656"/>
      <c r="AV1171" s="2656"/>
      <c r="AW1171" s="2656"/>
      <c r="AX1171" s="2656"/>
      <c r="AY1171" s="2656"/>
      <c r="AZ1171" s="2656"/>
      <c r="BA1171" s="2656"/>
      <c r="BB1171" s="2656"/>
      <c r="BC1171" s="2656"/>
      <c r="BD1171" s="2656"/>
      <c r="BE1171" s="2656"/>
      <c r="BF1171" s="2656"/>
      <c r="BG1171" s="2656"/>
      <c r="BH1171" s="2656"/>
      <c r="BI1171" s="2656"/>
    </row>
    <row r="1172" spans="1:61" ht="24.75" customHeight="1">
      <c r="A1172" s="3375"/>
      <c r="B1172" s="2646"/>
      <c r="C1172" s="2647"/>
      <c r="D1172" s="2646"/>
      <c r="E1172" s="3013"/>
      <c r="F1172" s="2655"/>
      <c r="G1172" s="2596"/>
      <c r="H1172" s="4138"/>
      <c r="I1172" s="3375"/>
      <c r="J1172" s="2648"/>
      <c r="K1172" s="3147"/>
      <c r="L1172" s="2785"/>
      <c r="M1172" s="2695"/>
      <c r="N1172" s="2649"/>
      <c r="O1172" s="2655"/>
      <c r="P1172" s="2651"/>
      <c r="Q1172" s="3440"/>
      <c r="R1172" s="3553"/>
      <c r="S1172" s="1407"/>
      <c r="T1172" s="3375"/>
      <c r="U1172" s="2648"/>
      <c r="V1172" s="3554"/>
      <c r="W1172" s="3150"/>
      <c r="X1172" s="2656"/>
      <c r="Y1172" s="2656"/>
      <c r="Z1172" s="2656"/>
      <c r="AA1172" s="2656"/>
      <c r="AB1172" s="2656"/>
      <c r="AC1172" s="2656"/>
      <c r="AD1172" s="2656"/>
      <c r="AE1172" s="2656"/>
      <c r="AF1172" s="2656"/>
      <c r="AG1172" s="2656"/>
      <c r="AH1172" s="2656"/>
      <c r="AI1172" s="2656"/>
      <c r="AJ1172" s="2656"/>
      <c r="AK1172" s="2656"/>
      <c r="AL1172" s="2656"/>
      <c r="AM1172" s="2656"/>
      <c r="AN1172" s="2656"/>
      <c r="AO1172" s="2656"/>
      <c r="AP1172" s="2656"/>
      <c r="AQ1172" s="2656"/>
      <c r="AR1172" s="2656"/>
      <c r="AS1172" s="2656"/>
      <c r="AT1172" s="2656"/>
      <c r="AU1172" s="2656"/>
      <c r="AV1172" s="2656"/>
      <c r="AW1172" s="2656"/>
      <c r="AX1172" s="2656"/>
      <c r="AY1172" s="2656"/>
      <c r="AZ1172" s="2656"/>
      <c r="BA1172" s="2656"/>
      <c r="BB1172" s="2656"/>
      <c r="BC1172" s="2656"/>
      <c r="BD1172" s="2656"/>
      <c r="BE1172" s="2656"/>
      <c r="BF1172" s="2656"/>
      <c r="BG1172" s="2656"/>
      <c r="BH1172" s="2656"/>
      <c r="BI1172" s="2656"/>
    </row>
    <row r="1173" spans="1:61" ht="24.75" customHeight="1">
      <c r="A1173" s="3375"/>
      <c r="B1173" s="2646"/>
      <c r="C1173" s="2647"/>
      <c r="D1173" s="2646"/>
      <c r="E1173" s="3013"/>
      <c r="F1173" s="2655"/>
      <c r="G1173" s="2596"/>
      <c r="H1173" s="4138"/>
      <c r="I1173" s="3375"/>
      <c r="J1173" s="2648"/>
      <c r="K1173" s="3147"/>
      <c r="L1173" s="2785"/>
      <c r="M1173" s="2695"/>
      <c r="N1173" s="2649"/>
      <c r="O1173" s="2655"/>
      <c r="P1173" s="2651"/>
      <c r="Q1173" s="3440"/>
      <c r="R1173" s="3553"/>
      <c r="S1173" s="1407"/>
      <c r="T1173" s="3375"/>
      <c r="U1173" s="2648"/>
      <c r="V1173" s="3554"/>
      <c r="W1173" s="3150"/>
      <c r="X1173" s="2656"/>
      <c r="Y1173" s="2656"/>
      <c r="Z1173" s="2656"/>
      <c r="AA1173" s="2656"/>
      <c r="AB1173" s="2656"/>
      <c r="AC1173" s="2656"/>
      <c r="AD1173" s="2656"/>
      <c r="AE1173" s="2656"/>
      <c r="AF1173" s="2656"/>
      <c r="AG1173" s="2656"/>
      <c r="AH1173" s="2656"/>
      <c r="AI1173" s="2656"/>
      <c r="AJ1173" s="2656"/>
      <c r="AK1173" s="2656"/>
      <c r="AL1173" s="2656"/>
      <c r="AM1173" s="2656"/>
      <c r="AN1173" s="2656"/>
      <c r="AO1173" s="2656"/>
      <c r="AP1173" s="2656"/>
      <c r="AQ1173" s="2656"/>
      <c r="AR1173" s="2656"/>
      <c r="AS1173" s="2656"/>
      <c r="AT1173" s="2656"/>
      <c r="AU1173" s="2656"/>
      <c r="AV1173" s="2656"/>
      <c r="AW1173" s="2656"/>
      <c r="AX1173" s="2656"/>
      <c r="AY1173" s="2656"/>
      <c r="AZ1173" s="2656"/>
      <c r="BA1173" s="2656"/>
      <c r="BB1173" s="2656"/>
      <c r="BC1173" s="2656"/>
      <c r="BD1173" s="2656"/>
      <c r="BE1173" s="2656"/>
      <c r="BF1173" s="2656"/>
      <c r="BG1173" s="2656"/>
      <c r="BH1173" s="2656"/>
      <c r="BI1173" s="2656"/>
    </row>
    <row r="1174" spans="1:61" ht="24.75" customHeight="1">
      <c r="A1174" s="3375"/>
      <c r="B1174" s="2646"/>
      <c r="C1174" s="2647"/>
      <c r="D1174" s="2646"/>
      <c r="E1174" s="3013"/>
      <c r="F1174" s="2655"/>
      <c r="G1174" s="2596"/>
      <c r="H1174" s="4138"/>
      <c r="I1174" s="3375"/>
      <c r="J1174" s="2648"/>
      <c r="K1174" s="3147"/>
      <c r="L1174" s="2785"/>
      <c r="M1174" s="2695"/>
      <c r="N1174" s="2649"/>
      <c r="O1174" s="2655"/>
      <c r="P1174" s="2651"/>
      <c r="Q1174" s="3440"/>
      <c r="R1174" s="3553"/>
      <c r="S1174" s="1407"/>
      <c r="T1174" s="3375"/>
      <c r="U1174" s="2648"/>
      <c r="V1174" s="3554"/>
      <c r="W1174" s="3150"/>
      <c r="X1174" s="2656"/>
      <c r="Y1174" s="2656"/>
      <c r="Z1174" s="2656"/>
      <c r="AA1174" s="2656"/>
      <c r="AB1174" s="2656"/>
      <c r="AC1174" s="2656"/>
      <c r="AD1174" s="2656"/>
      <c r="AE1174" s="2656"/>
      <c r="AF1174" s="2656"/>
      <c r="AG1174" s="2656"/>
      <c r="AH1174" s="2656"/>
      <c r="AI1174" s="2656"/>
      <c r="AJ1174" s="2656"/>
      <c r="AK1174" s="2656"/>
      <c r="AL1174" s="2656"/>
      <c r="AM1174" s="2656"/>
      <c r="AN1174" s="2656"/>
      <c r="AO1174" s="2656"/>
      <c r="AP1174" s="2656"/>
      <c r="AQ1174" s="2656"/>
      <c r="AR1174" s="2656"/>
      <c r="AS1174" s="2656"/>
      <c r="AT1174" s="2656"/>
      <c r="AU1174" s="2656"/>
      <c r="AV1174" s="2656"/>
      <c r="AW1174" s="2656"/>
      <c r="AX1174" s="2656"/>
      <c r="AY1174" s="2656"/>
      <c r="AZ1174" s="2656"/>
      <c r="BA1174" s="2656"/>
      <c r="BB1174" s="2656"/>
      <c r="BC1174" s="2656"/>
      <c r="BD1174" s="2656"/>
      <c r="BE1174" s="2656"/>
      <c r="BF1174" s="2656"/>
      <c r="BG1174" s="2656"/>
      <c r="BH1174" s="2656"/>
      <c r="BI1174" s="2656"/>
    </row>
    <row r="1175" spans="1:61" ht="24.75" customHeight="1">
      <c r="A1175" s="3375"/>
      <c r="B1175" s="2646"/>
      <c r="C1175" s="2647"/>
      <c r="D1175" s="2646"/>
      <c r="E1175" s="3013"/>
      <c r="F1175" s="2655"/>
      <c r="G1175" s="2596"/>
      <c r="H1175" s="4138"/>
      <c r="I1175" s="3375"/>
      <c r="J1175" s="2648"/>
      <c r="K1175" s="3147"/>
      <c r="L1175" s="2785"/>
      <c r="M1175" s="2695"/>
      <c r="N1175" s="2649"/>
      <c r="O1175" s="2655"/>
      <c r="P1175" s="2651"/>
      <c r="Q1175" s="3440"/>
      <c r="R1175" s="3553"/>
      <c r="S1175" s="1407"/>
      <c r="T1175" s="3375"/>
      <c r="U1175" s="2648"/>
      <c r="V1175" s="3554"/>
      <c r="W1175" s="3150"/>
      <c r="X1175" s="2656"/>
      <c r="Y1175" s="2656"/>
      <c r="Z1175" s="2656"/>
      <c r="AA1175" s="2656"/>
      <c r="AB1175" s="2656"/>
      <c r="AC1175" s="2656"/>
      <c r="AD1175" s="2656"/>
      <c r="AE1175" s="2656"/>
      <c r="AF1175" s="2656"/>
      <c r="AG1175" s="2656"/>
      <c r="AH1175" s="2656"/>
      <c r="AI1175" s="2656"/>
      <c r="AJ1175" s="2656"/>
      <c r="AK1175" s="2656"/>
      <c r="AL1175" s="2656"/>
      <c r="AM1175" s="2656"/>
      <c r="AN1175" s="2656"/>
      <c r="AO1175" s="2656"/>
      <c r="AP1175" s="2656"/>
      <c r="AQ1175" s="2656"/>
      <c r="AR1175" s="2656"/>
      <c r="AS1175" s="2656"/>
      <c r="AT1175" s="2656"/>
      <c r="AU1175" s="2656"/>
      <c r="AV1175" s="2656"/>
      <c r="AW1175" s="2656"/>
      <c r="AX1175" s="2656"/>
      <c r="AY1175" s="2656"/>
      <c r="AZ1175" s="2656"/>
      <c r="BA1175" s="2656"/>
      <c r="BB1175" s="2656"/>
      <c r="BC1175" s="2656"/>
      <c r="BD1175" s="2656"/>
      <c r="BE1175" s="2656"/>
      <c r="BF1175" s="2656"/>
      <c r="BG1175" s="2656"/>
      <c r="BH1175" s="2656"/>
      <c r="BI1175" s="2656"/>
    </row>
    <row r="1176" spans="1:61" ht="24.75" customHeight="1">
      <c r="A1176" s="3375"/>
      <c r="B1176" s="2646"/>
      <c r="C1176" s="2647"/>
      <c r="D1176" s="2646"/>
      <c r="E1176" s="3013"/>
      <c r="F1176" s="2655"/>
      <c r="G1176" s="2596"/>
      <c r="H1176" s="4138"/>
      <c r="I1176" s="3375"/>
      <c r="J1176" s="2648"/>
      <c r="K1176" s="3147"/>
      <c r="L1176" s="2785"/>
      <c r="M1176" s="2695"/>
      <c r="N1176" s="2649"/>
      <c r="O1176" s="2655"/>
      <c r="P1176" s="2651"/>
      <c r="Q1176" s="3440"/>
      <c r="R1176" s="3553"/>
      <c r="S1176" s="1407"/>
      <c r="T1176" s="3375"/>
      <c r="U1176" s="2648"/>
      <c r="V1176" s="3554"/>
      <c r="W1176" s="3150"/>
      <c r="X1176" s="2656"/>
      <c r="Y1176" s="2656"/>
      <c r="Z1176" s="2656"/>
      <c r="AA1176" s="2656"/>
      <c r="AB1176" s="2656"/>
      <c r="AC1176" s="2656"/>
      <c r="AD1176" s="2656"/>
      <c r="AE1176" s="2656"/>
      <c r="AF1176" s="2656"/>
      <c r="AG1176" s="2656"/>
      <c r="AH1176" s="2656"/>
      <c r="AI1176" s="2656"/>
      <c r="AJ1176" s="2656"/>
      <c r="AK1176" s="2656"/>
      <c r="AL1176" s="2656"/>
      <c r="AM1176" s="2656"/>
      <c r="AN1176" s="2656"/>
      <c r="AO1176" s="2656"/>
      <c r="AP1176" s="2656"/>
      <c r="AQ1176" s="2656"/>
      <c r="AR1176" s="2656"/>
      <c r="AS1176" s="2656"/>
      <c r="AT1176" s="2656"/>
      <c r="AU1176" s="2656"/>
      <c r="AV1176" s="2656"/>
      <c r="AW1176" s="2656"/>
      <c r="AX1176" s="2656"/>
      <c r="AY1176" s="2656"/>
      <c r="AZ1176" s="2656"/>
      <c r="BA1176" s="2656"/>
      <c r="BB1176" s="2656"/>
      <c r="BC1176" s="2656"/>
      <c r="BD1176" s="2656"/>
      <c r="BE1176" s="2656"/>
      <c r="BF1176" s="2656"/>
      <c r="BG1176" s="2656"/>
      <c r="BH1176" s="2656"/>
      <c r="BI1176" s="2656"/>
    </row>
    <row r="1177" spans="1:61" ht="24.75" customHeight="1">
      <c r="A1177" s="3375"/>
      <c r="B1177" s="2646"/>
      <c r="C1177" s="2647"/>
      <c r="D1177" s="2646"/>
      <c r="E1177" s="3013"/>
      <c r="F1177" s="2655"/>
      <c r="G1177" s="2596"/>
      <c r="H1177" s="4138"/>
      <c r="I1177" s="3375"/>
      <c r="J1177" s="2648"/>
      <c r="K1177" s="3147"/>
      <c r="L1177" s="2785"/>
      <c r="M1177" s="2695"/>
      <c r="N1177" s="2649"/>
      <c r="O1177" s="2655"/>
      <c r="P1177" s="2651"/>
      <c r="Q1177" s="3440"/>
      <c r="R1177" s="3553"/>
      <c r="S1177" s="1407"/>
      <c r="T1177" s="3375"/>
      <c r="U1177" s="2648"/>
      <c r="V1177" s="3554"/>
      <c r="W1177" s="3150"/>
      <c r="X1177" s="2656"/>
      <c r="Y1177" s="2656"/>
      <c r="Z1177" s="2656"/>
      <c r="AA1177" s="2656"/>
      <c r="AB1177" s="2656"/>
      <c r="AC1177" s="2656"/>
      <c r="AD1177" s="2656"/>
      <c r="AE1177" s="2656"/>
      <c r="AF1177" s="2656"/>
      <c r="AG1177" s="2656"/>
      <c r="AH1177" s="2656"/>
      <c r="AI1177" s="2656"/>
      <c r="AJ1177" s="2656"/>
      <c r="AK1177" s="2656"/>
      <c r="AL1177" s="2656"/>
      <c r="AM1177" s="2656"/>
      <c r="AN1177" s="2656"/>
      <c r="AO1177" s="2656"/>
      <c r="AP1177" s="2656"/>
      <c r="AQ1177" s="2656"/>
      <c r="AR1177" s="2656"/>
      <c r="AS1177" s="2656"/>
      <c r="AT1177" s="2656"/>
      <c r="AU1177" s="2656"/>
      <c r="AV1177" s="2656"/>
      <c r="AW1177" s="2656"/>
      <c r="AX1177" s="2656"/>
      <c r="AY1177" s="2656"/>
      <c r="AZ1177" s="2656"/>
      <c r="BA1177" s="2656"/>
      <c r="BB1177" s="2656"/>
      <c r="BC1177" s="2656"/>
      <c r="BD1177" s="2656"/>
      <c r="BE1177" s="2656"/>
      <c r="BF1177" s="2656"/>
      <c r="BG1177" s="2656"/>
      <c r="BH1177" s="2656"/>
      <c r="BI1177" s="2656"/>
    </row>
    <row r="1178" spans="1:61" ht="24.75" customHeight="1">
      <c r="A1178" s="3375"/>
      <c r="B1178" s="2646"/>
      <c r="C1178" s="2647"/>
      <c r="D1178" s="2646"/>
      <c r="E1178" s="3013"/>
      <c r="F1178" s="2655"/>
      <c r="G1178" s="2596"/>
      <c r="H1178" s="4138"/>
      <c r="I1178" s="3375"/>
      <c r="J1178" s="2648"/>
      <c r="K1178" s="3147"/>
      <c r="L1178" s="2785"/>
      <c r="M1178" s="2695"/>
      <c r="N1178" s="2649"/>
      <c r="O1178" s="2655"/>
      <c r="P1178" s="2651"/>
      <c r="Q1178" s="3440"/>
      <c r="R1178" s="3553"/>
      <c r="S1178" s="1407"/>
      <c r="T1178" s="3375"/>
      <c r="U1178" s="2648"/>
      <c r="V1178" s="3554"/>
      <c r="W1178" s="3150"/>
      <c r="X1178" s="2656"/>
      <c r="Y1178" s="2656"/>
      <c r="Z1178" s="2656"/>
      <c r="AA1178" s="2656"/>
      <c r="AB1178" s="2656"/>
      <c r="AC1178" s="2656"/>
      <c r="AD1178" s="2656"/>
      <c r="AE1178" s="2656"/>
      <c r="AF1178" s="2656"/>
      <c r="AG1178" s="2656"/>
      <c r="AH1178" s="2656"/>
      <c r="AI1178" s="2656"/>
      <c r="AJ1178" s="2656"/>
      <c r="AK1178" s="2656"/>
      <c r="AL1178" s="2656"/>
      <c r="AM1178" s="2656"/>
      <c r="AN1178" s="2656"/>
      <c r="AO1178" s="2656"/>
      <c r="AP1178" s="2656"/>
      <c r="AQ1178" s="2656"/>
      <c r="AR1178" s="2656"/>
      <c r="AS1178" s="2656"/>
      <c r="AT1178" s="2656"/>
      <c r="AU1178" s="2656"/>
      <c r="AV1178" s="2656"/>
      <c r="AW1178" s="2656"/>
      <c r="AX1178" s="2656"/>
      <c r="AY1178" s="2656"/>
      <c r="AZ1178" s="2656"/>
      <c r="BA1178" s="2656"/>
      <c r="BB1178" s="2656"/>
      <c r="BC1178" s="2656"/>
      <c r="BD1178" s="2656"/>
      <c r="BE1178" s="2656"/>
      <c r="BF1178" s="2656"/>
      <c r="BG1178" s="2656"/>
      <c r="BH1178" s="2656"/>
      <c r="BI1178" s="2656"/>
    </row>
    <row r="1179" spans="1:61" ht="24.75" customHeight="1">
      <c r="A1179" s="3375"/>
      <c r="B1179" s="2646"/>
      <c r="C1179" s="2647"/>
      <c r="D1179" s="2646"/>
      <c r="E1179" s="3013"/>
      <c r="F1179" s="2655"/>
      <c r="G1179" s="2596"/>
      <c r="H1179" s="4138"/>
      <c r="I1179" s="3375"/>
      <c r="J1179" s="2648"/>
      <c r="K1179" s="3147"/>
      <c r="L1179" s="2785"/>
      <c r="M1179" s="2695"/>
      <c r="N1179" s="2649"/>
      <c r="O1179" s="2655"/>
      <c r="P1179" s="2651"/>
      <c r="Q1179" s="3440"/>
      <c r="R1179" s="3553"/>
      <c r="S1179" s="1407"/>
      <c r="T1179" s="3375"/>
      <c r="U1179" s="2648"/>
      <c r="V1179" s="3554"/>
      <c r="W1179" s="3150"/>
      <c r="X1179" s="2656"/>
      <c r="Y1179" s="2656"/>
      <c r="Z1179" s="2656"/>
      <c r="AA1179" s="2656"/>
      <c r="AB1179" s="2656"/>
      <c r="AC1179" s="2656"/>
      <c r="AD1179" s="2656"/>
      <c r="AE1179" s="2656"/>
      <c r="AF1179" s="2656"/>
      <c r="AG1179" s="2656"/>
      <c r="AH1179" s="2656"/>
      <c r="AI1179" s="2656"/>
      <c r="AJ1179" s="2656"/>
      <c r="AK1179" s="2656"/>
      <c r="AL1179" s="2656"/>
      <c r="AM1179" s="2656"/>
      <c r="AN1179" s="2656"/>
      <c r="AO1179" s="2656"/>
      <c r="AP1179" s="2656"/>
      <c r="AQ1179" s="2656"/>
      <c r="AR1179" s="2656"/>
      <c r="AS1179" s="2656"/>
      <c r="AT1179" s="2656"/>
      <c r="AU1179" s="2656"/>
      <c r="AV1179" s="2656"/>
      <c r="AW1179" s="2656"/>
      <c r="AX1179" s="2656"/>
      <c r="AY1179" s="2656"/>
      <c r="AZ1179" s="2656"/>
      <c r="BA1179" s="2656"/>
      <c r="BB1179" s="2656"/>
      <c r="BC1179" s="2656"/>
      <c r="BD1179" s="2656"/>
      <c r="BE1179" s="2656"/>
      <c r="BF1179" s="2656"/>
      <c r="BG1179" s="2656"/>
      <c r="BH1179" s="2656"/>
      <c r="BI1179" s="2656"/>
    </row>
    <row r="1180" spans="1:61" ht="24.75" customHeight="1">
      <c r="A1180" s="3375"/>
      <c r="B1180" s="2646"/>
      <c r="C1180" s="2647"/>
      <c r="D1180" s="2646"/>
      <c r="E1180" s="3013"/>
      <c r="F1180" s="2655"/>
      <c r="G1180" s="2596"/>
      <c r="H1180" s="4138"/>
      <c r="I1180" s="3375"/>
      <c r="J1180" s="2648"/>
      <c r="K1180" s="3147"/>
      <c r="L1180" s="2785"/>
      <c r="M1180" s="2695"/>
      <c r="N1180" s="2649"/>
      <c r="O1180" s="2655"/>
      <c r="P1180" s="2651"/>
      <c r="Q1180" s="3440"/>
      <c r="R1180" s="3553"/>
      <c r="S1180" s="1407"/>
      <c r="T1180" s="3375"/>
      <c r="U1180" s="2648"/>
      <c r="V1180" s="3554"/>
      <c r="W1180" s="3150"/>
      <c r="X1180" s="2656"/>
      <c r="Y1180" s="2656"/>
      <c r="Z1180" s="2656"/>
      <c r="AA1180" s="2656"/>
      <c r="AB1180" s="2656"/>
      <c r="AC1180" s="2656"/>
      <c r="AD1180" s="2656"/>
      <c r="AE1180" s="2656"/>
      <c r="AF1180" s="2656"/>
      <c r="AG1180" s="2656"/>
      <c r="AH1180" s="2656"/>
      <c r="AI1180" s="2656"/>
      <c r="AJ1180" s="2656"/>
      <c r="AK1180" s="2656"/>
      <c r="AL1180" s="2656"/>
      <c r="AM1180" s="2656"/>
      <c r="AN1180" s="2656"/>
      <c r="AO1180" s="2656"/>
      <c r="AP1180" s="2656"/>
      <c r="AQ1180" s="2656"/>
      <c r="AR1180" s="2656"/>
      <c r="AS1180" s="2656"/>
      <c r="AT1180" s="2656"/>
      <c r="AU1180" s="2656"/>
      <c r="AV1180" s="2656"/>
      <c r="AW1180" s="2656"/>
      <c r="AX1180" s="2656"/>
      <c r="AY1180" s="2656"/>
      <c r="AZ1180" s="2656"/>
      <c r="BA1180" s="2656"/>
      <c r="BB1180" s="2656"/>
      <c r="BC1180" s="2656"/>
      <c r="BD1180" s="2656"/>
      <c r="BE1180" s="2656"/>
      <c r="BF1180" s="2656"/>
      <c r="BG1180" s="2656"/>
      <c r="BH1180" s="2656"/>
      <c r="BI1180" s="2656"/>
    </row>
    <row r="1181" spans="1:61" ht="24.75" customHeight="1">
      <c r="A1181" s="3375"/>
      <c r="B1181" s="2646"/>
      <c r="C1181" s="2647"/>
      <c r="D1181" s="2646"/>
      <c r="E1181" s="3013"/>
      <c r="F1181" s="2655"/>
      <c r="G1181" s="2596"/>
      <c r="H1181" s="4138"/>
      <c r="I1181" s="3375"/>
      <c r="J1181" s="2648"/>
      <c r="K1181" s="3147"/>
      <c r="L1181" s="2785"/>
      <c r="M1181" s="2695"/>
      <c r="N1181" s="2649"/>
      <c r="O1181" s="2655"/>
      <c r="P1181" s="2651"/>
      <c r="Q1181" s="3440"/>
      <c r="R1181" s="3553"/>
      <c r="S1181" s="1407"/>
      <c r="T1181" s="3375"/>
      <c r="U1181" s="2648"/>
      <c r="V1181" s="3554"/>
      <c r="W1181" s="3150"/>
      <c r="X1181" s="2656"/>
      <c r="Y1181" s="2656"/>
      <c r="Z1181" s="2656"/>
      <c r="AA1181" s="2656"/>
      <c r="AB1181" s="2656"/>
      <c r="AC1181" s="2656"/>
      <c r="AD1181" s="2656"/>
      <c r="AE1181" s="2656"/>
      <c r="AF1181" s="2656"/>
      <c r="AG1181" s="2656"/>
      <c r="AH1181" s="2656"/>
      <c r="AI1181" s="2656"/>
      <c r="AJ1181" s="2656"/>
      <c r="AK1181" s="2656"/>
      <c r="AL1181" s="2656"/>
      <c r="AM1181" s="2656"/>
      <c r="AN1181" s="2656"/>
      <c r="AO1181" s="2656"/>
      <c r="AP1181" s="2656"/>
      <c r="AQ1181" s="2656"/>
      <c r="AR1181" s="2656"/>
      <c r="AS1181" s="2656"/>
      <c r="AT1181" s="2656"/>
      <c r="AU1181" s="2656"/>
      <c r="AV1181" s="2656"/>
      <c r="AW1181" s="2656"/>
      <c r="AX1181" s="2656"/>
      <c r="AY1181" s="2656"/>
      <c r="AZ1181" s="2656"/>
      <c r="BA1181" s="2656"/>
      <c r="BB1181" s="2656"/>
      <c r="BC1181" s="2656"/>
      <c r="BD1181" s="2656"/>
      <c r="BE1181" s="2656"/>
      <c r="BF1181" s="2656"/>
      <c r="BG1181" s="2656"/>
      <c r="BH1181" s="2656"/>
      <c r="BI1181" s="2656"/>
    </row>
    <row r="1182" spans="1:61" ht="24.75" customHeight="1">
      <c r="A1182" s="3375"/>
      <c r="B1182" s="2646"/>
      <c r="C1182" s="2647"/>
      <c r="D1182" s="2646"/>
      <c r="E1182" s="3013"/>
      <c r="F1182" s="2655"/>
      <c r="G1182" s="2596"/>
      <c r="H1182" s="4138"/>
      <c r="I1182" s="3375"/>
      <c r="J1182" s="2648"/>
      <c r="K1182" s="3147"/>
      <c r="L1182" s="2785"/>
      <c r="M1182" s="2695"/>
      <c r="N1182" s="2649"/>
      <c r="O1182" s="2655"/>
      <c r="P1182" s="2651"/>
      <c r="Q1182" s="3440"/>
      <c r="R1182" s="3553"/>
      <c r="S1182" s="1407"/>
      <c r="T1182" s="3375"/>
      <c r="U1182" s="2648"/>
      <c r="V1182" s="3554"/>
      <c r="W1182" s="3150"/>
      <c r="X1182" s="2656"/>
      <c r="Y1182" s="2656"/>
      <c r="Z1182" s="2656"/>
      <c r="AA1182" s="2656"/>
      <c r="AB1182" s="2656"/>
      <c r="AC1182" s="2656"/>
      <c r="AD1182" s="2656"/>
      <c r="AE1182" s="2656"/>
      <c r="AF1182" s="2656"/>
      <c r="AG1182" s="2656"/>
      <c r="AH1182" s="2656"/>
      <c r="AI1182" s="2656"/>
      <c r="AJ1182" s="2656"/>
      <c r="AK1182" s="2656"/>
      <c r="AL1182" s="2656"/>
      <c r="AM1182" s="2656"/>
      <c r="AN1182" s="2656"/>
      <c r="AO1182" s="2656"/>
      <c r="AP1182" s="2656"/>
      <c r="AQ1182" s="2656"/>
      <c r="AR1182" s="2656"/>
      <c r="AS1182" s="2656"/>
      <c r="AT1182" s="2656"/>
      <c r="AU1182" s="2656"/>
      <c r="AV1182" s="2656"/>
      <c r="AW1182" s="2656"/>
      <c r="AX1182" s="2656"/>
      <c r="AY1182" s="2656"/>
      <c r="AZ1182" s="2656"/>
      <c r="BA1182" s="2656"/>
      <c r="BB1182" s="2656"/>
      <c r="BC1182" s="2656"/>
      <c r="BD1182" s="2656"/>
      <c r="BE1182" s="2656"/>
      <c r="BF1182" s="2656"/>
      <c r="BG1182" s="2656"/>
      <c r="BH1182" s="2656"/>
      <c r="BI1182" s="2656"/>
    </row>
    <row r="1183" spans="1:61" ht="24.75" customHeight="1">
      <c r="A1183" s="3375"/>
      <c r="B1183" s="2646"/>
      <c r="C1183" s="2647"/>
      <c r="D1183" s="2646"/>
      <c r="E1183" s="3013"/>
      <c r="F1183" s="2655"/>
      <c r="G1183" s="2596"/>
      <c r="H1183" s="4138"/>
      <c r="I1183" s="3375"/>
      <c r="J1183" s="2648"/>
      <c r="K1183" s="3147"/>
      <c r="L1183" s="2785"/>
      <c r="M1183" s="2695"/>
      <c r="N1183" s="2649"/>
      <c r="O1183" s="2655"/>
      <c r="P1183" s="2651"/>
      <c r="Q1183" s="3440"/>
      <c r="R1183" s="3553"/>
      <c r="S1183" s="1407"/>
      <c r="T1183" s="3375"/>
      <c r="U1183" s="2648"/>
      <c r="V1183" s="3554"/>
      <c r="W1183" s="3150"/>
      <c r="X1183" s="2656"/>
      <c r="Y1183" s="2656"/>
      <c r="Z1183" s="2656"/>
      <c r="AA1183" s="2656"/>
      <c r="AB1183" s="2656"/>
      <c r="AC1183" s="2656"/>
      <c r="AD1183" s="2656"/>
      <c r="AE1183" s="2656"/>
      <c r="AF1183" s="2656"/>
      <c r="AG1183" s="2656"/>
      <c r="AH1183" s="2656"/>
      <c r="AI1183" s="2656"/>
      <c r="AJ1183" s="2656"/>
      <c r="AK1183" s="2656"/>
      <c r="AL1183" s="2656"/>
      <c r="AM1183" s="2656"/>
      <c r="AN1183" s="2656"/>
      <c r="AO1183" s="2656"/>
      <c r="AP1183" s="2656"/>
      <c r="AQ1183" s="2656"/>
      <c r="AR1183" s="2656"/>
      <c r="AS1183" s="2656"/>
      <c r="AT1183" s="2656"/>
      <c r="AU1183" s="2656"/>
      <c r="AV1183" s="2656"/>
      <c r="AW1183" s="2656"/>
      <c r="AX1183" s="2656"/>
      <c r="AY1183" s="2656"/>
      <c r="AZ1183" s="2656"/>
      <c r="BA1183" s="2656"/>
      <c r="BB1183" s="2656"/>
      <c r="BC1183" s="2656"/>
      <c r="BD1183" s="2656"/>
      <c r="BE1183" s="2656"/>
      <c r="BF1183" s="2656"/>
      <c r="BG1183" s="2656"/>
      <c r="BH1183" s="2656"/>
      <c r="BI1183" s="2656"/>
    </row>
    <row r="1184" spans="1:61" ht="24.75" customHeight="1">
      <c r="A1184" s="3375"/>
      <c r="B1184" s="2646"/>
      <c r="C1184" s="2647"/>
      <c r="D1184" s="2646"/>
      <c r="E1184" s="3013"/>
      <c r="F1184" s="2655"/>
      <c r="G1184" s="2596"/>
      <c r="H1184" s="4138"/>
      <c r="I1184" s="3375"/>
      <c r="J1184" s="2648"/>
      <c r="K1184" s="3147"/>
      <c r="L1184" s="2785"/>
      <c r="M1184" s="2695"/>
      <c r="N1184" s="2649"/>
      <c r="O1184" s="2655"/>
      <c r="P1184" s="2651"/>
      <c r="Q1184" s="3440"/>
      <c r="R1184" s="3553"/>
      <c r="S1184" s="1407"/>
      <c r="T1184" s="3375"/>
      <c r="U1184" s="2648"/>
      <c r="V1184" s="3554"/>
      <c r="W1184" s="3150"/>
      <c r="X1184" s="2656"/>
      <c r="Y1184" s="2656"/>
      <c r="Z1184" s="2656"/>
      <c r="AA1184" s="2656"/>
      <c r="AB1184" s="2656"/>
      <c r="AC1184" s="2656"/>
      <c r="AD1184" s="2656"/>
      <c r="AE1184" s="2656"/>
      <c r="AF1184" s="2656"/>
      <c r="AG1184" s="2656"/>
      <c r="AH1184" s="2656"/>
      <c r="AI1184" s="2656"/>
      <c r="AJ1184" s="2656"/>
      <c r="AK1184" s="2656"/>
      <c r="AL1184" s="2656"/>
      <c r="AM1184" s="2656"/>
      <c r="AN1184" s="2656"/>
      <c r="AO1184" s="2656"/>
      <c r="AP1184" s="2656"/>
      <c r="AQ1184" s="2656"/>
      <c r="AR1184" s="2656"/>
      <c r="AS1184" s="2656"/>
      <c r="AT1184" s="2656"/>
      <c r="AU1184" s="2656"/>
      <c r="AV1184" s="2656"/>
      <c r="AW1184" s="2656"/>
      <c r="AX1184" s="2656"/>
      <c r="AY1184" s="2656"/>
      <c r="AZ1184" s="2656"/>
      <c r="BA1184" s="2656"/>
      <c r="BB1184" s="2656"/>
      <c r="BC1184" s="2656"/>
      <c r="BD1184" s="2656"/>
      <c r="BE1184" s="2656"/>
      <c r="BF1184" s="2656"/>
      <c r="BG1184" s="2656"/>
      <c r="BH1184" s="2656"/>
      <c r="BI1184" s="2656"/>
    </row>
    <row r="1185" spans="1:61" ht="24.75" customHeight="1">
      <c r="A1185" s="3375"/>
      <c r="B1185" s="2646"/>
      <c r="C1185" s="2647"/>
      <c r="D1185" s="2646"/>
      <c r="E1185" s="3013"/>
      <c r="F1185" s="2655"/>
      <c r="G1185" s="2596"/>
      <c r="H1185" s="4138"/>
      <c r="I1185" s="3375"/>
      <c r="J1185" s="2648"/>
      <c r="K1185" s="3147"/>
      <c r="L1185" s="2785"/>
      <c r="M1185" s="2695"/>
      <c r="N1185" s="2649"/>
      <c r="O1185" s="2655"/>
      <c r="P1185" s="2651"/>
      <c r="Q1185" s="3440"/>
      <c r="R1185" s="3553"/>
      <c r="S1185" s="1407"/>
      <c r="T1185" s="3375"/>
      <c r="U1185" s="2648"/>
      <c r="V1185" s="3554"/>
      <c r="W1185" s="3150"/>
      <c r="X1185" s="2656"/>
      <c r="Y1185" s="2656"/>
      <c r="Z1185" s="2656"/>
      <c r="AA1185" s="2656"/>
      <c r="AB1185" s="2656"/>
      <c r="AC1185" s="2656"/>
      <c r="AD1185" s="2656"/>
      <c r="AE1185" s="2656"/>
      <c r="AF1185" s="2656"/>
      <c r="AG1185" s="2656"/>
      <c r="AH1185" s="2656"/>
      <c r="AI1185" s="2656"/>
      <c r="AJ1185" s="2656"/>
      <c r="AK1185" s="2656"/>
      <c r="AL1185" s="2656"/>
      <c r="AM1185" s="2656"/>
      <c r="AN1185" s="2656"/>
      <c r="AO1185" s="2656"/>
      <c r="AP1185" s="2656"/>
      <c r="AQ1185" s="2656"/>
      <c r="AR1185" s="2656"/>
      <c r="AS1185" s="2656"/>
      <c r="AT1185" s="2656"/>
      <c r="AU1185" s="2656"/>
      <c r="AV1185" s="2656"/>
      <c r="AW1185" s="2656"/>
      <c r="AX1185" s="2656"/>
      <c r="AY1185" s="2656"/>
      <c r="AZ1185" s="2656"/>
      <c r="BA1185" s="2656"/>
      <c r="BB1185" s="2656"/>
      <c r="BC1185" s="2656"/>
      <c r="BD1185" s="2656"/>
      <c r="BE1185" s="2656"/>
      <c r="BF1185" s="2656"/>
      <c r="BG1185" s="2656"/>
      <c r="BH1185" s="2656"/>
      <c r="BI1185" s="2656"/>
    </row>
    <row r="1186" spans="1:61" ht="24.75" customHeight="1">
      <c r="A1186" s="3375"/>
      <c r="B1186" s="2646"/>
      <c r="C1186" s="2647"/>
      <c r="D1186" s="2646"/>
      <c r="E1186" s="3013"/>
      <c r="F1186" s="2655"/>
      <c r="G1186" s="2596"/>
      <c r="H1186" s="4138"/>
      <c r="I1186" s="3375"/>
      <c r="J1186" s="2648"/>
      <c r="K1186" s="3147"/>
      <c r="L1186" s="2785"/>
      <c r="M1186" s="2695"/>
      <c r="N1186" s="2649"/>
      <c r="O1186" s="2655"/>
      <c r="P1186" s="2651"/>
      <c r="Q1186" s="3440"/>
      <c r="R1186" s="3553"/>
      <c r="S1186" s="1407"/>
      <c r="T1186" s="3375"/>
      <c r="U1186" s="2648"/>
      <c r="V1186" s="3554"/>
      <c r="W1186" s="3150"/>
      <c r="X1186" s="2656"/>
      <c r="Y1186" s="2656"/>
      <c r="Z1186" s="2656"/>
      <c r="AA1186" s="2656"/>
      <c r="AB1186" s="2656"/>
      <c r="AC1186" s="2656"/>
      <c r="AD1186" s="2656"/>
      <c r="AE1186" s="2656"/>
      <c r="AF1186" s="2656"/>
      <c r="AG1186" s="2656"/>
      <c r="AH1186" s="2656"/>
      <c r="AI1186" s="2656"/>
      <c r="AJ1186" s="2656"/>
      <c r="AK1186" s="2656"/>
      <c r="AL1186" s="2656"/>
      <c r="AM1186" s="2656"/>
      <c r="AN1186" s="2656"/>
      <c r="AO1186" s="2656"/>
      <c r="AP1186" s="2656"/>
      <c r="AQ1186" s="2656"/>
      <c r="AR1186" s="2656"/>
      <c r="AS1186" s="2656"/>
      <c r="AT1186" s="2656"/>
      <c r="AU1186" s="2656"/>
      <c r="AV1186" s="2656"/>
      <c r="AW1186" s="2656"/>
      <c r="AX1186" s="2656"/>
      <c r="AY1186" s="2656"/>
      <c r="AZ1186" s="2656"/>
      <c r="BA1186" s="2656"/>
      <c r="BB1186" s="2656"/>
      <c r="BC1186" s="2656"/>
      <c r="BD1186" s="2656"/>
      <c r="BE1186" s="2656"/>
      <c r="BF1186" s="2656"/>
      <c r="BG1186" s="2656"/>
      <c r="BH1186" s="2656"/>
      <c r="BI1186" s="2656"/>
    </row>
    <row r="1187" spans="1:61" ht="24.75" customHeight="1">
      <c r="A1187" s="3375"/>
      <c r="B1187" s="2646"/>
      <c r="C1187" s="2647"/>
      <c r="D1187" s="2646"/>
      <c r="E1187" s="3013"/>
      <c r="F1187" s="2655"/>
      <c r="G1187" s="2596"/>
      <c r="H1187" s="4138"/>
      <c r="I1187" s="3375"/>
      <c r="J1187" s="2648"/>
      <c r="K1187" s="3147"/>
      <c r="L1187" s="2785"/>
      <c r="M1187" s="2695"/>
      <c r="N1187" s="2649"/>
      <c r="O1187" s="2655"/>
      <c r="P1187" s="2651"/>
      <c r="Q1187" s="3440"/>
      <c r="R1187" s="3553"/>
      <c r="S1187" s="1407"/>
      <c r="T1187" s="3375"/>
      <c r="U1187" s="2648"/>
      <c r="V1187" s="3554"/>
      <c r="W1187" s="3150"/>
      <c r="X1187" s="2656"/>
      <c r="Y1187" s="2656"/>
      <c r="Z1187" s="2656"/>
      <c r="AA1187" s="2656"/>
      <c r="AB1187" s="2656"/>
      <c r="AC1187" s="2656"/>
      <c r="AD1187" s="2656"/>
      <c r="AE1187" s="2656"/>
      <c r="AF1187" s="2656"/>
      <c r="AG1187" s="2656"/>
      <c r="AH1187" s="2656"/>
      <c r="AI1187" s="2656"/>
      <c r="AJ1187" s="2656"/>
      <c r="AK1187" s="2656"/>
      <c r="AL1187" s="2656"/>
      <c r="AM1187" s="2656"/>
      <c r="AN1187" s="2656"/>
      <c r="AO1187" s="2656"/>
      <c r="AP1187" s="2656"/>
      <c r="AQ1187" s="2656"/>
      <c r="AR1187" s="2656"/>
      <c r="AS1187" s="2656"/>
      <c r="AT1187" s="2656"/>
      <c r="AU1187" s="2656"/>
      <c r="AV1187" s="2656"/>
      <c r="AW1187" s="2656"/>
      <c r="AX1187" s="2656"/>
      <c r="AY1187" s="2656"/>
      <c r="AZ1187" s="2656"/>
      <c r="BA1187" s="2656"/>
      <c r="BB1187" s="2656"/>
      <c r="BC1187" s="2656"/>
      <c r="BD1187" s="2656"/>
      <c r="BE1187" s="2656"/>
      <c r="BF1187" s="2656"/>
      <c r="BG1187" s="2656"/>
      <c r="BH1187" s="2656"/>
      <c r="BI1187" s="2656"/>
    </row>
    <row r="1188" spans="1:61" ht="24.75" customHeight="1">
      <c r="A1188" s="3375"/>
      <c r="B1188" s="2646"/>
      <c r="C1188" s="2647"/>
      <c r="D1188" s="2646"/>
      <c r="E1188" s="3013"/>
      <c r="F1188" s="2655"/>
      <c r="G1188" s="2596"/>
      <c r="H1188" s="4138"/>
      <c r="I1188" s="3375"/>
      <c r="J1188" s="2648"/>
      <c r="K1188" s="3147"/>
      <c r="L1188" s="2785"/>
      <c r="M1188" s="2695"/>
      <c r="N1188" s="2649"/>
      <c r="O1188" s="2655"/>
      <c r="P1188" s="2651"/>
      <c r="Q1188" s="3440"/>
      <c r="R1188" s="3553"/>
      <c r="S1188" s="1407"/>
      <c r="T1188" s="3375"/>
      <c r="U1188" s="2648"/>
      <c r="V1188" s="3554"/>
      <c r="W1188" s="3150"/>
      <c r="X1188" s="2656"/>
      <c r="Y1188" s="2656"/>
      <c r="Z1188" s="2656"/>
      <c r="AA1188" s="2656"/>
      <c r="AB1188" s="2656"/>
      <c r="AC1188" s="2656"/>
      <c r="AD1188" s="2656"/>
      <c r="AE1188" s="2656"/>
      <c r="AF1188" s="2656"/>
      <c r="AG1188" s="2656"/>
      <c r="AH1188" s="2656"/>
      <c r="AI1188" s="2656"/>
      <c r="AJ1188" s="2656"/>
      <c r="AK1188" s="2656"/>
      <c r="AL1188" s="2656"/>
      <c r="AM1188" s="2656"/>
      <c r="AN1188" s="2656"/>
      <c r="AO1188" s="2656"/>
      <c r="AP1188" s="2656"/>
      <c r="AQ1188" s="2656"/>
      <c r="AR1188" s="2656"/>
      <c r="AS1188" s="2656"/>
      <c r="AT1188" s="2656"/>
      <c r="AU1188" s="2656"/>
      <c r="AV1188" s="2656"/>
      <c r="AW1188" s="2656"/>
      <c r="AX1188" s="2656"/>
      <c r="AY1188" s="2656"/>
      <c r="AZ1188" s="2656"/>
      <c r="BA1188" s="2656"/>
      <c r="BB1188" s="2656"/>
      <c r="BC1188" s="2656"/>
      <c r="BD1188" s="2656"/>
      <c r="BE1188" s="2656"/>
      <c r="BF1188" s="2656"/>
      <c r="BG1188" s="2656"/>
      <c r="BH1188" s="2656"/>
      <c r="BI1188" s="2656"/>
    </row>
    <row r="1189" spans="1:61" ht="24.75" customHeight="1">
      <c r="A1189" s="3375"/>
      <c r="B1189" s="2646"/>
      <c r="C1189" s="2647"/>
      <c r="D1189" s="2646"/>
      <c r="E1189" s="3013"/>
      <c r="F1189" s="2655"/>
      <c r="G1189" s="2596"/>
      <c r="H1189" s="4138"/>
      <c r="I1189" s="3375"/>
      <c r="J1189" s="2648"/>
      <c r="K1189" s="3147"/>
      <c r="L1189" s="2785"/>
      <c r="M1189" s="2695"/>
      <c r="N1189" s="2649"/>
      <c r="O1189" s="2655"/>
      <c r="P1189" s="2651"/>
      <c r="Q1189" s="3440"/>
      <c r="R1189" s="3553"/>
      <c r="S1189" s="1407"/>
      <c r="T1189" s="3375"/>
      <c r="U1189" s="2648"/>
      <c r="V1189" s="3554"/>
      <c r="W1189" s="3150"/>
      <c r="X1189" s="2656"/>
      <c r="Y1189" s="2656"/>
      <c r="Z1189" s="2656"/>
      <c r="AA1189" s="2656"/>
      <c r="AB1189" s="2656"/>
      <c r="AC1189" s="2656"/>
      <c r="AD1189" s="2656"/>
      <c r="AE1189" s="2656"/>
      <c r="AF1189" s="2656"/>
      <c r="AG1189" s="2656"/>
      <c r="AH1189" s="2656"/>
      <c r="AI1189" s="2656"/>
      <c r="AJ1189" s="2656"/>
      <c r="AK1189" s="2656"/>
      <c r="AL1189" s="2656"/>
      <c r="AM1189" s="2656"/>
      <c r="AN1189" s="2656"/>
      <c r="AO1189" s="2656"/>
      <c r="AP1189" s="2656"/>
      <c r="AQ1189" s="2656"/>
      <c r="AR1189" s="2656"/>
      <c r="AS1189" s="2656"/>
      <c r="AT1189" s="2656"/>
      <c r="AU1189" s="2656"/>
      <c r="AV1189" s="2656"/>
      <c r="AW1189" s="2656"/>
      <c r="AX1189" s="2656"/>
      <c r="AY1189" s="2656"/>
      <c r="AZ1189" s="2656"/>
      <c r="BA1189" s="2656"/>
      <c r="BB1189" s="2656"/>
      <c r="BC1189" s="2656"/>
      <c r="BD1189" s="2656"/>
      <c r="BE1189" s="2656"/>
      <c r="BF1189" s="2656"/>
      <c r="BG1189" s="2656"/>
      <c r="BH1189" s="2656"/>
      <c r="BI1189" s="2656"/>
    </row>
    <row r="1190" spans="1:61" ht="24.75" customHeight="1">
      <c r="A1190" s="3375"/>
      <c r="B1190" s="2646"/>
      <c r="C1190" s="2647"/>
      <c r="D1190" s="2646"/>
      <c r="E1190" s="3013"/>
      <c r="F1190" s="2655"/>
      <c r="G1190" s="2596"/>
      <c r="H1190" s="4138"/>
      <c r="I1190" s="3375"/>
      <c r="J1190" s="2648"/>
      <c r="K1190" s="3147"/>
      <c r="L1190" s="2785"/>
      <c r="M1190" s="2695"/>
      <c r="N1190" s="2649"/>
      <c r="O1190" s="2655"/>
      <c r="P1190" s="2651"/>
      <c r="Q1190" s="3440"/>
      <c r="R1190" s="3553"/>
      <c r="S1190" s="1407"/>
      <c r="T1190" s="3375"/>
      <c r="U1190" s="2648"/>
      <c r="V1190" s="3554"/>
      <c r="W1190" s="3150"/>
      <c r="X1190" s="2656"/>
      <c r="Y1190" s="2656"/>
      <c r="Z1190" s="2656"/>
      <c r="AA1190" s="2656"/>
      <c r="AB1190" s="2656"/>
      <c r="AC1190" s="2656"/>
      <c r="AD1190" s="2656"/>
      <c r="AE1190" s="2656"/>
      <c r="AF1190" s="2656"/>
      <c r="AG1190" s="2656"/>
      <c r="AH1190" s="2656"/>
      <c r="AI1190" s="2656"/>
      <c r="AJ1190" s="2656"/>
      <c r="AK1190" s="2656"/>
      <c r="AL1190" s="2656"/>
      <c r="AM1190" s="2656"/>
      <c r="AN1190" s="2656"/>
      <c r="AO1190" s="2656"/>
      <c r="AP1190" s="2656"/>
      <c r="AQ1190" s="2656"/>
      <c r="AR1190" s="2656"/>
      <c r="AS1190" s="2656"/>
      <c r="AT1190" s="2656"/>
      <c r="AU1190" s="2656"/>
      <c r="AV1190" s="2656"/>
      <c r="AW1190" s="2656"/>
      <c r="AX1190" s="2656"/>
      <c r="AY1190" s="2656"/>
      <c r="AZ1190" s="2656"/>
      <c r="BA1190" s="2656"/>
      <c r="BB1190" s="2656"/>
      <c r="BC1190" s="2656"/>
      <c r="BD1190" s="2656"/>
      <c r="BE1190" s="2656"/>
      <c r="BF1190" s="2656"/>
      <c r="BG1190" s="2656"/>
      <c r="BH1190" s="2656"/>
      <c r="BI1190" s="2656"/>
    </row>
    <row r="1191" spans="1:61" ht="24.75" customHeight="1">
      <c r="A1191" s="3375"/>
      <c r="B1191" s="2646"/>
      <c r="C1191" s="2647"/>
      <c r="D1191" s="2646"/>
      <c r="E1191" s="3013"/>
      <c r="F1191" s="2655"/>
      <c r="G1191" s="2596"/>
      <c r="H1191" s="4138"/>
      <c r="I1191" s="3375"/>
      <c r="J1191" s="2648"/>
      <c r="K1191" s="3147"/>
      <c r="L1191" s="2785"/>
      <c r="M1191" s="2695"/>
      <c r="N1191" s="2649"/>
      <c r="O1191" s="2655"/>
      <c r="P1191" s="2651"/>
      <c r="Q1191" s="3440"/>
      <c r="R1191" s="3553"/>
      <c r="S1191" s="1407"/>
      <c r="T1191" s="3375"/>
      <c r="U1191" s="2648"/>
      <c r="V1191" s="3554"/>
      <c r="W1191" s="3150"/>
      <c r="X1191" s="2656"/>
      <c r="Y1191" s="2656"/>
      <c r="Z1191" s="2656"/>
      <c r="AA1191" s="2656"/>
      <c r="AB1191" s="2656"/>
      <c r="AC1191" s="2656"/>
      <c r="AD1191" s="2656"/>
      <c r="AE1191" s="2656"/>
      <c r="AF1191" s="2656"/>
      <c r="AG1191" s="2656"/>
      <c r="AH1191" s="2656"/>
      <c r="AI1191" s="2656"/>
      <c r="AJ1191" s="2656"/>
      <c r="AK1191" s="2656"/>
      <c r="AL1191" s="2656"/>
      <c r="AM1191" s="2656"/>
      <c r="AN1191" s="2656"/>
      <c r="AO1191" s="2656"/>
      <c r="AP1191" s="2656"/>
      <c r="AQ1191" s="2656"/>
      <c r="AR1191" s="2656"/>
      <c r="AS1191" s="2656"/>
      <c r="AT1191" s="2656"/>
      <c r="AU1191" s="2656"/>
      <c r="AV1191" s="2656"/>
      <c r="AW1191" s="2656"/>
      <c r="AX1191" s="2656"/>
      <c r="AY1191" s="2656"/>
      <c r="AZ1191" s="2656"/>
      <c r="BA1191" s="2656"/>
      <c r="BB1191" s="2656"/>
      <c r="BC1191" s="2656"/>
      <c r="BD1191" s="2656"/>
      <c r="BE1191" s="2656"/>
      <c r="BF1191" s="2656"/>
      <c r="BG1191" s="2656"/>
      <c r="BH1191" s="2656"/>
      <c r="BI1191" s="2656"/>
    </row>
    <row r="1192" spans="1:61" ht="24.75" customHeight="1">
      <c r="A1192" s="3375"/>
      <c r="B1192" s="2646"/>
      <c r="C1192" s="2647"/>
      <c r="D1192" s="2646"/>
      <c r="E1192" s="3013"/>
      <c r="F1192" s="2655"/>
      <c r="G1192" s="2596"/>
      <c r="H1192" s="4138"/>
      <c r="I1192" s="3375"/>
      <c r="J1192" s="2648"/>
      <c r="K1192" s="3147"/>
      <c r="L1192" s="2785"/>
      <c r="M1192" s="2695"/>
      <c r="N1192" s="2649"/>
      <c r="O1192" s="2655"/>
      <c r="P1192" s="2651"/>
      <c r="Q1192" s="3440"/>
      <c r="R1192" s="3553"/>
      <c r="S1192" s="1407"/>
      <c r="T1192" s="3375"/>
      <c r="U1192" s="2648"/>
      <c r="V1192" s="3554"/>
      <c r="W1192" s="3150"/>
      <c r="X1192" s="2656"/>
      <c r="Y1192" s="2656"/>
      <c r="Z1192" s="2656"/>
      <c r="AA1192" s="2656"/>
      <c r="AB1192" s="2656"/>
      <c r="AC1192" s="2656"/>
      <c r="AD1192" s="2656"/>
      <c r="AE1192" s="2656"/>
      <c r="AF1192" s="2656"/>
      <c r="AG1192" s="2656"/>
      <c r="AH1192" s="2656"/>
      <c r="AI1192" s="2656"/>
      <c r="AJ1192" s="2656"/>
      <c r="AK1192" s="2656"/>
      <c r="AL1192" s="2656"/>
      <c r="AM1192" s="2656"/>
      <c r="AN1192" s="2656"/>
      <c r="AO1192" s="2656"/>
      <c r="AP1192" s="2656"/>
      <c r="AQ1192" s="2656"/>
      <c r="AR1192" s="2656"/>
      <c r="AS1192" s="2656"/>
      <c r="AT1192" s="2656"/>
      <c r="AU1192" s="2656"/>
      <c r="AV1192" s="2656"/>
      <c r="AW1192" s="2656"/>
      <c r="AX1192" s="2656"/>
      <c r="AY1192" s="2656"/>
      <c r="AZ1192" s="2656"/>
      <c r="BA1192" s="2656"/>
      <c r="BB1192" s="2656"/>
      <c r="BC1192" s="2656"/>
      <c r="BD1192" s="2656"/>
      <c r="BE1192" s="2656"/>
      <c r="BF1192" s="2656"/>
      <c r="BG1192" s="2656"/>
      <c r="BH1192" s="2656"/>
      <c r="BI1192" s="2656"/>
    </row>
    <row r="1193" spans="1:61" ht="24.75" customHeight="1">
      <c r="A1193" s="3375"/>
      <c r="B1193" s="2646"/>
      <c r="C1193" s="2647"/>
      <c r="D1193" s="2646"/>
      <c r="E1193" s="3013"/>
      <c r="F1193" s="2655"/>
      <c r="G1193" s="2596"/>
      <c r="H1193" s="4138"/>
      <c r="I1193" s="3375"/>
      <c r="J1193" s="2648"/>
      <c r="K1193" s="3147"/>
      <c r="L1193" s="2785"/>
      <c r="M1193" s="2695"/>
      <c r="N1193" s="2649"/>
      <c r="O1193" s="2655"/>
      <c r="P1193" s="2651"/>
      <c r="Q1193" s="3440"/>
      <c r="R1193" s="3553"/>
      <c r="S1193" s="1407"/>
      <c r="T1193" s="3375"/>
      <c r="U1193" s="2648"/>
      <c r="V1193" s="3554"/>
      <c r="W1193" s="3150"/>
      <c r="X1193" s="2656"/>
      <c r="Y1193" s="2656"/>
      <c r="Z1193" s="2656"/>
      <c r="AA1193" s="2656"/>
      <c r="AB1193" s="2656"/>
      <c r="AC1193" s="2656"/>
      <c r="AD1193" s="2656"/>
      <c r="AE1193" s="2656"/>
      <c r="AF1193" s="2656"/>
      <c r="AG1193" s="2656"/>
      <c r="AH1193" s="2656"/>
      <c r="AI1193" s="2656"/>
      <c r="AJ1193" s="2656"/>
      <c r="AK1193" s="2656"/>
      <c r="AL1193" s="2656"/>
      <c r="AM1193" s="2656"/>
      <c r="AN1193" s="2656"/>
      <c r="AO1193" s="2656"/>
      <c r="AP1193" s="2656"/>
      <c r="AQ1193" s="2656"/>
      <c r="AR1193" s="2656"/>
      <c r="AS1193" s="2656"/>
      <c r="AT1193" s="2656"/>
      <c r="AU1193" s="2656"/>
      <c r="AV1193" s="2656"/>
      <c r="AW1193" s="2656"/>
      <c r="AX1193" s="2656"/>
      <c r="AY1193" s="2656"/>
      <c r="AZ1193" s="2656"/>
      <c r="BA1193" s="2656"/>
      <c r="BB1193" s="2656"/>
      <c r="BC1193" s="2656"/>
      <c r="BD1193" s="2656"/>
      <c r="BE1193" s="2656"/>
      <c r="BF1193" s="2656"/>
      <c r="BG1193" s="2656"/>
      <c r="BH1193" s="2656"/>
      <c r="BI1193" s="2656"/>
    </row>
    <row r="1194" spans="1:61" ht="24.75" customHeight="1">
      <c r="A1194" s="3375"/>
      <c r="B1194" s="2646"/>
      <c r="C1194" s="2647"/>
      <c r="D1194" s="2646"/>
      <c r="E1194" s="3013"/>
      <c r="F1194" s="2655"/>
      <c r="G1194" s="2596"/>
      <c r="H1194" s="4138"/>
      <c r="I1194" s="3375"/>
      <c r="J1194" s="2648"/>
      <c r="K1194" s="3147"/>
      <c r="L1194" s="2785"/>
      <c r="M1194" s="2695"/>
      <c r="N1194" s="2649"/>
      <c r="O1194" s="2655"/>
      <c r="P1194" s="2651"/>
      <c r="Q1194" s="3440"/>
      <c r="R1194" s="3553"/>
      <c r="S1194" s="1407"/>
      <c r="T1194" s="3375"/>
      <c r="U1194" s="2648"/>
      <c r="V1194" s="3554"/>
      <c r="W1194" s="3150"/>
      <c r="X1194" s="2656"/>
      <c r="Y1194" s="2656"/>
      <c r="Z1194" s="2656"/>
      <c r="AA1194" s="2656"/>
      <c r="AB1194" s="2656"/>
      <c r="AC1194" s="2656"/>
      <c r="AD1194" s="2656"/>
      <c r="AE1194" s="2656"/>
      <c r="AF1194" s="2656"/>
      <c r="AG1194" s="2656"/>
      <c r="AH1194" s="2656"/>
      <c r="AI1194" s="2656"/>
      <c r="AJ1194" s="2656"/>
      <c r="AK1194" s="2656"/>
      <c r="AL1194" s="2656"/>
      <c r="AM1194" s="2656"/>
      <c r="AN1194" s="2656"/>
      <c r="AO1194" s="2656"/>
      <c r="AP1194" s="2656"/>
      <c r="AQ1194" s="2656"/>
      <c r="AR1194" s="2656"/>
      <c r="AS1194" s="2656"/>
      <c r="AT1194" s="2656"/>
      <c r="AU1194" s="2656"/>
      <c r="AV1194" s="2656"/>
      <c r="AW1194" s="2656"/>
      <c r="AX1194" s="2656"/>
      <c r="AY1194" s="2656"/>
      <c r="AZ1194" s="2656"/>
      <c r="BA1194" s="2656"/>
      <c r="BB1194" s="2656"/>
      <c r="BC1194" s="2656"/>
      <c r="BD1194" s="2656"/>
      <c r="BE1194" s="2656"/>
      <c r="BF1194" s="2656"/>
      <c r="BG1194" s="2656"/>
      <c r="BH1194" s="2656"/>
      <c r="BI1194" s="2656"/>
    </row>
    <row r="1195" spans="1:61" ht="24.75" customHeight="1">
      <c r="A1195" s="3375"/>
      <c r="B1195" s="2646"/>
      <c r="C1195" s="2647"/>
      <c r="D1195" s="2646"/>
      <c r="E1195" s="3013"/>
      <c r="F1195" s="2655"/>
      <c r="G1195" s="2596"/>
      <c r="H1195" s="4138"/>
      <c r="I1195" s="3375"/>
      <c r="J1195" s="2648"/>
      <c r="K1195" s="3147"/>
      <c r="L1195" s="2785"/>
      <c r="M1195" s="2695"/>
      <c r="N1195" s="2649"/>
      <c r="O1195" s="2655"/>
      <c r="P1195" s="2651"/>
      <c r="Q1195" s="3440"/>
      <c r="R1195" s="3553"/>
      <c r="S1195" s="1407"/>
      <c r="T1195" s="3375"/>
      <c r="U1195" s="2648"/>
      <c r="V1195" s="3554"/>
      <c r="W1195" s="3150"/>
      <c r="X1195" s="2656"/>
      <c r="Y1195" s="2656"/>
      <c r="Z1195" s="2656"/>
      <c r="AA1195" s="2656"/>
      <c r="AB1195" s="2656"/>
      <c r="AC1195" s="2656"/>
      <c r="AD1195" s="2656"/>
      <c r="AE1195" s="2656"/>
      <c r="AF1195" s="2656"/>
      <c r="AG1195" s="2656"/>
      <c r="AH1195" s="2656"/>
      <c r="AI1195" s="2656"/>
      <c r="AJ1195" s="2656"/>
      <c r="AK1195" s="2656"/>
      <c r="AL1195" s="2656"/>
      <c r="AM1195" s="2656"/>
      <c r="AN1195" s="2656"/>
      <c r="AO1195" s="2656"/>
      <c r="AP1195" s="2656"/>
      <c r="AQ1195" s="2656"/>
      <c r="AR1195" s="2656"/>
      <c r="AS1195" s="2656"/>
      <c r="AT1195" s="2656"/>
      <c r="AU1195" s="2656"/>
      <c r="AV1195" s="2656"/>
      <c r="AW1195" s="2656"/>
      <c r="AX1195" s="2656"/>
      <c r="AY1195" s="2656"/>
      <c r="AZ1195" s="2656"/>
      <c r="BA1195" s="2656"/>
      <c r="BB1195" s="2656"/>
      <c r="BC1195" s="2656"/>
      <c r="BD1195" s="2656"/>
      <c r="BE1195" s="2656"/>
      <c r="BF1195" s="2656"/>
      <c r="BG1195" s="2656"/>
      <c r="BH1195" s="2656"/>
      <c r="BI1195" s="2656"/>
    </row>
    <row r="1196" spans="1:61" ht="24.75" customHeight="1">
      <c r="A1196" s="3375"/>
      <c r="B1196" s="2646"/>
      <c r="C1196" s="2647"/>
      <c r="D1196" s="2646"/>
      <c r="E1196" s="3013"/>
      <c r="F1196" s="2655"/>
      <c r="G1196" s="2596"/>
      <c r="H1196" s="4138"/>
      <c r="I1196" s="3375"/>
      <c r="J1196" s="2648"/>
      <c r="K1196" s="3147"/>
      <c r="L1196" s="2785"/>
      <c r="M1196" s="2695"/>
      <c r="N1196" s="2649"/>
      <c r="O1196" s="2655"/>
      <c r="P1196" s="2651"/>
      <c r="Q1196" s="3440"/>
      <c r="R1196" s="3553"/>
      <c r="S1196" s="1407"/>
      <c r="T1196" s="3375"/>
      <c r="U1196" s="2648"/>
      <c r="V1196" s="3554"/>
      <c r="W1196" s="3150"/>
      <c r="X1196" s="2656"/>
      <c r="Y1196" s="2656"/>
      <c r="Z1196" s="2656"/>
      <c r="AA1196" s="2656"/>
      <c r="AB1196" s="2656"/>
      <c r="AC1196" s="2656"/>
      <c r="AD1196" s="2656"/>
      <c r="AE1196" s="2656"/>
      <c r="AF1196" s="2656"/>
      <c r="AG1196" s="2656"/>
      <c r="AH1196" s="2656"/>
      <c r="AI1196" s="2656"/>
      <c r="AJ1196" s="2656"/>
      <c r="AK1196" s="2656"/>
      <c r="AL1196" s="2656"/>
      <c r="AM1196" s="2656"/>
      <c r="AN1196" s="2656"/>
      <c r="AO1196" s="2656"/>
      <c r="AP1196" s="2656"/>
      <c r="AQ1196" s="2656"/>
      <c r="AR1196" s="2656"/>
      <c r="AS1196" s="2656"/>
      <c r="AT1196" s="2656"/>
      <c r="AU1196" s="2656"/>
      <c r="AV1196" s="2656"/>
      <c r="AW1196" s="2656"/>
      <c r="AX1196" s="2656"/>
      <c r="AY1196" s="2656"/>
      <c r="AZ1196" s="2656"/>
      <c r="BA1196" s="2656"/>
      <c r="BB1196" s="2656"/>
      <c r="BC1196" s="2656"/>
      <c r="BD1196" s="2656"/>
      <c r="BE1196" s="2656"/>
      <c r="BF1196" s="2656"/>
      <c r="BG1196" s="2656"/>
      <c r="BH1196" s="2656"/>
      <c r="BI1196" s="2656"/>
    </row>
    <row r="1197" spans="1:61" ht="24.75" customHeight="1">
      <c r="A1197" s="3375"/>
      <c r="B1197" s="2646"/>
      <c r="C1197" s="2647"/>
      <c r="D1197" s="2646"/>
      <c r="E1197" s="3013"/>
      <c r="F1197" s="2655"/>
      <c r="G1197" s="2596"/>
      <c r="H1197" s="4138"/>
      <c r="I1197" s="3375"/>
      <c r="J1197" s="2648"/>
      <c r="K1197" s="3147"/>
      <c r="L1197" s="2785"/>
      <c r="M1197" s="2695"/>
      <c r="N1197" s="2649"/>
      <c r="O1197" s="2655"/>
      <c r="P1197" s="2651"/>
      <c r="Q1197" s="3440"/>
      <c r="R1197" s="3553"/>
      <c r="S1197" s="1407"/>
      <c r="T1197" s="3375"/>
      <c r="U1197" s="2648"/>
      <c r="V1197" s="3554"/>
      <c r="W1197" s="3150"/>
      <c r="X1197" s="2656"/>
      <c r="Y1197" s="2656"/>
      <c r="Z1197" s="2656"/>
      <c r="AA1197" s="2656"/>
      <c r="AB1197" s="2656"/>
      <c r="AC1197" s="2656"/>
      <c r="AD1197" s="2656"/>
      <c r="AE1197" s="2656"/>
      <c r="AF1197" s="2656"/>
      <c r="AG1197" s="2656"/>
      <c r="AH1197" s="2656"/>
      <c r="AI1197" s="2656"/>
      <c r="AJ1197" s="2656"/>
      <c r="AK1197" s="2656"/>
      <c r="AL1197" s="2656"/>
      <c r="AM1197" s="2656"/>
      <c r="AN1197" s="2656"/>
      <c r="AO1197" s="2656"/>
      <c r="AP1197" s="2656"/>
      <c r="AQ1197" s="2656"/>
      <c r="AR1197" s="2656"/>
      <c r="AS1197" s="2656"/>
      <c r="AT1197" s="2656"/>
      <c r="AU1197" s="2656"/>
      <c r="AV1197" s="2656"/>
      <c r="AW1197" s="2656"/>
      <c r="AX1197" s="2656"/>
      <c r="AY1197" s="2656"/>
      <c r="AZ1197" s="2656"/>
      <c r="BA1197" s="2656"/>
      <c r="BB1197" s="2656"/>
      <c r="BC1197" s="2656"/>
      <c r="BD1197" s="2656"/>
      <c r="BE1197" s="2656"/>
      <c r="BF1197" s="2656"/>
      <c r="BG1197" s="2656"/>
      <c r="BH1197" s="2656"/>
      <c r="BI1197" s="2656"/>
    </row>
    <row r="1198" spans="1:61" ht="24.75" customHeight="1">
      <c r="A1198" s="3375"/>
      <c r="B1198" s="2646"/>
      <c r="C1198" s="2647"/>
      <c r="D1198" s="2646"/>
      <c r="E1198" s="3013"/>
      <c r="F1198" s="2655"/>
      <c r="G1198" s="2596"/>
      <c r="H1198" s="4138"/>
      <c r="I1198" s="3375"/>
      <c r="J1198" s="2648"/>
      <c r="K1198" s="3147"/>
      <c r="L1198" s="2785"/>
      <c r="M1198" s="2695"/>
      <c r="N1198" s="2649"/>
      <c r="O1198" s="2655"/>
      <c r="P1198" s="2651"/>
      <c r="Q1198" s="3440"/>
      <c r="R1198" s="3553"/>
      <c r="S1198" s="1407"/>
      <c r="T1198" s="3375"/>
      <c r="U1198" s="2648"/>
      <c r="V1198" s="3554"/>
      <c r="W1198" s="3150"/>
      <c r="X1198" s="2656"/>
      <c r="Y1198" s="2656"/>
      <c r="Z1198" s="2656"/>
      <c r="AA1198" s="2656"/>
      <c r="AB1198" s="2656"/>
      <c r="AC1198" s="2656"/>
      <c r="AD1198" s="2656"/>
      <c r="AE1198" s="2656"/>
      <c r="AF1198" s="2656"/>
      <c r="AG1198" s="2656"/>
      <c r="AH1198" s="2656"/>
      <c r="AI1198" s="2656"/>
      <c r="AJ1198" s="2656"/>
      <c r="AK1198" s="2656"/>
      <c r="AL1198" s="2656"/>
      <c r="AM1198" s="2656"/>
      <c r="AN1198" s="2656"/>
      <c r="AO1198" s="2656"/>
      <c r="AP1198" s="2656"/>
      <c r="AQ1198" s="2656"/>
      <c r="AR1198" s="2656"/>
      <c r="AS1198" s="2656"/>
      <c r="AT1198" s="2656"/>
      <c r="AU1198" s="2656"/>
      <c r="AV1198" s="2656"/>
      <c r="AW1198" s="2656"/>
      <c r="AX1198" s="2656"/>
      <c r="AY1198" s="2656"/>
      <c r="AZ1198" s="2656"/>
      <c r="BA1198" s="2656"/>
      <c r="BB1198" s="2656"/>
      <c r="BC1198" s="2656"/>
      <c r="BD1198" s="2656"/>
      <c r="BE1198" s="2656"/>
      <c r="BF1198" s="2656"/>
      <c r="BG1198" s="2656"/>
      <c r="BH1198" s="2656"/>
      <c r="BI1198" s="2656"/>
    </row>
    <row r="1199" spans="1:61" ht="24.75" customHeight="1">
      <c r="A1199" s="3375"/>
      <c r="B1199" s="2646"/>
      <c r="C1199" s="2647"/>
      <c r="D1199" s="2646"/>
      <c r="E1199" s="3013"/>
      <c r="F1199" s="2655"/>
      <c r="G1199" s="2596"/>
      <c r="H1199" s="4138"/>
      <c r="I1199" s="3375"/>
      <c r="J1199" s="2648"/>
      <c r="K1199" s="3147"/>
      <c r="L1199" s="2785"/>
      <c r="M1199" s="2695"/>
      <c r="N1199" s="2649"/>
      <c r="O1199" s="2655"/>
      <c r="P1199" s="2651"/>
      <c r="Q1199" s="3440"/>
      <c r="R1199" s="3553"/>
      <c r="S1199" s="1407"/>
      <c r="T1199" s="3375"/>
      <c r="U1199" s="2648"/>
      <c r="V1199" s="3554"/>
      <c r="W1199" s="3150"/>
      <c r="X1199" s="2656"/>
      <c r="Y1199" s="2656"/>
      <c r="Z1199" s="2656"/>
      <c r="AA1199" s="2656"/>
      <c r="AB1199" s="2656"/>
      <c r="AC1199" s="2656"/>
      <c r="AD1199" s="2656"/>
      <c r="AE1199" s="2656"/>
      <c r="AF1199" s="2656"/>
      <c r="AG1199" s="2656"/>
      <c r="AH1199" s="2656"/>
      <c r="AI1199" s="2656"/>
      <c r="AJ1199" s="2656"/>
      <c r="AK1199" s="2656"/>
      <c r="AL1199" s="2656"/>
      <c r="AM1199" s="2656"/>
      <c r="AN1199" s="2656"/>
      <c r="AO1199" s="2656"/>
      <c r="AP1199" s="2656"/>
      <c r="AQ1199" s="2656"/>
      <c r="AR1199" s="2656"/>
      <c r="AS1199" s="2656"/>
      <c r="AT1199" s="2656"/>
      <c r="AU1199" s="2656"/>
      <c r="AV1199" s="2656"/>
      <c r="AW1199" s="2656"/>
      <c r="AX1199" s="2656"/>
      <c r="AY1199" s="2656"/>
      <c r="AZ1199" s="2656"/>
      <c r="BA1199" s="2656"/>
      <c r="BB1199" s="2656"/>
      <c r="BC1199" s="2656"/>
      <c r="BD1199" s="2656"/>
      <c r="BE1199" s="2656"/>
      <c r="BF1199" s="2656"/>
      <c r="BG1199" s="2656"/>
      <c r="BH1199" s="2656"/>
      <c r="BI1199" s="2656"/>
    </row>
    <row r="1200" spans="1:61" ht="24.75" customHeight="1">
      <c r="A1200" s="3375"/>
      <c r="B1200" s="2646"/>
      <c r="C1200" s="2647"/>
      <c r="D1200" s="2646"/>
      <c r="E1200" s="3013"/>
      <c r="F1200" s="2655"/>
      <c r="G1200" s="2596"/>
      <c r="H1200" s="4138"/>
      <c r="I1200" s="3375"/>
      <c r="J1200" s="2648"/>
      <c r="K1200" s="3147"/>
      <c r="L1200" s="2785"/>
      <c r="M1200" s="2695"/>
      <c r="N1200" s="2649"/>
      <c r="O1200" s="2655"/>
      <c r="P1200" s="2651"/>
      <c r="Q1200" s="3440"/>
      <c r="R1200" s="3553"/>
      <c r="S1200" s="1407"/>
      <c r="T1200" s="3375"/>
      <c r="U1200" s="2648"/>
      <c r="V1200" s="3554"/>
      <c r="W1200" s="3150"/>
      <c r="X1200" s="2656"/>
      <c r="Y1200" s="2656"/>
      <c r="Z1200" s="2656"/>
      <c r="AA1200" s="2656"/>
      <c r="AB1200" s="2656"/>
      <c r="AC1200" s="2656"/>
      <c r="AD1200" s="2656"/>
      <c r="AE1200" s="2656"/>
      <c r="AF1200" s="2656"/>
      <c r="AG1200" s="2656"/>
      <c r="AH1200" s="2656"/>
      <c r="AI1200" s="2656"/>
      <c r="AJ1200" s="2656"/>
      <c r="AK1200" s="2656"/>
      <c r="AL1200" s="2656"/>
      <c r="AM1200" s="2656"/>
      <c r="AN1200" s="2656"/>
      <c r="AO1200" s="2656"/>
      <c r="AP1200" s="2656"/>
      <c r="AQ1200" s="2656"/>
      <c r="AR1200" s="2656"/>
      <c r="AS1200" s="2656"/>
      <c r="AT1200" s="2656"/>
      <c r="AU1200" s="2656"/>
      <c r="AV1200" s="2656"/>
      <c r="AW1200" s="2656"/>
      <c r="AX1200" s="2656"/>
      <c r="AY1200" s="2656"/>
      <c r="AZ1200" s="2656"/>
      <c r="BA1200" s="2656"/>
      <c r="BB1200" s="2656"/>
      <c r="BC1200" s="2656"/>
      <c r="BD1200" s="2656"/>
      <c r="BE1200" s="2656"/>
      <c r="BF1200" s="2656"/>
      <c r="BG1200" s="2656"/>
      <c r="BH1200" s="2656"/>
      <c r="BI1200" s="2656"/>
    </row>
    <row r="1201" spans="1:61" ht="24.75" customHeight="1">
      <c r="A1201" s="3375"/>
      <c r="B1201" s="2646"/>
      <c r="C1201" s="2647"/>
      <c r="D1201" s="2646"/>
      <c r="E1201" s="3013"/>
      <c r="F1201" s="2655"/>
      <c r="G1201" s="2596"/>
      <c r="H1201" s="4138"/>
      <c r="I1201" s="3375"/>
      <c r="J1201" s="2648"/>
      <c r="K1201" s="3147"/>
      <c r="L1201" s="2785"/>
      <c r="M1201" s="2695"/>
      <c r="N1201" s="2649"/>
      <c r="O1201" s="2655"/>
      <c r="P1201" s="2651"/>
      <c r="Q1201" s="3440"/>
      <c r="R1201" s="3553"/>
      <c r="S1201" s="1407"/>
      <c r="T1201" s="3375"/>
      <c r="U1201" s="2648"/>
      <c r="V1201" s="3554"/>
      <c r="W1201" s="3150"/>
      <c r="X1201" s="2656"/>
      <c r="Y1201" s="2656"/>
      <c r="Z1201" s="2656"/>
      <c r="AA1201" s="2656"/>
      <c r="AB1201" s="2656"/>
      <c r="AC1201" s="2656"/>
      <c r="AD1201" s="2656"/>
      <c r="AE1201" s="2656"/>
      <c r="AF1201" s="2656"/>
      <c r="AG1201" s="2656"/>
      <c r="AH1201" s="2656"/>
      <c r="AI1201" s="2656"/>
      <c r="AJ1201" s="2656"/>
      <c r="AK1201" s="2656"/>
      <c r="AL1201" s="2656"/>
      <c r="AM1201" s="2656"/>
      <c r="AN1201" s="2656"/>
      <c r="AO1201" s="2656"/>
      <c r="AP1201" s="2656"/>
      <c r="AQ1201" s="2656"/>
      <c r="AR1201" s="2656"/>
      <c r="AS1201" s="2656"/>
      <c r="AT1201" s="2656"/>
      <c r="AU1201" s="2656"/>
      <c r="AV1201" s="2656"/>
      <c r="AW1201" s="2656"/>
      <c r="AX1201" s="2656"/>
      <c r="AY1201" s="2656"/>
      <c r="AZ1201" s="2656"/>
      <c r="BA1201" s="2656"/>
      <c r="BB1201" s="2656"/>
      <c r="BC1201" s="2656"/>
      <c r="BD1201" s="2656"/>
      <c r="BE1201" s="2656"/>
      <c r="BF1201" s="2656"/>
      <c r="BG1201" s="2656"/>
      <c r="BH1201" s="2656"/>
      <c r="BI1201" s="2656"/>
    </row>
    <row r="1202" spans="1:61" ht="24.75" customHeight="1">
      <c r="A1202" s="3375"/>
      <c r="B1202" s="2646"/>
      <c r="C1202" s="2647"/>
      <c r="D1202" s="2646"/>
      <c r="E1202" s="3013"/>
      <c r="F1202" s="2655"/>
      <c r="G1202" s="2596"/>
      <c r="H1202" s="4138"/>
      <c r="I1202" s="3375"/>
      <c r="J1202" s="2648"/>
      <c r="K1202" s="3147"/>
      <c r="L1202" s="2785"/>
      <c r="M1202" s="2695"/>
      <c r="N1202" s="2649"/>
      <c r="O1202" s="2655"/>
      <c r="P1202" s="2651"/>
      <c r="Q1202" s="3440"/>
      <c r="R1202" s="3553"/>
      <c r="S1202" s="1407"/>
      <c r="T1202" s="3375"/>
      <c r="U1202" s="2648"/>
      <c r="V1202" s="3554"/>
      <c r="W1202" s="3150"/>
      <c r="X1202" s="2656"/>
      <c r="Y1202" s="2656"/>
      <c r="Z1202" s="2656"/>
      <c r="AA1202" s="2656"/>
      <c r="AB1202" s="2656"/>
      <c r="AC1202" s="2656"/>
      <c r="AD1202" s="2656"/>
      <c r="AE1202" s="2656"/>
      <c r="AF1202" s="2656"/>
      <c r="AG1202" s="2656"/>
      <c r="AH1202" s="2656"/>
      <c r="AI1202" s="2656"/>
      <c r="AJ1202" s="2656"/>
      <c r="AK1202" s="2656"/>
      <c r="AL1202" s="2656"/>
      <c r="AM1202" s="2656"/>
      <c r="AN1202" s="2656"/>
      <c r="AO1202" s="2656"/>
      <c r="AP1202" s="2656"/>
      <c r="AQ1202" s="2656"/>
      <c r="AR1202" s="2656"/>
      <c r="AS1202" s="2656"/>
      <c r="AT1202" s="2656"/>
      <c r="AU1202" s="2656"/>
      <c r="AV1202" s="2656"/>
      <c r="AW1202" s="2656"/>
      <c r="AX1202" s="2656"/>
      <c r="AY1202" s="2656"/>
      <c r="AZ1202" s="2656"/>
      <c r="BA1202" s="2656"/>
      <c r="BB1202" s="2656"/>
      <c r="BC1202" s="2656"/>
      <c r="BD1202" s="2656"/>
      <c r="BE1202" s="2656"/>
      <c r="BF1202" s="2656"/>
      <c r="BG1202" s="2656"/>
      <c r="BH1202" s="2656"/>
      <c r="BI1202" s="2656"/>
    </row>
    <row r="1203" spans="1:61" ht="24.75" customHeight="1">
      <c r="A1203" s="3375"/>
      <c r="B1203" s="2646"/>
      <c r="C1203" s="2647"/>
      <c r="D1203" s="2646"/>
      <c r="E1203" s="3013"/>
      <c r="F1203" s="2655"/>
      <c r="G1203" s="2596"/>
      <c r="H1203" s="4138"/>
      <c r="I1203" s="3375"/>
      <c r="J1203" s="2648"/>
      <c r="K1203" s="3147"/>
      <c r="L1203" s="2785"/>
      <c r="M1203" s="2695"/>
      <c r="N1203" s="2649"/>
      <c r="O1203" s="2655"/>
      <c r="P1203" s="2651"/>
      <c r="Q1203" s="3440"/>
      <c r="R1203" s="3553"/>
      <c r="S1203" s="1407"/>
      <c r="T1203" s="3375"/>
      <c r="U1203" s="2648"/>
      <c r="V1203" s="3554"/>
      <c r="W1203" s="3150"/>
      <c r="X1203" s="2656"/>
      <c r="Y1203" s="2656"/>
      <c r="Z1203" s="2656"/>
      <c r="AA1203" s="2656"/>
      <c r="AB1203" s="2656"/>
      <c r="AC1203" s="2656"/>
      <c r="AD1203" s="2656"/>
      <c r="AE1203" s="2656"/>
      <c r="AF1203" s="2656"/>
      <c r="AG1203" s="2656"/>
      <c r="AH1203" s="2656"/>
      <c r="AI1203" s="2656"/>
      <c r="AJ1203" s="2656"/>
      <c r="AK1203" s="2656"/>
      <c r="AL1203" s="2656"/>
      <c r="AM1203" s="2656"/>
      <c r="AN1203" s="2656"/>
      <c r="AO1203" s="2656"/>
      <c r="AP1203" s="2656"/>
      <c r="AQ1203" s="2656"/>
      <c r="AR1203" s="2656"/>
      <c r="AS1203" s="2656"/>
      <c r="AT1203" s="2656"/>
      <c r="AU1203" s="2656"/>
      <c r="AV1203" s="2656"/>
      <c r="AW1203" s="2656"/>
      <c r="AX1203" s="2656"/>
      <c r="AY1203" s="2656"/>
      <c r="AZ1203" s="2656"/>
      <c r="BA1203" s="2656"/>
      <c r="BB1203" s="2656"/>
      <c r="BC1203" s="2656"/>
      <c r="BD1203" s="2656"/>
      <c r="BE1203" s="2656"/>
      <c r="BF1203" s="2656"/>
      <c r="BG1203" s="2656"/>
      <c r="BH1203" s="2656"/>
      <c r="BI1203" s="2656"/>
    </row>
    <row r="1204" spans="1:61" ht="24.75" customHeight="1">
      <c r="A1204" s="3375"/>
      <c r="B1204" s="2646"/>
      <c r="C1204" s="2647"/>
      <c r="D1204" s="2646"/>
      <c r="E1204" s="3013"/>
      <c r="F1204" s="2655"/>
      <c r="G1204" s="2596"/>
      <c r="H1204" s="4138"/>
      <c r="I1204" s="3375"/>
      <c r="J1204" s="2648"/>
      <c r="K1204" s="3147"/>
      <c r="L1204" s="2785"/>
      <c r="M1204" s="2695"/>
      <c r="N1204" s="2649"/>
      <c r="O1204" s="2655"/>
      <c r="P1204" s="2651"/>
      <c r="Q1204" s="3440"/>
      <c r="R1204" s="3553"/>
      <c r="S1204" s="1407"/>
      <c r="T1204" s="3375"/>
      <c r="U1204" s="2648"/>
      <c r="V1204" s="3554"/>
      <c r="W1204" s="3150"/>
      <c r="X1204" s="2656"/>
      <c r="Y1204" s="2656"/>
      <c r="Z1204" s="2656"/>
      <c r="AA1204" s="2656"/>
      <c r="AB1204" s="2656"/>
      <c r="AC1204" s="2656"/>
      <c r="AD1204" s="2656"/>
      <c r="AE1204" s="2656"/>
      <c r="AF1204" s="2656"/>
      <c r="AG1204" s="2656"/>
      <c r="AH1204" s="2656"/>
      <c r="AI1204" s="2656"/>
      <c r="AJ1204" s="2656"/>
      <c r="AK1204" s="2656"/>
      <c r="AL1204" s="2656"/>
      <c r="AM1204" s="2656"/>
      <c r="AN1204" s="2656"/>
      <c r="AO1204" s="2656"/>
      <c r="AP1204" s="2656"/>
      <c r="AQ1204" s="2656"/>
      <c r="AR1204" s="2656"/>
      <c r="AS1204" s="2656"/>
      <c r="AT1204" s="2656"/>
      <c r="AU1204" s="2656"/>
      <c r="AV1204" s="2656"/>
      <c r="AW1204" s="2656"/>
      <c r="AX1204" s="2656"/>
      <c r="AY1204" s="2656"/>
      <c r="AZ1204" s="2656"/>
      <c r="BA1204" s="2656"/>
      <c r="BB1204" s="2656"/>
      <c r="BC1204" s="2656"/>
      <c r="BD1204" s="2656"/>
      <c r="BE1204" s="2656"/>
      <c r="BF1204" s="2656"/>
      <c r="BG1204" s="2656"/>
      <c r="BH1204" s="2656"/>
      <c r="BI1204" s="2656"/>
    </row>
    <row r="1205" spans="1:61" ht="24.75" customHeight="1">
      <c r="A1205" s="3375"/>
      <c r="B1205" s="2646"/>
      <c r="C1205" s="2647"/>
      <c r="D1205" s="2646"/>
      <c r="E1205" s="3013"/>
      <c r="F1205" s="2655"/>
      <c r="G1205" s="2596"/>
      <c r="H1205" s="4138"/>
      <c r="I1205" s="3375"/>
      <c r="J1205" s="2648"/>
      <c r="K1205" s="3147"/>
      <c r="L1205" s="2785"/>
      <c r="M1205" s="2695"/>
      <c r="N1205" s="2649"/>
      <c r="O1205" s="2655"/>
      <c r="P1205" s="2651"/>
      <c r="Q1205" s="3440"/>
      <c r="R1205" s="3553"/>
      <c r="S1205" s="1407"/>
      <c r="T1205" s="3375"/>
      <c r="U1205" s="2648"/>
      <c r="V1205" s="3554"/>
      <c r="W1205" s="3150"/>
      <c r="X1205" s="2656"/>
      <c r="Y1205" s="2656"/>
      <c r="Z1205" s="2656"/>
      <c r="AA1205" s="2656"/>
      <c r="AB1205" s="2656"/>
      <c r="AC1205" s="2656"/>
      <c r="AD1205" s="2656"/>
      <c r="AE1205" s="2656"/>
      <c r="AF1205" s="2656"/>
      <c r="AG1205" s="2656"/>
      <c r="AH1205" s="2656"/>
      <c r="AI1205" s="2656"/>
      <c r="AJ1205" s="2656"/>
      <c r="AK1205" s="2656"/>
      <c r="AL1205" s="2656"/>
      <c r="AM1205" s="2656"/>
      <c r="AN1205" s="2656"/>
      <c r="AO1205" s="2656"/>
      <c r="AP1205" s="2656"/>
      <c r="AQ1205" s="2656"/>
      <c r="AR1205" s="2656"/>
      <c r="AS1205" s="2656"/>
      <c r="AT1205" s="2656"/>
      <c r="AU1205" s="2656"/>
      <c r="AV1205" s="2656"/>
      <c r="AW1205" s="2656"/>
      <c r="AX1205" s="2656"/>
      <c r="AY1205" s="2656"/>
      <c r="AZ1205" s="2656"/>
      <c r="BA1205" s="2656"/>
      <c r="BB1205" s="2656"/>
      <c r="BC1205" s="2656"/>
      <c r="BD1205" s="2656"/>
      <c r="BE1205" s="2656"/>
      <c r="BF1205" s="2656"/>
      <c r="BG1205" s="2656"/>
      <c r="BH1205" s="2656"/>
      <c r="BI1205" s="2656"/>
    </row>
    <row r="1206" spans="1:61" ht="24.75" customHeight="1">
      <c r="A1206" s="3375"/>
      <c r="B1206" s="2646"/>
      <c r="C1206" s="2647"/>
      <c r="D1206" s="2646"/>
      <c r="E1206" s="3013"/>
      <c r="F1206" s="2655"/>
      <c r="G1206" s="2596"/>
      <c r="H1206" s="4138"/>
      <c r="I1206" s="3375"/>
      <c r="J1206" s="2648"/>
      <c r="K1206" s="3147"/>
      <c r="L1206" s="2785"/>
      <c r="M1206" s="2695"/>
      <c r="N1206" s="2649"/>
      <c r="O1206" s="2655"/>
      <c r="P1206" s="2651"/>
      <c r="Q1206" s="3440"/>
      <c r="R1206" s="3553"/>
      <c r="S1206" s="1407"/>
      <c r="T1206" s="3375"/>
      <c r="U1206" s="2648"/>
      <c r="V1206" s="3554"/>
      <c r="W1206" s="3150"/>
      <c r="X1206" s="2656"/>
      <c r="Y1206" s="2656"/>
      <c r="Z1206" s="2656"/>
      <c r="AA1206" s="2656"/>
      <c r="AB1206" s="2656"/>
      <c r="AC1206" s="2656"/>
      <c r="AD1206" s="2656"/>
      <c r="AE1206" s="2656"/>
      <c r="AF1206" s="2656"/>
      <c r="AG1206" s="2656"/>
      <c r="AH1206" s="2656"/>
      <c r="AI1206" s="2656"/>
      <c r="AJ1206" s="2656"/>
      <c r="AK1206" s="2656"/>
      <c r="AL1206" s="2656"/>
      <c r="AM1206" s="2656"/>
      <c r="AN1206" s="2656"/>
      <c r="AO1206" s="2656"/>
      <c r="AP1206" s="2656"/>
      <c r="AQ1206" s="2656"/>
      <c r="AR1206" s="2656"/>
      <c r="AS1206" s="2656"/>
      <c r="AT1206" s="2656"/>
      <c r="AU1206" s="2656"/>
      <c r="AV1206" s="2656"/>
      <c r="AW1206" s="2656"/>
      <c r="AX1206" s="2656"/>
      <c r="AY1206" s="2656"/>
      <c r="AZ1206" s="2656"/>
      <c r="BA1206" s="2656"/>
      <c r="BB1206" s="2656"/>
      <c r="BC1206" s="2656"/>
      <c r="BD1206" s="2656"/>
      <c r="BE1206" s="2656"/>
      <c r="BF1206" s="2656"/>
      <c r="BG1206" s="2656"/>
      <c r="BH1206" s="2656"/>
      <c r="BI1206" s="2656"/>
    </row>
    <row r="1207" spans="1:61" ht="24.75" customHeight="1">
      <c r="A1207" s="3375"/>
      <c r="B1207" s="2646"/>
      <c r="C1207" s="2647"/>
      <c r="D1207" s="2646"/>
      <c r="E1207" s="3013"/>
      <c r="F1207" s="2655"/>
      <c r="G1207" s="2596"/>
      <c r="H1207" s="4138"/>
      <c r="I1207" s="3375"/>
      <c r="J1207" s="2648"/>
      <c r="K1207" s="3147"/>
      <c r="L1207" s="2785"/>
      <c r="M1207" s="2695"/>
      <c r="N1207" s="2649"/>
      <c r="O1207" s="2655"/>
      <c r="P1207" s="2651"/>
      <c r="Q1207" s="3440"/>
      <c r="R1207" s="3553"/>
      <c r="S1207" s="1407"/>
      <c r="T1207" s="3375"/>
      <c r="U1207" s="2648"/>
      <c r="V1207" s="3554"/>
      <c r="W1207" s="3150"/>
      <c r="X1207" s="2656"/>
      <c r="Y1207" s="2656"/>
      <c r="Z1207" s="2656"/>
      <c r="AA1207" s="2656"/>
      <c r="AB1207" s="2656"/>
      <c r="AC1207" s="2656"/>
      <c r="AD1207" s="2656"/>
      <c r="AE1207" s="2656"/>
      <c r="AF1207" s="2656"/>
      <c r="AG1207" s="2656"/>
      <c r="AH1207" s="2656"/>
      <c r="AI1207" s="2656"/>
      <c r="AJ1207" s="2656"/>
      <c r="AK1207" s="2656"/>
      <c r="AL1207" s="2656"/>
      <c r="AM1207" s="2656"/>
      <c r="AN1207" s="2656"/>
      <c r="AO1207" s="2656"/>
      <c r="AP1207" s="2656"/>
      <c r="AQ1207" s="2656"/>
      <c r="AR1207" s="2656"/>
      <c r="AS1207" s="2656"/>
      <c r="AT1207" s="2656"/>
      <c r="AU1207" s="2656"/>
      <c r="AV1207" s="2656"/>
      <c r="AW1207" s="2656"/>
      <c r="AX1207" s="2656"/>
      <c r="AY1207" s="2656"/>
      <c r="AZ1207" s="2656"/>
      <c r="BA1207" s="2656"/>
      <c r="BB1207" s="2656"/>
      <c r="BC1207" s="2656"/>
      <c r="BD1207" s="2656"/>
      <c r="BE1207" s="2656"/>
      <c r="BF1207" s="2656"/>
      <c r="BG1207" s="2656"/>
      <c r="BH1207" s="2656"/>
      <c r="BI1207" s="2656"/>
    </row>
    <row r="1208" spans="1:61" ht="24.75" customHeight="1">
      <c r="A1208" s="3375"/>
      <c r="B1208" s="2646"/>
      <c r="C1208" s="2647"/>
      <c r="D1208" s="2646"/>
      <c r="E1208" s="3013"/>
      <c r="F1208" s="2655"/>
      <c r="G1208" s="2596"/>
      <c r="H1208" s="4138"/>
      <c r="I1208" s="3375"/>
      <c r="J1208" s="2648"/>
      <c r="K1208" s="3147"/>
      <c r="L1208" s="2785"/>
      <c r="M1208" s="2695"/>
      <c r="N1208" s="2649"/>
      <c r="O1208" s="2655"/>
      <c r="P1208" s="2651"/>
      <c r="Q1208" s="3440"/>
      <c r="R1208" s="3553"/>
      <c r="S1208" s="1407"/>
      <c r="T1208" s="3375"/>
      <c r="U1208" s="2648"/>
      <c r="V1208" s="3554"/>
      <c r="W1208" s="3150"/>
      <c r="X1208" s="2656"/>
      <c r="Y1208" s="2656"/>
      <c r="Z1208" s="2656"/>
      <c r="AA1208" s="2656"/>
      <c r="AB1208" s="2656"/>
      <c r="AC1208" s="2656"/>
      <c r="AD1208" s="2656"/>
      <c r="AE1208" s="2656"/>
      <c r="AF1208" s="2656"/>
      <c r="AG1208" s="2656"/>
      <c r="AH1208" s="2656"/>
      <c r="AI1208" s="2656"/>
      <c r="AJ1208" s="2656"/>
      <c r="AK1208" s="2656"/>
      <c r="AL1208" s="2656"/>
      <c r="AM1208" s="2656"/>
      <c r="AN1208" s="2656"/>
      <c r="AO1208" s="2656"/>
      <c r="AP1208" s="2656"/>
      <c r="AQ1208" s="2656"/>
      <c r="AR1208" s="2656"/>
      <c r="AS1208" s="2656"/>
      <c r="AT1208" s="2656"/>
      <c r="AU1208" s="2656"/>
      <c r="AV1208" s="2656"/>
      <c r="AW1208" s="2656"/>
      <c r="AX1208" s="2656"/>
      <c r="AY1208" s="2656"/>
      <c r="AZ1208" s="2656"/>
      <c r="BA1208" s="2656"/>
      <c r="BB1208" s="2656"/>
      <c r="BC1208" s="2656"/>
      <c r="BD1208" s="2656"/>
      <c r="BE1208" s="2656"/>
      <c r="BF1208" s="2656"/>
      <c r="BG1208" s="2656"/>
      <c r="BH1208" s="2656"/>
      <c r="BI1208" s="2656"/>
    </row>
    <row r="1209" spans="1:61" ht="24.75" customHeight="1">
      <c r="A1209" s="3375"/>
      <c r="B1209" s="2646"/>
      <c r="C1209" s="2647"/>
      <c r="D1209" s="2646"/>
      <c r="E1209" s="3013"/>
      <c r="F1209" s="2655"/>
      <c r="G1209" s="2596"/>
      <c r="H1209" s="4138"/>
      <c r="I1209" s="3375"/>
      <c r="J1209" s="2648"/>
      <c r="K1209" s="3147"/>
      <c r="L1209" s="2785"/>
      <c r="M1209" s="2695"/>
      <c r="N1209" s="2649"/>
      <c r="O1209" s="2655"/>
      <c r="P1209" s="2651"/>
      <c r="Q1209" s="3440"/>
      <c r="R1209" s="3553"/>
      <c r="S1209" s="1407"/>
      <c r="T1209" s="3375"/>
      <c r="U1209" s="2648"/>
      <c r="V1209" s="3554"/>
      <c r="W1209" s="3150"/>
      <c r="X1209" s="2656"/>
      <c r="Y1209" s="2656"/>
      <c r="Z1209" s="2656"/>
      <c r="AA1209" s="2656"/>
      <c r="AB1209" s="2656"/>
      <c r="AC1209" s="2656"/>
      <c r="AD1209" s="2656"/>
      <c r="AE1209" s="2656"/>
      <c r="AF1209" s="2656"/>
      <c r="AG1209" s="2656"/>
      <c r="AH1209" s="2656"/>
      <c r="AI1209" s="2656"/>
      <c r="AJ1209" s="2656"/>
      <c r="AK1209" s="2656"/>
      <c r="AL1209" s="2656"/>
      <c r="AM1209" s="2656"/>
      <c r="AN1209" s="2656"/>
      <c r="AO1209" s="2656"/>
      <c r="AP1209" s="2656"/>
      <c r="AQ1209" s="2656"/>
      <c r="AR1209" s="2656"/>
      <c r="AS1209" s="2656"/>
      <c r="AT1209" s="2656"/>
      <c r="AU1209" s="2656"/>
      <c r="AV1209" s="2656"/>
      <c r="AW1209" s="2656"/>
      <c r="AX1209" s="2656"/>
      <c r="AY1209" s="2656"/>
      <c r="AZ1209" s="2656"/>
      <c r="BA1209" s="2656"/>
      <c r="BB1209" s="2656"/>
      <c r="BC1209" s="2656"/>
      <c r="BD1209" s="2656"/>
      <c r="BE1209" s="2656"/>
      <c r="BF1209" s="2656"/>
      <c r="BG1209" s="2656"/>
      <c r="BH1209" s="2656"/>
      <c r="BI1209" s="2656"/>
    </row>
    <row r="1210" spans="1:61" ht="24.75" customHeight="1">
      <c r="A1210" s="3375"/>
      <c r="B1210" s="2646"/>
      <c r="C1210" s="2647"/>
      <c r="D1210" s="2646"/>
      <c r="E1210" s="3013"/>
      <c r="F1210" s="2655"/>
      <c r="G1210" s="2596"/>
      <c r="H1210" s="4138"/>
      <c r="I1210" s="3375"/>
      <c r="J1210" s="2648"/>
      <c r="K1210" s="3147"/>
      <c r="L1210" s="2785"/>
      <c r="M1210" s="2695"/>
      <c r="N1210" s="2649"/>
      <c r="O1210" s="2655"/>
      <c r="P1210" s="2651"/>
      <c r="Q1210" s="3440"/>
      <c r="R1210" s="3553"/>
      <c r="S1210" s="1407"/>
      <c r="T1210" s="3375"/>
      <c r="U1210" s="2648"/>
      <c r="V1210" s="3554"/>
      <c r="W1210" s="3150"/>
      <c r="X1210" s="2656"/>
      <c r="Y1210" s="2656"/>
      <c r="Z1210" s="2656"/>
      <c r="AA1210" s="2656"/>
      <c r="AB1210" s="2656"/>
      <c r="AC1210" s="2656"/>
      <c r="AD1210" s="2656"/>
      <c r="AE1210" s="2656"/>
      <c r="AF1210" s="2656"/>
      <c r="AG1210" s="2656"/>
      <c r="AH1210" s="2656"/>
      <c r="AI1210" s="2656"/>
      <c r="AJ1210" s="2656"/>
      <c r="AK1210" s="2656"/>
      <c r="AL1210" s="2656"/>
      <c r="AM1210" s="2656"/>
      <c r="AN1210" s="2656"/>
      <c r="AO1210" s="2656"/>
      <c r="AP1210" s="2656"/>
      <c r="AQ1210" s="2656"/>
      <c r="AR1210" s="2656"/>
      <c r="AS1210" s="2656"/>
      <c r="AT1210" s="2656"/>
      <c r="AU1210" s="2656"/>
      <c r="AV1210" s="2656"/>
      <c r="AW1210" s="2656"/>
      <c r="AX1210" s="2656"/>
      <c r="AY1210" s="2656"/>
      <c r="AZ1210" s="2656"/>
      <c r="BA1210" s="2656"/>
      <c r="BB1210" s="2656"/>
      <c r="BC1210" s="2656"/>
      <c r="BD1210" s="2656"/>
      <c r="BE1210" s="2656"/>
      <c r="BF1210" s="2656"/>
      <c r="BG1210" s="2656"/>
      <c r="BH1210" s="2656"/>
      <c r="BI1210" s="2656"/>
    </row>
    <row r="1211" spans="1:61" ht="24.75" customHeight="1">
      <c r="A1211" s="3375"/>
      <c r="B1211" s="2646"/>
      <c r="C1211" s="2647"/>
      <c r="D1211" s="2646"/>
      <c r="E1211" s="3013"/>
      <c r="F1211" s="2655"/>
      <c r="G1211" s="2596"/>
      <c r="H1211" s="4138"/>
      <c r="I1211" s="3375"/>
      <c r="J1211" s="2648"/>
      <c r="K1211" s="3147"/>
      <c r="L1211" s="2785"/>
      <c r="M1211" s="2695"/>
      <c r="N1211" s="2649"/>
      <c r="O1211" s="2655"/>
      <c r="P1211" s="2651"/>
      <c r="Q1211" s="3440"/>
      <c r="R1211" s="3553"/>
      <c r="S1211" s="1407"/>
      <c r="T1211" s="3375"/>
      <c r="U1211" s="2648"/>
      <c r="V1211" s="3554"/>
      <c r="W1211" s="3150"/>
      <c r="X1211" s="2656"/>
      <c r="Y1211" s="2656"/>
      <c r="Z1211" s="2656"/>
      <c r="AA1211" s="2656"/>
      <c r="AB1211" s="2656"/>
      <c r="AC1211" s="2656"/>
      <c r="AD1211" s="2656"/>
      <c r="AE1211" s="2656"/>
      <c r="AF1211" s="2656"/>
      <c r="AG1211" s="2656"/>
      <c r="AH1211" s="2656"/>
      <c r="AI1211" s="2656"/>
      <c r="AJ1211" s="2656"/>
      <c r="AK1211" s="2656"/>
      <c r="AL1211" s="2656"/>
      <c r="AM1211" s="2656"/>
      <c r="AN1211" s="2656"/>
      <c r="AO1211" s="2656"/>
      <c r="AP1211" s="2656"/>
      <c r="AQ1211" s="2656"/>
      <c r="AR1211" s="2656"/>
      <c r="AS1211" s="2656"/>
      <c r="AT1211" s="2656"/>
      <c r="AU1211" s="2656"/>
      <c r="AV1211" s="2656"/>
      <c r="AW1211" s="2656"/>
      <c r="AX1211" s="2656"/>
      <c r="AY1211" s="2656"/>
      <c r="AZ1211" s="2656"/>
      <c r="BA1211" s="2656"/>
      <c r="BB1211" s="2656"/>
      <c r="BC1211" s="2656"/>
      <c r="BD1211" s="2656"/>
      <c r="BE1211" s="2656"/>
      <c r="BF1211" s="2656"/>
      <c r="BG1211" s="2656"/>
      <c r="BH1211" s="2656"/>
      <c r="BI1211" s="2656"/>
    </row>
    <row r="1212" spans="1:61" ht="24.75" customHeight="1">
      <c r="A1212" s="3375"/>
      <c r="B1212" s="2646"/>
      <c r="C1212" s="2647"/>
      <c r="D1212" s="2646"/>
      <c r="E1212" s="3013"/>
      <c r="F1212" s="2655"/>
      <c r="G1212" s="2596"/>
      <c r="H1212" s="4138"/>
      <c r="I1212" s="3375"/>
      <c r="J1212" s="2648"/>
      <c r="K1212" s="3147"/>
      <c r="L1212" s="2785"/>
      <c r="M1212" s="2695"/>
      <c r="N1212" s="2649"/>
      <c r="O1212" s="2655"/>
      <c r="P1212" s="2651"/>
      <c r="Q1212" s="3440"/>
      <c r="R1212" s="3553"/>
      <c r="S1212" s="1407"/>
      <c r="T1212" s="3375"/>
      <c r="U1212" s="2648"/>
      <c r="V1212" s="3554"/>
      <c r="W1212" s="3150"/>
      <c r="X1212" s="2656"/>
      <c r="Y1212" s="2656"/>
      <c r="Z1212" s="2656"/>
      <c r="AA1212" s="2656"/>
      <c r="AB1212" s="2656"/>
      <c r="AC1212" s="2656"/>
      <c r="AD1212" s="2656"/>
      <c r="AE1212" s="2656"/>
      <c r="AF1212" s="2656"/>
      <c r="AG1212" s="2656"/>
      <c r="AH1212" s="2656"/>
      <c r="AI1212" s="2656"/>
      <c r="AJ1212" s="2656"/>
      <c r="AK1212" s="2656"/>
      <c r="AL1212" s="2656"/>
      <c r="AM1212" s="2656"/>
      <c r="AN1212" s="2656"/>
      <c r="AO1212" s="2656"/>
      <c r="AP1212" s="2656"/>
      <c r="AQ1212" s="2656"/>
      <c r="AR1212" s="2656"/>
      <c r="AS1212" s="2656"/>
      <c r="AT1212" s="2656"/>
      <c r="AU1212" s="2656"/>
      <c r="AV1212" s="2656"/>
      <c r="AW1212" s="2656"/>
      <c r="AX1212" s="2656"/>
      <c r="AY1212" s="2656"/>
      <c r="AZ1212" s="2656"/>
      <c r="BA1212" s="2656"/>
      <c r="BB1212" s="2656"/>
      <c r="BC1212" s="2656"/>
      <c r="BD1212" s="2656"/>
      <c r="BE1212" s="2656"/>
      <c r="BF1212" s="2656"/>
      <c r="BG1212" s="2656"/>
      <c r="BH1212" s="2656"/>
      <c r="BI1212" s="2656"/>
    </row>
    <row r="1213" spans="1:61" ht="24.75" customHeight="1">
      <c r="A1213" s="3375"/>
      <c r="B1213" s="2646"/>
      <c r="C1213" s="2647"/>
      <c r="D1213" s="2646"/>
      <c r="E1213" s="3013"/>
      <c r="F1213" s="2655"/>
      <c r="G1213" s="2596"/>
      <c r="H1213" s="4138"/>
      <c r="I1213" s="3375"/>
      <c r="J1213" s="2648"/>
      <c r="K1213" s="3147"/>
      <c r="L1213" s="2785"/>
      <c r="M1213" s="2695"/>
      <c r="N1213" s="2649"/>
      <c r="O1213" s="2655"/>
      <c r="P1213" s="2651"/>
      <c r="Q1213" s="3440"/>
      <c r="R1213" s="3553"/>
      <c r="S1213" s="1407"/>
      <c r="T1213" s="3375"/>
      <c r="U1213" s="2648"/>
      <c r="V1213" s="3554"/>
      <c r="W1213" s="3150"/>
      <c r="X1213" s="2656"/>
      <c r="Y1213" s="2656"/>
      <c r="Z1213" s="2656"/>
      <c r="AA1213" s="2656"/>
      <c r="AB1213" s="2656"/>
      <c r="AC1213" s="2656"/>
      <c r="AD1213" s="2656"/>
      <c r="AE1213" s="2656"/>
      <c r="AF1213" s="2656"/>
      <c r="AG1213" s="2656"/>
      <c r="AH1213" s="2656"/>
      <c r="AI1213" s="2656"/>
      <c r="AJ1213" s="2656"/>
      <c r="AK1213" s="2656"/>
      <c r="AL1213" s="2656"/>
      <c r="AM1213" s="2656"/>
      <c r="AN1213" s="2656"/>
      <c r="AO1213" s="2656"/>
      <c r="AP1213" s="2656"/>
      <c r="AQ1213" s="2656"/>
      <c r="AR1213" s="2656"/>
      <c r="AS1213" s="2656"/>
      <c r="AT1213" s="2656"/>
      <c r="AU1213" s="2656"/>
      <c r="AV1213" s="2656"/>
      <c r="AW1213" s="2656"/>
      <c r="AX1213" s="2656"/>
      <c r="AY1213" s="2656"/>
      <c r="AZ1213" s="2656"/>
      <c r="BA1213" s="2656"/>
      <c r="BB1213" s="2656"/>
      <c r="BC1213" s="2656"/>
      <c r="BD1213" s="2656"/>
      <c r="BE1213" s="2656"/>
      <c r="BF1213" s="2656"/>
      <c r="BG1213" s="2656"/>
      <c r="BH1213" s="2656"/>
      <c r="BI1213" s="2656"/>
    </row>
    <row r="1214" spans="1:61" ht="24.75" customHeight="1">
      <c r="A1214" s="3375"/>
      <c r="B1214" s="2646"/>
      <c r="C1214" s="2647"/>
      <c r="D1214" s="2646"/>
      <c r="E1214" s="3013"/>
      <c r="F1214" s="2655"/>
      <c r="G1214" s="2596"/>
      <c r="H1214" s="4138"/>
      <c r="I1214" s="3375"/>
      <c r="J1214" s="2648"/>
      <c r="K1214" s="3147"/>
      <c r="L1214" s="2785"/>
      <c r="M1214" s="2695"/>
      <c r="N1214" s="2649"/>
      <c r="O1214" s="2655"/>
      <c r="P1214" s="2651"/>
      <c r="Q1214" s="3440"/>
      <c r="R1214" s="3553"/>
      <c r="S1214" s="1407"/>
      <c r="T1214" s="3375"/>
      <c r="U1214" s="2648"/>
      <c r="V1214" s="3554"/>
      <c r="W1214" s="3150"/>
      <c r="X1214" s="2656"/>
      <c r="Y1214" s="2656"/>
      <c r="Z1214" s="2656"/>
      <c r="AA1214" s="2656"/>
      <c r="AB1214" s="2656"/>
      <c r="AC1214" s="2656"/>
      <c r="AD1214" s="2656"/>
      <c r="AE1214" s="2656"/>
      <c r="AF1214" s="2656"/>
      <c r="AG1214" s="2656"/>
      <c r="AH1214" s="2656"/>
      <c r="AI1214" s="2656"/>
      <c r="AJ1214" s="2656"/>
      <c r="AK1214" s="2656"/>
      <c r="AL1214" s="2656"/>
      <c r="AM1214" s="2656"/>
      <c r="AN1214" s="2656"/>
      <c r="AO1214" s="2656"/>
      <c r="AP1214" s="2656"/>
      <c r="AQ1214" s="2656"/>
      <c r="AR1214" s="2656"/>
      <c r="AS1214" s="2656"/>
      <c r="AT1214" s="2656"/>
      <c r="AU1214" s="2656"/>
      <c r="AV1214" s="2656"/>
      <c r="AW1214" s="2656"/>
      <c r="AX1214" s="2656"/>
      <c r="AY1214" s="2656"/>
      <c r="AZ1214" s="2656"/>
      <c r="BA1214" s="2656"/>
      <c r="BB1214" s="2656"/>
      <c r="BC1214" s="2656"/>
      <c r="BD1214" s="2656"/>
      <c r="BE1214" s="2656"/>
      <c r="BF1214" s="2656"/>
      <c r="BG1214" s="2656"/>
      <c r="BH1214" s="2656"/>
      <c r="BI1214" s="2656"/>
    </row>
    <row r="1215" spans="1:61" ht="24.75" customHeight="1">
      <c r="A1215" s="3375"/>
      <c r="B1215" s="2646"/>
      <c r="C1215" s="2647"/>
      <c r="D1215" s="2646"/>
      <c r="E1215" s="3013"/>
      <c r="F1215" s="2655"/>
      <c r="G1215" s="2596"/>
      <c r="H1215" s="4138"/>
      <c r="I1215" s="3375"/>
      <c r="J1215" s="2648"/>
      <c r="K1215" s="3147"/>
      <c r="L1215" s="2785"/>
      <c r="M1215" s="2695"/>
      <c r="N1215" s="2649"/>
      <c r="O1215" s="2655"/>
      <c r="P1215" s="2651"/>
      <c r="Q1215" s="3440"/>
      <c r="R1215" s="3553"/>
      <c r="S1215" s="1407"/>
      <c r="T1215" s="3375"/>
      <c r="U1215" s="2648"/>
      <c r="V1215" s="3554"/>
      <c r="W1215" s="3150"/>
      <c r="X1215" s="2656"/>
      <c r="Y1215" s="2656"/>
      <c r="Z1215" s="2656"/>
      <c r="AA1215" s="2656"/>
      <c r="AB1215" s="2656"/>
      <c r="AC1215" s="2656"/>
      <c r="AD1215" s="2656"/>
      <c r="AE1215" s="2656"/>
      <c r="AF1215" s="2656"/>
      <c r="AG1215" s="2656"/>
      <c r="AH1215" s="2656"/>
      <c r="AI1215" s="2656"/>
      <c r="AJ1215" s="2656"/>
      <c r="AK1215" s="2656"/>
      <c r="AL1215" s="2656"/>
      <c r="AM1215" s="2656"/>
      <c r="AN1215" s="2656"/>
      <c r="AO1215" s="2656"/>
      <c r="AP1215" s="2656"/>
      <c r="AQ1215" s="2656"/>
      <c r="AR1215" s="2656"/>
      <c r="AS1215" s="2656"/>
      <c r="AT1215" s="2656"/>
      <c r="AU1215" s="2656"/>
      <c r="AV1215" s="2656"/>
      <c r="AW1215" s="2656"/>
      <c r="AX1215" s="2656"/>
      <c r="AY1215" s="2656"/>
      <c r="AZ1215" s="2656"/>
      <c r="BA1215" s="2656"/>
      <c r="BB1215" s="2656"/>
      <c r="BC1215" s="2656"/>
      <c r="BD1215" s="2656"/>
      <c r="BE1215" s="2656"/>
      <c r="BF1215" s="2656"/>
      <c r="BG1215" s="2656"/>
      <c r="BH1215" s="2656"/>
      <c r="BI1215" s="2656"/>
    </row>
    <row r="1216" spans="1:61" ht="24.75" customHeight="1">
      <c r="A1216" s="3375"/>
      <c r="B1216" s="2646"/>
      <c r="C1216" s="2647"/>
      <c r="D1216" s="2646"/>
      <c r="E1216" s="3013"/>
      <c r="F1216" s="2655"/>
      <c r="G1216" s="2596"/>
      <c r="H1216" s="4138"/>
      <c r="I1216" s="3375"/>
      <c r="J1216" s="2648"/>
      <c r="K1216" s="3147"/>
      <c r="L1216" s="2785"/>
      <c r="M1216" s="2695"/>
      <c r="N1216" s="2649"/>
      <c r="O1216" s="2655"/>
      <c r="P1216" s="2651"/>
      <c r="Q1216" s="3440"/>
      <c r="R1216" s="3553"/>
      <c r="S1216" s="1407"/>
      <c r="T1216" s="3375"/>
      <c r="U1216" s="2648"/>
      <c r="V1216" s="3554"/>
      <c r="W1216" s="3150"/>
      <c r="X1216" s="2656"/>
      <c r="Y1216" s="2656"/>
      <c r="Z1216" s="2656"/>
      <c r="AA1216" s="2656"/>
      <c r="AB1216" s="2656"/>
      <c r="AC1216" s="2656"/>
      <c r="AD1216" s="2656"/>
      <c r="AE1216" s="2656"/>
      <c r="AF1216" s="2656"/>
      <c r="AG1216" s="2656"/>
      <c r="AH1216" s="2656"/>
      <c r="AI1216" s="2656"/>
      <c r="AJ1216" s="2656"/>
      <c r="AK1216" s="2656"/>
      <c r="AL1216" s="2656"/>
      <c r="AM1216" s="2656"/>
      <c r="AN1216" s="2656"/>
      <c r="AO1216" s="2656"/>
      <c r="AP1216" s="2656"/>
      <c r="AQ1216" s="2656"/>
      <c r="AR1216" s="2656"/>
      <c r="AS1216" s="2656"/>
      <c r="AT1216" s="2656"/>
      <c r="AU1216" s="2656"/>
      <c r="AV1216" s="2656"/>
      <c r="AW1216" s="2656"/>
      <c r="AX1216" s="2656"/>
      <c r="AY1216" s="2656"/>
      <c r="AZ1216" s="2656"/>
      <c r="BA1216" s="2656"/>
      <c r="BB1216" s="2656"/>
      <c r="BC1216" s="2656"/>
      <c r="BD1216" s="2656"/>
      <c r="BE1216" s="2656"/>
      <c r="BF1216" s="2656"/>
      <c r="BG1216" s="2656"/>
      <c r="BH1216" s="2656"/>
      <c r="BI1216" s="2656"/>
    </row>
    <row r="1217" spans="1:61" ht="24.75" customHeight="1">
      <c r="A1217" s="3375"/>
      <c r="B1217" s="2646"/>
      <c r="C1217" s="2647"/>
      <c r="D1217" s="2646"/>
      <c r="E1217" s="3013"/>
      <c r="F1217" s="2655"/>
      <c r="G1217" s="2596"/>
      <c r="H1217" s="4138"/>
      <c r="I1217" s="3375"/>
      <c r="J1217" s="2648"/>
      <c r="K1217" s="3147"/>
      <c r="L1217" s="2785"/>
      <c r="M1217" s="2695"/>
      <c r="N1217" s="2649"/>
      <c r="O1217" s="2655"/>
      <c r="P1217" s="2651"/>
      <c r="Q1217" s="3440"/>
      <c r="R1217" s="3553"/>
      <c r="S1217" s="1407"/>
      <c r="T1217" s="3375"/>
      <c r="U1217" s="2648"/>
      <c r="V1217" s="3554"/>
      <c r="W1217" s="3150"/>
      <c r="X1217" s="2656"/>
      <c r="Y1217" s="2656"/>
      <c r="Z1217" s="2656"/>
      <c r="AA1217" s="2656"/>
      <c r="AB1217" s="2656"/>
      <c r="AC1217" s="2656"/>
      <c r="AD1217" s="2656"/>
      <c r="AE1217" s="2656"/>
      <c r="AF1217" s="2656"/>
      <c r="AG1217" s="2656"/>
      <c r="AH1217" s="2656"/>
      <c r="AI1217" s="2656"/>
      <c r="AJ1217" s="2656"/>
      <c r="AK1217" s="2656"/>
      <c r="AL1217" s="2656"/>
      <c r="AM1217" s="2656"/>
      <c r="AN1217" s="2656"/>
      <c r="AO1217" s="2656"/>
      <c r="AP1217" s="2656"/>
      <c r="AQ1217" s="2656"/>
      <c r="AR1217" s="2656"/>
      <c r="AS1217" s="2656"/>
      <c r="AT1217" s="2656"/>
      <c r="AU1217" s="2656"/>
      <c r="AV1217" s="2656"/>
      <c r="AW1217" s="2656"/>
      <c r="AX1217" s="2656"/>
      <c r="AY1217" s="2656"/>
      <c r="AZ1217" s="2656"/>
      <c r="BA1217" s="2656"/>
      <c r="BB1217" s="2656"/>
      <c r="BC1217" s="2656"/>
      <c r="BD1217" s="2656"/>
      <c r="BE1217" s="2656"/>
      <c r="BF1217" s="2656"/>
      <c r="BG1217" s="2656"/>
      <c r="BH1217" s="2656"/>
      <c r="BI1217" s="2656"/>
    </row>
    <row r="1218" spans="1:61" ht="24.75" customHeight="1">
      <c r="A1218" s="3375"/>
      <c r="B1218" s="2646"/>
      <c r="C1218" s="2647"/>
      <c r="D1218" s="2646"/>
      <c r="E1218" s="3013"/>
      <c r="F1218" s="2655"/>
      <c r="G1218" s="2596"/>
      <c r="H1218" s="4138"/>
      <c r="I1218" s="3375"/>
      <c r="J1218" s="2648"/>
      <c r="K1218" s="3147"/>
      <c r="L1218" s="2785"/>
      <c r="M1218" s="2695"/>
      <c r="N1218" s="2649"/>
      <c r="O1218" s="2655"/>
      <c r="P1218" s="2651"/>
      <c r="Q1218" s="3440"/>
      <c r="R1218" s="3553"/>
      <c r="S1218" s="1407"/>
      <c r="T1218" s="3375"/>
      <c r="U1218" s="2648"/>
      <c r="V1218" s="3554"/>
      <c r="W1218" s="3150"/>
      <c r="X1218" s="2656"/>
      <c r="Y1218" s="2656"/>
      <c r="Z1218" s="2656"/>
      <c r="AA1218" s="2656"/>
      <c r="AB1218" s="2656"/>
      <c r="AC1218" s="2656"/>
      <c r="AD1218" s="2656"/>
      <c r="AE1218" s="2656"/>
      <c r="AF1218" s="2656"/>
      <c r="AG1218" s="2656"/>
      <c r="AH1218" s="2656"/>
      <c r="AI1218" s="2656"/>
      <c r="AJ1218" s="2656"/>
      <c r="AK1218" s="2656"/>
      <c r="AL1218" s="2656"/>
      <c r="AM1218" s="2656"/>
      <c r="AN1218" s="2656"/>
      <c r="AO1218" s="2656"/>
      <c r="AP1218" s="2656"/>
      <c r="AQ1218" s="2656"/>
      <c r="AR1218" s="2656"/>
      <c r="AS1218" s="2656"/>
      <c r="AT1218" s="2656"/>
      <c r="AU1218" s="2656"/>
      <c r="AV1218" s="2656"/>
      <c r="AW1218" s="2656"/>
      <c r="AX1218" s="2656"/>
      <c r="AY1218" s="2656"/>
      <c r="AZ1218" s="2656"/>
      <c r="BA1218" s="2656"/>
      <c r="BB1218" s="2656"/>
      <c r="BC1218" s="2656"/>
      <c r="BD1218" s="2656"/>
      <c r="BE1218" s="2656"/>
      <c r="BF1218" s="2656"/>
      <c r="BG1218" s="2656"/>
      <c r="BH1218" s="2656"/>
      <c r="BI1218" s="2656"/>
    </row>
    <row r="1219" spans="1:61" ht="24.75" customHeight="1">
      <c r="A1219" s="3375"/>
      <c r="B1219" s="2646"/>
      <c r="C1219" s="2647"/>
      <c r="D1219" s="2646"/>
      <c r="E1219" s="3013"/>
      <c r="F1219" s="2655"/>
      <c r="G1219" s="2596"/>
      <c r="H1219" s="4138"/>
      <c r="I1219" s="3375"/>
      <c r="J1219" s="2648"/>
      <c r="K1219" s="3147"/>
      <c r="L1219" s="2785"/>
      <c r="M1219" s="2695"/>
      <c r="N1219" s="2649"/>
      <c r="O1219" s="2655"/>
      <c r="P1219" s="2651"/>
      <c r="Q1219" s="3440"/>
      <c r="R1219" s="3553"/>
      <c r="S1219" s="1407"/>
      <c r="T1219" s="3375"/>
      <c r="U1219" s="2648"/>
      <c r="V1219" s="3554"/>
      <c r="W1219" s="3150"/>
      <c r="X1219" s="2656"/>
      <c r="Y1219" s="2656"/>
      <c r="Z1219" s="2656"/>
      <c r="AA1219" s="2656"/>
      <c r="AB1219" s="2656"/>
      <c r="AC1219" s="2656"/>
      <c r="AD1219" s="2656"/>
      <c r="AE1219" s="2656"/>
      <c r="AF1219" s="2656"/>
      <c r="AG1219" s="2656"/>
      <c r="AH1219" s="2656"/>
      <c r="AI1219" s="2656"/>
      <c r="AJ1219" s="2656"/>
      <c r="AK1219" s="2656"/>
      <c r="AL1219" s="2656"/>
      <c r="AM1219" s="2656"/>
      <c r="AN1219" s="2656"/>
      <c r="AO1219" s="2656"/>
      <c r="AP1219" s="2656"/>
      <c r="AQ1219" s="2656"/>
      <c r="AR1219" s="2656"/>
      <c r="AS1219" s="2656"/>
      <c r="AT1219" s="2656"/>
      <c r="AU1219" s="2656"/>
      <c r="AV1219" s="2656"/>
      <c r="AW1219" s="2656"/>
      <c r="AX1219" s="2656"/>
      <c r="AY1219" s="2656"/>
      <c r="AZ1219" s="2656"/>
      <c r="BA1219" s="2656"/>
      <c r="BB1219" s="2656"/>
      <c r="BC1219" s="2656"/>
      <c r="BD1219" s="2656"/>
      <c r="BE1219" s="2656"/>
      <c r="BF1219" s="2656"/>
      <c r="BG1219" s="2656"/>
      <c r="BH1219" s="2656"/>
      <c r="BI1219" s="2656"/>
    </row>
    <row r="1220" spans="1:61" ht="24.75" customHeight="1">
      <c r="A1220" s="3375"/>
      <c r="B1220" s="2646"/>
      <c r="C1220" s="2647"/>
      <c r="D1220" s="2646"/>
      <c r="E1220" s="3013"/>
      <c r="F1220" s="2655"/>
      <c r="G1220" s="2596"/>
      <c r="H1220" s="4138"/>
      <c r="I1220" s="3375"/>
      <c r="J1220" s="2648"/>
      <c r="K1220" s="3147"/>
      <c r="L1220" s="2785"/>
      <c r="M1220" s="2695"/>
      <c r="N1220" s="2649"/>
      <c r="O1220" s="2655"/>
      <c r="P1220" s="2651"/>
      <c r="Q1220" s="3440"/>
      <c r="R1220" s="3553"/>
      <c r="S1220" s="1407"/>
      <c r="T1220" s="3375"/>
      <c r="U1220" s="2648"/>
      <c r="V1220" s="3554"/>
      <c r="W1220" s="3150"/>
      <c r="X1220" s="2656"/>
      <c r="Y1220" s="2656"/>
      <c r="Z1220" s="2656"/>
      <c r="AA1220" s="2656"/>
      <c r="AB1220" s="2656"/>
      <c r="AC1220" s="2656"/>
      <c r="AD1220" s="2656"/>
      <c r="AE1220" s="2656"/>
      <c r="AF1220" s="2656"/>
      <c r="AG1220" s="2656"/>
      <c r="AH1220" s="2656"/>
      <c r="AI1220" s="2656"/>
      <c r="AJ1220" s="2656"/>
      <c r="AK1220" s="2656"/>
      <c r="AL1220" s="2656"/>
      <c r="AM1220" s="2656"/>
      <c r="AN1220" s="2656"/>
      <c r="AO1220" s="2656"/>
      <c r="AP1220" s="2656"/>
      <c r="AQ1220" s="2656"/>
      <c r="AR1220" s="2656"/>
      <c r="AS1220" s="2656"/>
      <c r="AT1220" s="2656"/>
      <c r="AU1220" s="2656"/>
      <c r="AV1220" s="2656"/>
      <c r="AW1220" s="2656"/>
      <c r="AX1220" s="2656"/>
      <c r="AY1220" s="2656"/>
      <c r="AZ1220" s="2656"/>
      <c r="BA1220" s="2656"/>
      <c r="BB1220" s="2656"/>
      <c r="BC1220" s="2656"/>
      <c r="BD1220" s="2656"/>
      <c r="BE1220" s="2656"/>
      <c r="BF1220" s="2656"/>
      <c r="BG1220" s="2656"/>
      <c r="BH1220" s="2656"/>
      <c r="BI1220" s="2656"/>
    </row>
    <row r="1221" spans="1:61" ht="24.75" customHeight="1">
      <c r="A1221" s="3375"/>
      <c r="B1221" s="2646"/>
      <c r="C1221" s="2647"/>
      <c r="D1221" s="2646"/>
      <c r="E1221" s="3013"/>
      <c r="F1221" s="2655"/>
      <c r="G1221" s="2596"/>
      <c r="H1221" s="4138"/>
      <c r="I1221" s="3375"/>
      <c r="J1221" s="2648"/>
      <c r="K1221" s="3147"/>
      <c r="L1221" s="2785"/>
      <c r="M1221" s="2695"/>
      <c r="N1221" s="2649"/>
      <c r="O1221" s="2655"/>
      <c r="P1221" s="2651"/>
      <c r="Q1221" s="3440"/>
      <c r="R1221" s="3553"/>
      <c r="S1221" s="1407"/>
      <c r="T1221" s="3375"/>
      <c r="U1221" s="2648"/>
      <c r="V1221" s="3554"/>
      <c r="W1221" s="3150"/>
      <c r="X1221" s="2656"/>
      <c r="Y1221" s="2656"/>
      <c r="Z1221" s="2656"/>
      <c r="AA1221" s="2656"/>
      <c r="AB1221" s="2656"/>
      <c r="AC1221" s="2656"/>
      <c r="AD1221" s="2656"/>
      <c r="AE1221" s="2656"/>
      <c r="AF1221" s="2656"/>
      <c r="AG1221" s="2656"/>
      <c r="AH1221" s="2656"/>
      <c r="AI1221" s="2656"/>
      <c r="AJ1221" s="2656"/>
      <c r="AK1221" s="2656"/>
      <c r="AL1221" s="2656"/>
      <c r="AM1221" s="2656"/>
      <c r="AN1221" s="2656"/>
      <c r="AO1221" s="2656"/>
      <c r="AP1221" s="2656"/>
      <c r="AQ1221" s="2656"/>
      <c r="AR1221" s="2656"/>
      <c r="AS1221" s="2656"/>
      <c r="AT1221" s="2656"/>
      <c r="AU1221" s="2656"/>
      <c r="AV1221" s="2656"/>
      <c r="AW1221" s="2656"/>
      <c r="AX1221" s="2656"/>
      <c r="AY1221" s="2656"/>
      <c r="AZ1221" s="2656"/>
      <c r="BA1221" s="2656"/>
      <c r="BB1221" s="2656"/>
      <c r="BC1221" s="2656"/>
      <c r="BD1221" s="2656"/>
      <c r="BE1221" s="2656"/>
      <c r="BF1221" s="2656"/>
      <c r="BG1221" s="2656"/>
      <c r="BH1221" s="2656"/>
      <c r="BI1221" s="2656"/>
    </row>
    <row r="1222" spans="1:61" ht="24.75" customHeight="1">
      <c r="A1222" s="3375"/>
      <c r="B1222" s="2646"/>
      <c r="C1222" s="2647"/>
      <c r="D1222" s="2646"/>
      <c r="E1222" s="3013"/>
      <c r="F1222" s="2655"/>
      <c r="G1222" s="2596"/>
      <c r="H1222" s="4138"/>
      <c r="I1222" s="3375"/>
      <c r="J1222" s="2648"/>
      <c r="K1222" s="3147"/>
      <c r="L1222" s="2785"/>
      <c r="M1222" s="2695"/>
      <c r="N1222" s="2649"/>
      <c r="O1222" s="2655"/>
      <c r="P1222" s="2651"/>
      <c r="Q1222" s="3440"/>
      <c r="R1222" s="3553"/>
      <c r="S1222" s="1407"/>
      <c r="T1222" s="3375"/>
      <c r="U1222" s="2648"/>
      <c r="V1222" s="3554"/>
      <c r="W1222" s="3150"/>
      <c r="X1222" s="2656"/>
      <c r="Y1222" s="2656"/>
      <c r="Z1222" s="2656"/>
      <c r="AA1222" s="2656"/>
      <c r="AB1222" s="2656"/>
      <c r="AC1222" s="2656"/>
      <c r="AD1222" s="2656"/>
      <c r="AE1222" s="2656"/>
      <c r="AF1222" s="2656"/>
      <c r="AG1222" s="2656"/>
      <c r="AH1222" s="2656"/>
      <c r="AI1222" s="2656"/>
      <c r="AJ1222" s="2656"/>
      <c r="AK1222" s="2656"/>
      <c r="AL1222" s="2656"/>
      <c r="AM1222" s="2656"/>
      <c r="AN1222" s="2656"/>
      <c r="AO1222" s="2656"/>
      <c r="AP1222" s="2656"/>
      <c r="AQ1222" s="2656"/>
      <c r="AR1222" s="2656"/>
      <c r="AS1222" s="2656"/>
      <c r="AT1222" s="2656"/>
      <c r="AU1222" s="2656"/>
      <c r="AV1222" s="2656"/>
      <c r="AW1222" s="2656"/>
      <c r="AX1222" s="2656"/>
      <c r="AY1222" s="2656"/>
      <c r="AZ1222" s="2656"/>
      <c r="BA1222" s="2656"/>
      <c r="BB1222" s="2656"/>
      <c r="BC1222" s="2656"/>
      <c r="BD1222" s="2656"/>
      <c r="BE1222" s="2656"/>
      <c r="BF1222" s="2656"/>
      <c r="BG1222" s="2656"/>
      <c r="BH1222" s="2656"/>
      <c r="BI1222" s="2656"/>
    </row>
    <row r="1223" spans="1:61" ht="24.75" customHeight="1">
      <c r="A1223" s="3375"/>
      <c r="B1223" s="2646"/>
      <c r="C1223" s="2647"/>
      <c r="D1223" s="2646"/>
      <c r="E1223" s="3013"/>
      <c r="F1223" s="2655"/>
      <c r="G1223" s="2596"/>
      <c r="H1223" s="4138"/>
      <c r="I1223" s="3375"/>
      <c r="J1223" s="2648"/>
      <c r="K1223" s="3147"/>
      <c r="L1223" s="2785"/>
      <c r="M1223" s="2695"/>
      <c r="N1223" s="2649"/>
      <c r="O1223" s="2655"/>
      <c r="P1223" s="2651"/>
      <c r="Q1223" s="3440"/>
      <c r="R1223" s="3553"/>
      <c r="S1223" s="1407"/>
      <c r="T1223" s="3375"/>
      <c r="U1223" s="2648"/>
      <c r="V1223" s="3554"/>
      <c r="W1223" s="3150"/>
      <c r="X1223" s="2656"/>
      <c r="Y1223" s="2656"/>
      <c r="Z1223" s="2656"/>
      <c r="AA1223" s="2656"/>
      <c r="AB1223" s="2656"/>
      <c r="AC1223" s="2656"/>
      <c r="AD1223" s="2656"/>
      <c r="AE1223" s="2656"/>
      <c r="AF1223" s="2656"/>
      <c r="AG1223" s="2656"/>
      <c r="AH1223" s="2656"/>
      <c r="AI1223" s="2656"/>
      <c r="AJ1223" s="2656"/>
      <c r="AK1223" s="2656"/>
      <c r="AL1223" s="2656"/>
      <c r="AM1223" s="2656"/>
      <c r="AN1223" s="2656"/>
      <c r="AO1223" s="2656"/>
      <c r="AP1223" s="2656"/>
      <c r="AQ1223" s="2656"/>
      <c r="AR1223" s="2656"/>
      <c r="AS1223" s="2656"/>
      <c r="AT1223" s="2656"/>
      <c r="AU1223" s="2656"/>
      <c r="AV1223" s="2656"/>
      <c r="AW1223" s="2656"/>
      <c r="AX1223" s="2656"/>
      <c r="AY1223" s="2656"/>
      <c r="AZ1223" s="2656"/>
      <c r="BA1223" s="2656"/>
      <c r="BB1223" s="2656"/>
      <c r="BC1223" s="2656"/>
      <c r="BD1223" s="2656"/>
      <c r="BE1223" s="2656"/>
      <c r="BF1223" s="2656"/>
      <c r="BG1223" s="2656"/>
      <c r="BH1223" s="2656"/>
      <c r="BI1223" s="2656"/>
    </row>
    <row r="1224" spans="1:61" ht="24.75" customHeight="1">
      <c r="A1224" s="3375"/>
      <c r="B1224" s="2646"/>
      <c r="C1224" s="2647"/>
      <c r="D1224" s="2646"/>
      <c r="E1224" s="3013"/>
      <c r="F1224" s="2655"/>
      <c r="G1224" s="2596"/>
      <c r="H1224" s="4138"/>
      <c r="I1224" s="3375"/>
      <c r="J1224" s="2648"/>
      <c r="K1224" s="3147"/>
      <c r="L1224" s="2785"/>
      <c r="M1224" s="2695"/>
      <c r="N1224" s="2649"/>
      <c r="O1224" s="2655"/>
      <c r="P1224" s="2651"/>
      <c r="Q1224" s="3440"/>
      <c r="R1224" s="3553"/>
      <c r="S1224" s="1407"/>
      <c r="T1224" s="3375"/>
      <c r="U1224" s="2648"/>
      <c r="V1224" s="3554"/>
      <c r="W1224" s="3150"/>
      <c r="X1224" s="2656"/>
      <c r="Y1224" s="2656"/>
      <c r="Z1224" s="2656"/>
      <c r="AA1224" s="2656"/>
      <c r="AB1224" s="2656"/>
      <c r="AC1224" s="2656"/>
      <c r="AD1224" s="2656"/>
      <c r="AE1224" s="2656"/>
      <c r="AF1224" s="2656"/>
      <c r="AG1224" s="2656"/>
      <c r="AH1224" s="2656"/>
      <c r="AI1224" s="2656"/>
      <c r="AJ1224" s="2656"/>
      <c r="AK1224" s="2656"/>
      <c r="AL1224" s="2656"/>
      <c r="AM1224" s="2656"/>
      <c r="AN1224" s="2656"/>
      <c r="AO1224" s="2656"/>
      <c r="AP1224" s="2656"/>
      <c r="AQ1224" s="2656"/>
      <c r="AR1224" s="2656"/>
      <c r="AS1224" s="2656"/>
      <c r="AT1224" s="2656"/>
      <c r="AU1224" s="2656"/>
      <c r="AV1224" s="2656"/>
      <c r="AW1224" s="2656"/>
      <c r="AX1224" s="2656"/>
      <c r="AY1224" s="2656"/>
      <c r="AZ1224" s="2656"/>
      <c r="BA1224" s="2656"/>
      <c r="BB1224" s="2656"/>
      <c r="BC1224" s="2656"/>
      <c r="BD1224" s="2656"/>
      <c r="BE1224" s="2656"/>
      <c r="BF1224" s="2656"/>
      <c r="BG1224" s="2656"/>
      <c r="BH1224" s="2656"/>
      <c r="BI1224" s="2656"/>
    </row>
    <row r="1225" spans="1:61" ht="24.75" customHeight="1">
      <c r="A1225" s="3375"/>
      <c r="B1225" s="2646"/>
      <c r="C1225" s="2647"/>
      <c r="D1225" s="2646"/>
      <c r="E1225" s="3013"/>
      <c r="F1225" s="2655"/>
      <c r="G1225" s="2596"/>
      <c r="H1225" s="4138"/>
      <c r="I1225" s="3375"/>
      <c r="J1225" s="2648"/>
      <c r="K1225" s="3147"/>
      <c r="L1225" s="2785"/>
      <c r="M1225" s="2695"/>
      <c r="N1225" s="2649"/>
      <c r="O1225" s="2655"/>
      <c r="P1225" s="2651"/>
      <c r="Q1225" s="3440"/>
      <c r="R1225" s="3553"/>
      <c r="S1225" s="1407"/>
      <c r="T1225" s="3375"/>
      <c r="U1225" s="2648"/>
      <c r="V1225" s="3554"/>
      <c r="W1225" s="3150"/>
      <c r="X1225" s="2656"/>
      <c r="Y1225" s="2656"/>
      <c r="Z1225" s="2656"/>
      <c r="AA1225" s="2656"/>
      <c r="AB1225" s="2656"/>
      <c r="AC1225" s="2656"/>
      <c r="AD1225" s="2656"/>
      <c r="AE1225" s="2656"/>
      <c r="AF1225" s="2656"/>
      <c r="AG1225" s="2656"/>
      <c r="AH1225" s="2656"/>
      <c r="AI1225" s="2656"/>
      <c r="AJ1225" s="2656"/>
      <c r="AK1225" s="2656"/>
      <c r="AL1225" s="2656"/>
      <c r="AM1225" s="2656"/>
      <c r="AN1225" s="2656"/>
      <c r="AO1225" s="2656"/>
      <c r="AP1225" s="2656"/>
      <c r="AQ1225" s="2656"/>
      <c r="AR1225" s="2656"/>
      <c r="AS1225" s="2656"/>
      <c r="AT1225" s="2656"/>
      <c r="AU1225" s="2656"/>
      <c r="AV1225" s="2656"/>
      <c r="AW1225" s="2656"/>
      <c r="AX1225" s="2656"/>
      <c r="AY1225" s="2656"/>
      <c r="AZ1225" s="2656"/>
      <c r="BA1225" s="2656"/>
      <c r="BB1225" s="2656"/>
      <c r="BC1225" s="2656"/>
      <c r="BD1225" s="2656"/>
      <c r="BE1225" s="2656"/>
      <c r="BF1225" s="2656"/>
      <c r="BG1225" s="2656"/>
      <c r="BH1225" s="2656"/>
      <c r="BI1225" s="2656"/>
    </row>
    <row r="1226" spans="1:61" ht="24.75" customHeight="1">
      <c r="A1226" s="3375"/>
      <c r="B1226" s="2646"/>
      <c r="C1226" s="2647"/>
      <c r="D1226" s="2646"/>
      <c r="E1226" s="3013"/>
      <c r="F1226" s="2655"/>
      <c r="G1226" s="2596"/>
      <c r="H1226" s="4138"/>
      <c r="I1226" s="3375"/>
      <c r="J1226" s="2648"/>
      <c r="K1226" s="3147"/>
      <c r="L1226" s="2785"/>
      <c r="M1226" s="2695"/>
      <c r="N1226" s="2649"/>
      <c r="O1226" s="2655"/>
      <c r="P1226" s="2651"/>
      <c r="Q1226" s="3440"/>
      <c r="R1226" s="3553"/>
      <c r="S1226" s="1407"/>
      <c r="T1226" s="3375"/>
      <c r="U1226" s="2648"/>
      <c r="V1226" s="3554"/>
      <c r="W1226" s="3150"/>
      <c r="X1226" s="2656"/>
      <c r="Y1226" s="2656"/>
      <c r="Z1226" s="2656"/>
      <c r="AA1226" s="2656"/>
      <c r="AB1226" s="2656"/>
      <c r="AC1226" s="2656"/>
      <c r="AD1226" s="2656"/>
      <c r="AE1226" s="2656"/>
      <c r="AF1226" s="2656"/>
      <c r="AG1226" s="2656"/>
      <c r="AH1226" s="2656"/>
      <c r="AI1226" s="2656"/>
      <c r="AJ1226" s="2656"/>
      <c r="AK1226" s="2656"/>
      <c r="AL1226" s="2656"/>
      <c r="AM1226" s="2656"/>
      <c r="AN1226" s="2656"/>
      <c r="AO1226" s="2656"/>
      <c r="AP1226" s="2656"/>
      <c r="AQ1226" s="2656"/>
      <c r="AR1226" s="2656"/>
      <c r="AS1226" s="2656"/>
      <c r="AT1226" s="2656"/>
      <c r="AU1226" s="2656"/>
      <c r="AV1226" s="2656"/>
      <c r="AW1226" s="2656"/>
      <c r="AX1226" s="2656"/>
      <c r="AY1226" s="2656"/>
      <c r="AZ1226" s="2656"/>
      <c r="BA1226" s="2656"/>
      <c r="BB1226" s="2656"/>
      <c r="BC1226" s="2656"/>
      <c r="BD1226" s="2656"/>
      <c r="BE1226" s="2656"/>
      <c r="BF1226" s="2656"/>
      <c r="BG1226" s="2656"/>
      <c r="BH1226" s="2656"/>
      <c r="BI1226" s="2656"/>
    </row>
    <row r="1227" spans="1:61" ht="24.75" customHeight="1">
      <c r="A1227" s="3375"/>
      <c r="B1227" s="2646"/>
      <c r="C1227" s="2647"/>
      <c r="D1227" s="2646"/>
      <c r="E1227" s="3013"/>
      <c r="F1227" s="2655"/>
      <c r="G1227" s="2596"/>
      <c r="H1227" s="4138"/>
      <c r="I1227" s="3375"/>
      <c r="J1227" s="2648"/>
      <c r="K1227" s="3147"/>
      <c r="L1227" s="2785"/>
      <c r="M1227" s="2695"/>
      <c r="N1227" s="2649"/>
      <c r="O1227" s="2655"/>
      <c r="P1227" s="2651"/>
      <c r="Q1227" s="3440"/>
      <c r="R1227" s="3553"/>
      <c r="S1227" s="1407"/>
      <c r="T1227" s="3375"/>
      <c r="U1227" s="2648"/>
      <c r="V1227" s="3554"/>
      <c r="W1227" s="3150"/>
      <c r="X1227" s="2656"/>
      <c r="Y1227" s="2656"/>
      <c r="Z1227" s="2656"/>
      <c r="AA1227" s="2656"/>
      <c r="AB1227" s="2656"/>
      <c r="AC1227" s="2656"/>
      <c r="AD1227" s="2656"/>
      <c r="AE1227" s="2656"/>
      <c r="AF1227" s="2656"/>
      <c r="AG1227" s="2656"/>
      <c r="AH1227" s="2656"/>
      <c r="AI1227" s="2656"/>
      <c r="AJ1227" s="2656"/>
      <c r="AK1227" s="2656"/>
      <c r="AL1227" s="2656"/>
      <c r="AM1227" s="2656"/>
      <c r="AN1227" s="2656"/>
      <c r="AO1227" s="2656"/>
      <c r="AP1227" s="2656"/>
      <c r="AQ1227" s="2656"/>
      <c r="AR1227" s="2656"/>
      <c r="AS1227" s="2656"/>
      <c r="AT1227" s="2656"/>
      <c r="AU1227" s="2656"/>
      <c r="AV1227" s="2656"/>
      <c r="AW1227" s="2656"/>
      <c r="AX1227" s="2656"/>
      <c r="AY1227" s="2656"/>
      <c r="AZ1227" s="2656"/>
      <c r="BA1227" s="2656"/>
      <c r="BB1227" s="2656"/>
      <c r="BC1227" s="2656"/>
      <c r="BD1227" s="2656"/>
      <c r="BE1227" s="2656"/>
      <c r="BF1227" s="2656"/>
      <c r="BG1227" s="2656"/>
      <c r="BH1227" s="2656"/>
      <c r="BI1227" s="2656"/>
    </row>
    <row r="1228" spans="1:61" ht="24.75" customHeight="1">
      <c r="A1228" s="3375"/>
      <c r="B1228" s="2646"/>
      <c r="C1228" s="2647"/>
      <c r="D1228" s="2646"/>
      <c r="E1228" s="3013"/>
      <c r="F1228" s="2655"/>
      <c r="G1228" s="2596"/>
      <c r="H1228" s="4138"/>
      <c r="I1228" s="3375"/>
      <c r="J1228" s="2648"/>
      <c r="K1228" s="3147"/>
      <c r="L1228" s="2785"/>
      <c r="M1228" s="2695"/>
      <c r="N1228" s="2649"/>
      <c r="O1228" s="2655"/>
      <c r="P1228" s="2651"/>
      <c r="Q1228" s="3440"/>
      <c r="R1228" s="3553"/>
      <c r="S1228" s="1407"/>
      <c r="T1228" s="3375"/>
      <c r="U1228" s="2648"/>
      <c r="V1228" s="3554"/>
      <c r="W1228" s="3150"/>
      <c r="X1228" s="2656"/>
      <c r="Y1228" s="2656"/>
      <c r="Z1228" s="2656"/>
      <c r="AA1228" s="2656"/>
      <c r="AB1228" s="2656"/>
      <c r="AC1228" s="2656"/>
      <c r="AD1228" s="2656"/>
      <c r="AE1228" s="2656"/>
      <c r="AF1228" s="2656"/>
      <c r="AG1228" s="2656"/>
      <c r="AH1228" s="2656"/>
      <c r="AI1228" s="2656"/>
      <c r="AJ1228" s="2656"/>
      <c r="AK1228" s="2656"/>
      <c r="AL1228" s="2656"/>
      <c r="AM1228" s="2656"/>
      <c r="AN1228" s="2656"/>
      <c r="AO1228" s="2656"/>
      <c r="AP1228" s="2656"/>
      <c r="AQ1228" s="2656"/>
      <c r="AR1228" s="2656"/>
      <c r="AS1228" s="2656"/>
      <c r="AT1228" s="2656"/>
      <c r="AU1228" s="2656"/>
      <c r="AV1228" s="2656"/>
      <c r="AW1228" s="2656"/>
      <c r="AX1228" s="2656"/>
      <c r="AY1228" s="2656"/>
      <c r="AZ1228" s="2656"/>
      <c r="BA1228" s="2656"/>
      <c r="BB1228" s="2656"/>
      <c r="BC1228" s="2656"/>
      <c r="BD1228" s="2656"/>
      <c r="BE1228" s="2656"/>
      <c r="BF1228" s="2656"/>
      <c r="BG1228" s="2656"/>
      <c r="BH1228" s="2656"/>
      <c r="BI1228" s="2656"/>
    </row>
    <row r="1229" spans="1:61" ht="24.75" customHeight="1">
      <c r="A1229" s="3375"/>
      <c r="B1229" s="2646"/>
      <c r="C1229" s="2647"/>
      <c r="D1229" s="2646"/>
      <c r="E1229" s="3013"/>
      <c r="F1229" s="2655"/>
      <c r="G1229" s="2596"/>
      <c r="H1229" s="4138"/>
      <c r="I1229" s="3375"/>
      <c r="J1229" s="2648"/>
      <c r="K1229" s="3147"/>
      <c r="L1229" s="2785"/>
      <c r="M1229" s="2695"/>
      <c r="N1229" s="2649"/>
      <c r="O1229" s="2655"/>
      <c r="P1229" s="2651"/>
      <c r="Q1229" s="3440"/>
      <c r="R1229" s="3553"/>
      <c r="S1229" s="1407"/>
      <c r="T1229" s="3375"/>
      <c r="U1229" s="2648"/>
      <c r="V1229" s="3554"/>
      <c r="W1229" s="3150"/>
      <c r="X1229" s="2656"/>
      <c r="Y1229" s="2656"/>
      <c r="Z1229" s="2656"/>
      <c r="AA1229" s="2656"/>
      <c r="AB1229" s="2656"/>
      <c r="AC1229" s="2656"/>
      <c r="AD1229" s="2656"/>
      <c r="AE1229" s="2656"/>
      <c r="AF1229" s="2656"/>
      <c r="AG1229" s="2656"/>
      <c r="AH1229" s="2656"/>
      <c r="AI1229" s="2656"/>
      <c r="AJ1229" s="2656"/>
      <c r="AK1229" s="2656"/>
      <c r="AL1229" s="2656"/>
      <c r="AM1229" s="2656"/>
      <c r="AN1229" s="2656"/>
      <c r="AO1229" s="2656"/>
      <c r="AP1229" s="2656"/>
      <c r="AQ1229" s="2656"/>
      <c r="AR1229" s="2656"/>
      <c r="AS1229" s="2656"/>
      <c r="AT1229" s="2656"/>
      <c r="AU1229" s="2656"/>
      <c r="AV1229" s="2656"/>
      <c r="AW1229" s="2656"/>
      <c r="AX1229" s="2656"/>
      <c r="AY1229" s="2656"/>
      <c r="AZ1229" s="2656"/>
      <c r="BA1229" s="2656"/>
      <c r="BB1229" s="2656"/>
      <c r="BC1229" s="2656"/>
      <c r="BD1229" s="2656"/>
      <c r="BE1229" s="2656"/>
      <c r="BF1229" s="2656"/>
      <c r="BG1229" s="2656"/>
      <c r="BH1229" s="2656"/>
      <c r="BI1229" s="2656"/>
    </row>
    <row r="1230" spans="1:61" ht="24.75" customHeight="1">
      <c r="A1230" s="3375"/>
      <c r="B1230" s="2646"/>
      <c r="C1230" s="2647"/>
      <c r="D1230" s="2646"/>
      <c r="E1230" s="3013"/>
      <c r="F1230" s="2655"/>
      <c r="G1230" s="2596"/>
      <c r="H1230" s="4138"/>
      <c r="I1230" s="3375"/>
      <c r="J1230" s="2648"/>
      <c r="K1230" s="3147"/>
      <c r="L1230" s="2785"/>
      <c r="M1230" s="2695"/>
      <c r="N1230" s="2649"/>
      <c r="O1230" s="2655"/>
      <c r="P1230" s="2651"/>
      <c r="Q1230" s="3440"/>
      <c r="R1230" s="3553"/>
      <c r="S1230" s="1407"/>
      <c r="T1230" s="3375"/>
      <c r="U1230" s="2648"/>
      <c r="V1230" s="3554"/>
      <c r="W1230" s="3150"/>
      <c r="X1230" s="2656"/>
      <c r="Y1230" s="2656"/>
      <c r="Z1230" s="2656"/>
      <c r="AA1230" s="2656"/>
      <c r="AB1230" s="2656"/>
      <c r="AC1230" s="2656"/>
      <c r="AD1230" s="2656"/>
      <c r="AE1230" s="2656"/>
      <c r="AF1230" s="2656"/>
      <c r="AG1230" s="2656"/>
      <c r="AH1230" s="2656"/>
      <c r="AI1230" s="2656"/>
      <c r="AJ1230" s="2656"/>
      <c r="AK1230" s="2656"/>
      <c r="AL1230" s="2656"/>
      <c r="AM1230" s="2656"/>
      <c r="AN1230" s="2656"/>
      <c r="AO1230" s="2656"/>
      <c r="AP1230" s="2656"/>
      <c r="AQ1230" s="2656"/>
      <c r="AR1230" s="2656"/>
      <c r="AS1230" s="2656"/>
      <c r="AT1230" s="2656"/>
      <c r="AU1230" s="2656"/>
      <c r="AV1230" s="2656"/>
      <c r="AW1230" s="2656"/>
      <c r="AX1230" s="2656"/>
      <c r="AY1230" s="2656"/>
      <c r="AZ1230" s="2656"/>
      <c r="BA1230" s="2656"/>
      <c r="BB1230" s="2656"/>
      <c r="BC1230" s="2656"/>
      <c r="BD1230" s="2656"/>
      <c r="BE1230" s="2656"/>
      <c r="BF1230" s="2656"/>
      <c r="BG1230" s="2656"/>
      <c r="BH1230" s="2656"/>
      <c r="BI1230" s="2656"/>
    </row>
    <row r="1231" spans="1:61" ht="24.75" customHeight="1">
      <c r="A1231" s="3375"/>
      <c r="B1231" s="2646"/>
      <c r="C1231" s="2647"/>
      <c r="D1231" s="2646"/>
      <c r="E1231" s="3013"/>
      <c r="F1231" s="2655"/>
      <c r="G1231" s="2596"/>
      <c r="H1231" s="4138"/>
      <c r="I1231" s="3375"/>
      <c r="J1231" s="2648"/>
      <c r="K1231" s="3147"/>
      <c r="L1231" s="2785"/>
      <c r="M1231" s="2695"/>
      <c r="N1231" s="2649"/>
      <c r="O1231" s="2655"/>
      <c r="P1231" s="2651"/>
      <c r="Q1231" s="3440"/>
      <c r="R1231" s="3553"/>
      <c r="S1231" s="1407"/>
      <c r="T1231" s="3375"/>
      <c r="U1231" s="2648"/>
      <c r="V1231" s="3554"/>
      <c r="W1231" s="3150"/>
      <c r="X1231" s="2656"/>
      <c r="Y1231" s="2656"/>
      <c r="Z1231" s="2656"/>
      <c r="AA1231" s="2656"/>
      <c r="AB1231" s="2656"/>
      <c r="AC1231" s="2656"/>
      <c r="AD1231" s="2656"/>
      <c r="AE1231" s="2656"/>
      <c r="AF1231" s="2656"/>
      <c r="AG1231" s="2656"/>
      <c r="AH1231" s="2656"/>
      <c r="AI1231" s="2656"/>
      <c r="AJ1231" s="2656"/>
      <c r="AK1231" s="2656"/>
      <c r="AL1231" s="2656"/>
      <c r="AM1231" s="2656"/>
      <c r="AN1231" s="2656"/>
      <c r="AO1231" s="2656"/>
      <c r="AP1231" s="2656"/>
      <c r="AQ1231" s="2656"/>
      <c r="AR1231" s="2656"/>
      <c r="AS1231" s="2656"/>
      <c r="AT1231" s="2656"/>
      <c r="AU1231" s="2656"/>
      <c r="AV1231" s="2656"/>
      <c r="AW1231" s="2656"/>
      <c r="AX1231" s="2656"/>
      <c r="AY1231" s="2656"/>
      <c r="AZ1231" s="2656"/>
      <c r="BA1231" s="2656"/>
      <c r="BB1231" s="2656"/>
      <c r="BC1231" s="2656"/>
      <c r="BD1231" s="2656"/>
      <c r="BE1231" s="2656"/>
      <c r="BF1231" s="2656"/>
      <c r="BG1231" s="2656"/>
      <c r="BH1231" s="2656"/>
      <c r="BI1231" s="2656"/>
    </row>
    <row r="1232" spans="1:61" ht="24.75" customHeight="1">
      <c r="A1232" s="3375"/>
      <c r="B1232" s="2646"/>
      <c r="C1232" s="2647"/>
      <c r="D1232" s="2646"/>
      <c r="E1232" s="3013"/>
      <c r="F1232" s="2655"/>
      <c r="G1232" s="2596"/>
      <c r="H1232" s="4138"/>
      <c r="I1232" s="3375"/>
      <c r="J1232" s="2648"/>
      <c r="K1232" s="3147"/>
      <c r="L1232" s="2785"/>
      <c r="M1232" s="2695"/>
      <c r="N1232" s="2649"/>
      <c r="O1232" s="2655"/>
      <c r="P1232" s="2651"/>
      <c r="Q1232" s="3440"/>
      <c r="R1232" s="3553"/>
      <c r="S1232" s="1407"/>
      <c r="T1232" s="3375"/>
      <c r="U1232" s="2648"/>
      <c r="V1232" s="3554"/>
      <c r="W1232" s="3150"/>
      <c r="X1232" s="2656"/>
      <c r="Y1232" s="2656"/>
      <c r="Z1232" s="2656"/>
      <c r="AA1232" s="2656"/>
      <c r="AB1232" s="2656"/>
      <c r="AC1232" s="2656"/>
      <c r="AD1232" s="2656"/>
      <c r="AE1232" s="2656"/>
      <c r="AF1232" s="2656"/>
      <c r="AG1232" s="2656"/>
      <c r="AH1232" s="2656"/>
      <c r="AI1232" s="2656"/>
      <c r="AJ1232" s="2656"/>
      <c r="AK1232" s="2656"/>
      <c r="AL1232" s="2656"/>
      <c r="AM1232" s="2656"/>
      <c r="AN1232" s="2656"/>
      <c r="AO1232" s="2656"/>
      <c r="AP1232" s="2656"/>
      <c r="AQ1232" s="2656"/>
      <c r="AR1232" s="2656"/>
      <c r="AS1232" s="2656"/>
      <c r="AT1232" s="2656"/>
      <c r="AU1232" s="2656"/>
      <c r="AV1232" s="2656"/>
      <c r="AW1232" s="2656"/>
      <c r="AX1232" s="2656"/>
      <c r="AY1232" s="2656"/>
      <c r="AZ1232" s="2656"/>
      <c r="BA1232" s="2656"/>
      <c r="BB1232" s="2656"/>
      <c r="BC1232" s="2656"/>
      <c r="BD1232" s="2656"/>
      <c r="BE1232" s="2656"/>
      <c r="BF1232" s="2656"/>
      <c r="BG1232" s="2656"/>
      <c r="BH1232" s="2656"/>
      <c r="BI1232" s="2656"/>
    </row>
    <row r="1233" spans="1:61" ht="24.75" customHeight="1">
      <c r="A1233" s="3375"/>
      <c r="B1233" s="2646"/>
      <c r="C1233" s="2647"/>
      <c r="D1233" s="2646"/>
      <c r="E1233" s="3013"/>
      <c r="F1233" s="2655"/>
      <c r="G1233" s="2596"/>
      <c r="H1233" s="4138"/>
      <c r="I1233" s="3375"/>
      <c r="J1233" s="2648"/>
      <c r="K1233" s="3147"/>
      <c r="L1233" s="2785"/>
      <c r="M1233" s="2695"/>
      <c r="N1233" s="2649"/>
      <c r="O1233" s="2655"/>
      <c r="P1233" s="2651"/>
      <c r="Q1233" s="3440"/>
      <c r="R1233" s="3553"/>
      <c r="S1233" s="1407"/>
      <c r="T1233" s="3375"/>
      <c r="U1233" s="2648"/>
      <c r="V1233" s="3554"/>
      <c r="W1233" s="3150"/>
      <c r="X1233" s="2656"/>
      <c r="Y1233" s="2656"/>
      <c r="Z1233" s="2656"/>
      <c r="AA1233" s="2656"/>
      <c r="AB1233" s="2656"/>
      <c r="AC1233" s="2656"/>
      <c r="AD1233" s="2656"/>
      <c r="AE1233" s="2656"/>
      <c r="AF1233" s="2656"/>
      <c r="AG1233" s="2656"/>
      <c r="AH1233" s="2656"/>
      <c r="AI1233" s="2656"/>
      <c r="AJ1233" s="2656"/>
      <c r="AK1233" s="2656"/>
      <c r="AL1233" s="2656"/>
      <c r="AM1233" s="2656"/>
      <c r="AN1233" s="2656"/>
      <c r="AO1233" s="2656"/>
      <c r="AP1233" s="2656"/>
      <c r="AQ1233" s="2656"/>
      <c r="AR1233" s="2656"/>
      <c r="AS1233" s="2656"/>
      <c r="AT1233" s="2656"/>
      <c r="AU1233" s="2656"/>
      <c r="AV1233" s="2656"/>
      <c r="AW1233" s="2656"/>
      <c r="AX1233" s="2656"/>
      <c r="AY1233" s="2656"/>
      <c r="AZ1233" s="2656"/>
      <c r="BA1233" s="2656"/>
      <c r="BB1233" s="2656"/>
      <c r="BC1233" s="2656"/>
      <c r="BD1233" s="2656"/>
      <c r="BE1233" s="2656"/>
      <c r="BF1233" s="2656"/>
      <c r="BG1233" s="2656"/>
      <c r="BH1233" s="2656"/>
      <c r="BI1233" s="2656"/>
    </row>
    <row r="1234" spans="1:61" ht="24.75" customHeight="1">
      <c r="A1234" s="3375"/>
      <c r="B1234" s="2646"/>
      <c r="C1234" s="2647"/>
      <c r="D1234" s="2646"/>
      <c r="E1234" s="3013"/>
      <c r="F1234" s="2655"/>
      <c r="G1234" s="2596"/>
      <c r="H1234" s="4138"/>
      <c r="I1234" s="3375"/>
      <c r="J1234" s="2648"/>
      <c r="K1234" s="3147"/>
      <c r="L1234" s="2785"/>
      <c r="M1234" s="2695"/>
      <c r="N1234" s="2649"/>
      <c r="O1234" s="2655"/>
      <c r="P1234" s="2651"/>
      <c r="Q1234" s="3440"/>
      <c r="R1234" s="3553"/>
      <c r="S1234" s="1407"/>
      <c r="T1234" s="3375"/>
      <c r="U1234" s="2648"/>
      <c r="V1234" s="3554"/>
      <c r="W1234" s="3150"/>
      <c r="X1234" s="2656"/>
      <c r="Y1234" s="2656"/>
      <c r="Z1234" s="2656"/>
      <c r="AA1234" s="2656"/>
      <c r="AB1234" s="2656"/>
      <c r="AC1234" s="2656"/>
      <c r="AD1234" s="2656"/>
      <c r="AE1234" s="2656"/>
      <c r="AF1234" s="2656"/>
      <c r="AG1234" s="2656"/>
      <c r="AH1234" s="2656"/>
      <c r="AI1234" s="2656"/>
      <c r="AJ1234" s="2656"/>
      <c r="AK1234" s="2656"/>
      <c r="AL1234" s="2656"/>
      <c r="AM1234" s="2656"/>
      <c r="AN1234" s="2656"/>
      <c r="AO1234" s="2656"/>
      <c r="AP1234" s="2656"/>
      <c r="AQ1234" s="2656"/>
      <c r="AR1234" s="2656"/>
      <c r="AS1234" s="2656"/>
      <c r="AT1234" s="2656"/>
      <c r="AU1234" s="2656"/>
      <c r="AV1234" s="2656"/>
      <c r="AW1234" s="2656"/>
      <c r="AX1234" s="2656"/>
      <c r="AY1234" s="2656"/>
      <c r="AZ1234" s="2656"/>
      <c r="BA1234" s="2656"/>
      <c r="BB1234" s="2656"/>
      <c r="BC1234" s="2656"/>
      <c r="BD1234" s="2656"/>
      <c r="BE1234" s="2656"/>
      <c r="BF1234" s="2656"/>
      <c r="BG1234" s="2656"/>
      <c r="BH1234" s="2656"/>
      <c r="BI1234" s="2656"/>
    </row>
    <row r="1235" spans="1:61" ht="24.75" customHeight="1">
      <c r="A1235" s="3375"/>
      <c r="B1235" s="2646"/>
      <c r="C1235" s="2647"/>
      <c r="D1235" s="2646"/>
      <c r="E1235" s="3013"/>
      <c r="F1235" s="2655"/>
      <c r="G1235" s="2596"/>
      <c r="H1235" s="4138"/>
      <c r="I1235" s="3375"/>
      <c r="J1235" s="2648"/>
      <c r="K1235" s="3147"/>
      <c r="L1235" s="2785"/>
      <c r="M1235" s="2695"/>
      <c r="N1235" s="2649"/>
      <c r="O1235" s="2655"/>
      <c r="P1235" s="2651"/>
      <c r="Q1235" s="3440"/>
      <c r="R1235" s="3553"/>
      <c r="S1235" s="1407"/>
      <c r="T1235" s="3375"/>
      <c r="U1235" s="2648"/>
      <c r="V1235" s="3554"/>
      <c r="W1235" s="3150"/>
      <c r="X1235" s="2656"/>
      <c r="Y1235" s="2656"/>
      <c r="Z1235" s="2656"/>
      <c r="AA1235" s="2656"/>
      <c r="AB1235" s="2656"/>
      <c r="AC1235" s="2656"/>
      <c r="AD1235" s="2656"/>
      <c r="AE1235" s="2656"/>
      <c r="AF1235" s="2656"/>
      <c r="AG1235" s="2656"/>
      <c r="AH1235" s="2656"/>
      <c r="AI1235" s="2656"/>
      <c r="AJ1235" s="2656"/>
      <c r="AK1235" s="2656"/>
      <c r="AL1235" s="2656"/>
      <c r="AM1235" s="2656"/>
      <c r="AN1235" s="2656"/>
      <c r="AO1235" s="2656"/>
      <c r="AP1235" s="2656"/>
      <c r="AQ1235" s="2656"/>
      <c r="AR1235" s="2656"/>
      <c r="AS1235" s="2656"/>
      <c r="AT1235" s="2656"/>
      <c r="AU1235" s="2656"/>
      <c r="AV1235" s="2656"/>
      <c r="AW1235" s="2656"/>
      <c r="AX1235" s="2656"/>
      <c r="AY1235" s="2656"/>
      <c r="AZ1235" s="2656"/>
      <c r="BA1235" s="2656"/>
      <c r="BB1235" s="2656"/>
      <c r="BC1235" s="2656"/>
      <c r="BD1235" s="2656"/>
      <c r="BE1235" s="2656"/>
      <c r="BF1235" s="2656"/>
      <c r="BG1235" s="2656"/>
      <c r="BH1235" s="2656"/>
      <c r="BI1235" s="2656"/>
    </row>
    <row r="1236" spans="1:61" ht="24.75" customHeight="1">
      <c r="A1236" s="3375"/>
      <c r="B1236" s="2646"/>
      <c r="C1236" s="2647"/>
      <c r="D1236" s="2646"/>
      <c r="E1236" s="3013"/>
      <c r="F1236" s="2655"/>
      <c r="G1236" s="2596"/>
      <c r="H1236" s="4138"/>
      <c r="I1236" s="3375"/>
      <c r="J1236" s="2648"/>
      <c r="K1236" s="3147"/>
      <c r="L1236" s="2785"/>
      <c r="M1236" s="2695"/>
      <c r="N1236" s="2649"/>
      <c r="O1236" s="2655"/>
      <c r="P1236" s="2651"/>
      <c r="Q1236" s="3440"/>
      <c r="R1236" s="3553"/>
      <c r="S1236" s="1407"/>
      <c r="T1236" s="3375"/>
      <c r="U1236" s="2648"/>
      <c r="V1236" s="3554"/>
      <c r="W1236" s="3150"/>
      <c r="X1236" s="2656"/>
      <c r="Y1236" s="2656"/>
      <c r="Z1236" s="2656"/>
      <c r="AA1236" s="2656"/>
      <c r="AB1236" s="2656"/>
      <c r="AC1236" s="2656"/>
      <c r="AD1236" s="2656"/>
      <c r="AE1236" s="2656"/>
      <c r="AF1236" s="2656"/>
      <c r="AG1236" s="2656"/>
      <c r="AH1236" s="2656"/>
      <c r="AI1236" s="2656"/>
      <c r="AJ1236" s="2656"/>
      <c r="AK1236" s="2656"/>
      <c r="AL1236" s="2656"/>
      <c r="AM1236" s="2656"/>
      <c r="AN1236" s="2656"/>
      <c r="AO1236" s="2656"/>
      <c r="AP1236" s="2656"/>
      <c r="AQ1236" s="2656"/>
      <c r="AR1236" s="2656"/>
      <c r="AS1236" s="2656"/>
      <c r="AT1236" s="2656"/>
      <c r="AU1236" s="2656"/>
      <c r="AV1236" s="2656"/>
      <c r="AW1236" s="2656"/>
      <c r="AX1236" s="2656"/>
      <c r="AY1236" s="2656"/>
      <c r="AZ1236" s="2656"/>
      <c r="BA1236" s="2656"/>
      <c r="BB1236" s="2656"/>
      <c r="BC1236" s="2656"/>
      <c r="BD1236" s="2656"/>
      <c r="BE1236" s="2656"/>
      <c r="BF1236" s="2656"/>
      <c r="BG1236" s="2656"/>
      <c r="BH1236" s="2656"/>
      <c r="BI1236" s="2656"/>
    </row>
    <row r="1237" spans="1:61" ht="24.75" customHeight="1">
      <c r="A1237" s="3375"/>
      <c r="B1237" s="2646"/>
      <c r="C1237" s="2647"/>
      <c r="D1237" s="2646"/>
      <c r="E1237" s="3013"/>
      <c r="F1237" s="2655"/>
      <c r="G1237" s="2596"/>
      <c r="H1237" s="4138"/>
      <c r="I1237" s="3375"/>
      <c r="J1237" s="2648"/>
      <c r="K1237" s="3147"/>
      <c r="L1237" s="2785"/>
      <c r="M1237" s="2695"/>
      <c r="N1237" s="2649"/>
      <c r="O1237" s="2655"/>
      <c r="P1237" s="2651"/>
      <c r="Q1237" s="3440"/>
      <c r="R1237" s="3553"/>
      <c r="S1237" s="1407"/>
      <c r="T1237" s="3375"/>
      <c r="U1237" s="2648"/>
      <c r="V1237" s="3554"/>
      <c r="W1237" s="3150"/>
      <c r="X1237" s="2656"/>
      <c r="Y1237" s="2656"/>
      <c r="Z1237" s="2656"/>
      <c r="AA1237" s="2656"/>
      <c r="AB1237" s="2656"/>
      <c r="AC1237" s="2656"/>
      <c r="AD1237" s="2656"/>
      <c r="AE1237" s="2656"/>
      <c r="AF1237" s="2656"/>
      <c r="AG1237" s="2656"/>
      <c r="AH1237" s="2656"/>
      <c r="AI1237" s="2656"/>
      <c r="AJ1237" s="2656"/>
      <c r="AK1237" s="2656"/>
      <c r="AL1237" s="2656"/>
      <c r="AM1237" s="2656"/>
      <c r="AN1237" s="2656"/>
      <c r="AO1237" s="2656"/>
      <c r="AP1237" s="2656"/>
      <c r="AQ1237" s="2656"/>
      <c r="AR1237" s="2656"/>
      <c r="AS1237" s="2656"/>
      <c r="AT1237" s="2656"/>
      <c r="AU1237" s="2656"/>
      <c r="AV1237" s="2656"/>
      <c r="AW1237" s="2656"/>
      <c r="AX1237" s="2656"/>
      <c r="AY1237" s="2656"/>
      <c r="AZ1237" s="2656"/>
      <c r="BA1237" s="2656"/>
      <c r="BB1237" s="2656"/>
      <c r="BC1237" s="2656"/>
      <c r="BD1237" s="2656"/>
      <c r="BE1237" s="2656"/>
      <c r="BF1237" s="2656"/>
      <c r="BG1237" s="2656"/>
      <c r="BH1237" s="2656"/>
      <c r="BI1237" s="2656"/>
    </row>
    <row r="1238" spans="1:61" ht="24.75" customHeight="1">
      <c r="A1238" s="3375"/>
      <c r="B1238" s="2646"/>
      <c r="C1238" s="2647"/>
      <c r="D1238" s="2646"/>
      <c r="E1238" s="3013"/>
      <c r="F1238" s="2655"/>
      <c r="G1238" s="2596"/>
      <c r="H1238" s="4138"/>
      <c r="I1238" s="3375"/>
      <c r="J1238" s="2648"/>
      <c r="K1238" s="3147"/>
      <c r="L1238" s="2785"/>
      <c r="M1238" s="2695"/>
      <c r="N1238" s="2649"/>
      <c r="O1238" s="2655"/>
      <c r="P1238" s="2651"/>
      <c r="Q1238" s="3440"/>
      <c r="R1238" s="3553"/>
      <c r="S1238" s="1407"/>
      <c r="T1238" s="3375"/>
      <c r="U1238" s="2648"/>
      <c r="V1238" s="3554"/>
      <c r="W1238" s="3150"/>
      <c r="X1238" s="2656"/>
      <c r="Y1238" s="2656"/>
      <c r="Z1238" s="2656"/>
      <c r="AA1238" s="2656"/>
      <c r="AB1238" s="2656"/>
      <c r="AC1238" s="2656"/>
      <c r="AD1238" s="2656"/>
      <c r="AE1238" s="2656"/>
      <c r="AF1238" s="2656"/>
      <c r="AG1238" s="2656"/>
      <c r="AH1238" s="2656"/>
      <c r="AI1238" s="2656"/>
      <c r="AJ1238" s="2656"/>
      <c r="AK1238" s="2656"/>
      <c r="AL1238" s="2656"/>
      <c r="AM1238" s="2656"/>
      <c r="AN1238" s="2656"/>
      <c r="AO1238" s="2656"/>
      <c r="AP1238" s="2656"/>
      <c r="AQ1238" s="2656"/>
      <c r="AR1238" s="2656"/>
      <c r="AS1238" s="2656"/>
      <c r="AT1238" s="2656"/>
      <c r="AU1238" s="2656"/>
      <c r="AV1238" s="2656"/>
      <c r="AW1238" s="2656"/>
      <c r="AX1238" s="2656"/>
      <c r="AY1238" s="2656"/>
      <c r="AZ1238" s="2656"/>
      <c r="BA1238" s="2656"/>
      <c r="BB1238" s="2656"/>
      <c r="BC1238" s="2656"/>
      <c r="BD1238" s="2656"/>
      <c r="BE1238" s="2656"/>
      <c r="BF1238" s="2656"/>
      <c r="BG1238" s="2656"/>
      <c r="BH1238" s="2656"/>
      <c r="BI1238" s="2656"/>
    </row>
    <row r="1239" spans="1:61" ht="24.75" customHeight="1">
      <c r="A1239" s="3375"/>
      <c r="B1239" s="2646"/>
      <c r="C1239" s="2647"/>
      <c r="D1239" s="2646"/>
      <c r="E1239" s="3013"/>
      <c r="F1239" s="2655"/>
      <c r="G1239" s="2596"/>
      <c r="H1239" s="4138"/>
      <c r="I1239" s="3375"/>
      <c r="J1239" s="2648"/>
      <c r="K1239" s="3147"/>
      <c r="L1239" s="2785"/>
      <c r="M1239" s="2695"/>
      <c r="N1239" s="2649"/>
      <c r="O1239" s="2655"/>
      <c r="P1239" s="2651"/>
      <c r="Q1239" s="3440"/>
      <c r="R1239" s="3553"/>
      <c r="S1239" s="1407"/>
      <c r="T1239" s="3375"/>
      <c r="U1239" s="2648"/>
      <c r="V1239" s="3554"/>
      <c r="W1239" s="3150"/>
      <c r="X1239" s="2656"/>
      <c r="Y1239" s="2656"/>
      <c r="Z1239" s="2656"/>
      <c r="AA1239" s="2656"/>
      <c r="AB1239" s="2656"/>
      <c r="AC1239" s="2656"/>
      <c r="AD1239" s="2656"/>
      <c r="AE1239" s="2656"/>
      <c r="AF1239" s="2656"/>
      <c r="AG1239" s="2656"/>
      <c r="AH1239" s="2656"/>
      <c r="AI1239" s="2656"/>
      <c r="AJ1239" s="2656"/>
      <c r="AK1239" s="2656"/>
      <c r="AL1239" s="2656"/>
      <c r="AM1239" s="2656"/>
      <c r="AN1239" s="2656"/>
      <c r="AO1239" s="2656"/>
      <c r="AP1239" s="2656"/>
      <c r="AQ1239" s="2656"/>
      <c r="AR1239" s="2656"/>
      <c r="AS1239" s="2656"/>
      <c r="AT1239" s="2656"/>
      <c r="AU1239" s="2656"/>
      <c r="AV1239" s="2656"/>
      <c r="AW1239" s="2656"/>
      <c r="AX1239" s="2656"/>
      <c r="AY1239" s="2656"/>
      <c r="AZ1239" s="2656"/>
      <c r="BA1239" s="2656"/>
      <c r="BB1239" s="2656"/>
      <c r="BC1239" s="2656"/>
      <c r="BD1239" s="2656"/>
      <c r="BE1239" s="2656"/>
      <c r="BF1239" s="2656"/>
      <c r="BG1239" s="2656"/>
      <c r="BH1239" s="2656"/>
      <c r="BI1239" s="2656"/>
    </row>
    <row r="1240" spans="1:61" ht="24.75" customHeight="1">
      <c r="A1240" s="3375"/>
      <c r="B1240" s="2646"/>
      <c r="C1240" s="2647"/>
      <c r="D1240" s="2646"/>
      <c r="E1240" s="3013"/>
      <c r="F1240" s="2655"/>
      <c r="G1240" s="2596"/>
      <c r="H1240" s="4138"/>
      <c r="I1240" s="3375"/>
      <c r="J1240" s="2648"/>
      <c r="K1240" s="3147"/>
      <c r="L1240" s="2785"/>
      <c r="M1240" s="2695"/>
      <c r="N1240" s="2649"/>
      <c r="O1240" s="2655"/>
      <c r="P1240" s="2651"/>
      <c r="Q1240" s="3440"/>
      <c r="R1240" s="3553"/>
      <c r="S1240" s="1407"/>
      <c r="T1240" s="3375"/>
      <c r="U1240" s="2648"/>
      <c r="V1240" s="3554"/>
      <c r="W1240" s="3150"/>
      <c r="X1240" s="2656"/>
      <c r="Y1240" s="2656"/>
      <c r="Z1240" s="2656"/>
      <c r="AA1240" s="2656"/>
      <c r="AB1240" s="2656"/>
      <c r="AC1240" s="2656"/>
      <c r="AD1240" s="2656"/>
      <c r="AE1240" s="2656"/>
      <c r="AF1240" s="2656"/>
      <c r="AG1240" s="2656"/>
      <c r="AH1240" s="2656"/>
      <c r="AI1240" s="2656"/>
      <c r="AJ1240" s="2656"/>
      <c r="AK1240" s="2656"/>
      <c r="AL1240" s="2656"/>
      <c r="AM1240" s="2656"/>
      <c r="AN1240" s="2656"/>
      <c r="AO1240" s="2656"/>
      <c r="AP1240" s="2656"/>
      <c r="AQ1240" s="2656"/>
      <c r="AR1240" s="2656"/>
      <c r="AS1240" s="2656"/>
      <c r="AT1240" s="2656"/>
      <c r="AU1240" s="2656"/>
      <c r="AV1240" s="2656"/>
      <c r="AW1240" s="2656"/>
      <c r="AX1240" s="2656"/>
      <c r="AY1240" s="2656"/>
      <c r="AZ1240" s="2656"/>
      <c r="BA1240" s="2656"/>
      <c r="BB1240" s="2656"/>
      <c r="BC1240" s="2656"/>
      <c r="BD1240" s="2656"/>
      <c r="BE1240" s="2656"/>
      <c r="BF1240" s="2656"/>
      <c r="BG1240" s="2656"/>
      <c r="BH1240" s="2656"/>
      <c r="BI1240" s="2656"/>
    </row>
    <row r="1241" spans="1:61" ht="24.75" customHeight="1">
      <c r="A1241" s="3375"/>
      <c r="B1241" s="2646"/>
      <c r="C1241" s="2647"/>
      <c r="D1241" s="2646"/>
      <c r="E1241" s="3013"/>
      <c r="F1241" s="2655"/>
      <c r="G1241" s="2596"/>
      <c r="H1241" s="4138"/>
      <c r="I1241" s="3375"/>
      <c r="J1241" s="2648"/>
      <c r="K1241" s="3147"/>
      <c r="L1241" s="2785"/>
      <c r="M1241" s="2695"/>
      <c r="N1241" s="2649"/>
      <c r="O1241" s="2655"/>
      <c r="P1241" s="2651"/>
      <c r="Q1241" s="3440"/>
      <c r="R1241" s="3553"/>
      <c r="S1241" s="1407"/>
      <c r="T1241" s="3375"/>
      <c r="U1241" s="2648"/>
      <c r="V1241" s="3554"/>
      <c r="W1241" s="3150"/>
      <c r="X1241" s="2656"/>
      <c r="Y1241" s="2656"/>
      <c r="Z1241" s="2656"/>
      <c r="AA1241" s="2656"/>
      <c r="AB1241" s="2656"/>
      <c r="AC1241" s="2656"/>
      <c r="AD1241" s="2656"/>
      <c r="AE1241" s="2656"/>
      <c r="AF1241" s="2656"/>
      <c r="AG1241" s="2656"/>
      <c r="AH1241" s="2656"/>
      <c r="AI1241" s="2656"/>
      <c r="AJ1241" s="2656"/>
      <c r="AK1241" s="2656"/>
      <c r="AL1241" s="2656"/>
      <c r="AM1241" s="2656"/>
      <c r="AN1241" s="2656"/>
      <c r="AO1241" s="2656"/>
      <c r="AP1241" s="2656"/>
      <c r="AQ1241" s="2656"/>
      <c r="AR1241" s="2656"/>
      <c r="AS1241" s="2656"/>
      <c r="AT1241" s="2656"/>
      <c r="AU1241" s="2656"/>
      <c r="AV1241" s="2656"/>
      <c r="AW1241" s="2656"/>
      <c r="AX1241" s="2656"/>
      <c r="AY1241" s="2656"/>
      <c r="AZ1241" s="2656"/>
      <c r="BA1241" s="2656"/>
      <c r="BB1241" s="2656"/>
      <c r="BC1241" s="2656"/>
      <c r="BD1241" s="2656"/>
      <c r="BE1241" s="2656"/>
      <c r="BF1241" s="2656"/>
      <c r="BG1241" s="2656"/>
      <c r="BH1241" s="2656"/>
      <c r="BI1241" s="2656"/>
    </row>
    <row r="1242" spans="1:61" ht="24.75" customHeight="1">
      <c r="A1242" s="3375"/>
      <c r="B1242" s="2646"/>
      <c r="C1242" s="2647"/>
      <c r="D1242" s="2646"/>
      <c r="E1242" s="3013"/>
      <c r="F1242" s="2655"/>
      <c r="G1242" s="2596"/>
      <c r="H1242" s="4138"/>
      <c r="I1242" s="3375"/>
      <c r="J1242" s="2648"/>
      <c r="K1242" s="3147"/>
      <c r="L1242" s="2785"/>
      <c r="M1242" s="2695"/>
      <c r="N1242" s="2649"/>
      <c r="O1242" s="2655"/>
      <c r="P1242" s="2651"/>
      <c r="Q1242" s="3440"/>
      <c r="R1242" s="3553"/>
      <c r="S1242" s="1407"/>
      <c r="T1242" s="3375"/>
      <c r="U1242" s="2648"/>
      <c r="V1242" s="3554"/>
      <c r="W1242" s="3150"/>
      <c r="X1242" s="2656"/>
      <c r="Y1242" s="2656"/>
      <c r="Z1242" s="2656"/>
      <c r="AA1242" s="2656"/>
      <c r="AB1242" s="2656"/>
      <c r="AC1242" s="2656"/>
      <c r="AD1242" s="2656"/>
      <c r="AE1242" s="2656"/>
      <c r="AF1242" s="2656"/>
      <c r="AG1242" s="2656"/>
      <c r="AH1242" s="2656"/>
      <c r="AI1242" s="2656"/>
      <c r="AJ1242" s="2656"/>
      <c r="AK1242" s="2656"/>
      <c r="AL1242" s="2656"/>
      <c r="AM1242" s="2656"/>
      <c r="AN1242" s="2656"/>
      <c r="AO1242" s="2656"/>
      <c r="AP1242" s="2656"/>
      <c r="AQ1242" s="2656"/>
      <c r="AR1242" s="2656"/>
      <c r="AS1242" s="2656"/>
      <c r="AT1242" s="2656"/>
      <c r="AU1242" s="2656"/>
      <c r="AV1242" s="2656"/>
      <c r="AW1242" s="2656"/>
      <c r="AX1242" s="2656"/>
      <c r="AY1242" s="2656"/>
      <c r="AZ1242" s="2656"/>
      <c r="BA1242" s="2656"/>
      <c r="BB1242" s="2656"/>
      <c r="BC1242" s="2656"/>
      <c r="BD1242" s="2656"/>
      <c r="BE1242" s="2656"/>
      <c r="BF1242" s="2656"/>
      <c r="BG1242" s="2656"/>
      <c r="BH1242" s="2656"/>
      <c r="BI1242" s="2656"/>
    </row>
    <row r="1243" spans="1:61" ht="24.75" customHeight="1">
      <c r="A1243" s="3375"/>
      <c r="B1243" s="2646"/>
      <c r="C1243" s="2647"/>
      <c r="D1243" s="2646"/>
      <c r="E1243" s="3013"/>
      <c r="F1243" s="2655"/>
      <c r="G1243" s="2596"/>
      <c r="H1243" s="4138"/>
      <c r="I1243" s="3375"/>
      <c r="J1243" s="2648"/>
      <c r="K1243" s="3147"/>
      <c r="L1243" s="2785"/>
      <c r="M1243" s="2695"/>
      <c r="N1243" s="2649"/>
      <c r="O1243" s="2655"/>
      <c r="P1243" s="2651"/>
      <c r="Q1243" s="3440"/>
      <c r="R1243" s="3553"/>
      <c r="S1243" s="1407"/>
      <c r="T1243" s="3375"/>
      <c r="U1243" s="2648"/>
      <c r="V1243" s="3554"/>
      <c r="W1243" s="3150"/>
      <c r="X1243" s="2656"/>
      <c r="Y1243" s="2656"/>
      <c r="Z1243" s="2656"/>
      <c r="AA1243" s="2656"/>
      <c r="AB1243" s="2656"/>
      <c r="AC1243" s="2656"/>
      <c r="AD1243" s="2656"/>
      <c r="AE1243" s="2656"/>
      <c r="AF1243" s="2656"/>
      <c r="AG1243" s="2656"/>
      <c r="AH1243" s="2656"/>
      <c r="AI1243" s="2656"/>
      <c r="AJ1243" s="2656"/>
      <c r="AK1243" s="2656"/>
      <c r="AL1243" s="2656"/>
      <c r="AM1243" s="2656"/>
      <c r="AN1243" s="2656"/>
      <c r="AO1243" s="2656"/>
      <c r="AP1243" s="2656"/>
      <c r="AQ1243" s="2656"/>
      <c r="AR1243" s="2656"/>
      <c r="AS1243" s="2656"/>
      <c r="AT1243" s="2656"/>
      <c r="AU1243" s="2656"/>
      <c r="AV1243" s="2656"/>
      <c r="AW1243" s="2656"/>
      <c r="AX1243" s="2656"/>
      <c r="AY1243" s="2656"/>
      <c r="AZ1243" s="2656"/>
      <c r="BA1243" s="2656"/>
      <c r="BB1243" s="2656"/>
      <c r="BC1243" s="2656"/>
      <c r="BD1243" s="2656"/>
      <c r="BE1243" s="2656"/>
      <c r="BF1243" s="2656"/>
      <c r="BG1243" s="2656"/>
      <c r="BH1243" s="2656"/>
      <c r="BI1243" s="2656"/>
    </row>
    <row r="1244" spans="1:61" ht="24.75" customHeight="1">
      <c r="A1244" s="3375"/>
      <c r="B1244" s="2646"/>
      <c r="C1244" s="2647"/>
      <c r="D1244" s="2646"/>
      <c r="E1244" s="3013"/>
      <c r="F1244" s="2655"/>
      <c r="G1244" s="2596"/>
      <c r="H1244" s="4138"/>
      <c r="I1244" s="3375"/>
      <c r="J1244" s="2648"/>
      <c r="K1244" s="3147"/>
      <c r="L1244" s="2785"/>
      <c r="M1244" s="2695"/>
      <c r="N1244" s="2649"/>
      <c r="O1244" s="2655"/>
      <c r="P1244" s="2651"/>
      <c r="Q1244" s="3440"/>
      <c r="R1244" s="3553"/>
      <c r="S1244" s="1407"/>
      <c r="T1244" s="3375"/>
      <c r="U1244" s="2648"/>
      <c r="V1244" s="3554"/>
      <c r="W1244" s="3150"/>
      <c r="X1244" s="2656"/>
      <c r="Y1244" s="2656"/>
      <c r="Z1244" s="2656"/>
      <c r="AA1244" s="2656"/>
      <c r="AB1244" s="2656"/>
      <c r="AC1244" s="2656"/>
      <c r="AD1244" s="2656"/>
      <c r="AE1244" s="2656"/>
      <c r="AF1244" s="2656"/>
      <c r="AG1244" s="2656"/>
      <c r="AH1244" s="2656"/>
      <c r="AI1244" s="2656"/>
      <c r="AJ1244" s="2656"/>
      <c r="AK1244" s="2656"/>
      <c r="AL1244" s="2656"/>
      <c r="AM1244" s="2656"/>
      <c r="AN1244" s="2656"/>
      <c r="AO1244" s="2656"/>
      <c r="AP1244" s="2656"/>
      <c r="AQ1244" s="2656"/>
      <c r="AR1244" s="2656"/>
      <c r="AS1244" s="2656"/>
      <c r="AT1244" s="2656"/>
      <c r="AU1244" s="2656"/>
      <c r="AV1244" s="2656"/>
      <c r="AW1244" s="2656"/>
      <c r="AX1244" s="2656"/>
      <c r="AY1244" s="2656"/>
      <c r="AZ1244" s="2656"/>
      <c r="BA1244" s="2656"/>
      <c r="BB1244" s="2656"/>
      <c r="BC1244" s="2656"/>
      <c r="BD1244" s="2656"/>
      <c r="BE1244" s="2656"/>
      <c r="BF1244" s="2656"/>
      <c r="BG1244" s="2656"/>
      <c r="BH1244" s="2656"/>
      <c r="BI1244" s="2656"/>
    </row>
    <row r="1245" spans="1:61" ht="24.75" customHeight="1">
      <c r="A1245" s="3375"/>
      <c r="B1245" s="2646"/>
      <c r="C1245" s="2647"/>
      <c r="D1245" s="2646"/>
      <c r="E1245" s="3013"/>
      <c r="F1245" s="2655"/>
      <c r="G1245" s="2596"/>
      <c r="H1245" s="4138"/>
      <c r="I1245" s="3375"/>
      <c r="J1245" s="2648"/>
      <c r="K1245" s="3147"/>
      <c r="L1245" s="2785"/>
      <c r="M1245" s="2695"/>
      <c r="N1245" s="2649"/>
      <c r="O1245" s="2655"/>
      <c r="P1245" s="2651"/>
      <c r="Q1245" s="3440"/>
      <c r="R1245" s="3553"/>
      <c r="S1245" s="1407"/>
      <c r="T1245" s="3375"/>
      <c r="U1245" s="2648"/>
      <c r="V1245" s="3554"/>
      <c r="W1245" s="3150"/>
      <c r="X1245" s="2656"/>
      <c r="Y1245" s="2656"/>
      <c r="Z1245" s="2656"/>
      <c r="AA1245" s="2656"/>
      <c r="AB1245" s="2656"/>
      <c r="AC1245" s="2656"/>
      <c r="AD1245" s="2656"/>
      <c r="AE1245" s="2656"/>
      <c r="AF1245" s="2656"/>
      <c r="AG1245" s="2656"/>
      <c r="AH1245" s="2656"/>
      <c r="AI1245" s="2656"/>
      <c r="AJ1245" s="2656"/>
      <c r="AK1245" s="2656"/>
      <c r="AL1245" s="2656"/>
      <c r="AM1245" s="2656"/>
      <c r="AN1245" s="2656"/>
      <c r="AO1245" s="2656"/>
      <c r="AP1245" s="2656"/>
      <c r="AQ1245" s="2656"/>
      <c r="AR1245" s="2656"/>
      <c r="AS1245" s="2656"/>
      <c r="AT1245" s="2656"/>
      <c r="AU1245" s="2656"/>
      <c r="AV1245" s="2656"/>
      <c r="AW1245" s="2656"/>
      <c r="AX1245" s="2656"/>
      <c r="AY1245" s="2656"/>
      <c r="AZ1245" s="2656"/>
      <c r="BA1245" s="2656"/>
      <c r="BB1245" s="2656"/>
      <c r="BC1245" s="2656"/>
      <c r="BD1245" s="2656"/>
      <c r="BE1245" s="2656"/>
      <c r="BF1245" s="2656"/>
      <c r="BG1245" s="2656"/>
      <c r="BH1245" s="2656"/>
      <c r="BI1245" s="2656"/>
    </row>
    <row r="1246" spans="1:61" ht="24.75" customHeight="1">
      <c r="A1246" s="3375"/>
      <c r="B1246" s="2646"/>
      <c r="C1246" s="2647"/>
      <c r="D1246" s="2646"/>
      <c r="E1246" s="3013"/>
      <c r="F1246" s="2655"/>
      <c r="G1246" s="2596"/>
      <c r="H1246" s="4138"/>
      <c r="I1246" s="3375"/>
      <c r="J1246" s="2648"/>
      <c r="K1246" s="3147"/>
      <c r="L1246" s="2785"/>
      <c r="M1246" s="2695"/>
      <c r="N1246" s="2649"/>
      <c r="O1246" s="2655"/>
      <c r="P1246" s="2651"/>
      <c r="Q1246" s="3440"/>
      <c r="R1246" s="3553"/>
      <c r="S1246" s="1407"/>
      <c r="T1246" s="3375"/>
      <c r="U1246" s="2648"/>
      <c r="V1246" s="3554"/>
      <c r="W1246" s="3150"/>
      <c r="X1246" s="2656"/>
      <c r="Y1246" s="2656"/>
      <c r="Z1246" s="2656"/>
      <c r="AA1246" s="2656"/>
      <c r="AB1246" s="2656"/>
      <c r="AC1246" s="2656"/>
      <c r="AD1246" s="2656"/>
      <c r="AE1246" s="2656"/>
      <c r="AF1246" s="2656"/>
      <c r="AG1246" s="2656"/>
      <c r="AH1246" s="2656"/>
      <c r="AI1246" s="2656"/>
      <c r="AJ1246" s="2656"/>
      <c r="AK1246" s="2656"/>
      <c r="AL1246" s="2656"/>
      <c r="AM1246" s="2656"/>
      <c r="AN1246" s="2656"/>
      <c r="AO1246" s="2656"/>
      <c r="AP1246" s="2656"/>
      <c r="AQ1246" s="2656"/>
      <c r="AR1246" s="2656"/>
      <c r="AS1246" s="2656"/>
      <c r="AT1246" s="2656"/>
      <c r="AU1246" s="2656"/>
      <c r="AV1246" s="2656"/>
      <c r="AW1246" s="2656"/>
      <c r="AX1246" s="2656"/>
      <c r="AY1246" s="2656"/>
      <c r="AZ1246" s="2656"/>
      <c r="BA1246" s="2656"/>
      <c r="BB1246" s="2656"/>
      <c r="BC1246" s="2656"/>
      <c r="BD1246" s="2656"/>
      <c r="BE1246" s="2656"/>
      <c r="BF1246" s="2656"/>
      <c r="BG1246" s="2656"/>
      <c r="BH1246" s="2656"/>
      <c r="BI1246" s="2656"/>
    </row>
    <row r="1247" spans="1:61" ht="24.75" customHeight="1">
      <c r="A1247" s="3375"/>
      <c r="B1247" s="2646"/>
      <c r="C1247" s="2647"/>
      <c r="D1247" s="2646"/>
      <c r="E1247" s="3013"/>
      <c r="F1247" s="2655"/>
      <c r="G1247" s="2596"/>
      <c r="H1247" s="4138"/>
      <c r="I1247" s="3375"/>
      <c r="J1247" s="2648"/>
      <c r="K1247" s="3147"/>
      <c r="L1247" s="2785"/>
      <c r="M1247" s="2695"/>
      <c r="N1247" s="2649"/>
      <c r="O1247" s="2655"/>
      <c r="P1247" s="2651"/>
      <c r="Q1247" s="3440"/>
      <c r="R1247" s="3553"/>
      <c r="S1247" s="1407"/>
      <c r="T1247" s="3375"/>
      <c r="U1247" s="2648"/>
      <c r="V1247" s="3554"/>
      <c r="W1247" s="3150"/>
      <c r="X1247" s="2656"/>
      <c r="Y1247" s="2656"/>
      <c r="Z1247" s="2656"/>
      <c r="AA1247" s="2656"/>
      <c r="AB1247" s="2656"/>
      <c r="AC1247" s="2656"/>
      <c r="AD1247" s="2656"/>
      <c r="AE1247" s="2656"/>
      <c r="AF1247" s="2656"/>
      <c r="AG1247" s="2656"/>
      <c r="AH1247" s="2656"/>
      <c r="AI1247" s="2656"/>
      <c r="AJ1247" s="2656"/>
      <c r="AK1247" s="2656"/>
      <c r="AL1247" s="2656"/>
      <c r="AM1247" s="2656"/>
      <c r="AN1247" s="2656"/>
      <c r="AO1247" s="2656"/>
      <c r="AP1247" s="2656"/>
      <c r="AQ1247" s="2656"/>
      <c r="AR1247" s="2656"/>
      <c r="AS1247" s="2656"/>
      <c r="AT1247" s="2656"/>
      <c r="AU1247" s="2656"/>
      <c r="AV1247" s="2656"/>
      <c r="AW1247" s="2656"/>
      <c r="AX1247" s="2656"/>
      <c r="AY1247" s="2656"/>
      <c r="AZ1247" s="2656"/>
      <c r="BA1247" s="2656"/>
      <c r="BB1247" s="2656"/>
      <c r="BC1247" s="2656"/>
      <c r="BD1247" s="2656"/>
      <c r="BE1247" s="2656"/>
      <c r="BF1247" s="2656"/>
      <c r="BG1247" s="2656"/>
      <c r="BH1247" s="2656"/>
      <c r="BI1247" s="2656"/>
    </row>
    <row r="1248" spans="1:61" ht="24.75" customHeight="1">
      <c r="A1248" s="3375"/>
      <c r="B1248" s="2646"/>
      <c r="C1248" s="2647"/>
      <c r="D1248" s="2646"/>
      <c r="E1248" s="3013"/>
      <c r="F1248" s="2655"/>
      <c r="G1248" s="2596"/>
      <c r="H1248" s="4138"/>
      <c r="I1248" s="3375"/>
      <c r="J1248" s="2648"/>
      <c r="K1248" s="3147"/>
      <c r="L1248" s="2785"/>
      <c r="M1248" s="2695"/>
      <c r="N1248" s="2649"/>
      <c r="O1248" s="2655"/>
      <c r="P1248" s="2651"/>
      <c r="Q1248" s="3440"/>
      <c r="R1248" s="3553"/>
      <c r="S1248" s="1407"/>
      <c r="T1248" s="3375"/>
      <c r="U1248" s="2648"/>
      <c r="V1248" s="3554"/>
      <c r="W1248" s="3150"/>
      <c r="X1248" s="2656"/>
      <c r="Y1248" s="2656"/>
      <c r="Z1248" s="2656"/>
      <c r="AA1248" s="2656"/>
      <c r="AB1248" s="2656"/>
      <c r="AC1248" s="2656"/>
      <c r="AD1248" s="2656"/>
      <c r="AE1248" s="2656"/>
      <c r="AF1248" s="2656"/>
      <c r="AG1248" s="2656"/>
      <c r="AH1248" s="2656"/>
      <c r="AI1248" s="2656"/>
      <c r="AJ1248" s="2656"/>
      <c r="AK1248" s="2656"/>
      <c r="AL1248" s="2656"/>
      <c r="AM1248" s="2656"/>
      <c r="AN1248" s="2656"/>
      <c r="AO1248" s="2656"/>
      <c r="AP1248" s="2656"/>
      <c r="AQ1248" s="2656"/>
      <c r="AR1248" s="2656"/>
      <c r="AS1248" s="2656"/>
      <c r="AT1248" s="2656"/>
      <c r="AU1248" s="2656"/>
      <c r="AV1248" s="2656"/>
      <c r="AW1248" s="2656"/>
      <c r="AX1248" s="2656"/>
      <c r="AY1248" s="2656"/>
      <c r="AZ1248" s="2656"/>
      <c r="BA1248" s="2656"/>
      <c r="BB1248" s="2656"/>
      <c r="BC1248" s="2656"/>
      <c r="BD1248" s="2656"/>
      <c r="BE1248" s="2656"/>
      <c r="BF1248" s="2656"/>
      <c r="BG1248" s="2656"/>
      <c r="BH1248" s="2656"/>
      <c r="BI1248" s="2656"/>
    </row>
    <row r="1249" spans="1:61" ht="24.75" customHeight="1">
      <c r="A1249" s="3375"/>
      <c r="B1249" s="2646"/>
      <c r="C1249" s="2647"/>
      <c r="D1249" s="2646"/>
      <c r="E1249" s="3013"/>
      <c r="F1249" s="2655"/>
      <c r="G1249" s="2596"/>
      <c r="H1249" s="4138"/>
      <c r="I1249" s="3375"/>
      <c r="J1249" s="2648"/>
      <c r="K1249" s="3147"/>
      <c r="L1249" s="2785"/>
      <c r="M1249" s="2695"/>
      <c r="N1249" s="2649"/>
      <c r="O1249" s="2655"/>
      <c r="P1249" s="2651"/>
      <c r="Q1249" s="3440"/>
      <c r="R1249" s="3553"/>
      <c r="S1249" s="1407"/>
      <c r="T1249" s="3375"/>
      <c r="U1249" s="2648"/>
      <c r="V1249" s="3554"/>
      <c r="W1249" s="3150"/>
      <c r="X1249" s="2656"/>
      <c r="Y1249" s="2656"/>
      <c r="Z1249" s="2656"/>
      <c r="AA1249" s="2656"/>
      <c r="AB1249" s="2656"/>
      <c r="AC1249" s="2656"/>
      <c r="AD1249" s="2656"/>
      <c r="AE1249" s="2656"/>
      <c r="AF1249" s="2656"/>
      <c r="AG1249" s="2656"/>
      <c r="AH1249" s="2656"/>
      <c r="AI1249" s="2656"/>
      <c r="AJ1249" s="2656"/>
      <c r="AK1249" s="2656"/>
      <c r="AL1249" s="2656"/>
      <c r="AM1249" s="2656"/>
      <c r="AN1249" s="2656"/>
      <c r="AO1249" s="2656"/>
      <c r="AP1249" s="2656"/>
      <c r="AQ1249" s="2656"/>
      <c r="AR1249" s="2656"/>
      <c r="AS1249" s="2656"/>
      <c r="AT1249" s="2656"/>
      <c r="AU1249" s="2656"/>
      <c r="AV1249" s="2656"/>
      <c r="AW1249" s="2656"/>
      <c r="AX1249" s="2656"/>
      <c r="AY1249" s="2656"/>
      <c r="AZ1249" s="2656"/>
      <c r="BA1249" s="2656"/>
      <c r="BB1249" s="2656"/>
      <c r="BC1249" s="2656"/>
      <c r="BD1249" s="2656"/>
      <c r="BE1249" s="2656"/>
      <c r="BF1249" s="2656"/>
      <c r="BG1249" s="2656"/>
      <c r="BH1249" s="2656"/>
      <c r="BI1249" s="2656"/>
    </row>
    <row r="1250" spans="1:61" ht="24.75" customHeight="1">
      <c r="A1250" s="3375"/>
      <c r="B1250" s="2646"/>
      <c r="C1250" s="2647"/>
      <c r="D1250" s="2646"/>
      <c r="E1250" s="3013"/>
      <c r="F1250" s="2655"/>
      <c r="G1250" s="2596"/>
      <c r="H1250" s="4138"/>
      <c r="I1250" s="3375"/>
      <c r="J1250" s="2648"/>
      <c r="K1250" s="3147"/>
      <c r="L1250" s="2785"/>
      <c r="M1250" s="2695"/>
      <c r="N1250" s="2649"/>
      <c r="O1250" s="2655"/>
      <c r="P1250" s="2651"/>
      <c r="Q1250" s="3440"/>
      <c r="R1250" s="3553"/>
      <c r="S1250" s="1407"/>
      <c r="T1250" s="3375"/>
      <c r="U1250" s="2648"/>
      <c r="V1250" s="3554"/>
      <c r="W1250" s="3150"/>
      <c r="X1250" s="2656"/>
      <c r="Y1250" s="2656"/>
      <c r="Z1250" s="2656"/>
      <c r="AA1250" s="2656"/>
      <c r="AB1250" s="2656"/>
      <c r="AC1250" s="2656"/>
      <c r="AD1250" s="2656"/>
      <c r="AE1250" s="2656"/>
      <c r="AF1250" s="2656"/>
      <c r="AG1250" s="2656"/>
      <c r="AH1250" s="2656"/>
      <c r="AI1250" s="2656"/>
      <c r="AJ1250" s="2656"/>
      <c r="AK1250" s="2656"/>
      <c r="AL1250" s="2656"/>
      <c r="AM1250" s="2656"/>
      <c r="AN1250" s="2656"/>
      <c r="AO1250" s="2656"/>
      <c r="AP1250" s="2656"/>
      <c r="AQ1250" s="2656"/>
      <c r="AR1250" s="2656"/>
      <c r="AS1250" s="2656"/>
      <c r="AT1250" s="2656"/>
      <c r="AU1250" s="2656"/>
      <c r="AV1250" s="2656"/>
      <c r="AW1250" s="2656"/>
      <c r="AX1250" s="2656"/>
      <c r="AY1250" s="2656"/>
      <c r="AZ1250" s="2656"/>
      <c r="BA1250" s="2656"/>
      <c r="BB1250" s="2656"/>
      <c r="BC1250" s="2656"/>
      <c r="BD1250" s="2656"/>
      <c r="BE1250" s="2656"/>
      <c r="BF1250" s="2656"/>
      <c r="BG1250" s="2656"/>
      <c r="BH1250" s="2656"/>
      <c r="BI1250" s="2656"/>
    </row>
    <row r="1251" spans="1:61" ht="24.75" customHeight="1">
      <c r="A1251" s="3375"/>
      <c r="B1251" s="2646"/>
      <c r="C1251" s="2647"/>
      <c r="D1251" s="2646"/>
      <c r="E1251" s="3013"/>
      <c r="F1251" s="2655"/>
      <c r="G1251" s="2596"/>
      <c r="H1251" s="4138"/>
      <c r="I1251" s="3375"/>
      <c r="J1251" s="2648"/>
      <c r="K1251" s="3147"/>
      <c r="L1251" s="2785"/>
      <c r="M1251" s="2695"/>
      <c r="N1251" s="2649"/>
      <c r="O1251" s="2655"/>
      <c r="P1251" s="2651"/>
      <c r="Q1251" s="3440"/>
      <c r="R1251" s="3553"/>
      <c r="S1251" s="1407"/>
      <c r="T1251" s="3375"/>
      <c r="U1251" s="2648"/>
      <c r="V1251" s="3554"/>
      <c r="W1251" s="3150"/>
      <c r="X1251" s="2656"/>
      <c r="Y1251" s="2656"/>
      <c r="Z1251" s="2656"/>
      <c r="AA1251" s="2656"/>
      <c r="AB1251" s="2656"/>
      <c r="AC1251" s="2656"/>
      <c r="AD1251" s="2656"/>
      <c r="AE1251" s="2656"/>
      <c r="AF1251" s="2656"/>
      <c r="AG1251" s="2656"/>
      <c r="AH1251" s="2656"/>
      <c r="AI1251" s="2656"/>
      <c r="AJ1251" s="2656"/>
      <c r="AK1251" s="2656"/>
      <c r="AL1251" s="2656"/>
      <c r="AM1251" s="2656"/>
      <c r="AN1251" s="2656"/>
      <c r="AO1251" s="2656"/>
      <c r="AP1251" s="2656"/>
      <c r="AQ1251" s="2656"/>
      <c r="AR1251" s="2656"/>
      <c r="AS1251" s="2656"/>
      <c r="AT1251" s="2656"/>
      <c r="AU1251" s="2656"/>
      <c r="AV1251" s="2656"/>
      <c r="AW1251" s="2656"/>
      <c r="AX1251" s="2656"/>
      <c r="AY1251" s="2656"/>
      <c r="AZ1251" s="2656"/>
      <c r="BA1251" s="2656"/>
      <c r="BB1251" s="2656"/>
      <c r="BC1251" s="2656"/>
      <c r="BD1251" s="2656"/>
      <c r="BE1251" s="2656"/>
      <c r="BF1251" s="2656"/>
      <c r="BG1251" s="2656"/>
      <c r="BH1251" s="2656"/>
      <c r="BI1251" s="2656"/>
    </row>
    <row r="1252" spans="1:61" ht="24.75" customHeight="1">
      <c r="A1252" s="3375"/>
      <c r="B1252" s="2646"/>
      <c r="C1252" s="2647"/>
      <c r="D1252" s="2646"/>
      <c r="E1252" s="3013"/>
      <c r="F1252" s="2655"/>
      <c r="G1252" s="2596"/>
      <c r="H1252" s="4138"/>
      <c r="I1252" s="3375"/>
      <c r="J1252" s="2648"/>
      <c r="K1252" s="3147"/>
      <c r="L1252" s="2785"/>
      <c r="M1252" s="2695"/>
      <c r="N1252" s="2649"/>
      <c r="O1252" s="2655"/>
      <c r="P1252" s="2651"/>
      <c r="Q1252" s="3440"/>
      <c r="R1252" s="3553"/>
      <c r="S1252" s="1407"/>
      <c r="T1252" s="3375"/>
      <c r="U1252" s="2648"/>
      <c r="V1252" s="3554"/>
      <c r="W1252" s="3150"/>
      <c r="X1252" s="2656"/>
      <c r="Y1252" s="2656"/>
      <c r="Z1252" s="2656"/>
      <c r="AA1252" s="2656"/>
      <c r="AB1252" s="2656"/>
      <c r="AC1252" s="2656"/>
      <c r="AD1252" s="2656"/>
      <c r="AE1252" s="2656"/>
      <c r="AF1252" s="2656"/>
      <c r="AG1252" s="2656"/>
      <c r="AH1252" s="2656"/>
      <c r="AI1252" s="2656"/>
      <c r="AJ1252" s="2656"/>
      <c r="AK1252" s="2656"/>
      <c r="AL1252" s="2656"/>
      <c r="AM1252" s="2656"/>
      <c r="AN1252" s="2656"/>
      <c r="AO1252" s="2656"/>
      <c r="AP1252" s="2656"/>
      <c r="AQ1252" s="2656"/>
      <c r="AR1252" s="2656"/>
      <c r="AS1252" s="2656"/>
      <c r="AT1252" s="2656"/>
      <c r="AU1252" s="2656"/>
      <c r="AV1252" s="2656"/>
      <c r="AW1252" s="2656"/>
      <c r="AX1252" s="2656"/>
      <c r="AY1252" s="2656"/>
      <c r="AZ1252" s="2656"/>
      <c r="BA1252" s="2656"/>
      <c r="BB1252" s="2656"/>
      <c r="BC1252" s="2656"/>
      <c r="BD1252" s="2656"/>
      <c r="BE1252" s="2656"/>
      <c r="BF1252" s="2656"/>
      <c r="BG1252" s="2656"/>
      <c r="BH1252" s="2656"/>
      <c r="BI1252" s="2656"/>
    </row>
    <row r="1253" spans="1:61" ht="24.75" customHeight="1">
      <c r="A1253" s="3375"/>
      <c r="B1253" s="2646"/>
      <c r="C1253" s="2647"/>
      <c r="D1253" s="2646"/>
      <c r="E1253" s="3013"/>
      <c r="F1253" s="2655"/>
      <c r="G1253" s="2596"/>
      <c r="H1253" s="4138"/>
      <c r="I1253" s="3375"/>
      <c r="J1253" s="2648"/>
      <c r="K1253" s="3147"/>
      <c r="L1253" s="2785"/>
      <c r="M1253" s="2695"/>
      <c r="N1253" s="2649"/>
      <c r="O1253" s="2655"/>
      <c r="P1253" s="2651"/>
      <c r="Q1253" s="3440"/>
      <c r="R1253" s="3553"/>
      <c r="S1253" s="1407"/>
      <c r="T1253" s="3375"/>
      <c r="U1253" s="2648"/>
      <c r="V1253" s="3554"/>
      <c r="W1253" s="3150"/>
      <c r="X1253" s="2656"/>
      <c r="Y1253" s="2656"/>
      <c r="Z1253" s="2656"/>
      <c r="AA1253" s="2656"/>
      <c r="AB1253" s="2656"/>
      <c r="AC1253" s="2656"/>
      <c r="AD1253" s="2656"/>
      <c r="AE1253" s="2656"/>
      <c r="AF1253" s="2656"/>
      <c r="AG1253" s="2656"/>
      <c r="AH1253" s="2656"/>
      <c r="AI1253" s="2656"/>
      <c r="AJ1253" s="2656"/>
      <c r="AK1253" s="2656"/>
      <c r="AL1253" s="2656"/>
      <c r="AM1253" s="2656"/>
      <c r="AN1253" s="2656"/>
      <c r="AO1253" s="2656"/>
      <c r="AP1253" s="2656"/>
      <c r="AQ1253" s="2656"/>
      <c r="AR1253" s="2656"/>
      <c r="AS1253" s="2656"/>
      <c r="AT1253" s="2656"/>
      <c r="AU1253" s="2656"/>
      <c r="AV1253" s="2656"/>
      <c r="AW1253" s="2656"/>
      <c r="AX1253" s="2656"/>
      <c r="AY1253" s="2656"/>
      <c r="AZ1253" s="2656"/>
      <c r="BA1253" s="2656"/>
      <c r="BB1253" s="2656"/>
      <c r="BC1253" s="2656"/>
      <c r="BD1253" s="2656"/>
      <c r="BE1253" s="2656"/>
      <c r="BF1253" s="2656"/>
      <c r="BG1253" s="2656"/>
      <c r="BH1253" s="2656"/>
      <c r="BI1253" s="2656"/>
    </row>
    <row r="1254" spans="1:61" ht="24.75" customHeight="1">
      <c r="A1254" s="3375"/>
      <c r="B1254" s="2646"/>
      <c r="C1254" s="2647"/>
      <c r="D1254" s="2646"/>
      <c r="E1254" s="3013"/>
      <c r="F1254" s="2655"/>
      <c r="G1254" s="2596"/>
      <c r="H1254" s="4138"/>
      <c r="I1254" s="3375"/>
      <c r="J1254" s="2648"/>
      <c r="K1254" s="3147"/>
      <c r="L1254" s="2785"/>
      <c r="M1254" s="2695"/>
      <c r="N1254" s="2649"/>
      <c r="O1254" s="2655"/>
      <c r="P1254" s="2651"/>
      <c r="Q1254" s="3440"/>
      <c r="R1254" s="3553"/>
      <c r="S1254" s="1407"/>
      <c r="T1254" s="3375"/>
      <c r="U1254" s="2648"/>
      <c r="V1254" s="3554"/>
      <c r="W1254" s="3150"/>
      <c r="X1254" s="2656"/>
      <c r="Y1254" s="2656"/>
      <c r="Z1254" s="2656"/>
      <c r="AA1254" s="2656"/>
      <c r="AB1254" s="2656"/>
      <c r="AC1254" s="2656"/>
      <c r="AD1254" s="2656"/>
      <c r="AE1254" s="2656"/>
      <c r="AF1254" s="2656"/>
      <c r="AG1254" s="2656"/>
      <c r="AH1254" s="2656"/>
      <c r="AI1254" s="2656"/>
      <c r="AJ1254" s="2656"/>
      <c r="AK1254" s="2656"/>
      <c r="AL1254" s="2656"/>
      <c r="AM1254" s="2656"/>
      <c r="AN1254" s="2656"/>
      <c r="AO1254" s="2656"/>
      <c r="AP1254" s="2656"/>
      <c r="AQ1254" s="2656"/>
      <c r="AR1254" s="2656"/>
      <c r="AS1254" s="2656"/>
      <c r="AT1254" s="2656"/>
      <c r="AU1254" s="2656"/>
      <c r="AV1254" s="2656"/>
      <c r="AW1254" s="2656"/>
      <c r="AX1254" s="2656"/>
      <c r="AY1254" s="2656"/>
      <c r="AZ1254" s="2656"/>
      <c r="BA1254" s="2656"/>
      <c r="BB1254" s="2656"/>
      <c r="BC1254" s="2656"/>
      <c r="BD1254" s="2656"/>
      <c r="BE1254" s="2656"/>
      <c r="BF1254" s="2656"/>
      <c r="BG1254" s="2656"/>
      <c r="BH1254" s="2656"/>
      <c r="BI1254" s="2656"/>
    </row>
    <row r="1255" spans="1:61" ht="24.75" customHeight="1">
      <c r="A1255" s="3375"/>
      <c r="B1255" s="2646"/>
      <c r="C1255" s="2647"/>
      <c r="D1255" s="2646"/>
      <c r="E1255" s="3013"/>
      <c r="F1255" s="2655"/>
      <c r="G1255" s="2596"/>
      <c r="H1255" s="4138"/>
      <c r="I1255" s="3375"/>
      <c r="J1255" s="2648"/>
      <c r="K1255" s="3147"/>
      <c r="L1255" s="2785"/>
      <c r="M1255" s="2695"/>
      <c r="N1255" s="2649"/>
      <c r="O1255" s="2655"/>
      <c r="P1255" s="2651"/>
      <c r="Q1255" s="3440"/>
      <c r="R1255" s="3553"/>
      <c r="S1255" s="1407"/>
      <c r="T1255" s="3375"/>
      <c r="U1255" s="2648"/>
      <c r="V1255" s="3554"/>
      <c r="W1255" s="3150"/>
      <c r="X1255" s="2656"/>
      <c r="Y1255" s="2656"/>
      <c r="Z1255" s="2656"/>
      <c r="AA1255" s="2656"/>
      <c r="AB1255" s="2656"/>
      <c r="AC1255" s="2656"/>
      <c r="AD1255" s="2656"/>
      <c r="AE1255" s="2656"/>
      <c r="AF1255" s="2656"/>
      <c r="AG1255" s="2656"/>
      <c r="AH1255" s="2656"/>
      <c r="AI1255" s="2656"/>
      <c r="AJ1255" s="2656"/>
      <c r="AK1255" s="2656"/>
      <c r="AL1255" s="2656"/>
      <c r="AM1255" s="2656"/>
      <c r="AN1255" s="2656"/>
      <c r="AO1255" s="2656"/>
      <c r="AP1255" s="2656"/>
      <c r="AQ1255" s="2656"/>
      <c r="AR1255" s="2656"/>
      <c r="AS1255" s="2656"/>
      <c r="AT1255" s="2656"/>
      <c r="AU1255" s="2656"/>
      <c r="AV1255" s="2656"/>
      <c r="AW1255" s="2656"/>
      <c r="AX1255" s="2656"/>
      <c r="AY1255" s="2656"/>
      <c r="AZ1255" s="2656"/>
      <c r="BA1255" s="2656"/>
      <c r="BB1255" s="2656"/>
      <c r="BC1255" s="2656"/>
      <c r="BD1255" s="2656"/>
      <c r="BE1255" s="2656"/>
      <c r="BF1255" s="2656"/>
      <c r="BG1255" s="2656"/>
      <c r="BH1255" s="2656"/>
      <c r="BI1255" s="2656"/>
    </row>
    <row r="1256" spans="1:61" ht="24.75" customHeight="1">
      <c r="A1256" s="3375"/>
      <c r="B1256" s="2646"/>
      <c r="C1256" s="2647"/>
      <c r="D1256" s="2646"/>
      <c r="E1256" s="3013"/>
      <c r="F1256" s="2655"/>
      <c r="G1256" s="2596"/>
      <c r="H1256" s="4138"/>
      <c r="I1256" s="3375"/>
      <c r="J1256" s="2648"/>
      <c r="K1256" s="3147"/>
      <c r="L1256" s="2785"/>
      <c r="M1256" s="2695"/>
      <c r="N1256" s="2649"/>
      <c r="O1256" s="2655"/>
      <c r="P1256" s="2651"/>
      <c r="Q1256" s="3440"/>
      <c r="R1256" s="3553"/>
      <c r="S1256" s="1407"/>
      <c r="T1256" s="3375"/>
      <c r="U1256" s="2648"/>
      <c r="V1256" s="3554"/>
      <c r="W1256" s="3150"/>
      <c r="X1256" s="2656"/>
      <c r="Y1256" s="2656"/>
      <c r="Z1256" s="2656"/>
      <c r="AA1256" s="2656"/>
      <c r="AB1256" s="2656"/>
      <c r="AC1256" s="2656"/>
      <c r="AD1256" s="2656"/>
      <c r="AE1256" s="2656"/>
      <c r="AF1256" s="2656"/>
      <c r="AG1256" s="2656"/>
      <c r="AH1256" s="2656"/>
      <c r="AI1256" s="2656"/>
      <c r="AJ1256" s="2656"/>
      <c r="AK1256" s="2656"/>
      <c r="AL1256" s="2656"/>
      <c r="AM1256" s="2656"/>
      <c r="AN1256" s="2656"/>
      <c r="AO1256" s="2656"/>
      <c r="AP1256" s="2656"/>
      <c r="AQ1256" s="2656"/>
      <c r="AR1256" s="2656"/>
      <c r="AS1256" s="2656"/>
      <c r="AT1256" s="2656"/>
      <c r="AU1256" s="2656"/>
      <c r="AV1256" s="2656"/>
      <c r="AW1256" s="2656"/>
      <c r="AX1256" s="2656"/>
      <c r="AY1256" s="2656"/>
      <c r="AZ1256" s="2656"/>
      <c r="BA1256" s="2656"/>
      <c r="BB1256" s="2656"/>
      <c r="BC1256" s="2656"/>
      <c r="BD1256" s="2656"/>
      <c r="BE1256" s="2656"/>
      <c r="BF1256" s="2656"/>
      <c r="BG1256" s="2656"/>
      <c r="BH1256" s="2656"/>
      <c r="BI1256" s="2656"/>
    </row>
    <row r="1257" spans="1:61" ht="24.75" customHeight="1">
      <c r="A1257" s="3375"/>
      <c r="B1257" s="2646"/>
      <c r="C1257" s="2647"/>
      <c r="D1257" s="2646"/>
      <c r="E1257" s="3013"/>
      <c r="F1257" s="2655"/>
      <c r="G1257" s="2596"/>
      <c r="H1257" s="4138"/>
      <c r="I1257" s="3375"/>
      <c r="J1257" s="2648"/>
      <c r="K1257" s="3147"/>
      <c r="L1257" s="2785"/>
      <c r="M1257" s="2695"/>
      <c r="N1257" s="2649"/>
      <c r="O1257" s="2655"/>
      <c r="P1257" s="2651"/>
      <c r="Q1257" s="3440"/>
      <c r="R1257" s="3553"/>
      <c r="S1257" s="1407"/>
      <c r="T1257" s="3375"/>
      <c r="U1257" s="2648"/>
      <c r="V1257" s="3554"/>
      <c r="W1257" s="3150"/>
      <c r="X1257" s="2656"/>
      <c r="Y1257" s="2656"/>
      <c r="Z1257" s="2656"/>
      <c r="AA1257" s="2656"/>
      <c r="AB1257" s="2656"/>
      <c r="AC1257" s="2656"/>
      <c r="AD1257" s="2656"/>
      <c r="AE1257" s="2656"/>
      <c r="AF1257" s="2656"/>
      <c r="AG1257" s="2656"/>
      <c r="AH1257" s="2656"/>
      <c r="AI1257" s="2656"/>
      <c r="AJ1257" s="2656"/>
      <c r="AK1257" s="2656"/>
      <c r="AL1257" s="2656"/>
      <c r="AM1257" s="2656"/>
      <c r="AN1257" s="2656"/>
      <c r="AO1257" s="2656"/>
      <c r="AP1257" s="2656"/>
      <c r="AQ1257" s="2656"/>
      <c r="AR1257" s="2656"/>
      <c r="AS1257" s="2656"/>
      <c r="AT1257" s="2656"/>
      <c r="AU1257" s="2656"/>
      <c r="AV1257" s="2656"/>
      <c r="AW1257" s="2656"/>
      <c r="AX1257" s="2656"/>
      <c r="AY1257" s="2656"/>
      <c r="AZ1257" s="2656"/>
      <c r="BA1257" s="2656"/>
      <c r="BB1257" s="2656"/>
      <c r="BC1257" s="2656"/>
      <c r="BD1257" s="2656"/>
      <c r="BE1257" s="2656"/>
      <c r="BF1257" s="2656"/>
      <c r="BG1257" s="2656"/>
      <c r="BH1257" s="2656"/>
      <c r="BI1257" s="2656"/>
    </row>
    <row r="1258" spans="1:61" ht="24.75" customHeight="1">
      <c r="A1258" s="3375"/>
      <c r="B1258" s="2646"/>
      <c r="C1258" s="2647"/>
      <c r="D1258" s="2646"/>
      <c r="E1258" s="3013"/>
      <c r="F1258" s="2655"/>
      <c r="G1258" s="2596"/>
      <c r="H1258" s="4138"/>
      <c r="I1258" s="3375"/>
      <c r="J1258" s="2648"/>
      <c r="K1258" s="3147"/>
      <c r="L1258" s="2785"/>
      <c r="M1258" s="2695"/>
      <c r="N1258" s="2649"/>
      <c r="O1258" s="2655"/>
      <c r="P1258" s="2651"/>
      <c r="Q1258" s="3440"/>
      <c r="R1258" s="3553"/>
      <c r="S1258" s="1407"/>
      <c r="T1258" s="3375"/>
      <c r="U1258" s="2648"/>
      <c r="V1258" s="3554"/>
      <c r="W1258" s="3150"/>
      <c r="X1258" s="2656"/>
      <c r="Y1258" s="2656"/>
      <c r="Z1258" s="2656"/>
      <c r="AA1258" s="2656"/>
      <c r="AB1258" s="2656"/>
      <c r="AC1258" s="2656"/>
      <c r="AD1258" s="2656"/>
      <c r="AE1258" s="2656"/>
      <c r="AF1258" s="2656"/>
      <c r="AG1258" s="2656"/>
      <c r="AH1258" s="2656"/>
      <c r="AI1258" s="2656"/>
      <c r="AJ1258" s="2656"/>
      <c r="AK1258" s="2656"/>
      <c r="AL1258" s="2656"/>
      <c r="AM1258" s="2656"/>
      <c r="AN1258" s="2656"/>
      <c r="AO1258" s="2656"/>
      <c r="AP1258" s="2656"/>
      <c r="AQ1258" s="2656"/>
      <c r="AR1258" s="2656"/>
      <c r="AS1258" s="2656"/>
      <c r="AT1258" s="2656"/>
      <c r="AU1258" s="2656"/>
      <c r="AV1258" s="2656"/>
      <c r="AW1258" s="2656"/>
      <c r="AX1258" s="2656"/>
      <c r="AY1258" s="2656"/>
      <c r="AZ1258" s="2656"/>
      <c r="BA1258" s="2656"/>
      <c r="BB1258" s="2656"/>
      <c r="BC1258" s="2656"/>
      <c r="BD1258" s="2656"/>
      <c r="BE1258" s="2656"/>
      <c r="BF1258" s="2656"/>
      <c r="BG1258" s="2656"/>
      <c r="BH1258" s="2656"/>
      <c r="BI1258" s="2656"/>
    </row>
    <row r="1259" spans="1:61" ht="24.75" customHeight="1">
      <c r="A1259" s="3375"/>
      <c r="B1259" s="2646"/>
      <c r="C1259" s="2647"/>
      <c r="D1259" s="2646"/>
      <c r="E1259" s="3013"/>
      <c r="F1259" s="2655"/>
      <c r="G1259" s="2596"/>
      <c r="H1259" s="4138"/>
      <c r="I1259" s="3375"/>
      <c r="J1259" s="2648"/>
      <c r="K1259" s="3147"/>
      <c r="L1259" s="2785"/>
      <c r="M1259" s="2695"/>
      <c r="N1259" s="2649"/>
      <c r="O1259" s="2655"/>
      <c r="P1259" s="2651"/>
      <c r="Q1259" s="3440"/>
      <c r="R1259" s="3553"/>
      <c r="S1259" s="1407"/>
      <c r="T1259" s="3375"/>
      <c r="U1259" s="2648"/>
      <c r="V1259" s="3554"/>
      <c r="W1259" s="3150"/>
      <c r="X1259" s="2656"/>
      <c r="Y1259" s="2656"/>
      <c r="Z1259" s="2656"/>
      <c r="AA1259" s="2656"/>
      <c r="AB1259" s="2656"/>
      <c r="AC1259" s="2656"/>
      <c r="AD1259" s="2656"/>
      <c r="AE1259" s="2656"/>
      <c r="AF1259" s="2656"/>
      <c r="AG1259" s="2656"/>
      <c r="AH1259" s="2656"/>
      <c r="AI1259" s="2656"/>
      <c r="AJ1259" s="2656"/>
      <c r="AK1259" s="2656"/>
      <c r="AL1259" s="2656"/>
      <c r="AM1259" s="2656"/>
      <c r="AN1259" s="2656"/>
      <c r="AO1259" s="2656"/>
      <c r="AP1259" s="2656"/>
      <c r="AQ1259" s="2656"/>
      <c r="AR1259" s="2656"/>
      <c r="AS1259" s="2656"/>
      <c r="AT1259" s="2656"/>
      <c r="AU1259" s="2656"/>
      <c r="AV1259" s="2656"/>
      <c r="AW1259" s="2656"/>
      <c r="AX1259" s="2656"/>
      <c r="AY1259" s="2656"/>
      <c r="AZ1259" s="2656"/>
      <c r="BA1259" s="2656"/>
      <c r="BB1259" s="2656"/>
      <c r="BC1259" s="2656"/>
      <c r="BD1259" s="2656"/>
      <c r="BE1259" s="2656"/>
      <c r="BF1259" s="2656"/>
      <c r="BG1259" s="2656"/>
      <c r="BH1259" s="2656"/>
      <c r="BI1259" s="2656"/>
    </row>
    <row r="1260" spans="1:61" ht="24.75" customHeight="1">
      <c r="A1260" s="3375"/>
      <c r="B1260" s="2646"/>
      <c r="C1260" s="2647"/>
      <c r="D1260" s="2646"/>
      <c r="E1260" s="3013"/>
      <c r="F1260" s="2655"/>
      <c r="G1260" s="2596"/>
      <c r="H1260" s="4138"/>
      <c r="I1260" s="3375"/>
      <c r="J1260" s="2648"/>
      <c r="K1260" s="3147"/>
      <c r="L1260" s="2785"/>
      <c r="M1260" s="2695"/>
      <c r="N1260" s="2649"/>
      <c r="O1260" s="2655"/>
      <c r="P1260" s="2651"/>
      <c r="Q1260" s="3440"/>
      <c r="R1260" s="3553"/>
      <c r="S1260" s="1407"/>
      <c r="T1260" s="3375"/>
      <c r="U1260" s="2648"/>
      <c r="V1260" s="3554"/>
      <c r="W1260" s="3150"/>
      <c r="X1260" s="2656"/>
      <c r="Y1260" s="2656"/>
      <c r="Z1260" s="2656"/>
      <c r="AA1260" s="2656"/>
      <c r="AB1260" s="2656"/>
      <c r="AC1260" s="2656"/>
      <c r="AD1260" s="2656"/>
      <c r="AE1260" s="2656"/>
      <c r="AF1260" s="2656"/>
      <c r="AG1260" s="2656"/>
      <c r="AH1260" s="2656"/>
      <c r="AI1260" s="2656"/>
      <c r="AJ1260" s="2656"/>
      <c r="AK1260" s="2656"/>
      <c r="AL1260" s="2656"/>
      <c r="AM1260" s="2656"/>
      <c r="AN1260" s="2656"/>
      <c r="AO1260" s="2656"/>
      <c r="AP1260" s="2656"/>
      <c r="AQ1260" s="2656"/>
      <c r="AR1260" s="2656"/>
      <c r="AS1260" s="2656"/>
      <c r="AT1260" s="2656"/>
      <c r="AU1260" s="2656"/>
      <c r="AV1260" s="2656"/>
      <c r="AW1260" s="2656"/>
      <c r="AX1260" s="2656"/>
      <c r="AY1260" s="2656"/>
      <c r="AZ1260" s="2656"/>
      <c r="BA1260" s="2656"/>
      <c r="BB1260" s="2656"/>
      <c r="BC1260" s="2656"/>
      <c r="BD1260" s="2656"/>
      <c r="BE1260" s="2656"/>
      <c r="BF1260" s="2656"/>
      <c r="BG1260" s="2656"/>
      <c r="BH1260" s="2656"/>
      <c r="BI1260" s="2656"/>
    </row>
    <row r="1261" spans="1:61" ht="24.75" customHeight="1">
      <c r="A1261" s="3375"/>
      <c r="B1261" s="2646"/>
      <c r="C1261" s="2647"/>
      <c r="D1261" s="2646"/>
      <c r="E1261" s="3013"/>
      <c r="F1261" s="2655"/>
      <c r="G1261" s="2596"/>
      <c r="H1261" s="4138"/>
      <c r="I1261" s="3375"/>
      <c r="J1261" s="2648"/>
      <c r="K1261" s="3147"/>
      <c r="L1261" s="2785"/>
      <c r="M1261" s="2695"/>
      <c r="N1261" s="2649"/>
      <c r="O1261" s="2655"/>
      <c r="P1261" s="2651"/>
      <c r="Q1261" s="3440"/>
      <c r="R1261" s="3553"/>
      <c r="S1261" s="1407"/>
      <c r="T1261" s="3375"/>
      <c r="U1261" s="2648"/>
      <c r="V1261" s="3554"/>
      <c r="W1261" s="3150"/>
      <c r="X1261" s="2656"/>
      <c r="Y1261" s="2656"/>
      <c r="Z1261" s="2656"/>
      <c r="AA1261" s="2656"/>
      <c r="AB1261" s="2656"/>
      <c r="AC1261" s="2656"/>
      <c r="AD1261" s="2656"/>
      <c r="AE1261" s="2656"/>
      <c r="AF1261" s="2656"/>
      <c r="AG1261" s="2656"/>
      <c r="AH1261" s="2656"/>
      <c r="AI1261" s="2656"/>
      <c r="AJ1261" s="2656"/>
      <c r="AK1261" s="2656"/>
      <c r="AL1261" s="2656"/>
      <c r="AM1261" s="2656"/>
      <c r="AN1261" s="2656"/>
      <c r="AO1261" s="2656"/>
      <c r="AP1261" s="2656"/>
      <c r="AQ1261" s="2656"/>
      <c r="AR1261" s="2656"/>
      <c r="AS1261" s="2656"/>
      <c r="AT1261" s="2656"/>
      <c r="AU1261" s="2656"/>
      <c r="AV1261" s="2656"/>
      <c r="AW1261" s="2656"/>
      <c r="AX1261" s="2656"/>
      <c r="AY1261" s="2656"/>
      <c r="AZ1261" s="2656"/>
      <c r="BA1261" s="2656"/>
      <c r="BB1261" s="2656"/>
      <c r="BC1261" s="2656"/>
      <c r="BD1261" s="2656"/>
      <c r="BE1261" s="2656"/>
      <c r="BF1261" s="2656"/>
      <c r="BG1261" s="2656"/>
      <c r="BH1261" s="2656"/>
      <c r="BI1261" s="2656"/>
    </row>
    <row r="1262" spans="1:61" ht="24.75" customHeight="1">
      <c r="A1262" s="3375"/>
      <c r="B1262" s="2646"/>
      <c r="C1262" s="2647"/>
      <c r="D1262" s="2646"/>
      <c r="E1262" s="3013"/>
      <c r="F1262" s="2655"/>
      <c r="G1262" s="2596"/>
      <c r="H1262" s="4138"/>
      <c r="I1262" s="3375"/>
      <c r="J1262" s="2648"/>
      <c r="K1262" s="3147"/>
      <c r="L1262" s="2785"/>
      <c r="M1262" s="2695"/>
      <c r="N1262" s="2649"/>
      <c r="O1262" s="2655"/>
      <c r="P1262" s="2651"/>
      <c r="Q1262" s="3440"/>
      <c r="R1262" s="3553"/>
      <c r="S1262" s="1407"/>
      <c r="T1262" s="3375"/>
      <c r="U1262" s="2648"/>
      <c r="V1262" s="3554"/>
      <c r="W1262" s="3150"/>
      <c r="X1262" s="2656"/>
      <c r="Y1262" s="2656"/>
      <c r="Z1262" s="2656"/>
      <c r="AA1262" s="2656"/>
      <c r="AB1262" s="2656"/>
      <c r="AC1262" s="2656"/>
      <c r="AD1262" s="2656"/>
      <c r="AE1262" s="2656"/>
      <c r="AF1262" s="2656"/>
      <c r="AG1262" s="2656"/>
      <c r="AH1262" s="2656"/>
      <c r="AI1262" s="2656"/>
      <c r="AJ1262" s="2656"/>
      <c r="AK1262" s="2656"/>
      <c r="AL1262" s="2656"/>
      <c r="AM1262" s="2656"/>
      <c r="AN1262" s="2656"/>
      <c r="AO1262" s="2656"/>
      <c r="AP1262" s="2656"/>
      <c r="AQ1262" s="2656"/>
      <c r="AR1262" s="2656"/>
      <c r="AS1262" s="2656"/>
      <c r="AT1262" s="2656"/>
      <c r="AU1262" s="2656"/>
      <c r="AV1262" s="2656"/>
      <c r="AW1262" s="2656"/>
      <c r="AX1262" s="2656"/>
      <c r="AY1262" s="2656"/>
      <c r="AZ1262" s="2656"/>
      <c r="BA1262" s="2656"/>
      <c r="BB1262" s="2656"/>
      <c r="BC1262" s="2656"/>
      <c r="BD1262" s="2656"/>
      <c r="BE1262" s="2656"/>
      <c r="BF1262" s="2656"/>
      <c r="BG1262" s="2656"/>
      <c r="BH1262" s="2656"/>
      <c r="BI1262" s="2656"/>
    </row>
    <row r="1263" spans="1:61" ht="24.75" customHeight="1">
      <c r="A1263" s="3375"/>
      <c r="B1263" s="2646"/>
      <c r="C1263" s="2647"/>
      <c r="D1263" s="2646"/>
      <c r="E1263" s="3013"/>
      <c r="F1263" s="2655"/>
      <c r="G1263" s="2596"/>
      <c r="H1263" s="4138"/>
      <c r="I1263" s="3375"/>
      <c r="J1263" s="2648"/>
      <c r="K1263" s="3147"/>
      <c r="L1263" s="2785"/>
      <c r="M1263" s="2695"/>
      <c r="N1263" s="2649"/>
      <c r="O1263" s="2655"/>
      <c r="P1263" s="2651"/>
      <c r="Q1263" s="3440"/>
      <c r="R1263" s="3553"/>
      <c r="S1263" s="1407"/>
      <c r="T1263" s="3375"/>
      <c r="U1263" s="2648"/>
      <c r="V1263" s="3554"/>
      <c r="W1263" s="3150"/>
      <c r="X1263" s="2656"/>
      <c r="Y1263" s="2656"/>
      <c r="Z1263" s="2656"/>
      <c r="AA1263" s="2656"/>
      <c r="AB1263" s="2656"/>
      <c r="AC1263" s="2656"/>
      <c r="AD1263" s="2656"/>
      <c r="AE1263" s="2656"/>
      <c r="AF1263" s="2656"/>
      <c r="AG1263" s="2656"/>
      <c r="AH1263" s="2656"/>
      <c r="AI1263" s="2656"/>
      <c r="AJ1263" s="2656"/>
      <c r="AK1263" s="2656"/>
      <c r="AL1263" s="2656"/>
      <c r="AM1263" s="2656"/>
      <c r="AN1263" s="2656"/>
      <c r="AO1263" s="2656"/>
      <c r="AP1263" s="2656"/>
      <c r="AQ1263" s="2656"/>
      <c r="AR1263" s="2656"/>
      <c r="AS1263" s="2656"/>
      <c r="AT1263" s="2656"/>
      <c r="AU1263" s="2656"/>
      <c r="AV1263" s="2656"/>
      <c r="AW1263" s="2656"/>
      <c r="AX1263" s="2656"/>
      <c r="AY1263" s="2656"/>
      <c r="AZ1263" s="2656"/>
      <c r="BA1263" s="2656"/>
      <c r="BB1263" s="2656"/>
      <c r="BC1263" s="2656"/>
      <c r="BD1263" s="2656"/>
      <c r="BE1263" s="2656"/>
      <c r="BF1263" s="2656"/>
      <c r="BG1263" s="2656"/>
      <c r="BH1263" s="2656"/>
      <c r="BI1263" s="2656"/>
    </row>
    <row r="1264" spans="1:61" ht="24.75" customHeight="1">
      <c r="A1264" s="3375"/>
      <c r="B1264" s="2646"/>
      <c r="C1264" s="2647"/>
      <c r="D1264" s="2646"/>
      <c r="E1264" s="3013"/>
      <c r="F1264" s="2655"/>
      <c r="G1264" s="2596"/>
      <c r="H1264" s="4138"/>
      <c r="I1264" s="3375"/>
      <c r="J1264" s="2648"/>
      <c r="K1264" s="3147"/>
      <c r="L1264" s="2785"/>
      <c r="M1264" s="2695"/>
      <c r="N1264" s="2649"/>
      <c r="O1264" s="2655"/>
      <c r="P1264" s="2651"/>
      <c r="Q1264" s="3440"/>
      <c r="R1264" s="3553"/>
      <c r="S1264" s="1407"/>
      <c r="T1264" s="3375"/>
      <c r="U1264" s="2648"/>
      <c r="V1264" s="3554"/>
      <c r="W1264" s="3150"/>
      <c r="X1264" s="2656"/>
      <c r="Y1264" s="2656"/>
      <c r="Z1264" s="2656"/>
      <c r="AA1264" s="2656"/>
      <c r="AB1264" s="2656"/>
      <c r="AC1264" s="2656"/>
      <c r="AD1264" s="2656"/>
      <c r="AE1264" s="2656"/>
      <c r="AF1264" s="2656"/>
      <c r="AG1264" s="2656"/>
      <c r="AH1264" s="2656"/>
      <c r="AI1264" s="2656"/>
      <c r="AJ1264" s="2656"/>
      <c r="AK1264" s="2656"/>
      <c r="AL1264" s="2656"/>
      <c r="AM1264" s="2656"/>
      <c r="AN1264" s="2656"/>
      <c r="AO1264" s="2656"/>
      <c r="AP1264" s="2656"/>
      <c r="AQ1264" s="2656"/>
      <c r="AR1264" s="2656"/>
      <c r="AS1264" s="2656"/>
      <c r="AT1264" s="2656"/>
      <c r="AU1264" s="2656"/>
      <c r="AV1264" s="2656"/>
      <c r="AW1264" s="2656"/>
      <c r="AX1264" s="2656"/>
      <c r="AY1264" s="2656"/>
      <c r="AZ1264" s="2656"/>
      <c r="BA1264" s="2656"/>
      <c r="BB1264" s="2656"/>
      <c r="BC1264" s="2656"/>
      <c r="BD1264" s="2656"/>
      <c r="BE1264" s="2656"/>
      <c r="BF1264" s="2656"/>
      <c r="BG1264" s="2656"/>
      <c r="BH1264" s="2656"/>
      <c r="BI1264" s="2656"/>
    </row>
    <row r="1265" spans="1:61" ht="24.75" customHeight="1">
      <c r="A1265" s="3375"/>
      <c r="B1265" s="2646"/>
      <c r="C1265" s="2647"/>
      <c r="D1265" s="2646"/>
      <c r="E1265" s="3013"/>
      <c r="F1265" s="2655"/>
      <c r="G1265" s="2596"/>
      <c r="H1265" s="4138"/>
      <c r="I1265" s="3375"/>
      <c r="J1265" s="2648"/>
      <c r="K1265" s="3147"/>
      <c r="L1265" s="2785"/>
      <c r="M1265" s="2695"/>
      <c r="N1265" s="2649"/>
      <c r="O1265" s="2655"/>
      <c r="P1265" s="2651"/>
      <c r="Q1265" s="3440"/>
      <c r="R1265" s="3553"/>
      <c r="S1265" s="1407"/>
      <c r="T1265" s="3375"/>
      <c r="U1265" s="2648"/>
      <c r="V1265" s="3554"/>
      <c r="W1265" s="3150"/>
      <c r="X1265" s="2656"/>
      <c r="Y1265" s="2656"/>
      <c r="Z1265" s="2656"/>
      <c r="AA1265" s="2656"/>
      <c r="AB1265" s="2656"/>
      <c r="AC1265" s="2656"/>
      <c r="AD1265" s="2656"/>
      <c r="AE1265" s="2656"/>
      <c r="AF1265" s="2656"/>
      <c r="AG1265" s="2656"/>
      <c r="AH1265" s="2656"/>
      <c r="AI1265" s="2656"/>
      <c r="AJ1265" s="2656"/>
      <c r="AK1265" s="2656"/>
      <c r="AL1265" s="2656"/>
      <c r="AM1265" s="2656"/>
      <c r="AN1265" s="2656"/>
      <c r="AO1265" s="2656"/>
      <c r="AP1265" s="2656"/>
      <c r="AQ1265" s="2656"/>
      <c r="AR1265" s="2656"/>
      <c r="AS1265" s="2656"/>
      <c r="AT1265" s="2656"/>
      <c r="AU1265" s="2656"/>
      <c r="AV1265" s="2656"/>
      <c r="AW1265" s="2656"/>
      <c r="AX1265" s="2656"/>
      <c r="AY1265" s="2656"/>
      <c r="AZ1265" s="2656"/>
      <c r="BA1265" s="2656"/>
      <c r="BB1265" s="2656"/>
      <c r="BC1265" s="2656"/>
      <c r="BD1265" s="2656"/>
      <c r="BE1265" s="2656"/>
      <c r="BF1265" s="2656"/>
      <c r="BG1265" s="2656"/>
      <c r="BH1265" s="2656"/>
      <c r="BI1265" s="2656"/>
    </row>
    <row r="1266" spans="1:61" ht="24.75" customHeight="1">
      <c r="A1266" s="3375"/>
      <c r="B1266" s="2646"/>
      <c r="C1266" s="2647"/>
      <c r="D1266" s="2646"/>
      <c r="E1266" s="3013"/>
      <c r="F1266" s="2655"/>
      <c r="G1266" s="2596"/>
      <c r="H1266" s="4138"/>
      <c r="I1266" s="3375"/>
      <c r="J1266" s="2648"/>
      <c r="K1266" s="3147"/>
      <c r="L1266" s="2785"/>
      <c r="M1266" s="2695"/>
      <c r="N1266" s="2649"/>
      <c r="O1266" s="2655"/>
      <c r="P1266" s="2651"/>
      <c r="Q1266" s="3440"/>
      <c r="R1266" s="3553"/>
      <c r="S1266" s="1407"/>
      <c r="T1266" s="3375"/>
      <c r="U1266" s="2648"/>
      <c r="V1266" s="3554"/>
      <c r="W1266" s="3150"/>
      <c r="X1266" s="2656"/>
      <c r="Y1266" s="2656"/>
      <c r="Z1266" s="2656"/>
      <c r="AA1266" s="2656"/>
      <c r="AB1266" s="2656"/>
      <c r="AC1266" s="2656"/>
      <c r="AD1266" s="2656"/>
      <c r="AE1266" s="2656"/>
      <c r="AF1266" s="2656"/>
      <c r="AG1266" s="2656"/>
      <c r="AH1266" s="2656"/>
      <c r="AI1266" s="2656"/>
      <c r="AJ1266" s="2656"/>
      <c r="AK1266" s="2656"/>
      <c r="AL1266" s="2656"/>
      <c r="AM1266" s="2656"/>
      <c r="AN1266" s="2656"/>
      <c r="AO1266" s="2656"/>
      <c r="AP1266" s="2656"/>
      <c r="AQ1266" s="2656"/>
      <c r="AR1266" s="2656"/>
      <c r="AS1266" s="2656"/>
      <c r="AT1266" s="2656"/>
      <c r="AU1266" s="2656"/>
      <c r="AV1266" s="2656"/>
      <c r="AW1266" s="2656"/>
      <c r="AX1266" s="2656"/>
      <c r="AY1266" s="2656"/>
      <c r="AZ1266" s="2656"/>
      <c r="BA1266" s="2656"/>
      <c r="BB1266" s="2656"/>
      <c r="BC1266" s="2656"/>
      <c r="BD1266" s="2656"/>
      <c r="BE1266" s="2656"/>
      <c r="BF1266" s="2656"/>
      <c r="BG1266" s="2656"/>
      <c r="BH1266" s="2656"/>
      <c r="BI1266" s="2656"/>
    </row>
    <row r="1267" spans="1:61" ht="24.75" customHeight="1">
      <c r="A1267" s="3375"/>
      <c r="B1267" s="2646"/>
      <c r="C1267" s="2647"/>
      <c r="D1267" s="2646"/>
      <c r="E1267" s="3013"/>
      <c r="F1267" s="2655"/>
      <c r="G1267" s="2596"/>
      <c r="H1267" s="4138"/>
      <c r="I1267" s="3375"/>
      <c r="J1267" s="2648"/>
      <c r="K1267" s="3147"/>
      <c r="L1267" s="2785"/>
      <c r="M1267" s="2695"/>
      <c r="N1267" s="2649"/>
      <c r="O1267" s="2655"/>
      <c r="P1267" s="2651"/>
      <c r="Q1267" s="3440"/>
      <c r="R1267" s="3553"/>
      <c r="S1267" s="1407"/>
      <c r="T1267" s="3375"/>
      <c r="U1267" s="2648"/>
      <c r="V1267" s="3554"/>
      <c r="W1267" s="3150"/>
      <c r="X1267" s="2656"/>
      <c r="Y1267" s="2656"/>
      <c r="Z1267" s="2656"/>
      <c r="AA1267" s="2656"/>
      <c r="AB1267" s="2656"/>
      <c r="AC1267" s="2656"/>
      <c r="AD1267" s="2656"/>
      <c r="AE1267" s="2656"/>
      <c r="AF1267" s="2656"/>
      <c r="AG1267" s="2656"/>
      <c r="AH1267" s="2656"/>
      <c r="AI1267" s="2656"/>
      <c r="AJ1267" s="2656"/>
      <c r="AK1267" s="2656"/>
      <c r="AL1267" s="2656"/>
      <c r="AM1267" s="2656"/>
      <c r="AN1267" s="2656"/>
      <c r="AO1267" s="2656"/>
      <c r="AP1267" s="2656"/>
      <c r="AQ1267" s="2656"/>
      <c r="AR1267" s="2656"/>
      <c r="AS1267" s="2656"/>
      <c r="AT1267" s="2656"/>
      <c r="AU1267" s="2656"/>
      <c r="AV1267" s="2656"/>
      <c r="AW1267" s="2656"/>
      <c r="AX1267" s="2656"/>
      <c r="AY1267" s="2656"/>
      <c r="AZ1267" s="2656"/>
      <c r="BA1267" s="2656"/>
      <c r="BB1267" s="2656"/>
      <c r="BC1267" s="2656"/>
      <c r="BD1267" s="2656"/>
      <c r="BE1267" s="2656"/>
      <c r="BF1267" s="2656"/>
      <c r="BG1267" s="2656"/>
      <c r="BH1267" s="2656"/>
      <c r="BI1267" s="2656"/>
    </row>
    <row r="1268" spans="1:61" ht="24.75" customHeight="1">
      <c r="A1268" s="3375"/>
      <c r="B1268" s="2646"/>
      <c r="C1268" s="2647"/>
      <c r="D1268" s="2646"/>
      <c r="E1268" s="3013"/>
      <c r="F1268" s="2655"/>
      <c r="G1268" s="2596"/>
      <c r="H1268" s="4138"/>
      <c r="I1268" s="3375"/>
      <c r="J1268" s="2648"/>
      <c r="K1268" s="3147"/>
      <c r="L1268" s="2785"/>
      <c r="M1268" s="2695"/>
      <c r="N1268" s="2649"/>
      <c r="O1268" s="2655"/>
      <c r="P1268" s="2651"/>
      <c r="Q1268" s="3440"/>
      <c r="R1268" s="3553"/>
      <c r="S1268" s="1407"/>
      <c r="T1268" s="3375"/>
      <c r="U1268" s="2648"/>
      <c r="V1268" s="3554"/>
      <c r="W1268" s="3150"/>
      <c r="X1268" s="2656"/>
      <c r="Y1268" s="2656"/>
      <c r="Z1268" s="2656"/>
      <c r="AA1268" s="2656"/>
      <c r="AB1268" s="2656"/>
      <c r="AC1268" s="2656"/>
      <c r="AD1268" s="2656"/>
      <c r="AE1268" s="2656"/>
      <c r="AF1268" s="2656"/>
      <c r="AG1268" s="2656"/>
      <c r="AH1268" s="2656"/>
      <c r="AI1268" s="2656"/>
      <c r="AJ1268" s="2656"/>
      <c r="AK1268" s="2656"/>
      <c r="AL1268" s="2656"/>
      <c r="AM1268" s="2656"/>
      <c r="AN1268" s="2656"/>
      <c r="AO1268" s="2656"/>
      <c r="AP1268" s="2656"/>
      <c r="AQ1268" s="2656"/>
      <c r="AR1268" s="2656"/>
      <c r="AS1268" s="2656"/>
      <c r="AT1268" s="2656"/>
      <c r="AU1268" s="2656"/>
      <c r="AV1268" s="2656"/>
      <c r="AW1268" s="2656"/>
      <c r="AX1268" s="2656"/>
      <c r="AY1268" s="2656"/>
      <c r="AZ1268" s="2656"/>
      <c r="BA1268" s="2656"/>
      <c r="BB1268" s="2656"/>
      <c r="BC1268" s="2656"/>
      <c r="BD1268" s="2656"/>
      <c r="BE1268" s="2656"/>
      <c r="BF1268" s="2656"/>
      <c r="BG1268" s="2656"/>
      <c r="BH1268" s="2656"/>
      <c r="BI1268" s="2656"/>
    </row>
    <row r="1269" spans="1:61" ht="24.75" customHeight="1">
      <c r="A1269" s="3375"/>
      <c r="B1269" s="2646"/>
      <c r="C1269" s="2647"/>
      <c r="D1269" s="2646"/>
      <c r="E1269" s="3013"/>
      <c r="F1269" s="2655"/>
      <c r="G1269" s="2596"/>
      <c r="H1269" s="4138"/>
      <c r="I1269" s="3375"/>
      <c r="J1269" s="2648"/>
      <c r="K1269" s="3147"/>
      <c r="L1269" s="2785"/>
      <c r="M1269" s="2695"/>
      <c r="N1269" s="2649"/>
      <c r="O1269" s="2655"/>
      <c r="P1269" s="2651"/>
      <c r="Q1269" s="3440"/>
      <c r="R1269" s="3553"/>
      <c r="S1269" s="1407"/>
      <c r="T1269" s="3375"/>
      <c r="U1269" s="2648"/>
      <c r="V1269" s="3554"/>
      <c r="W1269" s="3150"/>
      <c r="X1269" s="2656"/>
      <c r="Y1269" s="2656"/>
      <c r="Z1269" s="2656"/>
      <c r="AA1269" s="2656"/>
      <c r="AB1269" s="2656"/>
      <c r="AC1269" s="2656"/>
      <c r="AD1269" s="2656"/>
      <c r="AE1269" s="2656"/>
      <c r="AF1269" s="2656"/>
      <c r="AG1269" s="2656"/>
      <c r="AH1269" s="2656"/>
      <c r="AI1269" s="2656"/>
      <c r="AJ1269" s="2656"/>
      <c r="AK1269" s="2656"/>
      <c r="AL1269" s="2656"/>
      <c r="AM1269" s="2656"/>
      <c r="AN1269" s="2656"/>
      <c r="AO1269" s="2656"/>
      <c r="AP1269" s="2656"/>
      <c r="AQ1269" s="2656"/>
      <c r="AR1269" s="2656"/>
      <c r="AS1269" s="2656"/>
      <c r="AT1269" s="2656"/>
      <c r="AU1269" s="2656"/>
      <c r="AV1269" s="2656"/>
      <c r="AW1269" s="2656"/>
      <c r="AX1269" s="2656"/>
      <c r="AY1269" s="2656"/>
      <c r="AZ1269" s="2656"/>
      <c r="BA1269" s="2656"/>
      <c r="BB1269" s="2656"/>
      <c r="BC1269" s="2656"/>
      <c r="BD1269" s="2656"/>
      <c r="BE1269" s="2656"/>
      <c r="BF1269" s="2656"/>
      <c r="BG1269" s="2656"/>
      <c r="BH1269" s="2656"/>
      <c r="BI1269" s="2656"/>
    </row>
    <row r="1270" spans="1:61" ht="24.75" customHeight="1">
      <c r="A1270" s="3375"/>
      <c r="B1270" s="2646"/>
      <c r="C1270" s="2647"/>
      <c r="D1270" s="2646"/>
      <c r="E1270" s="3013"/>
      <c r="F1270" s="2655"/>
      <c r="G1270" s="2596"/>
      <c r="H1270" s="4138"/>
      <c r="I1270" s="3375"/>
      <c r="J1270" s="2648"/>
      <c r="K1270" s="3147"/>
      <c r="L1270" s="2785"/>
      <c r="M1270" s="2695"/>
      <c r="N1270" s="2649"/>
      <c r="O1270" s="2655"/>
      <c r="P1270" s="2651"/>
      <c r="Q1270" s="3440"/>
      <c r="R1270" s="3553"/>
      <c r="S1270" s="1407"/>
      <c r="T1270" s="3375"/>
      <c r="U1270" s="2648"/>
      <c r="V1270" s="3554"/>
      <c r="W1270" s="3150"/>
      <c r="X1270" s="2656"/>
      <c r="Y1270" s="2656"/>
      <c r="Z1270" s="2656"/>
      <c r="AA1270" s="2656"/>
      <c r="AB1270" s="2656"/>
      <c r="AC1270" s="2656"/>
      <c r="AD1270" s="2656"/>
      <c r="AE1270" s="2656"/>
      <c r="AF1270" s="2656"/>
      <c r="AG1270" s="2656"/>
      <c r="AH1270" s="2656"/>
      <c r="AI1270" s="2656"/>
      <c r="AJ1270" s="2656"/>
      <c r="AK1270" s="2656"/>
      <c r="AL1270" s="2656"/>
      <c r="AM1270" s="2656"/>
      <c r="AN1270" s="2656"/>
      <c r="AO1270" s="2656"/>
      <c r="AP1270" s="2656"/>
      <c r="AQ1270" s="2656"/>
      <c r="AR1270" s="2656"/>
      <c r="AS1270" s="2656"/>
      <c r="AT1270" s="2656"/>
      <c r="AU1270" s="2656"/>
      <c r="AV1270" s="2656"/>
      <c r="AW1270" s="2656"/>
      <c r="AX1270" s="2656"/>
      <c r="AY1270" s="2656"/>
      <c r="AZ1270" s="2656"/>
      <c r="BA1270" s="2656"/>
      <c r="BB1270" s="2656"/>
      <c r="BC1270" s="2656"/>
      <c r="BD1270" s="2656"/>
      <c r="BE1270" s="2656"/>
      <c r="BF1270" s="2656"/>
      <c r="BG1270" s="2656"/>
      <c r="BH1270" s="2656"/>
      <c r="BI1270" s="2656"/>
    </row>
    <row r="1271" spans="1:61" ht="24.75" customHeight="1">
      <c r="A1271" s="3375"/>
      <c r="B1271" s="2646"/>
      <c r="C1271" s="2647"/>
      <c r="D1271" s="2646"/>
      <c r="E1271" s="3013"/>
      <c r="F1271" s="2655"/>
      <c r="G1271" s="2596"/>
      <c r="H1271" s="4138"/>
      <c r="I1271" s="3375"/>
      <c r="J1271" s="2648"/>
      <c r="K1271" s="3147"/>
      <c r="L1271" s="2785"/>
      <c r="M1271" s="2695"/>
      <c r="N1271" s="2649"/>
      <c r="O1271" s="2655"/>
      <c r="P1271" s="2651"/>
      <c r="Q1271" s="3440"/>
      <c r="R1271" s="3553"/>
      <c r="S1271" s="1407"/>
      <c r="T1271" s="3375"/>
      <c r="U1271" s="2648"/>
      <c r="V1271" s="3554"/>
      <c r="W1271" s="3150"/>
      <c r="X1271" s="2656"/>
      <c r="Y1271" s="2656"/>
      <c r="Z1271" s="2656"/>
      <c r="AA1271" s="2656"/>
      <c r="AB1271" s="2656"/>
      <c r="AC1271" s="2656"/>
      <c r="AD1271" s="2656"/>
      <c r="AE1271" s="2656"/>
      <c r="AF1271" s="2656"/>
      <c r="AG1271" s="2656"/>
      <c r="AH1271" s="2656"/>
      <c r="AI1271" s="2656"/>
      <c r="AJ1271" s="2656"/>
      <c r="AK1271" s="2656"/>
      <c r="AL1271" s="2656"/>
      <c r="AM1271" s="2656"/>
      <c r="AN1271" s="2656"/>
      <c r="AO1271" s="2656"/>
      <c r="AP1271" s="2656"/>
      <c r="AQ1271" s="2656"/>
      <c r="AR1271" s="2656"/>
      <c r="AS1271" s="2656"/>
      <c r="AT1271" s="2656"/>
      <c r="AU1271" s="2656"/>
      <c r="AV1271" s="2656"/>
      <c r="AW1271" s="2656"/>
      <c r="AX1271" s="2656"/>
      <c r="AY1271" s="2656"/>
      <c r="AZ1271" s="2656"/>
      <c r="BA1271" s="2656"/>
      <c r="BB1271" s="2656"/>
      <c r="BC1271" s="2656"/>
      <c r="BD1271" s="2656"/>
      <c r="BE1271" s="2656"/>
      <c r="BF1271" s="2656"/>
      <c r="BG1271" s="2656"/>
      <c r="BH1271" s="2656"/>
      <c r="BI1271" s="2656"/>
    </row>
    <row r="1272" spans="1:61" ht="24.75" customHeight="1">
      <c r="A1272" s="3375"/>
      <c r="B1272" s="2646"/>
      <c r="C1272" s="2647"/>
      <c r="D1272" s="2646"/>
      <c r="E1272" s="3013"/>
      <c r="F1272" s="2655"/>
      <c r="G1272" s="2596"/>
      <c r="H1272" s="4138"/>
      <c r="I1272" s="3375"/>
      <c r="J1272" s="2648"/>
      <c r="K1272" s="3147"/>
      <c r="L1272" s="2785"/>
      <c r="M1272" s="2695"/>
      <c r="N1272" s="2649"/>
      <c r="O1272" s="2655"/>
      <c r="P1272" s="2651"/>
      <c r="Q1272" s="3440"/>
      <c r="R1272" s="3553"/>
      <c r="S1272" s="1407"/>
      <c r="T1272" s="3375"/>
      <c r="U1272" s="2648"/>
      <c r="V1272" s="3554"/>
      <c r="W1272" s="3150"/>
      <c r="X1272" s="2656"/>
      <c r="Y1272" s="2656"/>
      <c r="Z1272" s="2656"/>
      <c r="AA1272" s="2656"/>
      <c r="AB1272" s="2656"/>
      <c r="AC1272" s="2656"/>
      <c r="AD1272" s="2656"/>
      <c r="AE1272" s="2656"/>
      <c r="AF1272" s="2656"/>
      <c r="AG1272" s="2656"/>
      <c r="AH1272" s="2656"/>
      <c r="AI1272" s="2656"/>
      <c r="AJ1272" s="2656"/>
      <c r="AK1272" s="2656"/>
      <c r="AL1272" s="2656"/>
      <c r="AM1272" s="2656"/>
      <c r="AN1272" s="2656"/>
      <c r="AO1272" s="2656"/>
      <c r="AP1272" s="2656"/>
      <c r="AQ1272" s="2656"/>
      <c r="AR1272" s="2656"/>
      <c r="AS1272" s="2656"/>
      <c r="AT1272" s="2656"/>
      <c r="AU1272" s="2656"/>
      <c r="AV1272" s="2656"/>
      <c r="AW1272" s="2656"/>
      <c r="AX1272" s="2656"/>
      <c r="AY1272" s="2656"/>
      <c r="AZ1272" s="2656"/>
      <c r="BA1272" s="2656"/>
      <c r="BB1272" s="2656"/>
      <c r="BC1272" s="2656"/>
      <c r="BD1272" s="2656"/>
      <c r="BE1272" s="2656"/>
      <c r="BF1272" s="2656"/>
      <c r="BG1272" s="2656"/>
      <c r="BH1272" s="2656"/>
      <c r="BI1272" s="2656"/>
    </row>
    <row r="1273" spans="1:61" ht="24.75" customHeight="1">
      <c r="A1273" s="3375"/>
      <c r="B1273" s="2646"/>
      <c r="C1273" s="2647"/>
      <c r="D1273" s="2646"/>
      <c r="E1273" s="3013"/>
      <c r="F1273" s="2655"/>
      <c r="G1273" s="2596"/>
      <c r="H1273" s="4138"/>
      <c r="I1273" s="3375"/>
      <c r="J1273" s="2648"/>
      <c r="K1273" s="3147"/>
      <c r="L1273" s="2785"/>
      <c r="M1273" s="2695"/>
      <c r="N1273" s="2649"/>
      <c r="O1273" s="2655"/>
      <c r="P1273" s="2651"/>
      <c r="Q1273" s="3440"/>
      <c r="R1273" s="3553"/>
      <c r="S1273" s="1407"/>
      <c r="T1273" s="3375"/>
      <c r="U1273" s="2648"/>
      <c r="V1273" s="3554"/>
      <c r="W1273" s="3150"/>
      <c r="X1273" s="2656"/>
      <c r="Y1273" s="2656"/>
      <c r="Z1273" s="2656"/>
      <c r="AA1273" s="2656"/>
      <c r="AB1273" s="2656"/>
      <c r="AC1273" s="2656"/>
      <c r="AD1273" s="2656"/>
      <c r="AE1273" s="2656"/>
      <c r="AF1273" s="2656"/>
      <c r="AG1273" s="2656"/>
      <c r="AH1273" s="2656"/>
      <c r="AI1273" s="2656"/>
      <c r="AJ1273" s="2656"/>
      <c r="AK1273" s="2656"/>
      <c r="AL1273" s="2656"/>
      <c r="AM1273" s="2656"/>
      <c r="AN1273" s="2656"/>
      <c r="AO1273" s="2656"/>
      <c r="AP1273" s="2656"/>
      <c r="AQ1273" s="2656"/>
      <c r="AR1273" s="2656"/>
      <c r="AS1273" s="2656"/>
      <c r="AT1273" s="2656"/>
      <c r="AU1273" s="2656"/>
      <c r="AV1273" s="2656"/>
      <c r="AW1273" s="2656"/>
      <c r="AX1273" s="2656"/>
      <c r="AY1273" s="2656"/>
      <c r="AZ1273" s="2656"/>
      <c r="BA1273" s="2656"/>
      <c r="BB1273" s="2656"/>
      <c r="BC1273" s="2656"/>
      <c r="BD1273" s="2656"/>
      <c r="BE1273" s="2656"/>
      <c r="BF1273" s="2656"/>
      <c r="BG1273" s="2656"/>
      <c r="BH1273" s="2656"/>
      <c r="BI1273" s="2656"/>
    </row>
    <row r="1274" spans="1:61" ht="24.75" customHeight="1">
      <c r="A1274" s="3375"/>
      <c r="B1274" s="2646"/>
      <c r="C1274" s="2647"/>
      <c r="D1274" s="2646"/>
      <c r="E1274" s="3013"/>
      <c r="F1274" s="2655"/>
      <c r="G1274" s="2596"/>
      <c r="H1274" s="4138"/>
      <c r="I1274" s="3375"/>
      <c r="J1274" s="2648"/>
      <c r="K1274" s="3147"/>
      <c r="L1274" s="2785"/>
      <c r="M1274" s="2695"/>
      <c r="N1274" s="2649"/>
      <c r="O1274" s="2655"/>
      <c r="P1274" s="2651"/>
      <c r="Q1274" s="3440"/>
      <c r="R1274" s="3553"/>
      <c r="S1274" s="1407"/>
      <c r="T1274" s="3375"/>
      <c r="U1274" s="2648"/>
      <c r="V1274" s="3554"/>
      <c r="W1274" s="3150"/>
      <c r="X1274" s="2656"/>
      <c r="Y1274" s="2656"/>
      <c r="Z1274" s="2656"/>
      <c r="AA1274" s="2656"/>
      <c r="AB1274" s="2656"/>
      <c r="AC1274" s="2656"/>
      <c r="AD1274" s="2656"/>
      <c r="AE1274" s="2656"/>
      <c r="AF1274" s="2656"/>
      <c r="AG1274" s="2656"/>
      <c r="AH1274" s="2656"/>
      <c r="AI1274" s="2656"/>
      <c r="AJ1274" s="2656"/>
      <c r="AK1274" s="2656"/>
      <c r="AL1274" s="2656"/>
      <c r="AM1274" s="2656"/>
      <c r="AN1274" s="2656"/>
      <c r="AO1274" s="2656"/>
      <c r="AP1274" s="2656"/>
      <c r="AQ1274" s="2656"/>
      <c r="AR1274" s="2656"/>
      <c r="AS1274" s="2656"/>
      <c r="AT1274" s="2656"/>
      <c r="AU1274" s="2656"/>
      <c r="AV1274" s="2656"/>
      <c r="AW1274" s="2656"/>
      <c r="AX1274" s="2656"/>
      <c r="AY1274" s="2656"/>
      <c r="AZ1274" s="2656"/>
      <c r="BA1274" s="2656"/>
      <c r="BB1274" s="2656"/>
      <c r="BC1274" s="2656"/>
      <c r="BD1274" s="2656"/>
      <c r="BE1274" s="2656"/>
      <c r="BF1274" s="2656"/>
      <c r="BG1274" s="2656"/>
      <c r="BH1274" s="2656"/>
      <c r="BI1274" s="2656"/>
    </row>
    <row r="1275" spans="1:61" ht="24.75" customHeight="1">
      <c r="A1275" s="3375"/>
      <c r="B1275" s="2646"/>
      <c r="C1275" s="2647"/>
      <c r="D1275" s="2646"/>
      <c r="E1275" s="3013"/>
      <c r="F1275" s="2655"/>
      <c r="G1275" s="2596"/>
      <c r="H1275" s="4138"/>
      <c r="I1275" s="3375"/>
      <c r="J1275" s="2648"/>
      <c r="K1275" s="3147"/>
      <c r="L1275" s="2785"/>
      <c r="M1275" s="2695"/>
      <c r="N1275" s="2649"/>
      <c r="O1275" s="2655"/>
      <c r="P1275" s="2651"/>
      <c r="Q1275" s="3440"/>
      <c r="R1275" s="3553"/>
      <c r="S1275" s="1407"/>
      <c r="T1275" s="3375"/>
      <c r="U1275" s="2648"/>
      <c r="V1275" s="3554"/>
      <c r="W1275" s="3150"/>
      <c r="X1275" s="2656"/>
      <c r="Y1275" s="2656"/>
      <c r="Z1275" s="2656"/>
      <c r="AA1275" s="2656"/>
      <c r="AB1275" s="2656"/>
      <c r="AC1275" s="2656"/>
      <c r="AD1275" s="2656"/>
      <c r="AE1275" s="2656"/>
      <c r="AF1275" s="2656"/>
      <c r="AG1275" s="2656"/>
      <c r="AH1275" s="2656"/>
      <c r="AI1275" s="2656"/>
      <c r="AJ1275" s="2656"/>
      <c r="AK1275" s="2656"/>
      <c r="AL1275" s="2656"/>
      <c r="AM1275" s="2656"/>
      <c r="AN1275" s="2656"/>
      <c r="AO1275" s="2656"/>
      <c r="AP1275" s="2656"/>
      <c r="AQ1275" s="2656"/>
      <c r="AR1275" s="2656"/>
      <c r="AS1275" s="2656"/>
      <c r="AT1275" s="2656"/>
      <c r="AU1275" s="2656"/>
      <c r="AV1275" s="2656"/>
      <c r="AW1275" s="2656"/>
      <c r="AX1275" s="2656"/>
      <c r="AY1275" s="2656"/>
      <c r="AZ1275" s="2656"/>
      <c r="BA1275" s="2656"/>
      <c r="BB1275" s="2656"/>
      <c r="BC1275" s="2656"/>
      <c r="BD1275" s="2656"/>
      <c r="BE1275" s="2656"/>
      <c r="BF1275" s="2656"/>
      <c r="BG1275" s="2656"/>
      <c r="BH1275" s="2656"/>
      <c r="BI1275" s="2656"/>
    </row>
    <row r="1276" spans="1:61" ht="24.75" customHeight="1">
      <c r="A1276" s="3375"/>
      <c r="B1276" s="2646"/>
      <c r="C1276" s="2647"/>
      <c r="D1276" s="2646"/>
      <c r="E1276" s="3013"/>
      <c r="F1276" s="2655"/>
      <c r="G1276" s="2596"/>
      <c r="H1276" s="4138"/>
      <c r="I1276" s="3375"/>
      <c r="J1276" s="2648"/>
      <c r="K1276" s="3147"/>
      <c r="L1276" s="2785"/>
      <c r="M1276" s="2695"/>
      <c r="N1276" s="2649"/>
      <c r="O1276" s="2655"/>
      <c r="P1276" s="2651"/>
      <c r="Q1276" s="3440"/>
      <c r="R1276" s="3553"/>
      <c r="S1276" s="1407"/>
      <c r="T1276" s="3375"/>
      <c r="U1276" s="2648"/>
      <c r="V1276" s="3554"/>
      <c r="W1276" s="3150"/>
      <c r="X1276" s="2656"/>
      <c r="Y1276" s="2656"/>
      <c r="Z1276" s="2656"/>
      <c r="AA1276" s="2656"/>
      <c r="AB1276" s="2656"/>
      <c r="AC1276" s="2656"/>
      <c r="AD1276" s="2656"/>
      <c r="AE1276" s="2656"/>
      <c r="AF1276" s="2656"/>
      <c r="AG1276" s="2656"/>
      <c r="AH1276" s="2656"/>
      <c r="AI1276" s="2656"/>
      <c r="AJ1276" s="2656"/>
      <c r="AK1276" s="2656"/>
      <c r="AL1276" s="2656"/>
      <c r="AM1276" s="2656"/>
      <c r="AN1276" s="2656"/>
      <c r="AO1276" s="2656"/>
      <c r="AP1276" s="2656"/>
      <c r="AQ1276" s="2656"/>
      <c r="AR1276" s="2656"/>
      <c r="AS1276" s="2656"/>
      <c r="AT1276" s="2656"/>
      <c r="AU1276" s="2656"/>
      <c r="AV1276" s="2656"/>
      <c r="AW1276" s="2656"/>
      <c r="AX1276" s="2656"/>
      <c r="AY1276" s="2656"/>
      <c r="AZ1276" s="2656"/>
      <c r="BA1276" s="2656"/>
      <c r="BB1276" s="2656"/>
      <c r="BC1276" s="2656"/>
      <c r="BD1276" s="2656"/>
      <c r="BE1276" s="2656"/>
      <c r="BF1276" s="2656"/>
      <c r="BG1276" s="2656"/>
      <c r="BH1276" s="2656"/>
      <c r="BI1276" s="2656"/>
    </row>
    <row r="1277" spans="1:61" ht="24.75" customHeight="1">
      <c r="A1277" s="3375"/>
      <c r="B1277" s="2646"/>
      <c r="C1277" s="2647"/>
      <c r="D1277" s="2646"/>
      <c r="E1277" s="3013"/>
      <c r="F1277" s="2655"/>
      <c r="G1277" s="2596"/>
      <c r="H1277" s="4138"/>
      <c r="I1277" s="3375"/>
      <c r="J1277" s="2648"/>
      <c r="K1277" s="3147"/>
      <c r="L1277" s="2785"/>
      <c r="M1277" s="2695"/>
      <c r="N1277" s="2649"/>
      <c r="O1277" s="2655"/>
      <c r="P1277" s="2651"/>
      <c r="Q1277" s="3440"/>
      <c r="R1277" s="3553"/>
      <c r="S1277" s="1407"/>
      <c r="T1277" s="3375"/>
      <c r="U1277" s="2648"/>
      <c r="V1277" s="3554"/>
      <c r="W1277" s="3150"/>
      <c r="X1277" s="2656"/>
      <c r="Y1277" s="2656"/>
      <c r="Z1277" s="2656"/>
      <c r="AA1277" s="2656"/>
      <c r="AB1277" s="2656"/>
      <c r="AC1277" s="2656"/>
      <c r="AD1277" s="2656"/>
      <c r="AE1277" s="2656"/>
      <c r="AF1277" s="2656"/>
      <c r="AG1277" s="2656"/>
      <c r="AH1277" s="2656"/>
      <c r="AI1277" s="2656"/>
      <c r="AJ1277" s="2656"/>
      <c r="AK1277" s="2656"/>
      <c r="AL1277" s="2656"/>
      <c r="AM1277" s="2656"/>
      <c r="AN1277" s="2656"/>
      <c r="AO1277" s="2656"/>
      <c r="AP1277" s="2656"/>
      <c r="AQ1277" s="2656"/>
      <c r="AR1277" s="2656"/>
      <c r="AS1277" s="2656"/>
      <c r="AT1277" s="2656"/>
      <c r="AU1277" s="2656"/>
      <c r="AV1277" s="2656"/>
      <c r="AW1277" s="2656"/>
      <c r="AX1277" s="2656"/>
      <c r="AY1277" s="2656"/>
      <c r="AZ1277" s="2656"/>
      <c r="BA1277" s="2656"/>
      <c r="BB1277" s="2656"/>
      <c r="BC1277" s="2656"/>
      <c r="BD1277" s="2656"/>
      <c r="BE1277" s="2656"/>
      <c r="BF1277" s="2656"/>
      <c r="BG1277" s="2656"/>
      <c r="BH1277" s="2656"/>
      <c r="BI1277" s="2656"/>
    </row>
    <row r="1278" spans="1:61" ht="24.75" customHeight="1">
      <c r="A1278" s="3375"/>
      <c r="B1278" s="2646"/>
      <c r="C1278" s="2647"/>
      <c r="D1278" s="2646"/>
      <c r="E1278" s="3013"/>
      <c r="F1278" s="2655"/>
      <c r="G1278" s="2596"/>
      <c r="H1278" s="4138"/>
      <c r="I1278" s="3375"/>
      <c r="J1278" s="2648"/>
      <c r="K1278" s="3147"/>
      <c r="L1278" s="2785"/>
      <c r="M1278" s="2695"/>
      <c r="N1278" s="2649"/>
      <c r="O1278" s="2655"/>
      <c r="P1278" s="2651"/>
      <c r="Q1278" s="3440"/>
      <c r="R1278" s="3553"/>
      <c r="S1278" s="1407"/>
      <c r="T1278" s="3375"/>
      <c r="U1278" s="2648"/>
      <c r="V1278" s="3554"/>
      <c r="W1278" s="3150"/>
      <c r="X1278" s="2656"/>
      <c r="Y1278" s="2656"/>
      <c r="Z1278" s="2656"/>
      <c r="AA1278" s="2656"/>
      <c r="AB1278" s="2656"/>
      <c r="AC1278" s="2656"/>
      <c r="AD1278" s="2656"/>
      <c r="AE1278" s="2656"/>
      <c r="AF1278" s="2656"/>
      <c r="AG1278" s="2656"/>
      <c r="AH1278" s="2656"/>
      <c r="AI1278" s="2656"/>
      <c r="AJ1278" s="2656"/>
      <c r="AK1278" s="2656"/>
      <c r="AL1278" s="2656"/>
      <c r="AM1278" s="2656"/>
      <c r="AN1278" s="2656"/>
      <c r="AO1278" s="2656"/>
      <c r="AP1278" s="2656"/>
      <c r="AQ1278" s="2656"/>
      <c r="AR1278" s="2656"/>
      <c r="AS1278" s="2656"/>
      <c r="AT1278" s="2656"/>
      <c r="AU1278" s="2656"/>
      <c r="AV1278" s="2656"/>
      <c r="AW1278" s="2656"/>
      <c r="AX1278" s="2656"/>
      <c r="AY1278" s="2656"/>
      <c r="AZ1278" s="2656"/>
      <c r="BA1278" s="2656"/>
      <c r="BB1278" s="2656"/>
      <c r="BC1278" s="2656"/>
      <c r="BD1278" s="2656"/>
      <c r="BE1278" s="2656"/>
      <c r="BF1278" s="2656"/>
      <c r="BG1278" s="2656"/>
      <c r="BH1278" s="2656"/>
      <c r="BI1278" s="2656"/>
    </row>
    <row r="1279" spans="1:61" ht="24.75" customHeight="1">
      <c r="A1279" s="3375"/>
      <c r="B1279" s="2646"/>
      <c r="C1279" s="2647"/>
      <c r="D1279" s="2646"/>
      <c r="E1279" s="3013"/>
      <c r="F1279" s="2655"/>
      <c r="G1279" s="2596"/>
      <c r="H1279" s="4138"/>
      <c r="I1279" s="3375"/>
      <c r="J1279" s="2648"/>
      <c r="K1279" s="3147"/>
      <c r="L1279" s="2785"/>
      <c r="M1279" s="2695"/>
      <c r="N1279" s="2649"/>
      <c r="O1279" s="2655"/>
      <c r="P1279" s="2651"/>
      <c r="Q1279" s="3440"/>
      <c r="R1279" s="3553"/>
      <c r="S1279" s="1407"/>
      <c r="T1279" s="3375"/>
      <c r="U1279" s="2648"/>
      <c r="V1279" s="3554"/>
      <c r="W1279" s="3150"/>
      <c r="X1279" s="2656"/>
      <c r="Y1279" s="2656"/>
      <c r="Z1279" s="2656"/>
      <c r="AA1279" s="2656"/>
      <c r="AB1279" s="2656"/>
      <c r="AC1279" s="2656"/>
      <c r="AD1279" s="2656"/>
      <c r="AE1279" s="2656"/>
      <c r="AF1279" s="2656"/>
      <c r="AG1279" s="2656"/>
      <c r="AH1279" s="2656"/>
      <c r="AI1279" s="2656"/>
      <c r="AJ1279" s="2656"/>
      <c r="AK1279" s="2656"/>
      <c r="AL1279" s="2656"/>
      <c r="AM1279" s="2656"/>
      <c r="AN1279" s="2656"/>
      <c r="AO1279" s="2656"/>
      <c r="AP1279" s="2656"/>
      <c r="AQ1279" s="2656"/>
      <c r="AR1279" s="2656"/>
      <c r="AS1279" s="2656"/>
      <c r="AT1279" s="2656"/>
      <c r="AU1279" s="2656"/>
      <c r="AV1279" s="2656"/>
      <c r="AW1279" s="2656"/>
      <c r="AX1279" s="2656"/>
      <c r="AY1279" s="2656"/>
      <c r="AZ1279" s="2656"/>
      <c r="BA1279" s="2656"/>
      <c r="BB1279" s="2656"/>
      <c r="BC1279" s="2656"/>
      <c r="BD1279" s="2656"/>
      <c r="BE1279" s="2656"/>
      <c r="BF1279" s="2656"/>
      <c r="BG1279" s="2656"/>
      <c r="BH1279" s="2656"/>
      <c r="BI1279" s="2656"/>
    </row>
    <row r="1280" spans="1:61" ht="24.75" customHeight="1">
      <c r="A1280" s="3375"/>
      <c r="B1280" s="2646"/>
      <c r="C1280" s="2647"/>
      <c r="D1280" s="2646"/>
      <c r="E1280" s="3013"/>
      <c r="F1280" s="2655"/>
      <c r="G1280" s="2596"/>
      <c r="H1280" s="4138"/>
      <c r="I1280" s="3375"/>
      <c r="J1280" s="2648"/>
      <c r="K1280" s="3147"/>
      <c r="L1280" s="2785"/>
      <c r="M1280" s="2695"/>
      <c r="N1280" s="2649"/>
      <c r="O1280" s="2655"/>
      <c r="P1280" s="2651"/>
      <c r="Q1280" s="3440"/>
      <c r="R1280" s="3553"/>
      <c r="S1280" s="1407"/>
      <c r="T1280" s="3375"/>
      <c r="U1280" s="2648"/>
      <c r="V1280" s="3554"/>
      <c r="W1280" s="3150"/>
      <c r="X1280" s="2656"/>
      <c r="Y1280" s="2656"/>
      <c r="Z1280" s="2656"/>
      <c r="AA1280" s="2656"/>
      <c r="AB1280" s="2656"/>
      <c r="AC1280" s="2656"/>
      <c r="AD1280" s="2656"/>
      <c r="AE1280" s="2656"/>
      <c r="AF1280" s="2656"/>
      <c r="AG1280" s="2656"/>
      <c r="AH1280" s="2656"/>
      <c r="AI1280" s="2656"/>
      <c r="AJ1280" s="2656"/>
      <c r="AK1280" s="2656"/>
      <c r="AL1280" s="2656"/>
      <c r="AM1280" s="2656"/>
      <c r="AN1280" s="2656"/>
      <c r="AO1280" s="2656"/>
      <c r="AP1280" s="2656"/>
      <c r="AQ1280" s="2656"/>
      <c r="AR1280" s="2656"/>
      <c r="AS1280" s="2656"/>
      <c r="AT1280" s="2656"/>
      <c r="AU1280" s="2656"/>
      <c r="AV1280" s="2656"/>
      <c r="AW1280" s="2656"/>
      <c r="AX1280" s="2656"/>
      <c r="AY1280" s="2656"/>
      <c r="AZ1280" s="2656"/>
      <c r="BA1280" s="2656"/>
      <c r="BB1280" s="2656"/>
      <c r="BC1280" s="2656"/>
      <c r="BD1280" s="2656"/>
      <c r="BE1280" s="2656"/>
      <c r="BF1280" s="2656"/>
      <c r="BG1280" s="2656"/>
      <c r="BH1280" s="2656"/>
      <c r="BI1280" s="2656"/>
    </row>
    <row r="1281" spans="1:61" ht="24.75" customHeight="1">
      <c r="A1281" s="3375"/>
      <c r="B1281" s="2646"/>
      <c r="C1281" s="2647"/>
      <c r="D1281" s="2646"/>
      <c r="E1281" s="3013"/>
      <c r="F1281" s="2655"/>
      <c r="G1281" s="2596"/>
      <c r="H1281" s="4138"/>
      <c r="I1281" s="3375"/>
      <c r="J1281" s="2648"/>
      <c r="K1281" s="3147"/>
      <c r="L1281" s="2785"/>
      <c r="M1281" s="2695"/>
      <c r="N1281" s="2649"/>
      <c r="O1281" s="2655"/>
      <c r="P1281" s="2651"/>
      <c r="Q1281" s="3440"/>
      <c r="R1281" s="3553"/>
      <c r="S1281" s="1407"/>
      <c r="T1281" s="3375"/>
      <c r="U1281" s="2648"/>
      <c r="V1281" s="3554"/>
      <c r="W1281" s="3150"/>
      <c r="X1281" s="2656"/>
      <c r="Y1281" s="2656"/>
      <c r="Z1281" s="2656"/>
      <c r="AA1281" s="2656"/>
      <c r="AB1281" s="2656"/>
      <c r="AC1281" s="2656"/>
      <c r="AD1281" s="2656"/>
      <c r="AE1281" s="2656"/>
      <c r="AF1281" s="2656"/>
      <c r="AG1281" s="2656"/>
      <c r="AH1281" s="2656"/>
      <c r="AI1281" s="2656"/>
      <c r="AJ1281" s="2656"/>
      <c r="AK1281" s="2656"/>
      <c r="AL1281" s="2656"/>
      <c r="AM1281" s="2656"/>
      <c r="AN1281" s="2656"/>
      <c r="AO1281" s="2656"/>
      <c r="AP1281" s="2656"/>
      <c r="AQ1281" s="2656"/>
      <c r="AR1281" s="2656"/>
      <c r="AS1281" s="2656"/>
      <c r="AT1281" s="2656"/>
      <c r="AU1281" s="2656"/>
      <c r="AV1281" s="2656"/>
      <c r="AW1281" s="2656"/>
      <c r="AX1281" s="2656"/>
      <c r="AY1281" s="2656"/>
      <c r="AZ1281" s="2656"/>
      <c r="BA1281" s="2656"/>
      <c r="BB1281" s="2656"/>
      <c r="BC1281" s="2656"/>
      <c r="BD1281" s="2656"/>
      <c r="BE1281" s="2656"/>
      <c r="BF1281" s="2656"/>
      <c r="BG1281" s="2656"/>
      <c r="BH1281" s="2656"/>
      <c r="BI1281" s="2656"/>
    </row>
    <row r="1282" spans="1:61" ht="24.75" customHeight="1">
      <c r="A1282" s="3375"/>
      <c r="B1282" s="2646"/>
      <c r="C1282" s="2647"/>
      <c r="D1282" s="2646"/>
      <c r="E1282" s="3013"/>
      <c r="F1282" s="2655"/>
      <c r="G1282" s="2596"/>
      <c r="H1282" s="4138"/>
      <c r="I1282" s="3375"/>
      <c r="J1282" s="2648"/>
      <c r="K1282" s="3147"/>
      <c r="L1282" s="2785"/>
      <c r="M1282" s="2695"/>
      <c r="N1282" s="2649"/>
      <c r="O1282" s="2655"/>
      <c r="P1282" s="2651"/>
      <c r="Q1282" s="3440"/>
      <c r="R1282" s="3553"/>
      <c r="S1282" s="1407"/>
      <c r="T1282" s="3375"/>
      <c r="U1282" s="2648"/>
      <c r="V1282" s="3554"/>
      <c r="W1282" s="3150"/>
      <c r="X1282" s="2656"/>
      <c r="Y1282" s="2656"/>
      <c r="Z1282" s="2656"/>
      <c r="AA1282" s="2656"/>
      <c r="AB1282" s="2656"/>
      <c r="AC1282" s="2656"/>
      <c r="AD1282" s="2656"/>
      <c r="AE1282" s="2656"/>
      <c r="AF1282" s="2656"/>
      <c r="AG1282" s="2656"/>
      <c r="AH1282" s="2656"/>
      <c r="AI1282" s="2656"/>
      <c r="AJ1282" s="2656"/>
      <c r="AK1282" s="2656"/>
      <c r="AL1282" s="2656"/>
      <c r="AM1282" s="2656"/>
      <c r="AN1282" s="2656"/>
      <c r="AO1282" s="2656"/>
      <c r="AP1282" s="2656"/>
      <c r="AQ1282" s="2656"/>
      <c r="AR1282" s="2656"/>
      <c r="AS1282" s="2656"/>
      <c r="AT1282" s="2656"/>
      <c r="AU1282" s="2656"/>
      <c r="AV1282" s="2656"/>
      <c r="AW1282" s="2656"/>
      <c r="AX1282" s="2656"/>
      <c r="AY1282" s="2656"/>
      <c r="AZ1282" s="2656"/>
      <c r="BA1282" s="2656"/>
      <c r="BB1282" s="2656"/>
      <c r="BC1282" s="2656"/>
      <c r="BD1282" s="2656"/>
      <c r="BE1282" s="2656"/>
      <c r="BF1282" s="2656"/>
      <c r="BG1282" s="2656"/>
      <c r="BH1282" s="2656"/>
      <c r="BI1282" s="2656"/>
    </row>
    <row r="1283" spans="1:61" ht="24.75" customHeight="1">
      <c r="A1283" s="3375"/>
      <c r="B1283" s="2646"/>
      <c r="C1283" s="2647"/>
      <c r="D1283" s="2646"/>
      <c r="E1283" s="3013"/>
      <c r="F1283" s="2655"/>
      <c r="G1283" s="2596"/>
      <c r="H1283" s="4138"/>
      <c r="I1283" s="3375"/>
      <c r="J1283" s="2648"/>
      <c r="K1283" s="3147"/>
      <c r="L1283" s="2785"/>
      <c r="M1283" s="2695"/>
      <c r="N1283" s="2649"/>
      <c r="O1283" s="2655"/>
      <c r="P1283" s="2651"/>
      <c r="Q1283" s="3440"/>
      <c r="R1283" s="3553"/>
      <c r="S1283" s="1407"/>
      <c r="T1283" s="3375"/>
      <c r="U1283" s="2648"/>
      <c r="V1283" s="3554"/>
      <c r="W1283" s="3150"/>
      <c r="X1283" s="2656"/>
      <c r="Y1283" s="2656"/>
      <c r="Z1283" s="2656"/>
      <c r="AA1283" s="2656"/>
      <c r="AB1283" s="2656"/>
      <c r="AC1283" s="2656"/>
      <c r="AD1283" s="2656"/>
      <c r="AE1283" s="2656"/>
      <c r="AF1283" s="2656"/>
      <c r="AG1283" s="2656"/>
      <c r="AH1283" s="2656"/>
      <c r="AI1283" s="2656"/>
      <c r="AJ1283" s="2656"/>
      <c r="AK1283" s="2656"/>
      <c r="AL1283" s="2656"/>
      <c r="AM1283" s="2656"/>
      <c r="AN1283" s="2656"/>
      <c r="AO1283" s="2656"/>
      <c r="AP1283" s="2656"/>
      <c r="AQ1283" s="2656"/>
      <c r="AR1283" s="2656"/>
      <c r="AS1283" s="2656"/>
      <c r="AT1283" s="2656"/>
      <c r="AU1283" s="2656"/>
      <c r="AV1283" s="2656"/>
      <c r="AW1283" s="2656"/>
      <c r="AX1283" s="2656"/>
      <c r="AY1283" s="2656"/>
      <c r="AZ1283" s="2656"/>
      <c r="BA1283" s="2656"/>
      <c r="BB1283" s="2656"/>
      <c r="BC1283" s="2656"/>
      <c r="BD1283" s="2656"/>
      <c r="BE1283" s="2656"/>
      <c r="BF1283" s="2656"/>
      <c r="BG1283" s="2656"/>
      <c r="BH1283" s="2656"/>
      <c r="BI1283" s="2656"/>
    </row>
    <row r="1284" spans="1:61" ht="24.75" customHeight="1">
      <c r="A1284" s="3375"/>
      <c r="B1284" s="2646"/>
      <c r="C1284" s="2647"/>
      <c r="D1284" s="2646"/>
      <c r="E1284" s="3013"/>
      <c r="F1284" s="2655"/>
      <c r="G1284" s="2596"/>
      <c r="H1284" s="4138"/>
      <c r="I1284" s="3375"/>
      <c r="J1284" s="2648"/>
      <c r="K1284" s="3147"/>
      <c r="L1284" s="2785"/>
      <c r="M1284" s="2695"/>
      <c r="N1284" s="2649"/>
      <c r="O1284" s="2655"/>
      <c r="P1284" s="2651"/>
      <c r="Q1284" s="3440"/>
      <c r="R1284" s="3553"/>
      <c r="S1284" s="1407"/>
      <c r="T1284" s="3375"/>
      <c r="U1284" s="2648"/>
      <c r="V1284" s="3554"/>
      <c r="W1284" s="3150"/>
      <c r="X1284" s="2656"/>
      <c r="Y1284" s="2656"/>
      <c r="Z1284" s="2656"/>
      <c r="AA1284" s="2656"/>
      <c r="AB1284" s="2656"/>
      <c r="AC1284" s="2656"/>
      <c r="AD1284" s="2656"/>
      <c r="AE1284" s="2656"/>
      <c r="AF1284" s="2656"/>
      <c r="AG1284" s="2656"/>
      <c r="AH1284" s="2656"/>
      <c r="AI1284" s="2656"/>
      <c r="AJ1284" s="2656"/>
      <c r="AK1284" s="2656"/>
      <c r="AL1284" s="2656"/>
      <c r="AM1284" s="2656"/>
      <c r="AN1284" s="2656"/>
      <c r="AO1284" s="2656"/>
      <c r="AP1284" s="2656"/>
      <c r="AQ1284" s="2656"/>
      <c r="AR1284" s="2656"/>
      <c r="AS1284" s="2656"/>
      <c r="AT1284" s="2656"/>
      <c r="AU1284" s="2656"/>
      <c r="AV1284" s="2656"/>
      <c r="AW1284" s="2656"/>
      <c r="AX1284" s="2656"/>
      <c r="AY1284" s="2656"/>
      <c r="AZ1284" s="2656"/>
      <c r="BA1284" s="2656"/>
      <c r="BB1284" s="2656"/>
      <c r="BC1284" s="2656"/>
      <c r="BD1284" s="2656"/>
      <c r="BE1284" s="2656"/>
      <c r="BF1284" s="2656"/>
      <c r="BG1284" s="2656"/>
      <c r="BH1284" s="2656"/>
      <c r="BI1284" s="2656"/>
    </row>
    <row r="1285" spans="1:61" ht="24.75" customHeight="1">
      <c r="A1285" s="3375"/>
      <c r="B1285" s="2646"/>
      <c r="C1285" s="2647"/>
      <c r="D1285" s="2646"/>
      <c r="E1285" s="3013"/>
      <c r="F1285" s="2655"/>
      <c r="G1285" s="2596"/>
      <c r="H1285" s="4138"/>
      <c r="I1285" s="3375"/>
      <c r="J1285" s="2648"/>
      <c r="K1285" s="3147"/>
      <c r="L1285" s="2785"/>
      <c r="M1285" s="2695"/>
      <c r="N1285" s="2649"/>
      <c r="O1285" s="2655"/>
      <c r="P1285" s="2651"/>
      <c r="Q1285" s="3440"/>
      <c r="R1285" s="3553"/>
      <c r="S1285" s="1407"/>
      <c r="T1285" s="3375"/>
      <c r="U1285" s="2648"/>
      <c r="V1285" s="3554"/>
      <c r="W1285" s="3150"/>
      <c r="X1285" s="2656"/>
      <c r="Y1285" s="2656"/>
      <c r="Z1285" s="2656"/>
      <c r="AA1285" s="2656"/>
      <c r="AB1285" s="2656"/>
      <c r="AC1285" s="2656"/>
      <c r="AD1285" s="2656"/>
      <c r="AE1285" s="2656"/>
      <c r="AF1285" s="2656"/>
      <c r="AG1285" s="2656"/>
      <c r="AH1285" s="2656"/>
      <c r="AI1285" s="2656"/>
      <c r="AJ1285" s="2656"/>
      <c r="AK1285" s="2656"/>
      <c r="AL1285" s="2656"/>
      <c r="AM1285" s="2656"/>
      <c r="AN1285" s="2656"/>
      <c r="AO1285" s="2656"/>
      <c r="AP1285" s="2656"/>
      <c r="AQ1285" s="2656"/>
      <c r="AR1285" s="2656"/>
      <c r="AS1285" s="2656"/>
      <c r="AT1285" s="2656"/>
      <c r="AU1285" s="2656"/>
      <c r="AV1285" s="2656"/>
      <c r="AW1285" s="2656"/>
      <c r="AX1285" s="2656"/>
      <c r="AY1285" s="2656"/>
      <c r="AZ1285" s="2656"/>
      <c r="BA1285" s="2656"/>
      <c r="BB1285" s="2656"/>
      <c r="BC1285" s="2656"/>
      <c r="BD1285" s="2656"/>
      <c r="BE1285" s="2656"/>
      <c r="BF1285" s="2656"/>
      <c r="BG1285" s="2656"/>
      <c r="BH1285" s="2656"/>
      <c r="BI1285" s="2656"/>
    </row>
    <row r="1286" spans="1:61" ht="24.75" customHeight="1">
      <c r="A1286" s="3375"/>
      <c r="B1286" s="2646"/>
      <c r="C1286" s="2647"/>
      <c r="D1286" s="2646"/>
      <c r="E1286" s="3013"/>
      <c r="F1286" s="2655"/>
      <c r="G1286" s="2596"/>
      <c r="H1286" s="4138"/>
      <c r="I1286" s="3375"/>
      <c r="J1286" s="2648"/>
      <c r="K1286" s="3147"/>
      <c r="L1286" s="2785"/>
      <c r="M1286" s="2695"/>
      <c r="N1286" s="2649"/>
      <c r="O1286" s="2655"/>
      <c r="P1286" s="2651"/>
      <c r="Q1286" s="3440"/>
      <c r="R1286" s="3553"/>
      <c r="S1286" s="1407"/>
      <c r="T1286" s="3375"/>
      <c r="U1286" s="2648"/>
      <c r="V1286" s="3554"/>
      <c r="W1286" s="3150"/>
      <c r="X1286" s="2656"/>
      <c r="Y1286" s="2656"/>
      <c r="Z1286" s="2656"/>
      <c r="AA1286" s="2656"/>
      <c r="AB1286" s="2656"/>
      <c r="AC1286" s="2656"/>
      <c r="AD1286" s="2656"/>
      <c r="AE1286" s="2656"/>
      <c r="AF1286" s="2656"/>
      <c r="AG1286" s="2656"/>
      <c r="AH1286" s="2656"/>
      <c r="AI1286" s="2656"/>
      <c r="AJ1286" s="2656"/>
      <c r="AK1286" s="2656"/>
      <c r="AL1286" s="2656"/>
      <c r="AM1286" s="2656"/>
      <c r="AN1286" s="2656"/>
      <c r="AO1286" s="2656"/>
      <c r="AP1286" s="2656"/>
      <c r="AQ1286" s="2656"/>
      <c r="AR1286" s="2656"/>
      <c r="AS1286" s="2656"/>
      <c r="AT1286" s="2656"/>
      <c r="AU1286" s="2656"/>
      <c r="AV1286" s="2656"/>
      <c r="AW1286" s="2656"/>
      <c r="AX1286" s="2656"/>
      <c r="AY1286" s="2656"/>
      <c r="AZ1286" s="2656"/>
      <c r="BA1286" s="2656"/>
      <c r="BB1286" s="2656"/>
      <c r="BC1286" s="2656"/>
      <c r="BD1286" s="2656"/>
      <c r="BE1286" s="2656"/>
      <c r="BF1286" s="2656"/>
      <c r="BG1286" s="2656"/>
      <c r="BH1286" s="2656"/>
      <c r="BI1286" s="2656"/>
    </row>
    <row r="1287" spans="1:61" ht="24.75" customHeight="1">
      <c r="A1287" s="3375"/>
      <c r="B1287" s="2646"/>
      <c r="C1287" s="2647"/>
      <c r="D1287" s="2646"/>
      <c r="E1287" s="3013"/>
      <c r="F1287" s="2655"/>
      <c r="G1287" s="2596"/>
      <c r="H1287" s="4138"/>
      <c r="I1287" s="3375"/>
      <c r="J1287" s="2648"/>
      <c r="K1287" s="3147"/>
      <c r="L1287" s="2785"/>
      <c r="M1287" s="2695"/>
      <c r="N1287" s="2649"/>
      <c r="O1287" s="2655"/>
      <c r="P1287" s="2651"/>
      <c r="Q1287" s="3440"/>
      <c r="R1287" s="3553"/>
      <c r="S1287" s="1407"/>
      <c r="T1287" s="3375"/>
      <c r="U1287" s="2648"/>
      <c r="V1287" s="3554"/>
      <c r="W1287" s="3150"/>
      <c r="X1287" s="2656"/>
      <c r="Y1287" s="2656"/>
      <c r="Z1287" s="2656"/>
      <c r="AA1287" s="2656"/>
      <c r="AB1287" s="2656"/>
      <c r="AC1287" s="2656"/>
      <c r="AD1287" s="2656"/>
      <c r="AE1287" s="2656"/>
      <c r="AF1287" s="2656"/>
      <c r="AG1287" s="2656"/>
      <c r="AH1287" s="2656"/>
      <c r="AI1287" s="2656"/>
      <c r="AJ1287" s="2656"/>
      <c r="AK1287" s="2656"/>
      <c r="AL1287" s="2656"/>
      <c r="AM1287" s="2656"/>
      <c r="AN1287" s="2656"/>
      <c r="AO1287" s="2656"/>
      <c r="AP1287" s="2656"/>
      <c r="AQ1287" s="2656"/>
      <c r="AR1287" s="2656"/>
      <c r="AS1287" s="2656"/>
      <c r="AT1287" s="2656"/>
      <c r="AU1287" s="2656"/>
      <c r="AV1287" s="2656"/>
      <c r="AW1287" s="2656"/>
      <c r="AX1287" s="2656"/>
      <c r="AY1287" s="2656"/>
      <c r="AZ1287" s="2656"/>
      <c r="BA1287" s="2656"/>
      <c r="BB1287" s="2656"/>
      <c r="BC1287" s="2656"/>
      <c r="BD1287" s="2656"/>
      <c r="BE1287" s="2656"/>
      <c r="BF1287" s="2656"/>
      <c r="BG1287" s="2656"/>
      <c r="BH1287" s="2656"/>
      <c r="BI1287" s="2656"/>
    </row>
    <row r="1288" spans="1:61" ht="24.75" customHeight="1">
      <c r="A1288" s="3375"/>
      <c r="B1288" s="2646"/>
      <c r="C1288" s="2647"/>
      <c r="D1288" s="2646"/>
      <c r="E1288" s="3013"/>
      <c r="F1288" s="2655"/>
      <c r="G1288" s="2596"/>
      <c r="H1288" s="4138"/>
      <c r="I1288" s="3375"/>
      <c r="J1288" s="2648"/>
      <c r="K1288" s="3147"/>
      <c r="L1288" s="2785"/>
      <c r="M1288" s="2695"/>
      <c r="N1288" s="2649"/>
      <c r="O1288" s="2655"/>
      <c r="P1288" s="2651"/>
      <c r="Q1288" s="3440"/>
      <c r="R1288" s="3553"/>
      <c r="S1288" s="1407"/>
      <c r="T1288" s="3375"/>
      <c r="U1288" s="2648"/>
      <c r="V1288" s="3554"/>
      <c r="W1288" s="3150"/>
      <c r="X1288" s="2656"/>
      <c r="Y1288" s="2656"/>
      <c r="Z1288" s="2656"/>
      <c r="AA1288" s="2656"/>
      <c r="AB1288" s="2656"/>
      <c r="AC1288" s="2656"/>
      <c r="AD1288" s="2656"/>
      <c r="AE1288" s="2656"/>
      <c r="AF1288" s="2656"/>
      <c r="AG1288" s="2656"/>
      <c r="AH1288" s="2656"/>
      <c r="AI1288" s="2656"/>
      <c r="AJ1288" s="2656"/>
      <c r="AK1288" s="2656"/>
      <c r="AL1288" s="2656"/>
      <c r="AM1288" s="2656"/>
      <c r="AN1288" s="2656"/>
      <c r="AO1288" s="2656"/>
      <c r="AP1288" s="2656"/>
      <c r="AQ1288" s="2656"/>
      <c r="AR1288" s="2656"/>
      <c r="AS1288" s="2656"/>
      <c r="AT1288" s="2656"/>
      <c r="AU1288" s="2656"/>
      <c r="AV1288" s="2656"/>
      <c r="AW1288" s="2656"/>
      <c r="AX1288" s="2656"/>
      <c r="AY1288" s="2656"/>
      <c r="AZ1288" s="2656"/>
      <c r="BA1288" s="2656"/>
      <c r="BB1288" s="2656"/>
      <c r="BC1288" s="2656"/>
      <c r="BD1288" s="2656"/>
      <c r="BE1288" s="2656"/>
      <c r="BF1288" s="2656"/>
      <c r="BG1288" s="2656"/>
      <c r="BH1288" s="2656"/>
      <c r="BI1288" s="2656"/>
    </row>
    <row r="1289" spans="1:61" ht="24.75" customHeight="1">
      <c r="A1289" s="3375"/>
      <c r="B1289" s="2646"/>
      <c r="C1289" s="2647"/>
      <c r="D1289" s="2646"/>
      <c r="E1289" s="3013"/>
      <c r="F1289" s="2655"/>
      <c r="G1289" s="2596"/>
      <c r="H1289" s="4138"/>
      <c r="I1289" s="3375"/>
      <c r="J1289" s="2648"/>
      <c r="K1289" s="3147"/>
      <c r="L1289" s="2785"/>
      <c r="M1289" s="2695"/>
      <c r="N1289" s="2649"/>
      <c r="O1289" s="2655"/>
      <c r="P1289" s="2651"/>
      <c r="Q1289" s="3440"/>
      <c r="R1289" s="3553"/>
      <c r="S1289" s="1407"/>
      <c r="T1289" s="3375"/>
      <c r="U1289" s="2648"/>
      <c r="V1289" s="3554"/>
      <c r="W1289" s="3150"/>
      <c r="X1289" s="2656"/>
      <c r="Y1289" s="2656"/>
      <c r="Z1289" s="2656"/>
      <c r="AA1289" s="2656"/>
      <c r="AB1289" s="2656"/>
      <c r="AC1289" s="2656"/>
      <c r="AD1289" s="2656"/>
      <c r="AE1289" s="2656"/>
      <c r="AF1289" s="2656"/>
      <c r="AG1289" s="2656"/>
      <c r="AH1289" s="2656"/>
      <c r="AI1289" s="2656"/>
      <c r="AJ1289" s="2656"/>
      <c r="AK1289" s="2656"/>
      <c r="AL1289" s="2656"/>
      <c r="AM1289" s="2656"/>
      <c r="AN1289" s="2656"/>
      <c r="AO1289" s="2656"/>
      <c r="AP1289" s="2656"/>
      <c r="AQ1289" s="2656"/>
      <c r="AR1289" s="2656"/>
      <c r="AS1289" s="2656"/>
      <c r="AT1289" s="2656"/>
      <c r="AU1289" s="2656"/>
      <c r="AV1289" s="2656"/>
      <c r="AW1289" s="2656"/>
      <c r="AX1289" s="2656"/>
      <c r="AY1289" s="2656"/>
      <c r="AZ1289" s="2656"/>
      <c r="BA1289" s="2656"/>
      <c r="BB1289" s="2656"/>
      <c r="BC1289" s="2656"/>
      <c r="BD1289" s="2656"/>
      <c r="BE1289" s="2656"/>
      <c r="BF1289" s="2656"/>
      <c r="BG1289" s="2656"/>
      <c r="BH1289" s="2656"/>
      <c r="BI1289" s="2656"/>
    </row>
    <row r="1290" spans="1:61" ht="24.75" customHeight="1">
      <c r="A1290" s="3375"/>
      <c r="B1290" s="2646"/>
      <c r="C1290" s="2647"/>
      <c r="D1290" s="2646"/>
      <c r="E1290" s="3013"/>
      <c r="F1290" s="2655"/>
      <c r="G1290" s="2596"/>
      <c r="H1290" s="4138"/>
      <c r="I1290" s="3375"/>
      <c r="J1290" s="2648"/>
      <c r="K1290" s="3147"/>
      <c r="L1290" s="2785"/>
      <c r="M1290" s="2695"/>
      <c r="N1290" s="2649"/>
      <c r="O1290" s="2655"/>
      <c r="P1290" s="2651"/>
      <c r="Q1290" s="3440"/>
      <c r="R1290" s="3553"/>
      <c r="S1290" s="1407"/>
      <c r="T1290" s="3375"/>
      <c r="U1290" s="2648"/>
      <c r="V1290" s="3554"/>
      <c r="W1290" s="3150"/>
      <c r="X1290" s="2656"/>
      <c r="Y1290" s="2656"/>
      <c r="Z1290" s="2656"/>
      <c r="AA1290" s="2656"/>
      <c r="AB1290" s="2656"/>
      <c r="AC1290" s="2656"/>
      <c r="AD1290" s="2656"/>
      <c r="AE1290" s="2656"/>
      <c r="AF1290" s="2656"/>
      <c r="AG1290" s="2656"/>
      <c r="AH1290" s="2656"/>
      <c r="AI1290" s="2656"/>
      <c r="AJ1290" s="2656"/>
      <c r="AK1290" s="2656"/>
      <c r="AL1290" s="2656"/>
      <c r="AM1290" s="2656"/>
      <c r="AN1290" s="2656"/>
      <c r="AO1290" s="2656"/>
      <c r="AP1290" s="2656"/>
      <c r="AQ1290" s="2656"/>
      <c r="AR1290" s="2656"/>
      <c r="AS1290" s="2656"/>
      <c r="AT1290" s="2656"/>
      <c r="AU1290" s="2656"/>
      <c r="AV1290" s="2656"/>
      <c r="AW1290" s="2656"/>
      <c r="AX1290" s="2656"/>
      <c r="AY1290" s="2656"/>
      <c r="AZ1290" s="2656"/>
      <c r="BA1290" s="2656"/>
      <c r="BB1290" s="2656"/>
      <c r="BC1290" s="2656"/>
      <c r="BD1290" s="2656"/>
      <c r="BE1290" s="2656"/>
      <c r="BF1290" s="2656"/>
      <c r="BG1290" s="2656"/>
      <c r="BH1290" s="2656"/>
      <c r="BI1290" s="2656"/>
    </row>
    <row r="1291" spans="1:61" ht="24.75" customHeight="1">
      <c r="A1291" s="3375"/>
      <c r="B1291" s="2646"/>
      <c r="C1291" s="2647"/>
      <c r="D1291" s="2646"/>
      <c r="E1291" s="3013"/>
      <c r="F1291" s="2655"/>
      <c r="G1291" s="2596"/>
      <c r="H1291" s="4138"/>
      <c r="I1291" s="3375"/>
      <c r="J1291" s="2648"/>
      <c r="K1291" s="3147"/>
      <c r="L1291" s="2785"/>
      <c r="M1291" s="2695"/>
      <c r="N1291" s="2649"/>
      <c r="O1291" s="2655"/>
      <c r="P1291" s="2651"/>
      <c r="Q1291" s="3440"/>
      <c r="R1291" s="3553"/>
      <c r="S1291" s="1407"/>
      <c r="T1291" s="3375"/>
      <c r="U1291" s="2648"/>
      <c r="V1291" s="3554"/>
      <c r="W1291" s="3150"/>
      <c r="X1291" s="2656"/>
      <c r="Y1291" s="2656"/>
      <c r="Z1291" s="2656"/>
      <c r="AA1291" s="2656"/>
      <c r="AB1291" s="2656"/>
      <c r="AC1291" s="2656"/>
      <c r="AD1291" s="2656"/>
      <c r="AE1291" s="2656"/>
      <c r="AF1291" s="2656"/>
      <c r="AG1291" s="2656"/>
      <c r="AH1291" s="2656"/>
      <c r="AI1291" s="2656"/>
      <c r="AJ1291" s="2656"/>
      <c r="AK1291" s="2656"/>
      <c r="AL1291" s="2656"/>
      <c r="AM1291" s="2656"/>
      <c r="AN1291" s="2656"/>
      <c r="AO1291" s="2656"/>
      <c r="AP1291" s="2656"/>
      <c r="AQ1291" s="2656"/>
      <c r="AR1291" s="2656"/>
      <c r="AS1291" s="2656"/>
      <c r="AT1291" s="2656"/>
      <c r="AU1291" s="2656"/>
      <c r="AV1291" s="2656"/>
      <c r="AW1291" s="2656"/>
      <c r="AX1291" s="2656"/>
      <c r="AY1291" s="2656"/>
      <c r="AZ1291" s="2656"/>
      <c r="BA1291" s="2656"/>
      <c r="BB1291" s="2656"/>
      <c r="BC1291" s="2656"/>
      <c r="BD1291" s="2656"/>
      <c r="BE1291" s="2656"/>
      <c r="BF1291" s="2656"/>
      <c r="BG1291" s="2656"/>
      <c r="BH1291" s="2656"/>
      <c r="BI1291" s="2656"/>
    </row>
    <row r="1292" spans="1:61" ht="24.75" customHeight="1">
      <c r="A1292" s="3375"/>
      <c r="B1292" s="2646"/>
      <c r="C1292" s="2647"/>
      <c r="D1292" s="2646"/>
      <c r="E1292" s="3013"/>
      <c r="F1292" s="2655"/>
      <c r="G1292" s="2596"/>
      <c r="H1292" s="4138"/>
      <c r="I1292" s="3375"/>
      <c r="J1292" s="2648"/>
      <c r="K1292" s="3147"/>
      <c r="L1292" s="2785"/>
      <c r="M1292" s="2695"/>
      <c r="N1292" s="2649"/>
      <c r="O1292" s="2655"/>
      <c r="P1292" s="2651"/>
      <c r="Q1292" s="3440"/>
      <c r="R1292" s="3553"/>
      <c r="S1292" s="1407"/>
      <c r="T1292" s="3375"/>
      <c r="U1292" s="2648"/>
      <c r="V1292" s="3554"/>
      <c r="W1292" s="3150"/>
      <c r="X1292" s="2656"/>
      <c r="Y1292" s="2656"/>
      <c r="Z1292" s="2656"/>
      <c r="AA1292" s="2656"/>
      <c r="AB1292" s="2656"/>
      <c r="AC1292" s="2656"/>
      <c r="AD1292" s="2656"/>
      <c r="AE1292" s="2656"/>
      <c r="AF1292" s="2656"/>
      <c r="AG1292" s="2656"/>
      <c r="AH1292" s="2656"/>
      <c r="AI1292" s="2656"/>
      <c r="AJ1292" s="2656"/>
      <c r="AK1292" s="2656"/>
      <c r="AL1292" s="2656"/>
      <c r="AM1292" s="2656"/>
      <c r="AN1292" s="2656"/>
      <c r="AO1292" s="2656"/>
      <c r="AP1292" s="2656"/>
      <c r="AQ1292" s="2656"/>
      <c r="AR1292" s="2656"/>
      <c r="AS1292" s="2656"/>
      <c r="AT1292" s="2656"/>
      <c r="AU1292" s="2656"/>
      <c r="AV1292" s="2656"/>
      <c r="AW1292" s="2656"/>
      <c r="AX1292" s="2656"/>
      <c r="AY1292" s="2656"/>
      <c r="AZ1292" s="2656"/>
      <c r="BA1292" s="2656"/>
      <c r="BB1292" s="2656"/>
      <c r="BC1292" s="2656"/>
      <c r="BD1292" s="2656"/>
      <c r="BE1292" s="2656"/>
      <c r="BF1292" s="2656"/>
      <c r="BG1292" s="2656"/>
      <c r="BH1292" s="2656"/>
      <c r="BI1292" s="2656"/>
    </row>
    <row r="1293" spans="1:61" ht="24.75" customHeight="1">
      <c r="A1293" s="3375"/>
      <c r="B1293" s="2646"/>
      <c r="C1293" s="2647"/>
      <c r="D1293" s="2646"/>
      <c r="E1293" s="3013"/>
      <c r="F1293" s="2655"/>
      <c r="G1293" s="2596"/>
      <c r="H1293" s="4138"/>
      <c r="I1293" s="3375"/>
      <c r="J1293" s="2648"/>
      <c r="K1293" s="3147"/>
      <c r="L1293" s="2785"/>
      <c r="M1293" s="2695"/>
      <c r="N1293" s="2649"/>
      <c r="O1293" s="2655"/>
      <c r="P1293" s="2651"/>
      <c r="Q1293" s="3440"/>
      <c r="R1293" s="3553"/>
      <c r="S1293" s="1407"/>
      <c r="T1293" s="3375"/>
      <c r="U1293" s="2648"/>
      <c r="V1293" s="3554"/>
      <c r="W1293" s="3150"/>
      <c r="X1293" s="2656"/>
      <c r="Y1293" s="2656"/>
      <c r="Z1293" s="2656"/>
      <c r="AA1293" s="2656"/>
      <c r="AB1293" s="2656"/>
      <c r="AC1293" s="2656"/>
      <c r="AD1293" s="2656"/>
      <c r="AE1293" s="2656"/>
      <c r="AF1293" s="2656"/>
      <c r="AG1293" s="2656"/>
      <c r="AH1293" s="2656"/>
      <c r="AI1293" s="2656"/>
      <c r="AJ1293" s="2656"/>
      <c r="AK1293" s="2656"/>
      <c r="AL1293" s="2656"/>
      <c r="AM1293" s="2656"/>
      <c r="AN1293" s="2656"/>
      <c r="AO1293" s="2656"/>
      <c r="AP1293" s="2656"/>
      <c r="AQ1293" s="2656"/>
      <c r="AR1293" s="2656"/>
      <c r="AS1293" s="2656"/>
      <c r="AT1293" s="2656"/>
      <c r="AU1293" s="2656"/>
      <c r="AV1293" s="2656"/>
      <c r="AW1293" s="2656"/>
      <c r="AX1293" s="2656"/>
      <c r="AY1293" s="2656"/>
      <c r="AZ1293" s="2656"/>
      <c r="BA1293" s="2656"/>
      <c r="BB1293" s="2656"/>
      <c r="BC1293" s="2656"/>
      <c r="BD1293" s="2656"/>
      <c r="BE1293" s="2656"/>
      <c r="BF1293" s="2656"/>
      <c r="BG1293" s="2656"/>
      <c r="BH1293" s="2656"/>
      <c r="BI1293" s="2656"/>
    </row>
    <row r="1294" spans="1:61" ht="24.75" customHeight="1">
      <c r="A1294" s="3375"/>
      <c r="B1294" s="2646"/>
      <c r="C1294" s="2647"/>
      <c r="D1294" s="2646"/>
      <c r="E1294" s="3013"/>
      <c r="F1294" s="2655"/>
      <c r="G1294" s="2596"/>
      <c r="H1294" s="4138"/>
      <c r="I1294" s="3375"/>
      <c r="J1294" s="2648"/>
      <c r="K1294" s="3147"/>
      <c r="L1294" s="2785"/>
      <c r="M1294" s="2695"/>
      <c r="N1294" s="2649"/>
      <c r="O1294" s="2655"/>
      <c r="P1294" s="2651"/>
      <c r="Q1294" s="3440"/>
      <c r="R1294" s="3553"/>
      <c r="S1294" s="1407"/>
      <c r="T1294" s="3375"/>
      <c r="U1294" s="2648"/>
      <c r="V1294" s="3554"/>
      <c r="W1294" s="3150"/>
      <c r="X1294" s="2656"/>
      <c r="Y1294" s="2656"/>
      <c r="Z1294" s="2656"/>
      <c r="AA1294" s="2656"/>
      <c r="AB1294" s="2656"/>
      <c r="AC1294" s="2656"/>
      <c r="AD1294" s="2656"/>
      <c r="AE1294" s="2656"/>
      <c r="AF1294" s="2656"/>
      <c r="AG1294" s="2656"/>
      <c r="AH1294" s="2656"/>
      <c r="AI1294" s="2656"/>
      <c r="AJ1294" s="2656"/>
      <c r="AK1294" s="2656"/>
      <c r="AL1294" s="2656"/>
      <c r="AM1294" s="2656"/>
      <c r="AN1294" s="2656"/>
      <c r="AO1294" s="2656"/>
      <c r="AP1294" s="2656"/>
      <c r="AQ1294" s="2656"/>
      <c r="AR1294" s="2656"/>
      <c r="AS1294" s="2656"/>
      <c r="AT1294" s="2656"/>
      <c r="AU1294" s="2656"/>
      <c r="AV1294" s="2656"/>
      <c r="AW1294" s="2656"/>
      <c r="AX1294" s="2656"/>
      <c r="AY1294" s="2656"/>
      <c r="AZ1294" s="2656"/>
      <c r="BA1294" s="2656"/>
      <c r="BB1294" s="2656"/>
      <c r="BC1294" s="2656"/>
      <c r="BD1294" s="2656"/>
      <c r="BE1294" s="2656"/>
      <c r="BF1294" s="2656"/>
      <c r="BG1294" s="2656"/>
      <c r="BH1294" s="2656"/>
      <c r="BI1294" s="2656"/>
    </row>
    <row r="1295" spans="1:61" ht="24.75" customHeight="1">
      <c r="A1295" s="3375"/>
      <c r="B1295" s="2646"/>
      <c r="C1295" s="2647"/>
      <c r="D1295" s="2646"/>
      <c r="E1295" s="3013"/>
      <c r="F1295" s="2655"/>
      <c r="G1295" s="2596"/>
      <c r="H1295" s="4138"/>
      <c r="I1295" s="3375"/>
      <c r="J1295" s="2648"/>
      <c r="K1295" s="3147"/>
      <c r="L1295" s="2785"/>
      <c r="M1295" s="2695"/>
      <c r="N1295" s="2649"/>
      <c r="O1295" s="2655"/>
      <c r="P1295" s="2651"/>
      <c r="Q1295" s="3440"/>
      <c r="R1295" s="3553"/>
      <c r="S1295" s="1407"/>
      <c r="T1295" s="3375"/>
      <c r="U1295" s="2648"/>
      <c r="V1295" s="3554"/>
      <c r="W1295" s="3150"/>
      <c r="X1295" s="2656"/>
      <c r="Y1295" s="2656"/>
      <c r="Z1295" s="2656"/>
      <c r="AA1295" s="2656"/>
      <c r="AB1295" s="2656"/>
      <c r="AC1295" s="2656"/>
      <c r="AD1295" s="2656"/>
      <c r="AE1295" s="2656"/>
      <c r="AF1295" s="2656"/>
      <c r="AG1295" s="2656"/>
      <c r="AH1295" s="2656"/>
      <c r="AI1295" s="2656"/>
      <c r="AJ1295" s="2656"/>
      <c r="AK1295" s="2656"/>
      <c r="AL1295" s="2656"/>
      <c r="AM1295" s="2656"/>
      <c r="AN1295" s="2656"/>
      <c r="AO1295" s="2656"/>
      <c r="AP1295" s="2656"/>
      <c r="AQ1295" s="2656"/>
      <c r="AR1295" s="2656"/>
      <c r="AS1295" s="2656"/>
      <c r="AT1295" s="2656"/>
      <c r="AU1295" s="2656"/>
      <c r="AV1295" s="2656"/>
      <c r="AW1295" s="2656"/>
      <c r="AX1295" s="2656"/>
      <c r="AY1295" s="2656"/>
      <c r="AZ1295" s="2656"/>
      <c r="BA1295" s="2656"/>
      <c r="BB1295" s="2656"/>
      <c r="BC1295" s="2656"/>
      <c r="BD1295" s="2656"/>
      <c r="BE1295" s="2656"/>
      <c r="BF1295" s="2656"/>
      <c r="BG1295" s="2656"/>
      <c r="BH1295" s="2656"/>
      <c r="BI1295" s="2656"/>
    </row>
    <row r="1296" spans="1:61" ht="24.75" customHeight="1">
      <c r="A1296" s="3375"/>
      <c r="B1296" s="2646"/>
      <c r="C1296" s="2647"/>
      <c r="D1296" s="2646"/>
      <c r="E1296" s="3013"/>
      <c r="F1296" s="2655"/>
      <c r="G1296" s="2596"/>
      <c r="H1296" s="4138"/>
      <c r="I1296" s="3375"/>
      <c r="J1296" s="2648"/>
      <c r="K1296" s="3147"/>
      <c r="L1296" s="2785"/>
      <c r="M1296" s="2695"/>
      <c r="N1296" s="2649"/>
      <c r="O1296" s="2655"/>
      <c r="P1296" s="2651"/>
      <c r="Q1296" s="3440"/>
      <c r="R1296" s="3553"/>
      <c r="S1296" s="1407"/>
      <c r="T1296" s="3375"/>
      <c r="U1296" s="2648"/>
      <c r="V1296" s="3554"/>
      <c r="W1296" s="3150"/>
      <c r="X1296" s="2656"/>
      <c r="Y1296" s="2656"/>
      <c r="Z1296" s="2656"/>
      <c r="AA1296" s="2656"/>
      <c r="AB1296" s="2656"/>
      <c r="AC1296" s="2656"/>
      <c r="AD1296" s="2656"/>
      <c r="AE1296" s="2656"/>
      <c r="AF1296" s="2656"/>
      <c r="AG1296" s="2656"/>
      <c r="AH1296" s="2656"/>
      <c r="AI1296" s="2656"/>
      <c r="AJ1296" s="2656"/>
      <c r="AK1296" s="2656"/>
      <c r="AL1296" s="2656"/>
      <c r="AM1296" s="2656"/>
      <c r="AN1296" s="2656"/>
      <c r="AO1296" s="2656"/>
      <c r="AP1296" s="2656"/>
      <c r="AQ1296" s="2656"/>
      <c r="AR1296" s="2656"/>
      <c r="AS1296" s="2656"/>
      <c r="AT1296" s="2656"/>
      <c r="AU1296" s="2656"/>
      <c r="AV1296" s="2656"/>
      <c r="AW1296" s="2656"/>
      <c r="AX1296" s="2656"/>
      <c r="AY1296" s="2656"/>
      <c r="AZ1296" s="2656"/>
      <c r="BA1296" s="2656"/>
      <c r="BB1296" s="2656"/>
      <c r="BC1296" s="2656"/>
      <c r="BD1296" s="2656"/>
      <c r="BE1296" s="2656"/>
      <c r="BF1296" s="2656"/>
      <c r="BG1296" s="2656"/>
      <c r="BH1296" s="2656"/>
      <c r="BI1296" s="2656"/>
    </row>
    <row r="1297" spans="1:61" ht="24.75" customHeight="1">
      <c r="A1297" s="3375"/>
      <c r="B1297" s="2646"/>
      <c r="C1297" s="2647"/>
      <c r="D1297" s="2646"/>
      <c r="E1297" s="3013"/>
      <c r="F1297" s="2655"/>
      <c r="G1297" s="2596"/>
      <c r="H1297" s="4138"/>
      <c r="I1297" s="3375"/>
      <c r="J1297" s="2648"/>
      <c r="K1297" s="3147"/>
      <c r="L1297" s="2785"/>
      <c r="M1297" s="2695"/>
      <c r="N1297" s="2649"/>
      <c r="O1297" s="2655"/>
      <c r="P1297" s="2651"/>
      <c r="Q1297" s="3440"/>
      <c r="R1297" s="3553"/>
      <c r="S1297" s="1407"/>
      <c r="T1297" s="3375"/>
      <c r="U1297" s="2648"/>
      <c r="V1297" s="3554"/>
      <c r="W1297" s="3150"/>
      <c r="X1297" s="2656"/>
      <c r="Y1297" s="2656"/>
      <c r="Z1297" s="2656"/>
      <c r="AA1297" s="2656"/>
      <c r="AB1297" s="2656"/>
      <c r="AC1297" s="2656"/>
      <c r="AD1297" s="2656"/>
      <c r="AE1297" s="2656"/>
      <c r="AF1297" s="2656"/>
      <c r="AG1297" s="2656"/>
      <c r="AH1297" s="2656"/>
      <c r="AI1297" s="2656"/>
      <c r="AJ1297" s="2656"/>
      <c r="AK1297" s="2656"/>
      <c r="AL1297" s="2656"/>
      <c r="AM1297" s="2656"/>
      <c r="AN1297" s="2656"/>
      <c r="AO1297" s="2656"/>
      <c r="AP1297" s="2656"/>
      <c r="AQ1297" s="2656"/>
      <c r="AR1297" s="2656"/>
      <c r="AS1297" s="2656"/>
      <c r="AT1297" s="2656"/>
      <c r="AU1297" s="2656"/>
      <c r="AV1297" s="2656"/>
      <c r="AW1297" s="2656"/>
      <c r="AX1297" s="2656"/>
      <c r="AY1297" s="2656"/>
      <c r="AZ1297" s="2656"/>
      <c r="BA1297" s="2656"/>
      <c r="BB1297" s="2656"/>
      <c r="BC1297" s="2656"/>
      <c r="BD1297" s="2656"/>
      <c r="BE1297" s="2656"/>
      <c r="BF1297" s="2656"/>
      <c r="BG1297" s="2656"/>
      <c r="BH1297" s="2656"/>
      <c r="BI1297" s="2656"/>
    </row>
    <row r="1298" spans="1:61" ht="24.75" customHeight="1">
      <c r="A1298" s="3375"/>
      <c r="B1298" s="2646"/>
      <c r="C1298" s="2647"/>
      <c r="D1298" s="2646"/>
      <c r="E1298" s="3013"/>
      <c r="F1298" s="2655"/>
      <c r="G1298" s="2596"/>
      <c r="H1298" s="4138"/>
      <c r="I1298" s="3375"/>
      <c r="J1298" s="2648"/>
      <c r="K1298" s="3147"/>
      <c r="L1298" s="2785"/>
      <c r="M1298" s="2695"/>
      <c r="N1298" s="2649"/>
      <c r="O1298" s="2655"/>
      <c r="P1298" s="2651"/>
      <c r="Q1298" s="3440"/>
      <c r="R1298" s="3553"/>
      <c r="S1298" s="1407"/>
      <c r="T1298" s="3375"/>
      <c r="U1298" s="2648"/>
      <c r="V1298" s="3554"/>
      <c r="W1298" s="3150"/>
      <c r="X1298" s="2656"/>
      <c r="Y1298" s="2656"/>
      <c r="Z1298" s="2656"/>
      <c r="AA1298" s="2656"/>
      <c r="AB1298" s="2656"/>
      <c r="AC1298" s="2656"/>
      <c r="AD1298" s="2656"/>
      <c r="AE1298" s="2656"/>
      <c r="AF1298" s="2656"/>
      <c r="AG1298" s="2656"/>
      <c r="AH1298" s="2656"/>
      <c r="AI1298" s="2656"/>
      <c r="AJ1298" s="2656"/>
      <c r="AK1298" s="2656"/>
      <c r="AL1298" s="2656"/>
      <c r="AM1298" s="2656"/>
      <c r="AN1298" s="2656"/>
      <c r="AO1298" s="2656"/>
      <c r="AP1298" s="2656"/>
      <c r="AQ1298" s="2656"/>
      <c r="AR1298" s="2656"/>
      <c r="AS1298" s="2656"/>
      <c r="AT1298" s="2656"/>
      <c r="AU1298" s="2656"/>
      <c r="AV1298" s="2656"/>
      <c r="AW1298" s="2656"/>
      <c r="AX1298" s="2656"/>
      <c r="AY1298" s="2656"/>
      <c r="AZ1298" s="2656"/>
      <c r="BA1298" s="2656"/>
      <c r="BB1298" s="2656"/>
      <c r="BC1298" s="2656"/>
      <c r="BD1298" s="2656"/>
      <c r="BE1298" s="2656"/>
      <c r="BF1298" s="2656"/>
      <c r="BG1298" s="2656"/>
      <c r="BH1298" s="2656"/>
      <c r="BI1298" s="2656"/>
    </row>
    <row r="1299" spans="1:61" ht="24.75" customHeight="1">
      <c r="A1299" s="3375"/>
      <c r="B1299" s="2646"/>
      <c r="C1299" s="2647"/>
      <c r="D1299" s="2646"/>
      <c r="E1299" s="3013"/>
      <c r="F1299" s="2655"/>
      <c r="G1299" s="2596"/>
      <c r="H1299" s="4138"/>
      <c r="I1299" s="3375"/>
      <c r="J1299" s="2648"/>
      <c r="K1299" s="3147"/>
      <c r="L1299" s="2785"/>
      <c r="M1299" s="2695"/>
      <c r="N1299" s="2649"/>
      <c r="O1299" s="2655"/>
      <c r="P1299" s="2651"/>
      <c r="Q1299" s="3440"/>
      <c r="R1299" s="3553"/>
      <c r="S1299" s="1407"/>
      <c r="T1299" s="3375"/>
      <c r="U1299" s="2648"/>
      <c r="V1299" s="3554"/>
      <c r="W1299" s="3150"/>
      <c r="X1299" s="2656"/>
      <c r="Y1299" s="2656"/>
      <c r="Z1299" s="2656"/>
      <c r="AA1299" s="2656"/>
      <c r="AB1299" s="2656"/>
      <c r="AC1299" s="2656"/>
      <c r="AD1299" s="2656"/>
      <c r="AE1299" s="2656"/>
      <c r="AF1299" s="2656"/>
      <c r="AG1299" s="2656"/>
      <c r="AH1299" s="2656"/>
      <c r="AI1299" s="2656"/>
      <c r="AJ1299" s="2656"/>
      <c r="AK1299" s="2656"/>
      <c r="AL1299" s="2656"/>
      <c r="AM1299" s="2656"/>
      <c r="AN1299" s="2656"/>
      <c r="AO1299" s="2656"/>
      <c r="AP1299" s="2656"/>
      <c r="AQ1299" s="2656"/>
      <c r="AR1299" s="2656"/>
      <c r="AS1299" s="2656"/>
      <c r="AT1299" s="2656"/>
      <c r="AU1299" s="2656"/>
      <c r="AV1299" s="2656"/>
      <c r="AW1299" s="2656"/>
      <c r="AX1299" s="2656"/>
      <c r="AY1299" s="2656"/>
      <c r="AZ1299" s="2656"/>
      <c r="BA1299" s="2656"/>
      <c r="BB1299" s="2656"/>
      <c r="BC1299" s="2656"/>
      <c r="BD1299" s="2656"/>
      <c r="BE1299" s="2656"/>
      <c r="BF1299" s="2656"/>
      <c r="BG1299" s="2656"/>
      <c r="BH1299" s="2656"/>
      <c r="BI1299" s="2656"/>
    </row>
    <row r="1300" spans="1:61" ht="24.75" customHeight="1">
      <c r="A1300" s="3375"/>
      <c r="B1300" s="2646"/>
      <c r="C1300" s="2647"/>
      <c r="D1300" s="2646"/>
      <c r="E1300" s="3013"/>
      <c r="F1300" s="2655"/>
      <c r="G1300" s="2596"/>
      <c r="H1300" s="4138"/>
      <c r="I1300" s="3375"/>
      <c r="J1300" s="2648"/>
      <c r="K1300" s="3147"/>
      <c r="L1300" s="2785"/>
      <c r="M1300" s="2695"/>
      <c r="N1300" s="2649"/>
      <c r="O1300" s="2655"/>
      <c r="P1300" s="2651"/>
      <c r="Q1300" s="3440"/>
      <c r="R1300" s="3553"/>
      <c r="S1300" s="1407"/>
      <c r="T1300" s="3375"/>
      <c r="U1300" s="2648"/>
      <c r="V1300" s="3554"/>
      <c r="W1300" s="3150"/>
      <c r="X1300" s="2656"/>
      <c r="Y1300" s="2656"/>
      <c r="Z1300" s="2656"/>
      <c r="AA1300" s="2656"/>
      <c r="AB1300" s="2656"/>
      <c r="AC1300" s="2656"/>
      <c r="AD1300" s="2656"/>
      <c r="AE1300" s="2656"/>
      <c r="AF1300" s="2656"/>
      <c r="AG1300" s="2656"/>
      <c r="AH1300" s="2656"/>
      <c r="AI1300" s="2656"/>
      <c r="AJ1300" s="2656"/>
      <c r="AK1300" s="2656"/>
      <c r="AL1300" s="2656"/>
      <c r="AM1300" s="2656"/>
      <c r="AN1300" s="2656"/>
      <c r="AO1300" s="2656"/>
      <c r="AP1300" s="2656"/>
      <c r="AQ1300" s="2656"/>
      <c r="AR1300" s="2656"/>
      <c r="AS1300" s="2656"/>
      <c r="AT1300" s="2656"/>
      <c r="AU1300" s="2656"/>
      <c r="AV1300" s="2656"/>
      <c r="AW1300" s="2656"/>
      <c r="AX1300" s="2656"/>
      <c r="AY1300" s="2656"/>
      <c r="AZ1300" s="2656"/>
      <c r="BA1300" s="2656"/>
      <c r="BB1300" s="2656"/>
      <c r="BC1300" s="2656"/>
      <c r="BD1300" s="2656"/>
      <c r="BE1300" s="2656"/>
      <c r="BF1300" s="2656"/>
      <c r="BG1300" s="2656"/>
      <c r="BH1300" s="2656"/>
      <c r="BI1300" s="2656"/>
    </row>
    <row r="1301" spans="1:61" ht="24.75" customHeight="1">
      <c r="A1301" s="3375"/>
      <c r="B1301" s="2646"/>
      <c r="C1301" s="2647"/>
      <c r="D1301" s="2646"/>
      <c r="E1301" s="3013"/>
      <c r="F1301" s="2655"/>
      <c r="G1301" s="2596"/>
      <c r="H1301" s="4138"/>
      <c r="I1301" s="3375"/>
      <c r="J1301" s="2648"/>
      <c r="K1301" s="3147"/>
      <c r="L1301" s="2785"/>
      <c r="M1301" s="2695"/>
      <c r="N1301" s="2649"/>
      <c r="O1301" s="2655"/>
      <c r="P1301" s="2651"/>
      <c r="Q1301" s="3440"/>
      <c r="R1301" s="3553"/>
      <c r="S1301" s="1407"/>
      <c r="T1301" s="3375"/>
      <c r="U1301" s="2648"/>
      <c r="V1301" s="3554"/>
      <c r="W1301" s="3150"/>
      <c r="X1301" s="2656"/>
      <c r="Y1301" s="2656"/>
      <c r="Z1301" s="2656"/>
      <c r="AA1301" s="2656"/>
      <c r="AB1301" s="2656"/>
      <c r="AC1301" s="2656"/>
      <c r="AD1301" s="2656"/>
      <c r="AE1301" s="2656"/>
      <c r="AF1301" s="2656"/>
      <c r="AG1301" s="2656"/>
      <c r="AH1301" s="2656"/>
      <c r="AI1301" s="2656"/>
      <c r="AJ1301" s="2656"/>
      <c r="AK1301" s="2656"/>
      <c r="AL1301" s="2656"/>
      <c r="AM1301" s="2656"/>
      <c r="AN1301" s="2656"/>
      <c r="AO1301" s="2656"/>
      <c r="AP1301" s="2656"/>
      <c r="AQ1301" s="2656"/>
      <c r="AR1301" s="2656"/>
      <c r="AS1301" s="2656"/>
      <c r="AT1301" s="2656"/>
      <c r="AU1301" s="2656"/>
      <c r="AV1301" s="2656"/>
      <c r="AW1301" s="2656"/>
      <c r="AX1301" s="2656"/>
      <c r="AY1301" s="2656"/>
      <c r="AZ1301" s="2656"/>
      <c r="BA1301" s="2656"/>
      <c r="BB1301" s="2656"/>
      <c r="BC1301" s="2656"/>
      <c r="BD1301" s="2656"/>
      <c r="BE1301" s="2656"/>
      <c r="BF1301" s="2656"/>
      <c r="BG1301" s="2656"/>
      <c r="BH1301" s="2656"/>
      <c r="BI1301" s="2656"/>
    </row>
    <row r="1302" spans="1:61" ht="24.75" customHeight="1">
      <c r="A1302" s="3375"/>
      <c r="B1302" s="2646"/>
      <c r="C1302" s="2647"/>
      <c r="D1302" s="2646"/>
      <c r="E1302" s="3013"/>
      <c r="F1302" s="2655"/>
      <c r="G1302" s="2596"/>
      <c r="H1302" s="4138"/>
      <c r="I1302" s="3375"/>
      <c r="J1302" s="2648"/>
      <c r="K1302" s="3147"/>
      <c r="L1302" s="2785"/>
      <c r="M1302" s="2695"/>
      <c r="N1302" s="2649"/>
      <c r="O1302" s="2655"/>
      <c r="P1302" s="2651"/>
      <c r="Q1302" s="3440"/>
      <c r="R1302" s="3553"/>
      <c r="S1302" s="1407"/>
      <c r="T1302" s="3375"/>
      <c r="U1302" s="2648"/>
      <c r="V1302" s="3554"/>
      <c r="W1302" s="3150"/>
      <c r="X1302" s="2656"/>
      <c r="Y1302" s="2656"/>
      <c r="Z1302" s="2656"/>
      <c r="AA1302" s="2656"/>
      <c r="AB1302" s="2656"/>
      <c r="AC1302" s="2656"/>
      <c r="AD1302" s="2656"/>
      <c r="AE1302" s="2656"/>
      <c r="AF1302" s="2656"/>
      <c r="AG1302" s="2656"/>
      <c r="AH1302" s="2656"/>
      <c r="AI1302" s="2656"/>
      <c r="AJ1302" s="2656"/>
      <c r="AK1302" s="2656"/>
      <c r="AL1302" s="2656"/>
      <c r="AM1302" s="2656"/>
      <c r="AN1302" s="2656"/>
      <c r="AO1302" s="2656"/>
      <c r="AP1302" s="2656"/>
      <c r="AQ1302" s="2656"/>
      <c r="AR1302" s="2656"/>
      <c r="AS1302" s="2656"/>
      <c r="AT1302" s="2656"/>
      <c r="AU1302" s="2656"/>
      <c r="AV1302" s="2656"/>
      <c r="AW1302" s="2656"/>
      <c r="AX1302" s="2656"/>
      <c r="AY1302" s="2656"/>
      <c r="AZ1302" s="2656"/>
      <c r="BA1302" s="2656"/>
      <c r="BB1302" s="2656"/>
      <c r="BC1302" s="2656"/>
      <c r="BD1302" s="2656"/>
      <c r="BE1302" s="2656"/>
      <c r="BF1302" s="2656"/>
      <c r="BG1302" s="2656"/>
      <c r="BH1302" s="2656"/>
      <c r="BI1302" s="2656"/>
    </row>
    <row r="1303" spans="1:61" ht="24.75" customHeight="1">
      <c r="A1303" s="3375"/>
      <c r="B1303" s="2646"/>
      <c r="C1303" s="2647"/>
      <c r="D1303" s="2646"/>
      <c r="E1303" s="3013"/>
      <c r="F1303" s="2655"/>
      <c r="G1303" s="2596"/>
      <c r="H1303" s="4138"/>
      <c r="I1303" s="3375"/>
      <c r="J1303" s="2648"/>
      <c r="K1303" s="3147"/>
      <c r="L1303" s="2785"/>
      <c r="M1303" s="2695"/>
      <c r="N1303" s="2649"/>
      <c r="O1303" s="2655"/>
      <c r="P1303" s="2651"/>
      <c r="Q1303" s="3440"/>
      <c r="R1303" s="3553"/>
      <c r="S1303" s="1407"/>
      <c r="T1303" s="3375"/>
      <c r="U1303" s="2648"/>
      <c r="V1303" s="3554"/>
      <c r="W1303" s="3150"/>
      <c r="X1303" s="2656"/>
      <c r="Y1303" s="2656"/>
      <c r="Z1303" s="2656"/>
      <c r="AA1303" s="2656"/>
      <c r="AB1303" s="2656"/>
      <c r="AC1303" s="2656"/>
      <c r="AD1303" s="2656"/>
      <c r="AE1303" s="2656"/>
      <c r="AF1303" s="2656"/>
      <c r="AG1303" s="2656"/>
      <c r="AH1303" s="2656"/>
      <c r="AI1303" s="2656"/>
      <c r="AJ1303" s="2656"/>
      <c r="AK1303" s="2656"/>
      <c r="AL1303" s="2656"/>
      <c r="AM1303" s="2656"/>
      <c r="AN1303" s="2656"/>
      <c r="AO1303" s="2656"/>
      <c r="AP1303" s="2656"/>
      <c r="AQ1303" s="2656"/>
      <c r="AR1303" s="2656"/>
      <c r="AS1303" s="2656"/>
      <c r="AT1303" s="2656"/>
      <c r="AU1303" s="2656"/>
      <c r="AV1303" s="2656"/>
      <c r="AW1303" s="2656"/>
      <c r="AX1303" s="2656"/>
      <c r="AY1303" s="2656"/>
      <c r="AZ1303" s="2656"/>
      <c r="BA1303" s="2656"/>
      <c r="BB1303" s="2656"/>
      <c r="BC1303" s="2656"/>
      <c r="BD1303" s="2656"/>
      <c r="BE1303" s="2656"/>
      <c r="BF1303" s="2656"/>
      <c r="BG1303" s="2656"/>
      <c r="BH1303" s="2656"/>
      <c r="BI1303" s="2656"/>
    </row>
    <row r="1304" spans="1:61" ht="24.75" customHeight="1">
      <c r="A1304" s="3375"/>
      <c r="B1304" s="2646"/>
      <c r="C1304" s="2647"/>
      <c r="D1304" s="2646"/>
      <c r="E1304" s="3013"/>
      <c r="F1304" s="2655"/>
      <c r="G1304" s="2596"/>
      <c r="H1304" s="4138"/>
      <c r="I1304" s="3375"/>
      <c r="J1304" s="2648"/>
      <c r="K1304" s="3147"/>
      <c r="L1304" s="2785"/>
      <c r="M1304" s="2695"/>
      <c r="N1304" s="2649"/>
      <c r="O1304" s="2655"/>
      <c r="P1304" s="2651"/>
      <c r="Q1304" s="3440"/>
      <c r="R1304" s="3553"/>
      <c r="S1304" s="1407"/>
      <c r="T1304" s="3375"/>
      <c r="U1304" s="2648"/>
      <c r="V1304" s="3554"/>
      <c r="W1304" s="3150"/>
      <c r="X1304" s="2656"/>
      <c r="Y1304" s="2656"/>
      <c r="Z1304" s="2656"/>
      <c r="AA1304" s="2656"/>
      <c r="AB1304" s="2656"/>
      <c r="AC1304" s="2656"/>
      <c r="AD1304" s="2656"/>
      <c r="AE1304" s="2656"/>
      <c r="AF1304" s="2656"/>
      <c r="AG1304" s="2656"/>
      <c r="AH1304" s="2656"/>
      <c r="AI1304" s="2656"/>
      <c r="AJ1304" s="2656"/>
      <c r="AK1304" s="2656"/>
      <c r="AL1304" s="2656"/>
      <c r="AM1304" s="2656"/>
      <c r="AN1304" s="2656"/>
      <c r="AO1304" s="2656"/>
      <c r="AP1304" s="2656"/>
      <c r="AQ1304" s="2656"/>
      <c r="AR1304" s="2656"/>
      <c r="AS1304" s="2656"/>
      <c r="AT1304" s="2656"/>
      <c r="AU1304" s="2656"/>
      <c r="AV1304" s="2656"/>
      <c r="AW1304" s="2656"/>
      <c r="AX1304" s="2656"/>
      <c r="AY1304" s="2656"/>
      <c r="AZ1304" s="2656"/>
      <c r="BA1304" s="2656"/>
      <c r="BB1304" s="2656"/>
      <c r="BC1304" s="2656"/>
      <c r="BD1304" s="2656"/>
      <c r="BE1304" s="2656"/>
      <c r="BF1304" s="2656"/>
      <c r="BG1304" s="2656"/>
      <c r="BH1304" s="2656"/>
      <c r="BI1304" s="2656"/>
    </row>
    <row r="1305" spans="1:61" ht="24.75" customHeight="1">
      <c r="A1305" s="3375"/>
      <c r="B1305" s="2646"/>
      <c r="C1305" s="2647"/>
      <c r="D1305" s="2646"/>
      <c r="E1305" s="3013"/>
      <c r="F1305" s="2655"/>
      <c r="G1305" s="2596"/>
      <c r="H1305" s="4138"/>
      <c r="I1305" s="3375"/>
      <c r="J1305" s="2648"/>
      <c r="K1305" s="3147"/>
      <c r="L1305" s="2785"/>
      <c r="M1305" s="2695"/>
      <c r="N1305" s="2649"/>
      <c r="O1305" s="2655"/>
      <c r="P1305" s="2651"/>
      <c r="Q1305" s="3440"/>
      <c r="R1305" s="3553"/>
      <c r="S1305" s="1407"/>
      <c r="T1305" s="3375"/>
      <c r="U1305" s="2648"/>
      <c r="V1305" s="3554"/>
      <c r="W1305" s="3150"/>
      <c r="X1305" s="2656"/>
      <c r="Y1305" s="2656"/>
      <c r="Z1305" s="2656"/>
      <c r="AA1305" s="2656"/>
      <c r="AB1305" s="2656"/>
      <c r="AC1305" s="2656"/>
      <c r="AD1305" s="2656"/>
      <c r="AE1305" s="2656"/>
      <c r="AF1305" s="2656"/>
      <c r="AG1305" s="2656"/>
      <c r="AH1305" s="2656"/>
      <c r="AI1305" s="2656"/>
      <c r="AJ1305" s="2656"/>
      <c r="AK1305" s="2656"/>
      <c r="AL1305" s="2656"/>
      <c r="AM1305" s="2656"/>
      <c r="AN1305" s="2656"/>
      <c r="AO1305" s="2656"/>
      <c r="AP1305" s="2656"/>
      <c r="AQ1305" s="2656"/>
      <c r="AR1305" s="2656"/>
      <c r="AS1305" s="2656"/>
      <c r="AT1305" s="2656"/>
      <c r="AU1305" s="2656"/>
      <c r="AV1305" s="2656"/>
      <c r="AW1305" s="2656"/>
      <c r="AX1305" s="2656"/>
      <c r="AY1305" s="2656"/>
      <c r="AZ1305" s="2656"/>
      <c r="BA1305" s="2656"/>
      <c r="BB1305" s="2656"/>
      <c r="BC1305" s="2656"/>
      <c r="BD1305" s="2656"/>
      <c r="BE1305" s="2656"/>
      <c r="BF1305" s="2656"/>
      <c r="BG1305" s="2656"/>
      <c r="BH1305" s="2656"/>
      <c r="BI1305" s="2656"/>
    </row>
    <row r="1306" spans="1:61" ht="24.75" customHeight="1">
      <c r="A1306" s="3375"/>
      <c r="B1306" s="2646"/>
      <c r="C1306" s="2647"/>
      <c r="D1306" s="2646"/>
      <c r="E1306" s="3013"/>
      <c r="F1306" s="2655"/>
      <c r="G1306" s="2596"/>
      <c r="H1306" s="4138"/>
      <c r="I1306" s="3375"/>
      <c r="J1306" s="2648"/>
      <c r="K1306" s="3147"/>
      <c r="L1306" s="2785"/>
      <c r="M1306" s="2695"/>
      <c r="N1306" s="2649"/>
      <c r="O1306" s="2655"/>
      <c r="P1306" s="2651"/>
      <c r="Q1306" s="3440"/>
      <c r="R1306" s="3553"/>
      <c r="S1306" s="1407"/>
      <c r="T1306" s="3375"/>
      <c r="U1306" s="2648"/>
      <c r="V1306" s="3554"/>
      <c r="W1306" s="3150"/>
      <c r="X1306" s="2656"/>
      <c r="Y1306" s="2656"/>
      <c r="Z1306" s="2656"/>
      <c r="AA1306" s="2656"/>
      <c r="AB1306" s="2656"/>
      <c r="AC1306" s="2656"/>
      <c r="AD1306" s="2656"/>
      <c r="AE1306" s="2656"/>
      <c r="AF1306" s="2656"/>
      <c r="AG1306" s="2656"/>
      <c r="AH1306" s="2656"/>
      <c r="AI1306" s="2656"/>
      <c r="AJ1306" s="2656"/>
      <c r="AK1306" s="2656"/>
      <c r="AL1306" s="2656"/>
      <c r="AM1306" s="2656"/>
      <c r="AN1306" s="2656"/>
      <c r="AO1306" s="2656"/>
      <c r="AP1306" s="2656"/>
      <c r="AQ1306" s="2656"/>
      <c r="AR1306" s="2656"/>
      <c r="AS1306" s="2656"/>
      <c r="AT1306" s="2656"/>
      <c r="AU1306" s="2656"/>
      <c r="AV1306" s="2656"/>
      <c r="AW1306" s="2656"/>
      <c r="AX1306" s="2656"/>
      <c r="AY1306" s="2656"/>
      <c r="AZ1306" s="2656"/>
      <c r="BA1306" s="2656"/>
      <c r="BB1306" s="2656"/>
      <c r="BC1306" s="2656"/>
      <c r="BD1306" s="2656"/>
      <c r="BE1306" s="2656"/>
      <c r="BF1306" s="2656"/>
      <c r="BG1306" s="2656"/>
      <c r="BH1306" s="2656"/>
      <c r="BI1306" s="2656"/>
    </row>
    <row r="1307" spans="1:61" ht="24.75" customHeight="1">
      <c r="A1307" s="3375"/>
      <c r="B1307" s="2646"/>
      <c r="C1307" s="2647"/>
      <c r="D1307" s="2646"/>
      <c r="E1307" s="3013"/>
      <c r="F1307" s="2655"/>
      <c r="G1307" s="2596"/>
      <c r="H1307" s="4138"/>
      <c r="I1307" s="3375"/>
      <c r="J1307" s="2648"/>
      <c r="K1307" s="3147"/>
      <c r="L1307" s="2785"/>
      <c r="M1307" s="2695"/>
      <c r="N1307" s="2649"/>
      <c r="O1307" s="2655"/>
      <c r="P1307" s="2651"/>
      <c r="Q1307" s="3440"/>
      <c r="R1307" s="3553"/>
      <c r="S1307" s="1407"/>
      <c r="T1307" s="3375"/>
      <c r="U1307" s="2648"/>
      <c r="V1307" s="3554"/>
      <c r="W1307" s="3150"/>
      <c r="X1307" s="2656"/>
      <c r="Y1307" s="2656"/>
      <c r="Z1307" s="2656"/>
      <c r="AA1307" s="2656"/>
      <c r="AB1307" s="2656"/>
      <c r="AC1307" s="2656"/>
      <c r="AD1307" s="2656"/>
      <c r="AE1307" s="2656"/>
      <c r="AF1307" s="2656"/>
      <c r="AG1307" s="2656"/>
      <c r="AH1307" s="2656"/>
      <c r="AI1307" s="2656"/>
      <c r="AJ1307" s="2656"/>
      <c r="AK1307" s="2656"/>
      <c r="AL1307" s="2656"/>
      <c r="AM1307" s="2656"/>
      <c r="AN1307" s="2656"/>
      <c r="AO1307" s="2656"/>
      <c r="AP1307" s="2656"/>
      <c r="AQ1307" s="2656"/>
      <c r="AR1307" s="2656"/>
      <c r="AS1307" s="2656"/>
      <c r="AT1307" s="2656"/>
      <c r="AU1307" s="2656"/>
      <c r="AV1307" s="2656"/>
      <c r="AW1307" s="2656"/>
      <c r="AX1307" s="2656"/>
      <c r="AY1307" s="2656"/>
      <c r="AZ1307" s="2656"/>
      <c r="BA1307" s="2656"/>
      <c r="BB1307" s="2656"/>
      <c r="BC1307" s="2656"/>
      <c r="BD1307" s="2656"/>
      <c r="BE1307" s="2656"/>
      <c r="BF1307" s="2656"/>
      <c r="BG1307" s="2656"/>
      <c r="BH1307" s="2656"/>
      <c r="BI1307" s="2656"/>
    </row>
    <row r="1308" spans="1:61" ht="24.75" customHeight="1">
      <c r="A1308" s="3375"/>
      <c r="B1308" s="2646"/>
      <c r="C1308" s="2647"/>
      <c r="D1308" s="2646"/>
      <c r="E1308" s="3013"/>
      <c r="F1308" s="2655"/>
      <c r="G1308" s="2596"/>
      <c r="H1308" s="4138"/>
      <c r="I1308" s="3375"/>
      <c r="J1308" s="2648"/>
      <c r="K1308" s="3147"/>
      <c r="L1308" s="2785"/>
      <c r="M1308" s="2695"/>
      <c r="N1308" s="2649"/>
      <c r="O1308" s="2655"/>
      <c r="P1308" s="2651"/>
      <c r="Q1308" s="3440"/>
      <c r="R1308" s="3553"/>
      <c r="S1308" s="1407"/>
      <c r="T1308" s="3375"/>
      <c r="U1308" s="2648"/>
      <c r="V1308" s="3554"/>
      <c r="W1308" s="3150"/>
      <c r="X1308" s="2656"/>
      <c r="Y1308" s="2656"/>
      <c r="Z1308" s="2656"/>
      <c r="AA1308" s="2656"/>
      <c r="AB1308" s="2656"/>
      <c r="AC1308" s="2656"/>
      <c r="AD1308" s="2656"/>
      <c r="AE1308" s="2656"/>
      <c r="AF1308" s="2656"/>
      <c r="AG1308" s="2656"/>
      <c r="AH1308" s="2656"/>
      <c r="AI1308" s="2656"/>
      <c r="AJ1308" s="2656"/>
      <c r="AK1308" s="2656"/>
      <c r="AL1308" s="2656"/>
      <c r="AM1308" s="2656"/>
      <c r="AN1308" s="2656"/>
      <c r="AO1308" s="2656"/>
      <c r="AP1308" s="2656"/>
      <c r="AQ1308" s="2656"/>
      <c r="AR1308" s="2656"/>
      <c r="AS1308" s="2656"/>
      <c r="AT1308" s="2656"/>
      <c r="AU1308" s="2656"/>
      <c r="AV1308" s="2656"/>
      <c r="AW1308" s="2656"/>
      <c r="AX1308" s="2656"/>
      <c r="AY1308" s="2656"/>
      <c r="AZ1308" s="2656"/>
      <c r="BA1308" s="2656"/>
      <c r="BB1308" s="2656"/>
      <c r="BC1308" s="2656"/>
      <c r="BD1308" s="2656"/>
      <c r="BE1308" s="2656"/>
      <c r="BF1308" s="2656"/>
      <c r="BG1308" s="2656"/>
      <c r="BH1308" s="2656"/>
      <c r="BI1308" s="2656"/>
    </row>
    <row r="1309" spans="1:61" ht="24.75" customHeight="1">
      <c r="A1309" s="3375"/>
      <c r="B1309" s="2646"/>
      <c r="C1309" s="2647"/>
      <c r="D1309" s="2646"/>
      <c r="E1309" s="3013"/>
      <c r="F1309" s="2655"/>
      <c r="G1309" s="2596"/>
      <c r="H1309" s="4138"/>
      <c r="I1309" s="3375"/>
      <c r="J1309" s="2648"/>
      <c r="K1309" s="3147"/>
      <c r="L1309" s="2785"/>
      <c r="M1309" s="2695"/>
      <c r="N1309" s="2649"/>
      <c r="O1309" s="2655"/>
      <c r="P1309" s="2651"/>
      <c r="Q1309" s="3440"/>
      <c r="R1309" s="3553"/>
      <c r="S1309" s="1407"/>
      <c r="T1309" s="3375"/>
      <c r="U1309" s="2648"/>
      <c r="V1309" s="3554"/>
      <c r="W1309" s="3150"/>
      <c r="X1309" s="2656"/>
      <c r="Y1309" s="2656"/>
      <c r="Z1309" s="2656"/>
      <c r="AA1309" s="2656"/>
      <c r="AB1309" s="2656"/>
      <c r="AC1309" s="2656"/>
      <c r="AD1309" s="2656"/>
      <c r="AE1309" s="2656"/>
      <c r="AF1309" s="2656"/>
      <c r="AG1309" s="2656"/>
      <c r="AH1309" s="2656"/>
      <c r="AI1309" s="2656"/>
      <c r="AJ1309" s="2656"/>
      <c r="AK1309" s="2656"/>
      <c r="AL1309" s="2656"/>
      <c r="AM1309" s="2656"/>
      <c r="AN1309" s="2656"/>
      <c r="AO1309" s="2656"/>
      <c r="AP1309" s="2656"/>
      <c r="AQ1309" s="2656"/>
      <c r="AR1309" s="2656"/>
      <c r="AS1309" s="2656"/>
      <c r="AT1309" s="2656"/>
      <c r="AU1309" s="2656"/>
      <c r="AV1309" s="2656"/>
      <c r="AW1309" s="2656"/>
      <c r="AX1309" s="2656"/>
      <c r="AY1309" s="2656"/>
      <c r="AZ1309" s="2656"/>
      <c r="BA1309" s="2656"/>
      <c r="BB1309" s="2656"/>
      <c r="BC1309" s="2656"/>
      <c r="BD1309" s="2656"/>
      <c r="BE1309" s="2656"/>
      <c r="BF1309" s="2656"/>
      <c r="BG1309" s="2656"/>
      <c r="BH1309" s="2656"/>
      <c r="BI1309" s="2656"/>
    </row>
    <row r="1310" spans="1:61" ht="24.75" customHeight="1">
      <c r="A1310" s="3375"/>
      <c r="B1310" s="2646"/>
      <c r="C1310" s="2647"/>
      <c r="D1310" s="2646"/>
      <c r="E1310" s="3013"/>
      <c r="F1310" s="2655"/>
      <c r="G1310" s="2596"/>
      <c r="H1310" s="4138"/>
      <c r="I1310" s="3375"/>
      <c r="J1310" s="2648"/>
      <c r="K1310" s="3147"/>
      <c r="L1310" s="2785"/>
      <c r="M1310" s="2695"/>
      <c r="N1310" s="2649"/>
      <c r="O1310" s="2655"/>
      <c r="P1310" s="2651"/>
      <c r="Q1310" s="3440"/>
      <c r="R1310" s="3553"/>
      <c r="S1310" s="1407"/>
      <c r="T1310" s="3375"/>
      <c r="U1310" s="2648"/>
      <c r="V1310" s="3554"/>
      <c r="W1310" s="3150"/>
      <c r="X1310" s="2656"/>
      <c r="Y1310" s="2656"/>
      <c r="Z1310" s="2656"/>
      <c r="AA1310" s="2656"/>
      <c r="AB1310" s="2656"/>
      <c r="AC1310" s="2656"/>
      <c r="AD1310" s="2656"/>
      <c r="AE1310" s="2656"/>
      <c r="AF1310" s="2656"/>
      <c r="AG1310" s="2656"/>
      <c r="AH1310" s="2656"/>
      <c r="AI1310" s="2656"/>
      <c r="AJ1310" s="2656"/>
      <c r="AK1310" s="2656"/>
      <c r="AL1310" s="2656"/>
      <c r="AM1310" s="2656"/>
      <c r="AN1310" s="2656"/>
      <c r="AO1310" s="2656"/>
      <c r="AP1310" s="2656"/>
      <c r="AQ1310" s="2656"/>
      <c r="AR1310" s="2656"/>
      <c r="AS1310" s="2656"/>
      <c r="AT1310" s="2656"/>
      <c r="AU1310" s="2656"/>
      <c r="AV1310" s="2656"/>
      <c r="AW1310" s="2656"/>
      <c r="AX1310" s="2656"/>
      <c r="AY1310" s="2656"/>
      <c r="AZ1310" s="2656"/>
      <c r="BA1310" s="2656"/>
      <c r="BB1310" s="2656"/>
      <c r="BC1310" s="2656"/>
      <c r="BD1310" s="2656"/>
      <c r="BE1310" s="2656"/>
      <c r="BF1310" s="2656"/>
      <c r="BG1310" s="2656"/>
      <c r="BH1310" s="2656"/>
      <c r="BI1310" s="2656"/>
    </row>
    <row r="1311" spans="1:61" ht="24.75" customHeight="1">
      <c r="A1311" s="3375"/>
      <c r="B1311" s="2646"/>
      <c r="C1311" s="2647"/>
      <c r="D1311" s="2646"/>
      <c r="E1311" s="3013"/>
      <c r="F1311" s="2655"/>
      <c r="G1311" s="2596"/>
      <c r="H1311" s="4138"/>
      <c r="I1311" s="3375"/>
      <c r="J1311" s="2648"/>
      <c r="K1311" s="3147"/>
      <c r="L1311" s="2785"/>
      <c r="M1311" s="2695"/>
      <c r="N1311" s="2649"/>
      <c r="O1311" s="2655"/>
      <c r="P1311" s="2651"/>
      <c r="Q1311" s="3440"/>
      <c r="R1311" s="3553"/>
      <c r="S1311" s="1407"/>
      <c r="T1311" s="3375"/>
      <c r="U1311" s="2648"/>
      <c r="V1311" s="3554"/>
      <c r="W1311" s="3150"/>
      <c r="X1311" s="2656"/>
      <c r="Y1311" s="2656"/>
      <c r="Z1311" s="2656"/>
      <c r="AA1311" s="2656"/>
      <c r="AB1311" s="2656"/>
      <c r="AC1311" s="2656"/>
      <c r="AD1311" s="2656"/>
      <c r="AE1311" s="2656"/>
      <c r="AF1311" s="2656"/>
      <c r="AG1311" s="2656"/>
      <c r="AH1311" s="2656"/>
      <c r="AI1311" s="2656"/>
      <c r="AJ1311" s="2656"/>
      <c r="AK1311" s="2656"/>
      <c r="AL1311" s="2656"/>
      <c r="AM1311" s="2656"/>
      <c r="AN1311" s="2656"/>
      <c r="AO1311" s="2656"/>
      <c r="AP1311" s="2656"/>
      <c r="AQ1311" s="2656"/>
      <c r="AR1311" s="2656"/>
      <c r="AS1311" s="2656"/>
      <c r="AT1311" s="2656"/>
      <c r="AU1311" s="2656"/>
      <c r="AV1311" s="2656"/>
      <c r="AW1311" s="2656"/>
      <c r="AX1311" s="2656"/>
      <c r="AY1311" s="2656"/>
      <c r="AZ1311" s="2656"/>
      <c r="BA1311" s="2656"/>
      <c r="BB1311" s="2656"/>
      <c r="BC1311" s="2656"/>
      <c r="BD1311" s="2656"/>
      <c r="BE1311" s="2656"/>
      <c r="BF1311" s="2656"/>
      <c r="BG1311" s="2656"/>
      <c r="BH1311" s="2656"/>
      <c r="BI1311" s="2656"/>
    </row>
    <row r="1312" spans="1:61" ht="24.75" customHeight="1">
      <c r="A1312" s="3375"/>
      <c r="B1312" s="2646"/>
      <c r="C1312" s="2647"/>
      <c r="D1312" s="2646"/>
      <c r="E1312" s="3013"/>
      <c r="F1312" s="2655"/>
      <c r="G1312" s="2596"/>
      <c r="H1312" s="4138"/>
      <c r="I1312" s="3375"/>
      <c r="J1312" s="2648"/>
      <c r="K1312" s="3147"/>
      <c r="L1312" s="2785"/>
      <c r="M1312" s="2695"/>
      <c r="N1312" s="2649"/>
      <c r="O1312" s="2655"/>
      <c r="P1312" s="2651"/>
      <c r="Q1312" s="3440"/>
      <c r="R1312" s="3553"/>
      <c r="S1312" s="1407"/>
      <c r="T1312" s="3375"/>
      <c r="U1312" s="2648"/>
      <c r="V1312" s="3554"/>
      <c r="W1312" s="3150"/>
      <c r="X1312" s="2656"/>
      <c r="Y1312" s="2656"/>
      <c r="Z1312" s="2656"/>
      <c r="AA1312" s="2656"/>
      <c r="AB1312" s="2656"/>
      <c r="AC1312" s="2656"/>
      <c r="AD1312" s="2656"/>
      <c r="AE1312" s="2656"/>
      <c r="AF1312" s="2656"/>
      <c r="AG1312" s="2656"/>
      <c r="AH1312" s="2656"/>
      <c r="AI1312" s="2656"/>
      <c r="AJ1312" s="2656"/>
      <c r="AK1312" s="2656"/>
      <c r="AL1312" s="2656"/>
      <c r="AM1312" s="2656"/>
      <c r="AN1312" s="2656"/>
      <c r="AO1312" s="2656"/>
      <c r="AP1312" s="2656"/>
      <c r="AQ1312" s="2656"/>
      <c r="AR1312" s="2656"/>
      <c r="AS1312" s="2656"/>
      <c r="AT1312" s="2656"/>
      <c r="AU1312" s="2656"/>
      <c r="AV1312" s="2656"/>
      <c r="AW1312" s="2656"/>
      <c r="AX1312" s="2656"/>
      <c r="AY1312" s="2656"/>
      <c r="AZ1312" s="2656"/>
      <c r="BA1312" s="2656"/>
      <c r="BB1312" s="2656"/>
      <c r="BC1312" s="2656"/>
      <c r="BD1312" s="2656"/>
      <c r="BE1312" s="2656"/>
      <c r="BF1312" s="2656"/>
      <c r="BG1312" s="2656"/>
      <c r="BH1312" s="2656"/>
      <c r="BI1312" s="2656"/>
    </row>
    <row r="1313" spans="1:61" ht="24.75" customHeight="1">
      <c r="A1313" s="3375"/>
      <c r="B1313" s="2646"/>
      <c r="C1313" s="2647"/>
      <c r="D1313" s="2646"/>
      <c r="E1313" s="3013"/>
      <c r="F1313" s="2655"/>
      <c r="G1313" s="2596"/>
      <c r="H1313" s="4138"/>
      <c r="I1313" s="3375"/>
      <c r="J1313" s="2648"/>
      <c r="K1313" s="3147"/>
      <c r="L1313" s="2785"/>
      <c r="M1313" s="2695"/>
      <c r="N1313" s="2649"/>
      <c r="O1313" s="2655"/>
      <c r="P1313" s="2651"/>
      <c r="Q1313" s="3440"/>
      <c r="R1313" s="3553"/>
      <c r="S1313" s="1407"/>
      <c r="T1313" s="3375"/>
      <c r="U1313" s="2648"/>
      <c r="V1313" s="3554"/>
      <c r="W1313" s="3150"/>
      <c r="X1313" s="2656"/>
      <c r="Y1313" s="2656"/>
      <c r="Z1313" s="2656"/>
      <c r="AA1313" s="2656"/>
      <c r="AB1313" s="2656"/>
      <c r="AC1313" s="2656"/>
      <c r="AD1313" s="2656"/>
      <c r="AE1313" s="2656"/>
      <c r="AF1313" s="2656"/>
      <c r="AG1313" s="2656"/>
      <c r="AH1313" s="2656"/>
      <c r="AI1313" s="2656"/>
      <c r="AJ1313" s="2656"/>
      <c r="AK1313" s="2656"/>
      <c r="AL1313" s="2656"/>
      <c r="AM1313" s="2656"/>
      <c r="AN1313" s="2656"/>
      <c r="AO1313" s="2656"/>
      <c r="AP1313" s="2656"/>
      <c r="AQ1313" s="2656"/>
      <c r="AR1313" s="2656"/>
      <c r="AS1313" s="2656"/>
      <c r="AT1313" s="2656"/>
      <c r="AU1313" s="2656"/>
      <c r="AV1313" s="2656"/>
      <c r="AW1313" s="2656"/>
      <c r="AX1313" s="2656"/>
      <c r="AY1313" s="2656"/>
      <c r="AZ1313" s="2656"/>
      <c r="BA1313" s="2656"/>
      <c r="BB1313" s="2656"/>
      <c r="BC1313" s="2656"/>
      <c r="BD1313" s="2656"/>
      <c r="BE1313" s="2656"/>
      <c r="BF1313" s="2656"/>
      <c r="BG1313" s="2656"/>
      <c r="BH1313" s="2656"/>
      <c r="BI1313" s="2656"/>
    </row>
    <row r="1314" spans="1:61" ht="24.75" customHeight="1">
      <c r="A1314" s="3375"/>
      <c r="B1314" s="2646"/>
      <c r="C1314" s="2647"/>
      <c r="D1314" s="2646"/>
      <c r="E1314" s="3013"/>
      <c r="F1314" s="2655"/>
      <c r="G1314" s="2596"/>
      <c r="H1314" s="4138"/>
      <c r="I1314" s="3375"/>
      <c r="J1314" s="2648"/>
      <c r="K1314" s="3147"/>
      <c r="L1314" s="2785"/>
      <c r="M1314" s="2695"/>
      <c r="N1314" s="2649"/>
      <c r="O1314" s="2655"/>
      <c r="P1314" s="2651"/>
      <c r="Q1314" s="3440"/>
      <c r="R1314" s="3553"/>
      <c r="S1314" s="1407"/>
      <c r="T1314" s="3375"/>
      <c r="U1314" s="2648"/>
      <c r="V1314" s="3554"/>
      <c r="W1314" s="3150"/>
      <c r="X1314" s="2656"/>
      <c r="Y1314" s="2656"/>
      <c r="Z1314" s="2656"/>
      <c r="AA1314" s="2656"/>
      <c r="AB1314" s="2656"/>
      <c r="AC1314" s="2656"/>
      <c r="AD1314" s="2656"/>
      <c r="AE1314" s="2656"/>
      <c r="AF1314" s="2656"/>
      <c r="AG1314" s="2656"/>
      <c r="AH1314" s="2656"/>
      <c r="AI1314" s="2656"/>
      <c r="AJ1314" s="2656"/>
      <c r="AK1314" s="2656"/>
      <c r="AL1314" s="2656"/>
      <c r="AM1314" s="2656"/>
      <c r="AN1314" s="2656"/>
      <c r="AO1314" s="2656"/>
      <c r="AP1314" s="2656"/>
      <c r="AQ1314" s="2656"/>
      <c r="AR1314" s="2656"/>
      <c r="AS1314" s="2656"/>
      <c r="AT1314" s="2656"/>
      <c r="AU1314" s="2656"/>
      <c r="AV1314" s="2656"/>
      <c r="AW1314" s="2656"/>
      <c r="AX1314" s="2656"/>
      <c r="AY1314" s="2656"/>
      <c r="AZ1314" s="2656"/>
      <c r="BA1314" s="2656"/>
      <c r="BB1314" s="2656"/>
      <c r="BC1314" s="2656"/>
      <c r="BD1314" s="2656"/>
      <c r="BE1314" s="2656"/>
      <c r="BF1314" s="2656"/>
      <c r="BG1314" s="2656"/>
      <c r="BH1314" s="2656"/>
      <c r="BI1314" s="2656"/>
    </row>
    <row r="1315" spans="1:61" ht="24.75" customHeight="1">
      <c r="A1315" s="3375"/>
      <c r="B1315" s="2646"/>
      <c r="C1315" s="2647"/>
      <c r="D1315" s="2646"/>
      <c r="E1315" s="3013"/>
      <c r="F1315" s="2655"/>
      <c r="G1315" s="2596"/>
      <c r="H1315" s="4138"/>
      <c r="I1315" s="3375"/>
      <c r="J1315" s="2648"/>
      <c r="K1315" s="3147"/>
      <c r="L1315" s="2785"/>
      <c r="M1315" s="2695"/>
      <c r="N1315" s="2649"/>
      <c r="O1315" s="2655"/>
      <c r="P1315" s="2651"/>
      <c r="Q1315" s="3440"/>
      <c r="R1315" s="3553"/>
      <c r="S1315" s="1407"/>
      <c r="T1315" s="3375"/>
      <c r="U1315" s="2648"/>
      <c r="V1315" s="3554"/>
      <c r="W1315" s="3150"/>
      <c r="X1315" s="2656"/>
      <c r="Y1315" s="2656"/>
      <c r="Z1315" s="2656"/>
      <c r="AA1315" s="2656"/>
      <c r="AB1315" s="2656"/>
      <c r="AC1315" s="2656"/>
      <c r="AD1315" s="2656"/>
      <c r="AE1315" s="2656"/>
      <c r="AF1315" s="2656"/>
      <c r="AG1315" s="2656"/>
      <c r="AH1315" s="2656"/>
      <c r="AI1315" s="2656"/>
      <c r="AJ1315" s="2656"/>
      <c r="AK1315" s="2656"/>
      <c r="AL1315" s="2656"/>
      <c r="AM1315" s="2656"/>
      <c r="AN1315" s="2656"/>
      <c r="AO1315" s="2656"/>
      <c r="AP1315" s="2656"/>
      <c r="AQ1315" s="2656"/>
      <c r="AR1315" s="2656"/>
      <c r="AS1315" s="2656"/>
      <c r="AT1315" s="2656"/>
      <c r="AU1315" s="2656"/>
      <c r="AV1315" s="2656"/>
      <c r="AW1315" s="2656"/>
      <c r="AX1315" s="2656"/>
      <c r="AY1315" s="2656"/>
      <c r="AZ1315" s="2656"/>
      <c r="BA1315" s="2656"/>
      <c r="BB1315" s="2656"/>
      <c r="BC1315" s="2656"/>
      <c r="BD1315" s="2656"/>
      <c r="BE1315" s="2656"/>
      <c r="BF1315" s="2656"/>
      <c r="BG1315" s="2656"/>
      <c r="BH1315" s="2656"/>
      <c r="BI1315" s="2656"/>
    </row>
    <row r="1316" spans="1:61" ht="24.75" customHeight="1">
      <c r="A1316" s="3375"/>
      <c r="B1316" s="2646"/>
      <c r="C1316" s="2647"/>
      <c r="D1316" s="2646"/>
      <c r="E1316" s="3013"/>
      <c r="F1316" s="2655"/>
      <c r="G1316" s="2596"/>
      <c r="H1316" s="4138"/>
      <c r="I1316" s="3375"/>
      <c r="J1316" s="2648"/>
      <c r="K1316" s="3147"/>
      <c r="L1316" s="2785"/>
      <c r="M1316" s="2695"/>
      <c r="N1316" s="2649"/>
      <c r="O1316" s="2655"/>
      <c r="P1316" s="2651"/>
      <c r="Q1316" s="3440"/>
      <c r="R1316" s="3553"/>
      <c r="S1316" s="1407"/>
      <c r="T1316" s="3375"/>
      <c r="U1316" s="2648"/>
      <c r="V1316" s="3554"/>
      <c r="W1316" s="3150"/>
      <c r="X1316" s="2656"/>
      <c r="Y1316" s="2656"/>
      <c r="Z1316" s="2656"/>
      <c r="AA1316" s="2656"/>
      <c r="AB1316" s="2656"/>
      <c r="AC1316" s="2656"/>
      <c r="AD1316" s="2656"/>
      <c r="AE1316" s="2656"/>
      <c r="AF1316" s="2656"/>
      <c r="AG1316" s="2656"/>
      <c r="AH1316" s="2656"/>
      <c r="AI1316" s="2656"/>
      <c r="AJ1316" s="2656"/>
      <c r="AK1316" s="2656"/>
      <c r="AL1316" s="2656"/>
      <c r="AM1316" s="2656"/>
      <c r="AN1316" s="2656"/>
      <c r="AO1316" s="2656"/>
      <c r="AP1316" s="2656"/>
      <c r="AQ1316" s="2656"/>
      <c r="AR1316" s="2656"/>
      <c r="AS1316" s="2656"/>
      <c r="AT1316" s="2656"/>
      <c r="AU1316" s="2656"/>
      <c r="AV1316" s="2656"/>
      <c r="AW1316" s="2656"/>
      <c r="AX1316" s="2656"/>
      <c r="AY1316" s="2656"/>
      <c r="AZ1316" s="2656"/>
      <c r="BA1316" s="2656"/>
      <c r="BB1316" s="2656"/>
      <c r="BC1316" s="2656"/>
      <c r="BD1316" s="2656"/>
      <c r="BE1316" s="2656"/>
      <c r="BF1316" s="2656"/>
      <c r="BG1316" s="2656"/>
      <c r="BH1316" s="2656"/>
      <c r="BI1316" s="2656"/>
    </row>
    <row r="1317" spans="1:61" ht="24.75" customHeight="1">
      <c r="A1317" s="3375"/>
      <c r="B1317" s="2646"/>
      <c r="C1317" s="2647"/>
      <c r="D1317" s="2646"/>
      <c r="E1317" s="3013"/>
      <c r="F1317" s="2655"/>
      <c r="G1317" s="2596"/>
      <c r="H1317" s="4138"/>
      <c r="I1317" s="3375"/>
      <c r="J1317" s="2648"/>
      <c r="K1317" s="3147"/>
      <c r="L1317" s="2785"/>
      <c r="M1317" s="2695"/>
      <c r="N1317" s="2649"/>
      <c r="O1317" s="2655"/>
      <c r="P1317" s="2651"/>
      <c r="Q1317" s="3440"/>
      <c r="R1317" s="3553"/>
      <c r="S1317" s="1407"/>
      <c r="T1317" s="3375"/>
      <c r="U1317" s="2648"/>
      <c r="V1317" s="3554"/>
      <c r="W1317" s="3150"/>
      <c r="X1317" s="2656"/>
      <c r="Y1317" s="2656"/>
      <c r="Z1317" s="2656"/>
      <c r="AA1317" s="2656"/>
      <c r="AB1317" s="2656"/>
      <c r="AC1317" s="2656"/>
      <c r="AD1317" s="2656"/>
      <c r="AE1317" s="2656"/>
      <c r="AF1317" s="2656"/>
      <c r="AG1317" s="2656"/>
      <c r="AH1317" s="2656"/>
      <c r="AI1317" s="2656"/>
      <c r="AJ1317" s="2656"/>
      <c r="AK1317" s="2656"/>
      <c r="AL1317" s="2656"/>
      <c r="AM1317" s="2656"/>
      <c r="AN1317" s="2656"/>
      <c r="AO1317" s="2656"/>
      <c r="AP1317" s="2656"/>
      <c r="AQ1317" s="2656"/>
      <c r="AR1317" s="2656"/>
      <c r="AS1317" s="2656"/>
      <c r="AT1317" s="2656"/>
      <c r="AU1317" s="2656"/>
      <c r="AV1317" s="2656"/>
      <c r="AW1317" s="2656"/>
      <c r="AX1317" s="2656"/>
      <c r="AY1317" s="2656"/>
      <c r="AZ1317" s="2656"/>
      <c r="BA1317" s="2656"/>
      <c r="BB1317" s="2656"/>
      <c r="BC1317" s="2656"/>
      <c r="BD1317" s="2656"/>
      <c r="BE1317" s="2656"/>
      <c r="BF1317" s="2656"/>
      <c r="BG1317" s="2656"/>
      <c r="BH1317" s="2656"/>
      <c r="BI1317" s="2656"/>
    </row>
    <row r="1318" spans="1:61" ht="24.75" customHeight="1">
      <c r="A1318" s="3375"/>
      <c r="B1318" s="2646"/>
      <c r="C1318" s="2647"/>
      <c r="D1318" s="2646"/>
      <c r="E1318" s="3013"/>
      <c r="F1318" s="2655"/>
      <c r="G1318" s="2596"/>
      <c r="H1318" s="4138"/>
      <c r="I1318" s="3375"/>
      <c r="J1318" s="2648"/>
      <c r="K1318" s="3147"/>
      <c r="L1318" s="2785"/>
      <c r="M1318" s="2695"/>
      <c r="N1318" s="2649"/>
      <c r="O1318" s="2655"/>
      <c r="P1318" s="2651"/>
      <c r="Q1318" s="3440"/>
      <c r="R1318" s="3553"/>
      <c r="S1318" s="1407"/>
      <c r="T1318" s="3375"/>
      <c r="U1318" s="2648"/>
      <c r="V1318" s="3554"/>
      <c r="W1318" s="3150"/>
      <c r="X1318" s="2656"/>
      <c r="Y1318" s="2656"/>
      <c r="Z1318" s="2656"/>
      <c r="AA1318" s="2656"/>
      <c r="AB1318" s="2656"/>
      <c r="AC1318" s="2656"/>
      <c r="AD1318" s="2656"/>
      <c r="AE1318" s="2656"/>
      <c r="AF1318" s="2656"/>
      <c r="AG1318" s="2656"/>
      <c r="AH1318" s="2656"/>
      <c r="AI1318" s="2656"/>
      <c r="AJ1318" s="2656"/>
      <c r="AK1318" s="2656"/>
      <c r="AL1318" s="2656"/>
      <c r="AM1318" s="2656"/>
      <c r="AN1318" s="2656"/>
      <c r="AO1318" s="2656"/>
      <c r="AP1318" s="2656"/>
      <c r="AQ1318" s="2656"/>
      <c r="AR1318" s="2656"/>
      <c r="AS1318" s="2656"/>
      <c r="AT1318" s="2656"/>
      <c r="AU1318" s="2656"/>
      <c r="AV1318" s="2656"/>
      <c r="AW1318" s="2656"/>
      <c r="AX1318" s="2656"/>
      <c r="AY1318" s="2656"/>
      <c r="AZ1318" s="2656"/>
      <c r="BA1318" s="2656"/>
      <c r="BB1318" s="2656"/>
      <c r="BC1318" s="2656"/>
      <c r="BD1318" s="2656"/>
      <c r="BE1318" s="2656"/>
      <c r="BF1318" s="2656"/>
      <c r="BG1318" s="2656"/>
      <c r="BH1318" s="2656"/>
      <c r="BI1318" s="2656"/>
    </row>
    <row r="1319" spans="1:61" ht="24.75" customHeight="1">
      <c r="A1319" s="3375"/>
      <c r="B1319" s="2646"/>
      <c r="C1319" s="2647"/>
      <c r="D1319" s="2646"/>
      <c r="E1319" s="3013"/>
      <c r="F1319" s="2655"/>
      <c r="G1319" s="2596"/>
      <c r="H1319" s="4138"/>
      <c r="I1319" s="3375"/>
      <c r="J1319" s="2648"/>
      <c r="K1319" s="3147"/>
      <c r="L1319" s="2785"/>
      <c r="M1319" s="2695"/>
      <c r="N1319" s="2649"/>
      <c r="O1319" s="2655"/>
      <c r="P1319" s="2651"/>
      <c r="Q1319" s="3440"/>
      <c r="R1319" s="3553"/>
      <c r="S1319" s="1407"/>
      <c r="T1319" s="3375"/>
      <c r="U1319" s="2648"/>
      <c r="V1319" s="3554"/>
      <c r="W1319" s="3150"/>
      <c r="X1319" s="2656"/>
      <c r="Y1319" s="2656"/>
      <c r="Z1319" s="2656"/>
      <c r="AA1319" s="2656"/>
      <c r="AB1319" s="2656"/>
      <c r="AC1319" s="2656"/>
      <c r="AD1319" s="2656"/>
      <c r="AE1319" s="2656"/>
      <c r="AF1319" s="2656"/>
      <c r="AG1319" s="2656"/>
      <c r="AH1319" s="2656"/>
      <c r="AI1319" s="2656"/>
      <c r="AJ1319" s="2656"/>
      <c r="AK1319" s="2656"/>
      <c r="AL1319" s="2656"/>
      <c r="AM1319" s="2656"/>
      <c r="AN1319" s="2656"/>
      <c r="AO1319" s="2656"/>
      <c r="AP1319" s="2656"/>
      <c r="AQ1319" s="2656"/>
      <c r="AR1319" s="2656"/>
      <c r="AS1319" s="2656"/>
      <c r="AT1319" s="2656"/>
      <c r="AU1319" s="2656"/>
      <c r="AV1319" s="2656"/>
      <c r="AW1319" s="2656"/>
      <c r="AX1319" s="2656"/>
      <c r="AY1319" s="2656"/>
      <c r="AZ1319" s="2656"/>
      <c r="BA1319" s="2656"/>
      <c r="BB1319" s="2656"/>
      <c r="BC1319" s="2656"/>
      <c r="BD1319" s="2656"/>
      <c r="BE1319" s="2656"/>
      <c r="BF1319" s="2656"/>
      <c r="BG1319" s="2656"/>
      <c r="BH1319" s="2656"/>
      <c r="BI1319" s="2656"/>
    </row>
    <row r="1320" spans="1:61" ht="24.75" customHeight="1">
      <c r="A1320" s="3375"/>
      <c r="B1320" s="2646"/>
      <c r="C1320" s="2647"/>
      <c r="D1320" s="2646"/>
      <c r="E1320" s="3013"/>
      <c r="F1320" s="2655"/>
      <c r="G1320" s="2596"/>
      <c r="H1320" s="4138"/>
      <c r="I1320" s="3375"/>
      <c r="J1320" s="2648"/>
      <c r="K1320" s="3147"/>
      <c r="L1320" s="2785"/>
      <c r="M1320" s="2695"/>
      <c r="N1320" s="2649"/>
      <c r="O1320" s="2655"/>
      <c r="P1320" s="2651"/>
      <c r="Q1320" s="3440"/>
      <c r="R1320" s="3553"/>
      <c r="S1320" s="1407"/>
      <c r="T1320" s="3375"/>
      <c r="U1320" s="2648"/>
      <c r="V1320" s="3554"/>
      <c r="W1320" s="3150"/>
      <c r="X1320" s="2656"/>
      <c r="Y1320" s="2656"/>
      <c r="Z1320" s="2656"/>
      <c r="AA1320" s="2656"/>
      <c r="AB1320" s="2656"/>
      <c r="AC1320" s="2656"/>
      <c r="AD1320" s="2656"/>
      <c r="AE1320" s="2656"/>
      <c r="AF1320" s="2656"/>
      <c r="AG1320" s="2656"/>
      <c r="AH1320" s="2656"/>
      <c r="AI1320" s="2656"/>
      <c r="AJ1320" s="2656"/>
      <c r="AK1320" s="2656"/>
      <c r="AL1320" s="2656"/>
      <c r="AM1320" s="2656"/>
      <c r="AN1320" s="2656"/>
      <c r="AO1320" s="2656"/>
      <c r="AP1320" s="2656"/>
      <c r="AQ1320" s="2656"/>
      <c r="AR1320" s="2656"/>
      <c r="AS1320" s="2656"/>
      <c r="AT1320" s="2656"/>
      <c r="AU1320" s="2656"/>
      <c r="AV1320" s="2656"/>
      <c r="AW1320" s="2656"/>
      <c r="AX1320" s="2656"/>
      <c r="AY1320" s="2656"/>
      <c r="AZ1320" s="2656"/>
      <c r="BA1320" s="2656"/>
      <c r="BB1320" s="2656"/>
      <c r="BC1320" s="2656"/>
      <c r="BD1320" s="2656"/>
      <c r="BE1320" s="2656"/>
      <c r="BF1320" s="2656"/>
      <c r="BG1320" s="2656"/>
      <c r="BH1320" s="2656"/>
      <c r="BI1320" s="2656"/>
    </row>
    <row r="1321" spans="1:61" ht="24.75" customHeight="1">
      <c r="A1321" s="3375"/>
      <c r="B1321" s="2646"/>
      <c r="C1321" s="2647"/>
      <c r="D1321" s="2646"/>
      <c r="E1321" s="3013"/>
      <c r="F1321" s="2655"/>
      <c r="G1321" s="2596"/>
      <c r="H1321" s="4138"/>
      <c r="I1321" s="3375"/>
      <c r="J1321" s="2648"/>
      <c r="K1321" s="3147"/>
      <c r="L1321" s="2785"/>
      <c r="M1321" s="2695"/>
      <c r="N1321" s="2649"/>
      <c r="O1321" s="2655"/>
      <c r="P1321" s="2651"/>
      <c r="Q1321" s="3440"/>
      <c r="R1321" s="3553"/>
      <c r="S1321" s="1407"/>
      <c r="T1321" s="3375"/>
      <c r="U1321" s="2648"/>
      <c r="V1321" s="3554"/>
      <c r="W1321" s="3150"/>
      <c r="X1321" s="2656"/>
      <c r="Y1321" s="2656"/>
      <c r="Z1321" s="2656"/>
      <c r="AA1321" s="2656"/>
      <c r="AB1321" s="2656"/>
      <c r="AC1321" s="2656"/>
      <c r="AD1321" s="2656"/>
      <c r="AE1321" s="2656"/>
      <c r="AF1321" s="2656"/>
      <c r="AG1321" s="2656"/>
      <c r="AH1321" s="2656"/>
      <c r="AI1321" s="2656"/>
      <c r="AJ1321" s="2656"/>
      <c r="AK1321" s="2656"/>
      <c r="AL1321" s="2656"/>
      <c r="AM1321" s="2656"/>
      <c r="AN1321" s="2656"/>
      <c r="AO1321" s="2656"/>
      <c r="AP1321" s="2656"/>
      <c r="AQ1321" s="2656"/>
      <c r="AR1321" s="2656"/>
      <c r="AS1321" s="2656"/>
      <c r="AT1321" s="2656"/>
      <c r="AU1321" s="2656"/>
      <c r="AV1321" s="2656"/>
      <c r="AW1321" s="2656"/>
      <c r="AX1321" s="2656"/>
      <c r="AY1321" s="2656"/>
      <c r="AZ1321" s="2656"/>
      <c r="BA1321" s="2656"/>
      <c r="BB1321" s="2656"/>
      <c r="BC1321" s="2656"/>
      <c r="BD1321" s="2656"/>
      <c r="BE1321" s="2656"/>
      <c r="BF1321" s="2656"/>
      <c r="BG1321" s="2656"/>
      <c r="BH1321" s="2656"/>
      <c r="BI1321" s="2656"/>
    </row>
    <row r="1322" spans="1:61" ht="24.75" customHeight="1">
      <c r="A1322" s="3375"/>
      <c r="B1322" s="2646"/>
      <c r="C1322" s="2647"/>
      <c r="D1322" s="2646"/>
      <c r="E1322" s="3013"/>
      <c r="F1322" s="2655"/>
      <c r="G1322" s="2596"/>
      <c r="H1322" s="4138"/>
      <c r="I1322" s="3375"/>
      <c r="J1322" s="2648"/>
      <c r="K1322" s="3147"/>
      <c r="L1322" s="2785"/>
      <c r="M1322" s="2695"/>
      <c r="N1322" s="2649"/>
      <c r="O1322" s="2655"/>
      <c r="P1322" s="2651"/>
      <c r="Q1322" s="3440"/>
      <c r="R1322" s="3553"/>
      <c r="S1322" s="1407"/>
      <c r="T1322" s="3375"/>
      <c r="U1322" s="2648"/>
      <c r="V1322" s="3554"/>
      <c r="W1322" s="3150"/>
      <c r="X1322" s="2656"/>
      <c r="Y1322" s="2656"/>
      <c r="Z1322" s="2656"/>
      <c r="AA1322" s="2656"/>
      <c r="AB1322" s="2656"/>
      <c r="AC1322" s="2656"/>
      <c r="AD1322" s="2656"/>
      <c r="AE1322" s="2656"/>
      <c r="AF1322" s="2656"/>
      <c r="AG1322" s="2656"/>
      <c r="AH1322" s="2656"/>
      <c r="AI1322" s="2656"/>
      <c r="AJ1322" s="2656"/>
      <c r="AK1322" s="2656"/>
      <c r="AL1322" s="2656"/>
      <c r="AM1322" s="2656"/>
      <c r="AN1322" s="2656"/>
      <c r="AO1322" s="2656"/>
      <c r="AP1322" s="2656"/>
      <c r="AQ1322" s="2656"/>
      <c r="AR1322" s="2656"/>
      <c r="AS1322" s="2656"/>
      <c r="AT1322" s="2656"/>
      <c r="AU1322" s="2656"/>
      <c r="AV1322" s="2656"/>
      <c r="AW1322" s="2656"/>
      <c r="AX1322" s="2656"/>
      <c r="AY1322" s="2656"/>
      <c r="AZ1322" s="2656"/>
      <c r="BA1322" s="2656"/>
      <c r="BB1322" s="2656"/>
      <c r="BC1322" s="2656"/>
      <c r="BD1322" s="2656"/>
      <c r="BE1322" s="2656"/>
      <c r="BF1322" s="2656"/>
      <c r="BG1322" s="2656"/>
      <c r="BH1322" s="2656"/>
      <c r="BI1322" s="2656"/>
    </row>
    <row r="1323" spans="1:61" ht="24.75" customHeight="1">
      <c r="A1323" s="3375"/>
      <c r="B1323" s="2646"/>
      <c r="C1323" s="2647"/>
      <c r="D1323" s="2646"/>
      <c r="E1323" s="3013"/>
      <c r="F1323" s="2655"/>
      <c r="G1323" s="2596"/>
      <c r="H1323" s="4138"/>
      <c r="I1323" s="3375"/>
      <c r="J1323" s="2648"/>
      <c r="K1323" s="3147"/>
      <c r="L1323" s="2785"/>
      <c r="M1323" s="2695"/>
      <c r="N1323" s="2649"/>
      <c r="O1323" s="2655"/>
      <c r="P1323" s="2651"/>
      <c r="Q1323" s="3440"/>
      <c r="R1323" s="3553"/>
      <c r="S1323" s="1407"/>
      <c r="T1323" s="3375"/>
      <c r="U1323" s="2648"/>
      <c r="V1323" s="3554"/>
      <c r="W1323" s="3150"/>
      <c r="X1323" s="2656"/>
      <c r="Y1323" s="2656"/>
      <c r="Z1323" s="2656"/>
      <c r="AA1323" s="2656"/>
      <c r="AB1323" s="2656"/>
      <c r="AC1323" s="2656"/>
      <c r="AD1323" s="2656"/>
      <c r="AE1323" s="2656"/>
      <c r="AF1323" s="2656"/>
      <c r="AG1323" s="2656"/>
      <c r="AH1323" s="2656"/>
      <c r="AI1323" s="2656"/>
      <c r="AJ1323" s="2656"/>
      <c r="AK1323" s="2656"/>
      <c r="AL1323" s="2656"/>
      <c r="AM1323" s="2656"/>
      <c r="AN1323" s="2656"/>
      <c r="AO1323" s="2656"/>
      <c r="AP1323" s="2656"/>
      <c r="AQ1323" s="2656"/>
      <c r="AR1323" s="2656"/>
      <c r="AS1323" s="2656"/>
      <c r="AT1323" s="2656"/>
      <c r="AU1323" s="2656"/>
      <c r="AV1323" s="2656"/>
      <c r="AW1323" s="2656"/>
      <c r="AX1323" s="2656"/>
      <c r="AY1323" s="2656"/>
      <c r="AZ1323" s="2656"/>
      <c r="BA1323" s="2656"/>
      <c r="BB1323" s="2656"/>
      <c r="BC1323" s="2656"/>
      <c r="BD1323" s="2656"/>
      <c r="BE1323" s="2656"/>
      <c r="BF1323" s="2656"/>
      <c r="BG1323" s="2656"/>
      <c r="BH1323" s="2656"/>
      <c r="BI1323" s="2656"/>
    </row>
    <row r="1324" spans="1:61" ht="24.75" customHeight="1">
      <c r="A1324" s="3375"/>
      <c r="B1324" s="2646"/>
      <c r="C1324" s="2647"/>
      <c r="D1324" s="2646"/>
      <c r="E1324" s="3013"/>
      <c r="F1324" s="2655"/>
      <c r="G1324" s="2596"/>
      <c r="H1324" s="4138"/>
      <c r="I1324" s="3375"/>
      <c r="J1324" s="2648"/>
      <c r="K1324" s="3147"/>
      <c r="L1324" s="2785"/>
      <c r="M1324" s="2695"/>
      <c r="N1324" s="2649"/>
      <c r="O1324" s="2655"/>
      <c r="P1324" s="2651"/>
      <c r="Q1324" s="3440"/>
      <c r="R1324" s="3553"/>
      <c r="S1324" s="1407"/>
      <c r="T1324" s="3375"/>
      <c r="U1324" s="2648"/>
      <c r="V1324" s="3554"/>
      <c r="W1324" s="3150"/>
      <c r="X1324" s="2656"/>
      <c r="Y1324" s="2656"/>
      <c r="Z1324" s="2656"/>
      <c r="AA1324" s="2656"/>
      <c r="AB1324" s="2656"/>
      <c r="AC1324" s="2656"/>
      <c r="AD1324" s="2656"/>
      <c r="AE1324" s="2656"/>
      <c r="AF1324" s="2656"/>
      <c r="AG1324" s="2656"/>
      <c r="AH1324" s="2656"/>
      <c r="AI1324" s="2656"/>
      <c r="AJ1324" s="2656"/>
      <c r="AK1324" s="2656"/>
      <c r="AL1324" s="2656"/>
      <c r="AM1324" s="2656"/>
      <c r="AN1324" s="2656"/>
      <c r="AO1324" s="2656"/>
      <c r="AP1324" s="2656"/>
      <c r="AQ1324" s="2656"/>
      <c r="AR1324" s="2656"/>
      <c r="AS1324" s="2656"/>
      <c r="AT1324" s="2656"/>
      <c r="AU1324" s="2656"/>
      <c r="AV1324" s="2656"/>
      <c r="AW1324" s="2656"/>
      <c r="AX1324" s="2656"/>
      <c r="AY1324" s="2656"/>
      <c r="AZ1324" s="2656"/>
      <c r="BA1324" s="2656"/>
      <c r="BB1324" s="2656"/>
      <c r="BC1324" s="2656"/>
      <c r="BD1324" s="2656"/>
      <c r="BE1324" s="2656"/>
      <c r="BF1324" s="2656"/>
      <c r="BG1324" s="2656"/>
      <c r="BH1324" s="2656"/>
      <c r="BI1324" s="2656"/>
    </row>
    <row r="1325" spans="1:61" ht="24.75" customHeight="1">
      <c r="A1325" s="3375"/>
      <c r="B1325" s="2646"/>
      <c r="C1325" s="2647"/>
      <c r="D1325" s="2646"/>
      <c r="E1325" s="3013"/>
      <c r="F1325" s="2655"/>
      <c r="G1325" s="2596"/>
      <c r="H1325" s="4138"/>
      <c r="I1325" s="3375"/>
      <c r="J1325" s="2648"/>
      <c r="K1325" s="3147"/>
      <c r="L1325" s="2785"/>
      <c r="M1325" s="2695"/>
      <c r="N1325" s="2649"/>
      <c r="O1325" s="2655"/>
      <c r="P1325" s="2651"/>
      <c r="Q1325" s="3440"/>
      <c r="R1325" s="3553"/>
      <c r="S1325" s="1407"/>
      <c r="T1325" s="3375"/>
      <c r="U1325" s="2648"/>
      <c r="V1325" s="3554"/>
      <c r="W1325" s="3150"/>
      <c r="X1325" s="2656"/>
      <c r="Y1325" s="2656"/>
      <c r="Z1325" s="2656"/>
      <c r="AA1325" s="2656"/>
      <c r="AB1325" s="2656"/>
      <c r="AC1325" s="2656"/>
      <c r="AD1325" s="2656"/>
      <c r="AE1325" s="2656"/>
      <c r="AF1325" s="2656"/>
      <c r="AG1325" s="2656"/>
      <c r="AH1325" s="2656"/>
      <c r="AI1325" s="2656"/>
      <c r="AJ1325" s="2656"/>
      <c r="AK1325" s="2656"/>
      <c r="AL1325" s="2656"/>
      <c r="AM1325" s="2656"/>
      <c r="AN1325" s="2656"/>
      <c r="AO1325" s="2656"/>
      <c r="AP1325" s="2656"/>
      <c r="AQ1325" s="2656"/>
      <c r="AR1325" s="2656"/>
      <c r="AS1325" s="2656"/>
      <c r="AT1325" s="2656"/>
      <c r="AU1325" s="2656"/>
      <c r="AV1325" s="2656"/>
      <c r="AW1325" s="2656"/>
      <c r="AX1325" s="2656"/>
      <c r="AY1325" s="2656"/>
      <c r="AZ1325" s="2656"/>
      <c r="BA1325" s="2656"/>
      <c r="BB1325" s="2656"/>
      <c r="BC1325" s="2656"/>
      <c r="BD1325" s="2656"/>
      <c r="BE1325" s="2656"/>
      <c r="BF1325" s="2656"/>
      <c r="BG1325" s="2656"/>
      <c r="BH1325" s="2656"/>
      <c r="BI1325" s="2656"/>
    </row>
    <row r="1326" spans="1:61" ht="24.75" customHeight="1">
      <c r="A1326" s="3375"/>
      <c r="B1326" s="2646"/>
      <c r="C1326" s="2647"/>
      <c r="D1326" s="2646"/>
      <c r="E1326" s="3013"/>
      <c r="F1326" s="2655"/>
      <c r="G1326" s="2596"/>
      <c r="H1326" s="4138"/>
      <c r="I1326" s="3375"/>
      <c r="J1326" s="2648"/>
      <c r="K1326" s="3147"/>
      <c r="L1326" s="2785"/>
      <c r="M1326" s="2695"/>
      <c r="N1326" s="2649"/>
      <c r="O1326" s="2655"/>
      <c r="P1326" s="2651"/>
      <c r="Q1326" s="3440"/>
      <c r="R1326" s="3553"/>
      <c r="S1326" s="1407"/>
      <c r="T1326" s="3375"/>
      <c r="U1326" s="2648"/>
      <c r="V1326" s="3554"/>
      <c r="W1326" s="3150"/>
      <c r="X1326" s="2656"/>
      <c r="Y1326" s="2656"/>
      <c r="Z1326" s="2656"/>
      <c r="AA1326" s="2656"/>
      <c r="AB1326" s="2656"/>
      <c r="AC1326" s="2656"/>
      <c r="AD1326" s="2656"/>
      <c r="AE1326" s="2656"/>
      <c r="AF1326" s="2656"/>
      <c r="AG1326" s="2656"/>
      <c r="AH1326" s="2656"/>
      <c r="AI1326" s="2656"/>
      <c r="AJ1326" s="2656"/>
      <c r="AK1326" s="2656"/>
      <c r="AL1326" s="2656"/>
      <c r="AM1326" s="2656"/>
      <c r="AN1326" s="2656"/>
      <c r="AO1326" s="2656"/>
      <c r="AP1326" s="2656"/>
      <c r="AQ1326" s="2656"/>
      <c r="AR1326" s="2656"/>
      <c r="AS1326" s="2656"/>
      <c r="AT1326" s="2656"/>
      <c r="AU1326" s="2656"/>
      <c r="AV1326" s="2656"/>
      <c r="AW1326" s="2656"/>
      <c r="AX1326" s="2656"/>
      <c r="AY1326" s="2656"/>
      <c r="AZ1326" s="2656"/>
      <c r="BA1326" s="2656"/>
      <c r="BB1326" s="2656"/>
      <c r="BC1326" s="2656"/>
      <c r="BD1326" s="2656"/>
      <c r="BE1326" s="2656"/>
      <c r="BF1326" s="2656"/>
      <c r="BG1326" s="2656"/>
      <c r="BH1326" s="2656"/>
      <c r="BI1326" s="2656"/>
    </row>
    <row r="1327" spans="1:61" ht="24.75" customHeight="1">
      <c r="A1327" s="3375"/>
      <c r="B1327" s="2646"/>
      <c r="C1327" s="2647"/>
      <c r="D1327" s="2646"/>
      <c r="E1327" s="3013"/>
      <c r="F1327" s="2655"/>
      <c r="G1327" s="2596"/>
      <c r="H1327" s="4138"/>
      <c r="I1327" s="3375"/>
      <c r="J1327" s="2648"/>
      <c r="K1327" s="3147"/>
      <c r="L1327" s="2785"/>
      <c r="M1327" s="2695"/>
      <c r="N1327" s="2649"/>
      <c r="O1327" s="2655"/>
      <c r="P1327" s="2651"/>
      <c r="Q1327" s="3440"/>
      <c r="R1327" s="3553"/>
      <c r="S1327" s="1407"/>
      <c r="T1327" s="3375"/>
      <c r="U1327" s="2648"/>
      <c r="V1327" s="3554"/>
      <c r="W1327" s="3150"/>
      <c r="X1327" s="2656"/>
      <c r="Y1327" s="2656"/>
      <c r="Z1327" s="2656"/>
      <c r="AA1327" s="2656"/>
      <c r="AB1327" s="2656"/>
      <c r="AC1327" s="2656"/>
      <c r="AD1327" s="2656"/>
      <c r="AE1327" s="2656"/>
      <c r="AF1327" s="2656"/>
      <c r="AG1327" s="2656"/>
      <c r="AH1327" s="2656"/>
      <c r="AI1327" s="2656"/>
      <c r="AJ1327" s="2656"/>
      <c r="AK1327" s="2656"/>
      <c r="AL1327" s="2656"/>
      <c r="AM1327" s="2656"/>
      <c r="AN1327" s="2656"/>
      <c r="AO1327" s="2656"/>
      <c r="AP1327" s="2656"/>
      <c r="AQ1327" s="2656"/>
      <c r="AR1327" s="2656"/>
      <c r="AS1327" s="2656"/>
      <c r="AT1327" s="2656"/>
      <c r="AU1327" s="2656"/>
      <c r="AV1327" s="2656"/>
      <c r="AW1327" s="2656"/>
      <c r="AX1327" s="2656"/>
      <c r="AY1327" s="2656"/>
      <c r="AZ1327" s="2656"/>
      <c r="BA1327" s="2656"/>
      <c r="BB1327" s="2656"/>
      <c r="BC1327" s="2656"/>
      <c r="BD1327" s="2656"/>
      <c r="BE1327" s="2656"/>
      <c r="BF1327" s="2656"/>
      <c r="BG1327" s="2656"/>
      <c r="BH1327" s="2656"/>
      <c r="BI1327" s="2656"/>
    </row>
    <row r="1328" spans="1:61" ht="24.75" customHeight="1">
      <c r="A1328" s="3375"/>
      <c r="B1328" s="2646"/>
      <c r="C1328" s="2647"/>
      <c r="D1328" s="2646"/>
      <c r="E1328" s="3013"/>
      <c r="F1328" s="2655"/>
      <c r="G1328" s="2596"/>
      <c r="H1328" s="4138"/>
      <c r="I1328" s="3375"/>
      <c r="J1328" s="2648"/>
      <c r="K1328" s="3147"/>
      <c r="L1328" s="2785"/>
      <c r="M1328" s="2695"/>
      <c r="N1328" s="2649"/>
      <c r="O1328" s="2655"/>
      <c r="P1328" s="2651"/>
      <c r="Q1328" s="3440"/>
      <c r="R1328" s="3553"/>
      <c r="S1328" s="1407"/>
      <c r="T1328" s="3375"/>
      <c r="U1328" s="2648"/>
      <c r="V1328" s="3554"/>
      <c r="W1328" s="3150"/>
      <c r="X1328" s="2656"/>
      <c r="Y1328" s="2656"/>
      <c r="Z1328" s="2656"/>
      <c r="AA1328" s="2656"/>
      <c r="AB1328" s="2656"/>
      <c r="AC1328" s="2656"/>
      <c r="AD1328" s="2656"/>
      <c r="AE1328" s="2656"/>
      <c r="AF1328" s="2656"/>
      <c r="AG1328" s="2656"/>
      <c r="AH1328" s="2656"/>
      <c r="AI1328" s="2656"/>
      <c r="AJ1328" s="2656"/>
      <c r="AK1328" s="2656"/>
      <c r="AL1328" s="2656"/>
      <c r="AM1328" s="2656"/>
      <c r="AN1328" s="2656"/>
      <c r="AO1328" s="2656"/>
      <c r="AP1328" s="2656"/>
      <c r="AQ1328" s="2656"/>
      <c r="AR1328" s="2656"/>
      <c r="AS1328" s="2656"/>
      <c r="AT1328" s="2656"/>
      <c r="AU1328" s="2656"/>
      <c r="AV1328" s="2656"/>
      <c r="AW1328" s="2656"/>
      <c r="AX1328" s="2656"/>
      <c r="AY1328" s="2656"/>
      <c r="AZ1328" s="2656"/>
      <c r="BA1328" s="2656"/>
      <c r="BB1328" s="2656"/>
      <c r="BC1328" s="2656"/>
      <c r="BD1328" s="2656"/>
      <c r="BE1328" s="2656"/>
      <c r="BF1328" s="2656"/>
      <c r="BG1328" s="2656"/>
      <c r="BH1328" s="2656"/>
      <c r="BI1328" s="2656"/>
    </row>
    <row r="1329" spans="1:61" ht="24.75" customHeight="1">
      <c r="A1329" s="3375"/>
      <c r="B1329" s="2646"/>
      <c r="C1329" s="2647"/>
      <c r="D1329" s="2646"/>
      <c r="E1329" s="3013"/>
      <c r="F1329" s="2655"/>
      <c r="G1329" s="2596"/>
      <c r="H1329" s="4138"/>
      <c r="I1329" s="3375"/>
      <c r="J1329" s="2648"/>
      <c r="K1329" s="3147"/>
      <c r="L1329" s="2785"/>
      <c r="M1329" s="2695"/>
      <c r="N1329" s="2649"/>
      <c r="O1329" s="2655"/>
      <c r="P1329" s="2651"/>
      <c r="Q1329" s="3440"/>
      <c r="R1329" s="3553"/>
      <c r="S1329" s="1407"/>
      <c r="T1329" s="3375"/>
      <c r="U1329" s="2648"/>
      <c r="V1329" s="3554"/>
      <c r="W1329" s="3150"/>
      <c r="X1329" s="2656"/>
      <c r="Y1329" s="2656"/>
      <c r="Z1329" s="2656"/>
      <c r="AA1329" s="2656"/>
      <c r="AB1329" s="2656"/>
      <c r="AC1329" s="2656"/>
      <c r="AD1329" s="2656"/>
      <c r="AE1329" s="2656"/>
      <c r="AF1329" s="2656"/>
      <c r="AG1329" s="2656"/>
      <c r="AH1329" s="2656"/>
      <c r="AI1329" s="2656"/>
      <c r="AJ1329" s="2656"/>
      <c r="AK1329" s="2656"/>
      <c r="AL1329" s="2656"/>
      <c r="AM1329" s="2656"/>
      <c r="AN1329" s="2656"/>
      <c r="AO1329" s="2656"/>
      <c r="AP1329" s="2656"/>
      <c r="AQ1329" s="2656"/>
      <c r="AR1329" s="2656"/>
      <c r="AS1329" s="2656"/>
      <c r="AT1329" s="2656"/>
      <c r="AU1329" s="2656"/>
      <c r="AV1329" s="2656"/>
      <c r="AW1329" s="2656"/>
      <c r="AX1329" s="2656"/>
      <c r="AY1329" s="2656"/>
      <c r="AZ1329" s="2656"/>
      <c r="BA1329" s="2656"/>
      <c r="BB1329" s="2656"/>
      <c r="BC1329" s="2656"/>
      <c r="BD1329" s="2656"/>
      <c r="BE1329" s="2656"/>
      <c r="BF1329" s="2656"/>
      <c r="BG1329" s="2656"/>
      <c r="BH1329" s="2656"/>
      <c r="BI1329" s="2656"/>
    </row>
    <row r="1330" spans="1:61" ht="24.75" customHeight="1">
      <c r="A1330" s="3375"/>
      <c r="B1330" s="2646"/>
      <c r="C1330" s="2647"/>
      <c r="D1330" s="2646"/>
      <c r="E1330" s="3013"/>
      <c r="F1330" s="2655"/>
      <c r="G1330" s="2596"/>
      <c r="H1330" s="4138"/>
      <c r="I1330" s="3375"/>
      <c r="J1330" s="2648"/>
      <c r="K1330" s="3147"/>
      <c r="L1330" s="2785"/>
      <c r="M1330" s="2695"/>
      <c r="N1330" s="2649"/>
      <c r="O1330" s="2655"/>
      <c r="P1330" s="2651"/>
      <c r="Q1330" s="3440"/>
      <c r="R1330" s="3553"/>
      <c r="S1330" s="1407"/>
      <c r="T1330" s="3375"/>
      <c r="U1330" s="2648"/>
      <c r="V1330" s="3554"/>
      <c r="W1330" s="3150"/>
      <c r="X1330" s="2656"/>
      <c r="Y1330" s="2656"/>
      <c r="Z1330" s="2656"/>
      <c r="AA1330" s="2656"/>
      <c r="AB1330" s="2656"/>
      <c r="AC1330" s="2656"/>
      <c r="AD1330" s="2656"/>
      <c r="AE1330" s="2656"/>
      <c r="AF1330" s="2656"/>
      <c r="AG1330" s="2656"/>
      <c r="AH1330" s="2656"/>
      <c r="AI1330" s="2656"/>
      <c r="AJ1330" s="2656"/>
      <c r="AK1330" s="2656"/>
      <c r="AL1330" s="2656"/>
      <c r="AM1330" s="2656"/>
      <c r="AN1330" s="2656"/>
      <c r="AO1330" s="2656"/>
      <c r="AP1330" s="2656"/>
      <c r="AQ1330" s="2656"/>
      <c r="AR1330" s="2656"/>
      <c r="AS1330" s="2656"/>
      <c r="AT1330" s="2656"/>
      <c r="AU1330" s="2656"/>
      <c r="AV1330" s="2656"/>
      <c r="AW1330" s="2656"/>
      <c r="AX1330" s="2656"/>
      <c r="AY1330" s="2656"/>
      <c r="AZ1330" s="2656"/>
      <c r="BA1330" s="2656"/>
      <c r="BB1330" s="2656"/>
      <c r="BC1330" s="2656"/>
      <c r="BD1330" s="2656"/>
      <c r="BE1330" s="2656"/>
      <c r="BF1330" s="2656"/>
      <c r="BG1330" s="2656"/>
      <c r="BH1330" s="2656"/>
      <c r="BI1330" s="2656"/>
    </row>
    <row r="1331" spans="1:61" ht="24.75" customHeight="1">
      <c r="A1331" s="3375"/>
      <c r="B1331" s="2646"/>
      <c r="C1331" s="2647"/>
      <c r="D1331" s="2646"/>
      <c r="E1331" s="3013"/>
      <c r="F1331" s="2655"/>
      <c r="G1331" s="2596"/>
      <c r="H1331" s="4138"/>
      <c r="I1331" s="3375"/>
      <c r="J1331" s="2648"/>
      <c r="K1331" s="3147"/>
      <c r="L1331" s="2785"/>
      <c r="M1331" s="2695"/>
      <c r="N1331" s="2649"/>
      <c r="O1331" s="2655"/>
      <c r="P1331" s="2651"/>
      <c r="Q1331" s="3440"/>
      <c r="R1331" s="3553"/>
      <c r="S1331" s="1407"/>
      <c r="T1331" s="3375"/>
      <c r="U1331" s="2648"/>
      <c r="V1331" s="3554"/>
      <c r="W1331" s="3150"/>
      <c r="X1331" s="2656"/>
      <c r="Y1331" s="2656"/>
      <c r="Z1331" s="2656"/>
      <c r="AA1331" s="2656"/>
      <c r="AB1331" s="2656"/>
      <c r="AC1331" s="2656"/>
      <c r="AD1331" s="2656"/>
      <c r="AE1331" s="2656"/>
      <c r="AF1331" s="2656"/>
      <c r="AG1331" s="2656"/>
      <c r="AH1331" s="2656"/>
      <c r="AI1331" s="2656"/>
      <c r="AJ1331" s="2656"/>
      <c r="AK1331" s="2656"/>
      <c r="AL1331" s="2656"/>
      <c r="AM1331" s="2656"/>
      <c r="AN1331" s="2656"/>
      <c r="AO1331" s="2656"/>
      <c r="AP1331" s="2656"/>
      <c r="AQ1331" s="2656"/>
      <c r="AR1331" s="2656"/>
      <c r="AS1331" s="2656"/>
      <c r="AT1331" s="2656"/>
      <c r="AU1331" s="2656"/>
      <c r="AV1331" s="2656"/>
      <c r="AW1331" s="2656"/>
      <c r="AX1331" s="2656"/>
      <c r="AY1331" s="2656"/>
      <c r="AZ1331" s="2656"/>
      <c r="BA1331" s="2656"/>
      <c r="BB1331" s="2656"/>
      <c r="BC1331" s="2656"/>
      <c r="BD1331" s="2656"/>
      <c r="BE1331" s="2656"/>
      <c r="BF1331" s="2656"/>
      <c r="BG1331" s="2656"/>
      <c r="BH1331" s="2656"/>
      <c r="BI1331" s="2656"/>
    </row>
    <row r="1332" spans="1:61" ht="24.75" customHeight="1">
      <c r="A1332" s="3375"/>
      <c r="B1332" s="2646"/>
      <c r="C1332" s="2647"/>
      <c r="D1332" s="2646"/>
      <c r="E1332" s="3013"/>
      <c r="F1332" s="2655"/>
      <c r="G1332" s="2596"/>
      <c r="H1332" s="4138"/>
      <c r="I1332" s="3375"/>
      <c r="J1332" s="2648"/>
      <c r="K1332" s="3147"/>
      <c r="L1332" s="2785"/>
      <c r="M1332" s="2695"/>
      <c r="N1332" s="2649"/>
      <c r="O1332" s="2655"/>
      <c r="P1332" s="2651"/>
      <c r="Q1332" s="3440"/>
      <c r="R1332" s="3553"/>
      <c r="S1332" s="1407"/>
      <c r="T1332" s="3375"/>
      <c r="U1332" s="2648"/>
      <c r="V1332" s="3554"/>
      <c r="W1332" s="3150"/>
      <c r="X1332" s="2656"/>
      <c r="Y1332" s="2656"/>
      <c r="Z1332" s="2656"/>
      <c r="AA1332" s="2656"/>
      <c r="AB1332" s="2656"/>
      <c r="AC1332" s="2656"/>
      <c r="AD1332" s="2656"/>
      <c r="AE1332" s="2656"/>
      <c r="AF1332" s="2656"/>
      <c r="AG1332" s="2656"/>
      <c r="AH1332" s="2656"/>
      <c r="AI1332" s="2656"/>
      <c r="AJ1332" s="2656"/>
      <c r="AK1332" s="2656"/>
      <c r="AL1332" s="2656"/>
      <c r="AM1332" s="2656"/>
      <c r="AN1332" s="2656"/>
      <c r="AO1332" s="2656"/>
      <c r="AP1332" s="2656"/>
      <c r="AQ1332" s="2656"/>
      <c r="AR1332" s="2656"/>
      <c r="AS1332" s="2656"/>
      <c r="AT1332" s="2656"/>
      <c r="AU1332" s="2656"/>
      <c r="AV1332" s="2656"/>
      <c r="AW1332" s="2656"/>
      <c r="AX1332" s="2656"/>
      <c r="AY1332" s="2656"/>
      <c r="AZ1332" s="2656"/>
      <c r="BA1332" s="2656"/>
      <c r="BB1332" s="2656"/>
      <c r="BC1332" s="2656"/>
      <c r="BD1332" s="2656"/>
      <c r="BE1332" s="2656"/>
      <c r="BF1332" s="2656"/>
      <c r="BG1332" s="2656"/>
      <c r="BH1332" s="2656"/>
      <c r="BI1332" s="2656"/>
    </row>
    <row r="1333" spans="1:61" ht="24.75" customHeight="1">
      <c r="A1333" s="3375"/>
      <c r="B1333" s="2646"/>
      <c r="C1333" s="2647"/>
      <c r="D1333" s="2646"/>
      <c r="E1333" s="3013"/>
      <c r="F1333" s="2655"/>
      <c r="G1333" s="2596"/>
      <c r="H1333" s="4138"/>
      <c r="I1333" s="3375"/>
      <c r="J1333" s="2648"/>
      <c r="K1333" s="3147"/>
      <c r="L1333" s="2785"/>
      <c r="M1333" s="2695"/>
      <c r="N1333" s="2649"/>
      <c r="O1333" s="2655"/>
      <c r="P1333" s="2651"/>
      <c r="Q1333" s="3440"/>
      <c r="R1333" s="3553"/>
      <c r="S1333" s="1407"/>
      <c r="T1333" s="3375"/>
      <c r="U1333" s="2648"/>
      <c r="V1333" s="3554"/>
      <c r="W1333" s="3150"/>
      <c r="X1333" s="2656"/>
      <c r="Y1333" s="2656"/>
      <c r="Z1333" s="2656"/>
      <c r="AA1333" s="2656"/>
      <c r="AB1333" s="2656"/>
      <c r="AC1333" s="2656"/>
      <c r="AD1333" s="2656"/>
      <c r="AE1333" s="2656"/>
      <c r="AF1333" s="2656"/>
      <c r="AG1333" s="2656"/>
      <c r="AH1333" s="2656"/>
      <c r="AI1333" s="2656"/>
      <c r="AJ1333" s="2656"/>
      <c r="AK1333" s="2656"/>
      <c r="AL1333" s="2656"/>
      <c r="AM1333" s="2656"/>
      <c r="AN1333" s="2656"/>
      <c r="AO1333" s="2656"/>
      <c r="AP1333" s="2656"/>
      <c r="AQ1333" s="2656"/>
      <c r="AR1333" s="2656"/>
      <c r="AS1333" s="2656"/>
      <c r="AT1333" s="2656"/>
      <c r="AU1333" s="2656"/>
      <c r="AV1333" s="2656"/>
      <c r="AW1333" s="2656"/>
      <c r="AX1333" s="2656"/>
      <c r="AY1333" s="2656"/>
      <c r="AZ1333" s="2656"/>
      <c r="BA1333" s="2656"/>
      <c r="BB1333" s="2656"/>
      <c r="BC1333" s="2656"/>
      <c r="BD1333" s="2656"/>
      <c r="BE1333" s="2656"/>
      <c r="BF1333" s="2656"/>
      <c r="BG1333" s="2656"/>
      <c r="BH1333" s="2656"/>
      <c r="BI1333" s="2656"/>
    </row>
    <row r="1334" spans="1:61" ht="24.75" customHeight="1">
      <c r="A1334" s="3375"/>
      <c r="B1334" s="2646"/>
      <c r="C1334" s="2647"/>
      <c r="D1334" s="2646"/>
      <c r="E1334" s="3013"/>
      <c r="F1334" s="2655"/>
      <c r="G1334" s="2596"/>
      <c r="H1334" s="4138"/>
      <c r="I1334" s="3375"/>
      <c r="J1334" s="2648"/>
      <c r="K1334" s="3147"/>
      <c r="L1334" s="2785"/>
      <c r="M1334" s="2695"/>
      <c r="N1334" s="2649"/>
      <c r="O1334" s="2655"/>
      <c r="P1334" s="2651"/>
      <c r="Q1334" s="3440"/>
      <c r="R1334" s="3553"/>
      <c r="S1334" s="1407"/>
      <c r="T1334" s="3375"/>
      <c r="U1334" s="2648"/>
      <c r="V1334" s="3554"/>
      <c r="W1334" s="3150"/>
      <c r="X1334" s="2656"/>
      <c r="Y1334" s="2656"/>
      <c r="Z1334" s="2656"/>
      <c r="AA1334" s="2656"/>
      <c r="AB1334" s="2656"/>
      <c r="AC1334" s="2656"/>
      <c r="AD1334" s="2656"/>
      <c r="AE1334" s="2656"/>
      <c r="AF1334" s="2656"/>
      <c r="AG1334" s="2656"/>
      <c r="AH1334" s="2656"/>
      <c r="AI1334" s="2656"/>
      <c r="AJ1334" s="2656"/>
      <c r="AK1334" s="2656"/>
      <c r="AL1334" s="2656"/>
      <c r="AM1334" s="2656"/>
      <c r="AN1334" s="2656"/>
      <c r="AO1334" s="2656"/>
      <c r="AP1334" s="2656"/>
      <c r="AQ1334" s="2656"/>
      <c r="AR1334" s="2656"/>
      <c r="AS1334" s="2656"/>
      <c r="AT1334" s="2656"/>
      <c r="AU1334" s="2656"/>
      <c r="AV1334" s="2656"/>
      <c r="AW1334" s="2656"/>
      <c r="AX1334" s="2656"/>
      <c r="AY1334" s="2656"/>
      <c r="AZ1334" s="2656"/>
      <c r="BA1334" s="2656"/>
      <c r="BB1334" s="2656"/>
      <c r="BC1334" s="2656"/>
      <c r="BD1334" s="2656"/>
      <c r="BE1334" s="2656"/>
      <c r="BF1334" s="2656"/>
      <c r="BG1334" s="2656"/>
      <c r="BH1334" s="2656"/>
      <c r="BI1334" s="2656"/>
    </row>
    <row r="1335" spans="1:61" ht="24.75" customHeight="1">
      <c r="A1335" s="3375"/>
      <c r="B1335" s="2646"/>
      <c r="C1335" s="2647"/>
      <c r="D1335" s="2646"/>
      <c r="E1335" s="3013"/>
      <c r="F1335" s="2655"/>
      <c r="G1335" s="2596"/>
      <c r="H1335" s="4138"/>
      <c r="I1335" s="3375"/>
      <c r="J1335" s="2648"/>
      <c r="K1335" s="3147"/>
      <c r="L1335" s="2785"/>
      <c r="M1335" s="2695"/>
      <c r="N1335" s="2649"/>
      <c r="O1335" s="2655"/>
      <c r="P1335" s="2651"/>
      <c r="Q1335" s="3440"/>
      <c r="R1335" s="3553"/>
      <c r="S1335" s="1407"/>
      <c r="T1335" s="3375"/>
      <c r="U1335" s="2648"/>
      <c r="V1335" s="3554"/>
      <c r="W1335" s="3150"/>
      <c r="X1335" s="2656"/>
      <c r="Y1335" s="2656"/>
      <c r="Z1335" s="2656"/>
      <c r="AA1335" s="2656"/>
      <c r="AB1335" s="2656"/>
      <c r="AC1335" s="2656"/>
      <c r="AD1335" s="2656"/>
      <c r="AE1335" s="2656"/>
      <c r="AF1335" s="2656"/>
      <c r="AG1335" s="2656"/>
      <c r="AH1335" s="2656"/>
      <c r="AI1335" s="2656"/>
      <c r="AJ1335" s="2656"/>
      <c r="AK1335" s="2656"/>
      <c r="AL1335" s="2656"/>
      <c r="AM1335" s="2656"/>
      <c r="AN1335" s="2656"/>
      <c r="AO1335" s="2656"/>
      <c r="AP1335" s="2656"/>
      <c r="AQ1335" s="2656"/>
      <c r="AR1335" s="2656"/>
      <c r="AS1335" s="2656"/>
      <c r="AT1335" s="2656"/>
      <c r="AU1335" s="2656"/>
      <c r="AV1335" s="2656"/>
      <c r="AW1335" s="2656"/>
      <c r="AX1335" s="2656"/>
      <c r="AY1335" s="2656"/>
      <c r="AZ1335" s="2656"/>
      <c r="BA1335" s="2656"/>
      <c r="BB1335" s="2656"/>
      <c r="BC1335" s="2656"/>
      <c r="BD1335" s="2656"/>
      <c r="BE1335" s="2656"/>
      <c r="BF1335" s="2656"/>
      <c r="BG1335" s="2656"/>
      <c r="BH1335" s="2656"/>
      <c r="BI1335" s="2656"/>
    </row>
    <row r="1336" spans="1:61" ht="24.75" customHeight="1">
      <c r="A1336" s="3375"/>
      <c r="B1336" s="2646"/>
      <c r="C1336" s="2647"/>
      <c r="D1336" s="2646"/>
      <c r="E1336" s="3013"/>
      <c r="F1336" s="2655"/>
      <c r="G1336" s="2596"/>
      <c r="H1336" s="4138"/>
      <c r="I1336" s="3375"/>
      <c r="J1336" s="2648"/>
      <c r="K1336" s="3147"/>
      <c r="L1336" s="2785"/>
      <c r="M1336" s="2695"/>
      <c r="N1336" s="2649"/>
      <c r="O1336" s="2655"/>
      <c r="P1336" s="2651"/>
      <c r="Q1336" s="3440"/>
      <c r="R1336" s="3553"/>
      <c r="S1336" s="1407"/>
      <c r="T1336" s="3375"/>
      <c r="U1336" s="2648"/>
      <c r="V1336" s="3554"/>
      <c r="W1336" s="3150"/>
      <c r="X1336" s="2656"/>
      <c r="Y1336" s="2656"/>
      <c r="Z1336" s="2656"/>
      <c r="AA1336" s="2656"/>
      <c r="AB1336" s="2656"/>
      <c r="AC1336" s="2656"/>
      <c r="AD1336" s="2656"/>
      <c r="AE1336" s="2656"/>
      <c r="AF1336" s="2656"/>
      <c r="AG1336" s="2656"/>
      <c r="AH1336" s="2656"/>
      <c r="AI1336" s="2656"/>
      <c r="AJ1336" s="2656"/>
      <c r="AK1336" s="2656"/>
      <c r="AL1336" s="2656"/>
      <c r="AM1336" s="2656"/>
      <c r="AN1336" s="2656"/>
      <c r="AO1336" s="2656"/>
      <c r="AP1336" s="2656"/>
      <c r="AQ1336" s="2656"/>
      <c r="AR1336" s="2656"/>
      <c r="AS1336" s="2656"/>
      <c r="AT1336" s="2656"/>
      <c r="AU1336" s="2656"/>
      <c r="AV1336" s="2656"/>
      <c r="AW1336" s="2656"/>
      <c r="AX1336" s="2656"/>
      <c r="AY1336" s="2656"/>
      <c r="AZ1336" s="2656"/>
      <c r="BA1336" s="2656"/>
      <c r="BB1336" s="2656"/>
      <c r="BC1336" s="2656"/>
      <c r="BD1336" s="2656"/>
      <c r="BE1336" s="2656"/>
      <c r="BF1336" s="2656"/>
      <c r="BG1336" s="2656"/>
      <c r="BH1336" s="2656"/>
      <c r="BI1336" s="2656"/>
    </row>
    <row r="1337" spans="1:61" ht="24.75" customHeight="1">
      <c r="A1337" s="3375"/>
      <c r="B1337" s="2646"/>
      <c r="C1337" s="2647"/>
      <c r="D1337" s="2646"/>
      <c r="E1337" s="3013"/>
      <c r="F1337" s="2655"/>
      <c r="G1337" s="2596"/>
      <c r="H1337" s="4138"/>
      <c r="I1337" s="3375"/>
      <c r="J1337" s="2648"/>
      <c r="K1337" s="3147"/>
      <c r="L1337" s="2785"/>
      <c r="M1337" s="2695"/>
      <c r="N1337" s="2649"/>
      <c r="O1337" s="2655"/>
      <c r="P1337" s="2651"/>
      <c r="Q1337" s="3440"/>
      <c r="R1337" s="3553"/>
      <c r="S1337" s="1407"/>
      <c r="T1337" s="3375"/>
      <c r="U1337" s="2648"/>
      <c r="V1337" s="3554"/>
      <c r="W1337" s="3150"/>
      <c r="X1337" s="2656"/>
      <c r="Y1337" s="2656"/>
      <c r="Z1337" s="2656"/>
      <c r="AA1337" s="2656"/>
      <c r="AB1337" s="2656"/>
      <c r="AC1337" s="2656"/>
      <c r="AD1337" s="2656"/>
      <c r="AE1337" s="2656"/>
      <c r="AF1337" s="2656"/>
      <c r="AG1337" s="2656"/>
      <c r="AH1337" s="2656"/>
      <c r="AI1337" s="2656"/>
      <c r="AJ1337" s="2656"/>
      <c r="AK1337" s="2656"/>
      <c r="AL1337" s="2656"/>
      <c r="AM1337" s="2656"/>
      <c r="AN1337" s="2656"/>
      <c r="AO1337" s="2656"/>
      <c r="AP1337" s="2656"/>
      <c r="AQ1337" s="2656"/>
      <c r="AR1337" s="2656"/>
      <c r="AS1337" s="2656"/>
      <c r="AT1337" s="2656"/>
      <c r="AU1337" s="2656"/>
      <c r="AV1337" s="2656"/>
      <c r="AW1337" s="2656"/>
      <c r="AX1337" s="2656"/>
      <c r="AY1337" s="2656"/>
      <c r="AZ1337" s="2656"/>
      <c r="BA1337" s="2656"/>
      <c r="BB1337" s="2656"/>
      <c r="BC1337" s="2656"/>
      <c r="BD1337" s="2656"/>
      <c r="BE1337" s="2656"/>
      <c r="BF1337" s="2656"/>
      <c r="BG1337" s="2656"/>
      <c r="BH1337" s="2656"/>
      <c r="BI1337" s="2656"/>
    </row>
    <row r="1338" spans="1:61" ht="24.75" customHeight="1">
      <c r="A1338" s="3375"/>
      <c r="B1338" s="2646"/>
      <c r="C1338" s="2647"/>
      <c r="D1338" s="2646"/>
      <c r="E1338" s="3013"/>
      <c r="F1338" s="2655"/>
      <c r="G1338" s="2596"/>
      <c r="H1338" s="4138"/>
      <c r="I1338" s="3375"/>
      <c r="J1338" s="2648"/>
      <c r="K1338" s="3147"/>
      <c r="L1338" s="2785"/>
      <c r="M1338" s="2695"/>
      <c r="N1338" s="2649"/>
      <c r="O1338" s="2655"/>
      <c r="P1338" s="2651"/>
      <c r="Q1338" s="3440"/>
      <c r="R1338" s="3553"/>
      <c r="S1338" s="1407"/>
      <c r="T1338" s="3375"/>
      <c r="U1338" s="2648"/>
      <c r="V1338" s="3554"/>
      <c r="W1338" s="3150"/>
      <c r="X1338" s="2656"/>
      <c r="Y1338" s="2656"/>
      <c r="Z1338" s="2656"/>
      <c r="AA1338" s="2656"/>
      <c r="AB1338" s="2656"/>
      <c r="AC1338" s="2656"/>
      <c r="AD1338" s="2656"/>
      <c r="AE1338" s="2656"/>
      <c r="AF1338" s="2656"/>
      <c r="AG1338" s="2656"/>
      <c r="AH1338" s="2656"/>
      <c r="AI1338" s="2656"/>
      <c r="AJ1338" s="2656"/>
      <c r="AK1338" s="2656"/>
      <c r="AL1338" s="2656"/>
      <c r="AM1338" s="2656"/>
      <c r="AN1338" s="2656"/>
      <c r="AO1338" s="2656"/>
      <c r="AP1338" s="2656"/>
      <c r="AQ1338" s="2656"/>
      <c r="AR1338" s="2656"/>
      <c r="AS1338" s="2656"/>
      <c r="AT1338" s="2656"/>
      <c r="AU1338" s="2656"/>
      <c r="AV1338" s="2656"/>
      <c r="AW1338" s="2656"/>
      <c r="AX1338" s="2656"/>
      <c r="AY1338" s="2656"/>
      <c r="AZ1338" s="2656"/>
      <c r="BA1338" s="2656"/>
      <c r="BB1338" s="2656"/>
      <c r="BC1338" s="2656"/>
      <c r="BD1338" s="2656"/>
      <c r="BE1338" s="2656"/>
      <c r="BF1338" s="2656"/>
      <c r="BG1338" s="2656"/>
      <c r="BH1338" s="2656"/>
      <c r="BI1338" s="2656"/>
    </row>
    <row r="1339" spans="1:61" ht="24.75" customHeight="1">
      <c r="A1339" s="3375"/>
      <c r="B1339" s="2646"/>
      <c r="C1339" s="2647"/>
      <c r="D1339" s="2646"/>
      <c r="E1339" s="3013"/>
      <c r="F1339" s="2655"/>
      <c r="G1339" s="2596"/>
      <c r="H1339" s="4138"/>
      <c r="I1339" s="3375"/>
      <c r="J1339" s="2648"/>
      <c r="K1339" s="3147"/>
      <c r="L1339" s="2785"/>
      <c r="M1339" s="2695"/>
      <c r="N1339" s="2649"/>
      <c r="O1339" s="2655"/>
      <c r="P1339" s="2651"/>
      <c r="Q1339" s="3440"/>
      <c r="R1339" s="3553"/>
      <c r="S1339" s="1407"/>
      <c r="T1339" s="3375"/>
      <c r="U1339" s="2648"/>
      <c r="V1339" s="3554"/>
      <c r="W1339" s="3150"/>
      <c r="X1339" s="2656"/>
      <c r="Y1339" s="2656"/>
      <c r="Z1339" s="2656"/>
      <c r="AA1339" s="2656"/>
      <c r="AB1339" s="2656"/>
      <c r="AC1339" s="2656"/>
      <c r="AD1339" s="2656"/>
      <c r="AE1339" s="2656"/>
      <c r="AF1339" s="2656"/>
      <c r="AG1339" s="2656"/>
      <c r="AH1339" s="2656"/>
      <c r="AI1339" s="2656"/>
      <c r="AJ1339" s="2656"/>
      <c r="AK1339" s="2656"/>
      <c r="AL1339" s="2656"/>
      <c r="AM1339" s="2656"/>
      <c r="AN1339" s="2656"/>
      <c r="AO1339" s="2656"/>
      <c r="AP1339" s="2656"/>
      <c r="AQ1339" s="2656"/>
      <c r="AR1339" s="2656"/>
      <c r="AS1339" s="2656"/>
      <c r="AT1339" s="2656"/>
      <c r="AU1339" s="2656"/>
      <c r="AV1339" s="2656"/>
      <c r="AW1339" s="2656"/>
      <c r="AX1339" s="2656"/>
      <c r="AY1339" s="2656"/>
      <c r="AZ1339" s="2656"/>
      <c r="BA1339" s="2656"/>
      <c r="BB1339" s="2656"/>
      <c r="BC1339" s="2656"/>
      <c r="BD1339" s="2656"/>
      <c r="BE1339" s="2656"/>
      <c r="BF1339" s="2656"/>
      <c r="BG1339" s="2656"/>
      <c r="BH1339" s="2656"/>
      <c r="BI1339" s="2656"/>
    </row>
    <row r="1340" spans="1:61" ht="24.75" customHeight="1">
      <c r="A1340" s="3375"/>
      <c r="B1340" s="2646"/>
      <c r="C1340" s="2647"/>
      <c r="D1340" s="2646"/>
      <c r="E1340" s="3013"/>
      <c r="F1340" s="2655"/>
      <c r="G1340" s="2596"/>
      <c r="H1340" s="4138"/>
      <c r="I1340" s="3375"/>
      <c r="J1340" s="2648"/>
      <c r="K1340" s="3147"/>
      <c r="L1340" s="2785"/>
      <c r="M1340" s="2695"/>
      <c r="N1340" s="2649"/>
      <c r="O1340" s="2655"/>
      <c r="P1340" s="2651"/>
      <c r="Q1340" s="3440"/>
      <c r="R1340" s="3553"/>
      <c r="S1340" s="1407"/>
      <c r="T1340" s="3375"/>
      <c r="U1340" s="2648"/>
      <c r="V1340" s="3554"/>
      <c r="W1340" s="3150"/>
      <c r="X1340" s="2656"/>
      <c r="Y1340" s="2656"/>
      <c r="Z1340" s="2656"/>
      <c r="AA1340" s="2656"/>
      <c r="AB1340" s="2656"/>
      <c r="AC1340" s="2656"/>
      <c r="AD1340" s="2656"/>
      <c r="AE1340" s="2656"/>
      <c r="AF1340" s="2656"/>
      <c r="AG1340" s="2656"/>
      <c r="AH1340" s="2656"/>
      <c r="AI1340" s="2656"/>
      <c r="AJ1340" s="2656"/>
      <c r="AK1340" s="2656"/>
      <c r="AL1340" s="2656"/>
      <c r="AM1340" s="2656"/>
      <c r="AN1340" s="2656"/>
      <c r="AO1340" s="2656"/>
      <c r="AP1340" s="2656"/>
      <c r="AQ1340" s="2656"/>
      <c r="AR1340" s="2656"/>
      <c r="AS1340" s="2656"/>
      <c r="AT1340" s="2656"/>
      <c r="AU1340" s="2656"/>
      <c r="AV1340" s="2656"/>
      <c r="AW1340" s="2656"/>
      <c r="AX1340" s="2656"/>
      <c r="AY1340" s="2656"/>
      <c r="AZ1340" s="2656"/>
      <c r="BA1340" s="2656"/>
      <c r="BB1340" s="2656"/>
      <c r="BC1340" s="2656"/>
      <c r="BD1340" s="2656"/>
      <c r="BE1340" s="2656"/>
      <c r="BF1340" s="2656"/>
      <c r="BG1340" s="2656"/>
      <c r="BH1340" s="2656"/>
      <c r="BI1340" s="2656"/>
    </row>
    <row r="1341" spans="1:61" ht="24.75" customHeight="1">
      <c r="A1341" s="3375"/>
      <c r="B1341" s="2646"/>
      <c r="C1341" s="2647"/>
      <c r="D1341" s="2646"/>
      <c r="E1341" s="3013"/>
      <c r="F1341" s="2655"/>
      <c r="G1341" s="2596"/>
      <c r="H1341" s="4138"/>
      <c r="I1341" s="3375"/>
      <c r="J1341" s="2648"/>
      <c r="K1341" s="3147"/>
      <c r="L1341" s="2785"/>
      <c r="M1341" s="2695"/>
      <c r="N1341" s="2649"/>
      <c r="O1341" s="2655"/>
      <c r="P1341" s="2651"/>
      <c r="Q1341" s="3440"/>
      <c r="R1341" s="3553"/>
      <c r="S1341" s="1407"/>
      <c r="T1341" s="3375"/>
      <c r="U1341" s="2648"/>
      <c r="V1341" s="3554"/>
      <c r="W1341" s="3150"/>
      <c r="X1341" s="2656"/>
      <c r="Y1341" s="2656"/>
      <c r="Z1341" s="2656"/>
      <c r="AA1341" s="2656"/>
      <c r="AB1341" s="2656"/>
      <c r="AC1341" s="2656"/>
      <c r="AD1341" s="2656"/>
      <c r="AE1341" s="2656"/>
      <c r="AF1341" s="2656"/>
      <c r="AG1341" s="2656"/>
      <c r="AH1341" s="2656"/>
      <c r="AI1341" s="2656"/>
      <c r="AJ1341" s="2656"/>
      <c r="AK1341" s="2656"/>
      <c r="AL1341" s="2656"/>
      <c r="AM1341" s="2656"/>
      <c r="AN1341" s="2656"/>
      <c r="AO1341" s="2656"/>
      <c r="AP1341" s="2656"/>
      <c r="AQ1341" s="2656"/>
      <c r="AR1341" s="2656"/>
      <c r="AS1341" s="2656"/>
      <c r="AT1341" s="2656"/>
      <c r="AU1341" s="2656"/>
      <c r="AV1341" s="2656"/>
      <c r="AW1341" s="2656"/>
      <c r="AX1341" s="2656"/>
      <c r="AY1341" s="2656"/>
      <c r="AZ1341" s="2656"/>
      <c r="BA1341" s="2656"/>
      <c r="BB1341" s="2656"/>
      <c r="BC1341" s="2656"/>
      <c r="BD1341" s="2656"/>
      <c r="BE1341" s="2656"/>
      <c r="BF1341" s="2656"/>
      <c r="BG1341" s="2656"/>
      <c r="BH1341" s="2656"/>
      <c r="BI1341" s="2656"/>
    </row>
    <row r="1342" spans="1:61" ht="24.75" customHeight="1">
      <c r="A1342" s="3375"/>
      <c r="B1342" s="2646"/>
      <c r="C1342" s="2647"/>
      <c r="D1342" s="2646"/>
      <c r="E1342" s="3013"/>
      <c r="F1342" s="2655"/>
      <c r="G1342" s="2596"/>
      <c r="H1342" s="4138"/>
      <c r="I1342" s="3375"/>
      <c r="J1342" s="2648"/>
      <c r="K1342" s="3147"/>
      <c r="L1342" s="2785"/>
      <c r="M1342" s="2695"/>
      <c r="N1342" s="2649"/>
      <c r="O1342" s="2655"/>
      <c r="P1342" s="2651"/>
      <c r="Q1342" s="3440"/>
      <c r="R1342" s="3553"/>
      <c r="S1342" s="1407"/>
      <c r="T1342" s="3375"/>
      <c r="U1342" s="2648"/>
      <c r="V1342" s="3554"/>
      <c r="W1342" s="3150"/>
      <c r="X1342" s="2656"/>
      <c r="Y1342" s="2656"/>
      <c r="Z1342" s="2656"/>
      <c r="AA1342" s="2656"/>
      <c r="AB1342" s="2656"/>
      <c r="AC1342" s="2656"/>
      <c r="AD1342" s="2656"/>
      <c r="AE1342" s="2656"/>
      <c r="AF1342" s="2656"/>
      <c r="AG1342" s="2656"/>
      <c r="AH1342" s="2656"/>
      <c r="AI1342" s="2656"/>
      <c r="AJ1342" s="2656"/>
      <c r="AK1342" s="2656"/>
      <c r="AL1342" s="2656"/>
      <c r="AM1342" s="2656"/>
      <c r="AN1342" s="2656"/>
      <c r="AO1342" s="2656"/>
      <c r="AP1342" s="2656"/>
      <c r="AQ1342" s="2656"/>
      <c r="AR1342" s="2656"/>
      <c r="AS1342" s="2656"/>
      <c r="AT1342" s="2656"/>
      <c r="AU1342" s="2656"/>
      <c r="AV1342" s="2656"/>
      <c r="AW1342" s="2656"/>
      <c r="AX1342" s="2656"/>
      <c r="AY1342" s="2656"/>
      <c r="AZ1342" s="2656"/>
      <c r="BA1342" s="2656"/>
      <c r="BB1342" s="2656"/>
      <c r="BC1342" s="2656"/>
      <c r="BD1342" s="2656"/>
      <c r="BE1342" s="2656"/>
      <c r="BF1342" s="2656"/>
      <c r="BG1342" s="2656"/>
      <c r="BH1342" s="2656"/>
      <c r="BI1342" s="2656"/>
    </row>
    <row r="1343" spans="1:61" ht="24.75" customHeight="1">
      <c r="A1343" s="3375"/>
      <c r="B1343" s="2646"/>
      <c r="C1343" s="2647"/>
      <c r="D1343" s="2646"/>
      <c r="E1343" s="3013"/>
      <c r="F1343" s="2655"/>
      <c r="G1343" s="2596"/>
      <c r="H1343" s="4138"/>
      <c r="I1343" s="3375"/>
      <c r="J1343" s="2648"/>
      <c r="K1343" s="3147"/>
      <c r="L1343" s="2785"/>
      <c r="M1343" s="2695"/>
      <c r="N1343" s="2649"/>
      <c r="O1343" s="2655"/>
      <c r="P1343" s="2651"/>
      <c r="Q1343" s="3440"/>
      <c r="R1343" s="3553"/>
      <c r="S1343" s="1407"/>
      <c r="T1343" s="3375"/>
      <c r="U1343" s="2648"/>
      <c r="V1343" s="3554"/>
      <c r="W1343" s="3150"/>
      <c r="X1343" s="2656"/>
      <c r="Y1343" s="2656"/>
      <c r="Z1343" s="2656"/>
      <c r="AA1343" s="2656"/>
      <c r="AB1343" s="2656"/>
      <c r="AC1343" s="2656"/>
      <c r="AD1343" s="2656"/>
      <c r="AE1343" s="2656"/>
      <c r="AF1343" s="2656"/>
      <c r="AG1343" s="2656"/>
      <c r="AH1343" s="2656"/>
      <c r="AI1343" s="2656"/>
      <c r="AJ1343" s="2656"/>
      <c r="AK1343" s="2656"/>
      <c r="AL1343" s="2656"/>
      <c r="AM1343" s="2656"/>
      <c r="AN1343" s="2656"/>
      <c r="AO1343" s="2656"/>
      <c r="AP1343" s="2656"/>
      <c r="AQ1343" s="2656"/>
      <c r="AR1343" s="2656"/>
      <c r="AS1343" s="2656"/>
      <c r="AT1343" s="2656"/>
      <c r="AU1343" s="2656"/>
      <c r="AV1343" s="2656"/>
      <c r="AW1343" s="2656"/>
      <c r="AX1343" s="2656"/>
      <c r="AY1343" s="2656"/>
      <c r="AZ1343" s="2656"/>
      <c r="BA1343" s="2656"/>
      <c r="BB1343" s="2656"/>
      <c r="BC1343" s="2656"/>
      <c r="BD1343" s="2656"/>
      <c r="BE1343" s="2656"/>
      <c r="BF1343" s="2656"/>
      <c r="BG1343" s="2656"/>
      <c r="BH1343" s="2656"/>
      <c r="BI1343" s="2656"/>
    </row>
    <row r="1344" spans="1:61" ht="24.75" customHeight="1">
      <c r="A1344" s="3375"/>
      <c r="B1344" s="2646"/>
      <c r="C1344" s="2647"/>
      <c r="D1344" s="2646"/>
      <c r="E1344" s="3013"/>
      <c r="F1344" s="2655"/>
      <c r="G1344" s="2596"/>
      <c r="H1344" s="4138"/>
      <c r="I1344" s="3375"/>
      <c r="J1344" s="2648"/>
      <c r="K1344" s="3147"/>
      <c r="L1344" s="2785"/>
      <c r="M1344" s="2695"/>
      <c r="N1344" s="2649"/>
      <c r="O1344" s="2655"/>
      <c r="P1344" s="2651"/>
      <c r="Q1344" s="3440"/>
      <c r="R1344" s="3553"/>
      <c r="S1344" s="1407"/>
      <c r="T1344" s="3375"/>
      <c r="U1344" s="2648"/>
      <c r="V1344" s="3554"/>
      <c r="W1344" s="3150"/>
      <c r="X1344" s="2656"/>
      <c r="Y1344" s="2656"/>
      <c r="Z1344" s="2656"/>
      <c r="AA1344" s="2656"/>
      <c r="AB1344" s="2656"/>
      <c r="AC1344" s="2656"/>
      <c r="AD1344" s="2656"/>
      <c r="AE1344" s="2656"/>
      <c r="AF1344" s="2656"/>
      <c r="AG1344" s="2656"/>
      <c r="AH1344" s="2656"/>
      <c r="AI1344" s="2656"/>
      <c r="AJ1344" s="2656"/>
      <c r="AK1344" s="2656"/>
      <c r="AL1344" s="2656"/>
      <c r="AM1344" s="2656"/>
      <c r="AN1344" s="2656"/>
      <c r="AO1344" s="2656"/>
      <c r="AP1344" s="2656"/>
      <c r="AQ1344" s="2656"/>
      <c r="AR1344" s="2656"/>
      <c r="AS1344" s="2656"/>
      <c r="AT1344" s="2656"/>
      <c r="AU1344" s="2656"/>
      <c r="AV1344" s="2656"/>
      <c r="AW1344" s="2656"/>
      <c r="AX1344" s="2656"/>
      <c r="AY1344" s="2656"/>
      <c r="AZ1344" s="2656"/>
      <c r="BA1344" s="2656"/>
      <c r="BB1344" s="2656"/>
      <c r="BC1344" s="2656"/>
      <c r="BD1344" s="2656"/>
      <c r="BE1344" s="2656"/>
      <c r="BF1344" s="2656"/>
      <c r="BG1344" s="2656"/>
      <c r="BH1344" s="2656"/>
      <c r="BI1344" s="2656"/>
    </row>
    <row r="1345" spans="1:61" ht="24.75" customHeight="1">
      <c r="A1345" s="3375"/>
      <c r="B1345" s="2646"/>
      <c r="C1345" s="2647"/>
      <c r="D1345" s="2646"/>
      <c r="E1345" s="3013"/>
      <c r="F1345" s="2655"/>
      <c r="G1345" s="2596"/>
      <c r="H1345" s="4138"/>
      <c r="I1345" s="3375"/>
      <c r="J1345" s="2648"/>
      <c r="K1345" s="3147"/>
      <c r="L1345" s="2785"/>
      <c r="M1345" s="2695"/>
      <c r="N1345" s="2649"/>
      <c r="O1345" s="2655"/>
      <c r="P1345" s="2651"/>
      <c r="Q1345" s="3440"/>
      <c r="R1345" s="3553"/>
      <c r="S1345" s="1407"/>
      <c r="T1345" s="3375"/>
      <c r="U1345" s="2648"/>
      <c r="V1345" s="3554"/>
      <c r="W1345" s="3150"/>
      <c r="X1345" s="2656"/>
      <c r="Y1345" s="2656"/>
      <c r="Z1345" s="2656"/>
      <c r="AA1345" s="2656"/>
      <c r="AB1345" s="2656"/>
      <c r="AC1345" s="2656"/>
      <c r="AD1345" s="2656"/>
      <c r="AE1345" s="2656"/>
      <c r="AF1345" s="2656"/>
      <c r="AG1345" s="2656"/>
      <c r="AH1345" s="2656"/>
      <c r="AI1345" s="2656"/>
      <c r="AJ1345" s="2656"/>
      <c r="AK1345" s="2656"/>
      <c r="AL1345" s="2656"/>
      <c r="AM1345" s="2656"/>
      <c r="AN1345" s="2656"/>
      <c r="AO1345" s="2656"/>
      <c r="AP1345" s="2656"/>
      <c r="AQ1345" s="2656"/>
      <c r="AR1345" s="2656"/>
      <c r="AS1345" s="2656"/>
      <c r="AT1345" s="2656"/>
      <c r="AU1345" s="2656"/>
      <c r="AV1345" s="2656"/>
      <c r="AW1345" s="2656"/>
      <c r="AX1345" s="2656"/>
      <c r="AY1345" s="2656"/>
      <c r="AZ1345" s="2656"/>
      <c r="BA1345" s="2656"/>
      <c r="BB1345" s="2656"/>
      <c r="BC1345" s="2656"/>
      <c r="BD1345" s="2656"/>
      <c r="BE1345" s="2656"/>
      <c r="BF1345" s="2656"/>
      <c r="BG1345" s="2656"/>
      <c r="BH1345" s="2656"/>
      <c r="BI1345" s="2656"/>
    </row>
    <row r="1346" spans="1:61" ht="24.75" customHeight="1">
      <c r="A1346" s="3375"/>
      <c r="B1346" s="2646"/>
      <c r="C1346" s="2647"/>
      <c r="D1346" s="2646"/>
      <c r="E1346" s="3013"/>
      <c r="F1346" s="2655"/>
      <c r="G1346" s="2596"/>
      <c r="H1346" s="4138"/>
      <c r="I1346" s="3375"/>
      <c r="J1346" s="2648"/>
      <c r="K1346" s="3147"/>
      <c r="L1346" s="2785"/>
      <c r="M1346" s="2695"/>
      <c r="N1346" s="2649"/>
      <c r="O1346" s="2655"/>
      <c r="P1346" s="2651"/>
      <c r="Q1346" s="3440"/>
      <c r="R1346" s="3553"/>
      <c r="S1346" s="1407"/>
      <c r="T1346" s="3375"/>
      <c r="U1346" s="2648"/>
      <c r="V1346" s="3554"/>
      <c r="W1346" s="3150"/>
      <c r="X1346" s="2656"/>
      <c r="Y1346" s="2656"/>
      <c r="Z1346" s="2656"/>
      <c r="AA1346" s="2656"/>
      <c r="AB1346" s="2656"/>
      <c r="AC1346" s="2656"/>
      <c r="AD1346" s="2656"/>
      <c r="AE1346" s="2656"/>
      <c r="AF1346" s="2656"/>
      <c r="AG1346" s="2656"/>
      <c r="AH1346" s="2656"/>
      <c r="AI1346" s="2656"/>
      <c r="AJ1346" s="2656"/>
      <c r="AK1346" s="2656"/>
      <c r="AL1346" s="2656"/>
      <c r="AM1346" s="2656"/>
      <c r="AN1346" s="2656"/>
      <c r="AO1346" s="2656"/>
      <c r="AP1346" s="2656"/>
      <c r="AQ1346" s="2656"/>
      <c r="AR1346" s="2656"/>
      <c r="AS1346" s="2656"/>
      <c r="AT1346" s="2656"/>
      <c r="AU1346" s="2656"/>
      <c r="AV1346" s="2656"/>
      <c r="AW1346" s="2656"/>
      <c r="AX1346" s="2656"/>
      <c r="AY1346" s="2656"/>
      <c r="AZ1346" s="2656"/>
      <c r="BA1346" s="2656"/>
      <c r="BB1346" s="2656"/>
      <c r="BC1346" s="2656"/>
      <c r="BD1346" s="2656"/>
      <c r="BE1346" s="2656"/>
      <c r="BF1346" s="2656"/>
      <c r="BG1346" s="2656"/>
      <c r="BH1346" s="2656"/>
      <c r="BI1346" s="2656"/>
    </row>
    <row r="1347" spans="1:61" ht="24.75" customHeight="1">
      <c r="A1347" s="3375"/>
      <c r="B1347" s="2646"/>
      <c r="C1347" s="2647"/>
      <c r="D1347" s="2646"/>
      <c r="E1347" s="3013"/>
      <c r="F1347" s="2655"/>
      <c r="G1347" s="2596"/>
      <c r="H1347" s="4138"/>
      <c r="I1347" s="3375"/>
      <c r="J1347" s="2648"/>
      <c r="K1347" s="3147"/>
      <c r="L1347" s="2785"/>
      <c r="M1347" s="2695"/>
      <c r="N1347" s="2649"/>
      <c r="O1347" s="2655"/>
      <c r="P1347" s="2651"/>
      <c r="Q1347" s="3440"/>
      <c r="R1347" s="3553"/>
      <c r="S1347" s="1407"/>
      <c r="T1347" s="3375"/>
      <c r="U1347" s="2648"/>
      <c r="V1347" s="3554"/>
      <c r="W1347" s="3150"/>
      <c r="X1347" s="2656"/>
      <c r="Y1347" s="2656"/>
      <c r="Z1347" s="2656"/>
      <c r="AA1347" s="2656"/>
      <c r="AB1347" s="2656"/>
      <c r="AC1347" s="2656"/>
      <c r="AD1347" s="2656"/>
      <c r="AE1347" s="2656"/>
      <c r="AF1347" s="2656"/>
      <c r="AG1347" s="2656"/>
      <c r="AH1347" s="2656"/>
      <c r="AI1347" s="2656"/>
      <c r="AJ1347" s="2656"/>
      <c r="AK1347" s="2656"/>
      <c r="AL1347" s="2656"/>
      <c r="AM1347" s="2656"/>
      <c r="AN1347" s="2656"/>
      <c r="AO1347" s="2656"/>
      <c r="AP1347" s="2656"/>
      <c r="AQ1347" s="2656"/>
      <c r="AR1347" s="2656"/>
      <c r="AS1347" s="2656"/>
      <c r="AT1347" s="2656"/>
      <c r="AU1347" s="2656"/>
      <c r="AV1347" s="2656"/>
      <c r="AW1347" s="2656"/>
      <c r="AX1347" s="2656"/>
      <c r="AY1347" s="2656"/>
      <c r="AZ1347" s="2656"/>
      <c r="BA1347" s="2656"/>
      <c r="BB1347" s="2656"/>
      <c r="BC1347" s="2656"/>
      <c r="BD1347" s="2656"/>
      <c r="BE1347" s="2656"/>
      <c r="BF1347" s="2656"/>
      <c r="BG1347" s="2656"/>
      <c r="BH1347" s="2656"/>
      <c r="BI1347" s="2656"/>
    </row>
    <row r="1348" spans="1:61" ht="24.75" customHeight="1">
      <c r="A1348" s="3375"/>
      <c r="B1348" s="2646"/>
      <c r="C1348" s="2647"/>
      <c r="D1348" s="2646"/>
      <c r="E1348" s="3013"/>
      <c r="F1348" s="2655"/>
      <c r="G1348" s="2596"/>
      <c r="H1348" s="4138"/>
      <c r="I1348" s="3375"/>
      <c r="J1348" s="2648"/>
      <c r="K1348" s="3147"/>
      <c r="L1348" s="2785"/>
      <c r="M1348" s="2695"/>
      <c r="N1348" s="2649"/>
      <c r="O1348" s="2655"/>
      <c r="P1348" s="2651"/>
      <c r="Q1348" s="3440"/>
      <c r="R1348" s="3553"/>
      <c r="S1348" s="1407"/>
      <c r="T1348" s="3375"/>
      <c r="U1348" s="2648"/>
      <c r="V1348" s="3554"/>
      <c r="W1348" s="3150"/>
      <c r="X1348" s="2656"/>
      <c r="Y1348" s="2656"/>
      <c r="Z1348" s="2656"/>
      <c r="AA1348" s="2656"/>
      <c r="AB1348" s="2656"/>
      <c r="AC1348" s="2656"/>
      <c r="AD1348" s="2656"/>
      <c r="AE1348" s="2656"/>
      <c r="AF1348" s="2656"/>
      <c r="AG1348" s="2656"/>
      <c r="AH1348" s="2656"/>
      <c r="AI1348" s="2656"/>
      <c r="AJ1348" s="2656"/>
      <c r="AK1348" s="2656"/>
      <c r="AL1348" s="2656"/>
      <c r="AM1348" s="2656"/>
      <c r="AN1348" s="2656"/>
      <c r="AO1348" s="2656"/>
      <c r="AP1348" s="2656"/>
      <c r="AQ1348" s="2656"/>
      <c r="AR1348" s="2656"/>
      <c r="AS1348" s="2656"/>
      <c r="AT1348" s="2656"/>
      <c r="AU1348" s="2656"/>
      <c r="AV1348" s="2656"/>
      <c r="AW1348" s="2656"/>
      <c r="AX1348" s="2656"/>
      <c r="AY1348" s="2656"/>
      <c r="AZ1348" s="2656"/>
      <c r="BA1348" s="2656"/>
      <c r="BB1348" s="2656"/>
      <c r="BC1348" s="2656"/>
      <c r="BD1348" s="2656"/>
      <c r="BE1348" s="2656"/>
      <c r="BF1348" s="2656"/>
      <c r="BG1348" s="2656"/>
      <c r="BH1348" s="2656"/>
      <c r="BI1348" s="2656"/>
    </row>
    <row r="1349" spans="1:61" ht="24.75" customHeight="1">
      <c r="A1349" s="3375"/>
      <c r="B1349" s="2646"/>
      <c r="C1349" s="2647"/>
      <c r="D1349" s="2646"/>
      <c r="E1349" s="3013"/>
      <c r="F1349" s="2655"/>
      <c r="G1349" s="2596"/>
      <c r="H1349" s="4138"/>
      <c r="I1349" s="3375"/>
      <c r="J1349" s="2648"/>
      <c r="K1349" s="3147"/>
      <c r="L1349" s="2785"/>
      <c r="M1349" s="2695"/>
      <c r="N1349" s="2649"/>
      <c r="O1349" s="2655"/>
      <c r="P1349" s="2651"/>
      <c r="Q1349" s="3440"/>
      <c r="R1349" s="3553"/>
      <c r="S1349" s="1407"/>
      <c r="T1349" s="3375"/>
      <c r="U1349" s="2648"/>
      <c r="V1349" s="3554"/>
      <c r="W1349" s="3150"/>
      <c r="X1349" s="2656"/>
      <c r="Y1349" s="2656"/>
      <c r="Z1349" s="2656"/>
      <c r="AA1349" s="2656"/>
      <c r="AB1349" s="2656"/>
      <c r="AC1349" s="2656"/>
      <c r="AD1349" s="2656"/>
      <c r="AE1349" s="2656"/>
      <c r="AF1349" s="2656"/>
      <c r="AG1349" s="2656"/>
      <c r="AH1349" s="2656"/>
      <c r="AI1349" s="2656"/>
      <c r="AJ1349" s="2656"/>
      <c r="AK1349" s="2656"/>
      <c r="AL1349" s="2656"/>
      <c r="AM1349" s="2656"/>
      <c r="AN1349" s="2656"/>
      <c r="AO1349" s="2656"/>
      <c r="AP1349" s="2656"/>
      <c r="AQ1349" s="2656"/>
      <c r="AR1349" s="2656"/>
      <c r="AS1349" s="2656"/>
      <c r="AT1349" s="2656"/>
      <c r="AU1349" s="2656"/>
      <c r="AV1349" s="2656"/>
      <c r="AW1349" s="2656"/>
      <c r="AX1349" s="2656"/>
      <c r="AY1349" s="2656"/>
      <c r="AZ1349" s="2656"/>
      <c r="BA1349" s="2656"/>
      <c r="BB1349" s="2656"/>
      <c r="BC1349" s="2656"/>
      <c r="BD1349" s="2656"/>
      <c r="BE1349" s="2656"/>
      <c r="BF1349" s="2656"/>
      <c r="BG1349" s="2656"/>
      <c r="BH1349" s="2656"/>
      <c r="BI1349" s="2656"/>
    </row>
    <row r="1350" spans="1:61" ht="24.75" customHeight="1">
      <c r="A1350" s="3375"/>
      <c r="B1350" s="2646"/>
      <c r="C1350" s="2647"/>
      <c r="D1350" s="2646"/>
      <c r="E1350" s="3013"/>
      <c r="F1350" s="2655"/>
      <c r="G1350" s="2596"/>
      <c r="H1350" s="4138"/>
      <c r="I1350" s="3375"/>
      <c r="J1350" s="2648"/>
      <c r="K1350" s="3147"/>
      <c r="L1350" s="2785"/>
      <c r="M1350" s="2695"/>
      <c r="N1350" s="2649"/>
      <c r="O1350" s="2655"/>
      <c r="P1350" s="2651"/>
      <c r="Q1350" s="3440"/>
      <c r="R1350" s="3553"/>
      <c r="S1350" s="1407"/>
      <c r="T1350" s="3375"/>
      <c r="U1350" s="2648"/>
      <c r="V1350" s="3554"/>
      <c r="W1350" s="3150"/>
      <c r="X1350" s="2656"/>
      <c r="Y1350" s="2656"/>
      <c r="Z1350" s="2656"/>
      <c r="AA1350" s="2656"/>
      <c r="AB1350" s="2656"/>
      <c r="AC1350" s="2656"/>
      <c r="AD1350" s="2656"/>
      <c r="AE1350" s="2656"/>
      <c r="AF1350" s="2656"/>
      <c r="AG1350" s="2656"/>
      <c r="AH1350" s="2656"/>
      <c r="AI1350" s="2656"/>
      <c r="AJ1350" s="2656"/>
      <c r="AK1350" s="2656"/>
      <c r="AL1350" s="2656"/>
      <c r="AM1350" s="2656"/>
      <c r="AN1350" s="2656"/>
      <c r="AO1350" s="2656"/>
      <c r="AP1350" s="2656"/>
      <c r="AQ1350" s="2656"/>
      <c r="AR1350" s="2656"/>
      <c r="AS1350" s="2656"/>
      <c r="AT1350" s="2656"/>
      <c r="AU1350" s="2656"/>
      <c r="AV1350" s="2656"/>
      <c r="AW1350" s="2656"/>
      <c r="AX1350" s="2656"/>
      <c r="AY1350" s="2656"/>
      <c r="AZ1350" s="2656"/>
      <c r="BA1350" s="2656"/>
      <c r="BB1350" s="2656"/>
      <c r="BC1350" s="2656"/>
      <c r="BD1350" s="2656"/>
      <c r="BE1350" s="2656"/>
      <c r="BF1350" s="2656"/>
      <c r="BG1350" s="2656"/>
      <c r="BH1350" s="2656"/>
      <c r="BI1350" s="2656"/>
    </row>
    <row r="1351" spans="1:61" ht="24.75" customHeight="1">
      <c r="A1351" s="3375"/>
      <c r="B1351" s="2646"/>
      <c r="C1351" s="2647"/>
      <c r="D1351" s="2646"/>
      <c r="E1351" s="3013"/>
      <c r="F1351" s="2655"/>
      <c r="G1351" s="2596"/>
      <c r="H1351" s="4138"/>
      <c r="I1351" s="3375"/>
      <c r="J1351" s="2648"/>
      <c r="K1351" s="3147"/>
      <c r="L1351" s="2785"/>
      <c r="M1351" s="2695"/>
      <c r="N1351" s="2649"/>
      <c r="O1351" s="2655"/>
      <c r="P1351" s="2651"/>
      <c r="Q1351" s="3440"/>
      <c r="R1351" s="3553"/>
      <c r="S1351" s="1407"/>
      <c r="T1351" s="3375"/>
      <c r="U1351" s="2648"/>
      <c r="V1351" s="3554"/>
      <c r="W1351" s="3150"/>
      <c r="X1351" s="2656"/>
      <c r="Y1351" s="2656"/>
      <c r="Z1351" s="2656"/>
      <c r="AA1351" s="2656"/>
      <c r="AB1351" s="2656"/>
      <c r="AC1351" s="2656"/>
      <c r="AD1351" s="2656"/>
      <c r="AE1351" s="2656"/>
      <c r="AF1351" s="2656"/>
      <c r="AG1351" s="2656"/>
      <c r="AH1351" s="2656"/>
      <c r="AI1351" s="2656"/>
      <c r="AJ1351" s="2656"/>
      <c r="AK1351" s="2656"/>
      <c r="AL1351" s="2656"/>
      <c r="AM1351" s="2656"/>
      <c r="AN1351" s="2656"/>
      <c r="AO1351" s="2656"/>
      <c r="AP1351" s="2656"/>
      <c r="AQ1351" s="2656"/>
      <c r="AR1351" s="2656"/>
      <c r="AS1351" s="2656"/>
      <c r="AT1351" s="2656"/>
      <c r="AU1351" s="2656"/>
      <c r="AV1351" s="2656"/>
      <c r="AW1351" s="2656"/>
      <c r="AX1351" s="2656"/>
      <c r="AY1351" s="2656"/>
      <c r="AZ1351" s="2656"/>
      <c r="BA1351" s="2656"/>
      <c r="BB1351" s="2656"/>
      <c r="BC1351" s="2656"/>
      <c r="BD1351" s="2656"/>
      <c r="BE1351" s="2656"/>
      <c r="BF1351" s="2656"/>
      <c r="BG1351" s="2656"/>
      <c r="BH1351" s="2656"/>
      <c r="BI1351" s="2656"/>
    </row>
    <row r="1352" spans="1:61" ht="24.75" customHeight="1">
      <c r="A1352" s="3375"/>
      <c r="B1352" s="2646"/>
      <c r="C1352" s="2647"/>
      <c r="D1352" s="2646"/>
      <c r="E1352" s="3013"/>
      <c r="F1352" s="2655"/>
      <c r="G1352" s="2596"/>
      <c r="H1352" s="4138"/>
      <c r="I1352" s="3375"/>
      <c r="J1352" s="2648"/>
      <c r="K1352" s="3147"/>
      <c r="L1352" s="2785"/>
      <c r="M1352" s="2695"/>
      <c r="N1352" s="2649"/>
      <c r="O1352" s="2655"/>
      <c r="P1352" s="2651"/>
      <c r="Q1352" s="3440"/>
      <c r="R1352" s="3553"/>
      <c r="S1352" s="1407"/>
      <c r="T1352" s="3375"/>
      <c r="U1352" s="2648"/>
      <c r="V1352" s="3554"/>
      <c r="W1352" s="3150"/>
      <c r="X1352" s="2656"/>
      <c r="Y1352" s="2656"/>
      <c r="Z1352" s="2656"/>
      <c r="AA1352" s="2656"/>
      <c r="AB1352" s="2656"/>
      <c r="AC1352" s="2656"/>
      <c r="AD1352" s="2656"/>
      <c r="AE1352" s="2656"/>
      <c r="AF1352" s="2656"/>
      <c r="AG1352" s="2656"/>
      <c r="AH1352" s="2656"/>
      <c r="AI1352" s="2656"/>
      <c r="AJ1352" s="2656"/>
      <c r="AK1352" s="2656"/>
      <c r="AL1352" s="2656"/>
      <c r="AM1352" s="2656"/>
      <c r="AN1352" s="2656"/>
      <c r="AO1352" s="2656"/>
      <c r="AP1352" s="2656"/>
      <c r="AQ1352" s="2656"/>
      <c r="AR1352" s="2656"/>
      <c r="AS1352" s="2656"/>
      <c r="AT1352" s="2656"/>
      <c r="AU1352" s="2656"/>
      <c r="AV1352" s="2656"/>
      <c r="AW1352" s="2656"/>
      <c r="AX1352" s="2656"/>
      <c r="AY1352" s="2656"/>
      <c r="AZ1352" s="2656"/>
      <c r="BA1352" s="2656"/>
      <c r="BB1352" s="2656"/>
      <c r="BC1352" s="2656"/>
      <c r="BD1352" s="2656"/>
      <c r="BE1352" s="2656"/>
      <c r="BF1352" s="2656"/>
      <c r="BG1352" s="2656"/>
      <c r="BH1352" s="2656"/>
      <c r="BI1352" s="2656"/>
    </row>
    <row r="1353" spans="1:61" ht="24.75" customHeight="1">
      <c r="A1353" s="3375"/>
      <c r="B1353" s="2646"/>
      <c r="C1353" s="2647"/>
      <c r="D1353" s="2646"/>
      <c r="E1353" s="3013"/>
      <c r="F1353" s="2655"/>
      <c r="G1353" s="2596"/>
      <c r="H1353" s="4138"/>
      <c r="I1353" s="3375"/>
      <c r="J1353" s="2648"/>
      <c r="K1353" s="3147"/>
      <c r="L1353" s="2785"/>
      <c r="M1353" s="2695"/>
      <c r="N1353" s="2649"/>
      <c r="O1353" s="2655"/>
      <c r="P1353" s="2651"/>
      <c r="Q1353" s="3440"/>
      <c r="R1353" s="3553"/>
      <c r="S1353" s="1407"/>
      <c r="T1353" s="3375"/>
      <c r="U1353" s="2648"/>
      <c r="V1353" s="3554"/>
      <c r="W1353" s="3150"/>
      <c r="X1353" s="2656"/>
      <c r="Y1353" s="2656"/>
      <c r="Z1353" s="2656"/>
      <c r="AA1353" s="2656"/>
      <c r="AB1353" s="2656"/>
      <c r="AC1353" s="2656"/>
      <c r="AD1353" s="2656"/>
      <c r="AE1353" s="2656"/>
      <c r="AF1353" s="2656"/>
      <c r="AG1353" s="2656"/>
      <c r="AH1353" s="2656"/>
      <c r="AI1353" s="2656"/>
      <c r="AJ1353" s="2656"/>
      <c r="AK1353" s="2656"/>
      <c r="AL1353" s="2656"/>
      <c r="AM1353" s="2656"/>
      <c r="AN1353" s="2656"/>
      <c r="AO1353" s="2656"/>
      <c r="AP1353" s="2656"/>
      <c r="AQ1353" s="2656"/>
      <c r="AR1353" s="2656"/>
      <c r="AS1353" s="2656"/>
      <c r="AT1353" s="2656"/>
      <c r="AU1353" s="2656"/>
      <c r="AV1353" s="2656"/>
      <c r="AW1353" s="2656"/>
      <c r="AX1353" s="2656"/>
      <c r="AY1353" s="2656"/>
      <c r="AZ1353" s="2656"/>
      <c r="BA1353" s="2656"/>
      <c r="BB1353" s="2656"/>
      <c r="BC1353" s="2656"/>
      <c r="BD1353" s="2656"/>
      <c r="BE1353" s="2656"/>
      <c r="BF1353" s="2656"/>
      <c r="BG1353" s="2656"/>
      <c r="BH1353" s="2656"/>
      <c r="BI1353" s="2656"/>
    </row>
    <row r="1354" spans="1:61" ht="24.75" customHeight="1">
      <c r="A1354" s="3375"/>
      <c r="B1354" s="2646"/>
      <c r="C1354" s="2647"/>
      <c r="D1354" s="2646"/>
      <c r="E1354" s="3013"/>
      <c r="F1354" s="2655"/>
      <c r="G1354" s="2596"/>
      <c r="H1354" s="4138"/>
      <c r="I1354" s="3375"/>
      <c r="J1354" s="2648"/>
      <c r="K1354" s="3147"/>
      <c r="L1354" s="2785"/>
      <c r="M1354" s="2695"/>
      <c r="N1354" s="2649"/>
      <c r="O1354" s="2655"/>
      <c r="P1354" s="2651"/>
      <c r="Q1354" s="3440"/>
      <c r="R1354" s="3553"/>
      <c r="S1354" s="1407"/>
      <c r="T1354" s="3375"/>
      <c r="U1354" s="2648"/>
      <c r="V1354" s="3554"/>
      <c r="W1354" s="3150"/>
      <c r="X1354" s="2656"/>
      <c r="Y1354" s="2656"/>
      <c r="Z1354" s="2656"/>
      <c r="AA1354" s="2656"/>
      <c r="AB1354" s="2656"/>
      <c r="AC1354" s="2656"/>
      <c r="AD1354" s="2656"/>
      <c r="AE1354" s="2656"/>
      <c r="AF1354" s="2656"/>
      <c r="AG1354" s="2656"/>
      <c r="AH1354" s="2656"/>
      <c r="AI1354" s="2656"/>
      <c r="AJ1354" s="2656"/>
      <c r="AK1354" s="2656"/>
      <c r="AL1354" s="2656"/>
      <c r="AM1354" s="2656"/>
      <c r="AN1354" s="2656"/>
      <c r="AO1354" s="2656"/>
      <c r="AP1354" s="2656"/>
      <c r="AQ1354" s="2656"/>
      <c r="AR1354" s="2656"/>
      <c r="AS1354" s="2656"/>
      <c r="AT1354" s="2656"/>
      <c r="AU1354" s="2656"/>
      <c r="AV1354" s="2656"/>
      <c r="AW1354" s="2656"/>
      <c r="AX1354" s="2656"/>
      <c r="AY1354" s="2656"/>
      <c r="AZ1354" s="2656"/>
      <c r="BA1354" s="2656"/>
      <c r="BB1354" s="2656"/>
      <c r="BC1354" s="2656"/>
      <c r="BD1354" s="2656"/>
      <c r="BE1354" s="2656"/>
      <c r="BF1354" s="2656"/>
      <c r="BG1354" s="2656"/>
      <c r="BH1354" s="2656"/>
      <c r="BI1354" s="2656"/>
    </row>
    <row r="1355" spans="1:61" ht="24.75" customHeight="1">
      <c r="A1355" s="3375"/>
      <c r="B1355" s="2646"/>
      <c r="C1355" s="2647"/>
      <c r="D1355" s="2646"/>
      <c r="E1355" s="3013"/>
      <c r="F1355" s="2655"/>
      <c r="G1355" s="2596"/>
      <c r="H1355" s="4138"/>
      <c r="I1355" s="3375"/>
      <c r="J1355" s="2648"/>
      <c r="K1355" s="3147"/>
      <c r="L1355" s="2785"/>
      <c r="M1355" s="2695"/>
      <c r="N1355" s="2649"/>
      <c r="O1355" s="2655"/>
      <c r="P1355" s="2651"/>
      <c r="Q1355" s="3440"/>
      <c r="R1355" s="3553"/>
      <c r="S1355" s="1407"/>
      <c r="T1355" s="3375"/>
      <c r="U1355" s="2648"/>
      <c r="V1355" s="3554"/>
      <c r="W1355" s="3150"/>
      <c r="X1355" s="2656"/>
      <c r="Y1355" s="2656"/>
      <c r="Z1355" s="2656"/>
      <c r="AA1355" s="2656"/>
      <c r="AB1355" s="2656"/>
      <c r="AC1355" s="2656"/>
      <c r="AD1355" s="2656"/>
      <c r="AE1355" s="2656"/>
      <c r="AF1355" s="2656"/>
      <c r="AG1355" s="2656"/>
      <c r="AH1355" s="2656"/>
      <c r="AI1355" s="2656"/>
      <c r="AJ1355" s="2656"/>
      <c r="AK1355" s="2656"/>
      <c r="AL1355" s="2656"/>
      <c r="AM1355" s="2656"/>
      <c r="AN1355" s="2656"/>
      <c r="AO1355" s="2656"/>
      <c r="AP1355" s="2656"/>
      <c r="AQ1355" s="2656"/>
      <c r="AR1355" s="2656"/>
      <c r="AS1355" s="2656"/>
      <c r="AT1355" s="2656"/>
      <c r="AU1355" s="2656"/>
      <c r="AV1355" s="2656"/>
      <c r="AW1355" s="2656"/>
      <c r="AX1355" s="2656"/>
      <c r="AY1355" s="2656"/>
      <c r="AZ1355" s="2656"/>
      <c r="BA1355" s="2656"/>
      <c r="BB1355" s="2656"/>
      <c r="BC1355" s="2656"/>
      <c r="BD1355" s="2656"/>
      <c r="BE1355" s="2656"/>
      <c r="BF1355" s="2656"/>
      <c r="BG1355" s="2656"/>
      <c r="BH1355" s="2656"/>
      <c r="BI1355" s="2656"/>
    </row>
    <row r="1356" spans="1:61" ht="24.75" customHeight="1">
      <c r="A1356" s="3375"/>
      <c r="B1356" s="2646"/>
      <c r="C1356" s="2647"/>
      <c r="D1356" s="2646"/>
      <c r="E1356" s="3013"/>
      <c r="F1356" s="2655"/>
      <c r="G1356" s="2596"/>
      <c r="H1356" s="4138"/>
      <c r="I1356" s="3375"/>
      <c r="J1356" s="2648"/>
      <c r="K1356" s="3147"/>
      <c r="L1356" s="2785"/>
      <c r="M1356" s="2695"/>
      <c r="N1356" s="2649"/>
      <c r="O1356" s="2655"/>
      <c r="P1356" s="2651"/>
      <c r="Q1356" s="3440"/>
      <c r="R1356" s="3553"/>
      <c r="S1356" s="1407"/>
      <c r="T1356" s="3375"/>
      <c r="U1356" s="2648"/>
      <c r="V1356" s="3554"/>
      <c r="W1356" s="3150"/>
      <c r="X1356" s="2656"/>
      <c r="Y1356" s="2656"/>
      <c r="Z1356" s="2656"/>
      <c r="AA1356" s="2656"/>
      <c r="AB1356" s="2656"/>
      <c r="AC1356" s="2656"/>
      <c r="AD1356" s="2656"/>
      <c r="AE1356" s="2656"/>
      <c r="AF1356" s="2656"/>
      <c r="AG1356" s="2656"/>
      <c r="AH1356" s="2656"/>
      <c r="AI1356" s="2656"/>
      <c r="AJ1356" s="2656"/>
      <c r="AK1356" s="2656"/>
      <c r="AL1356" s="2656"/>
      <c r="AM1356" s="2656"/>
      <c r="AN1356" s="2656"/>
      <c r="AO1356" s="2656"/>
      <c r="AP1356" s="2656"/>
      <c r="AQ1356" s="2656"/>
      <c r="AR1356" s="2656"/>
      <c r="AS1356" s="2656"/>
      <c r="AT1356" s="2656"/>
      <c r="AU1356" s="2656"/>
      <c r="AV1356" s="2656"/>
      <c r="AW1356" s="2656"/>
      <c r="AX1356" s="2656"/>
      <c r="AY1356" s="2656"/>
      <c r="AZ1356" s="2656"/>
      <c r="BA1356" s="2656"/>
      <c r="BB1356" s="2656"/>
      <c r="BC1356" s="2656"/>
      <c r="BD1356" s="2656"/>
      <c r="BE1356" s="2656"/>
      <c r="BF1356" s="2656"/>
      <c r="BG1356" s="2656"/>
      <c r="BH1356" s="2656"/>
      <c r="BI1356" s="2656"/>
    </row>
    <row r="1357" spans="1:61" ht="24.75" customHeight="1">
      <c r="A1357" s="3375"/>
      <c r="B1357" s="2646"/>
      <c r="C1357" s="2647"/>
      <c r="D1357" s="2646"/>
      <c r="E1357" s="3013"/>
      <c r="F1357" s="2655"/>
      <c r="G1357" s="2596"/>
      <c r="H1357" s="4138"/>
      <c r="I1357" s="3375"/>
      <c r="J1357" s="2648"/>
      <c r="K1357" s="3147"/>
      <c r="L1357" s="2785"/>
      <c r="M1357" s="2695"/>
      <c r="N1357" s="2649"/>
      <c r="O1357" s="2655"/>
      <c r="P1357" s="2651"/>
      <c r="Q1357" s="3440"/>
      <c r="R1357" s="3553"/>
      <c r="S1357" s="1407"/>
      <c r="T1357" s="3375"/>
      <c r="U1357" s="2648"/>
      <c r="V1357" s="3554"/>
      <c r="W1357" s="3150"/>
      <c r="X1357" s="2656"/>
      <c r="Y1357" s="2656"/>
      <c r="Z1357" s="2656"/>
      <c r="AA1357" s="2656"/>
      <c r="AB1357" s="2656"/>
      <c r="AC1357" s="2656"/>
      <c r="AD1357" s="2656"/>
      <c r="AE1357" s="2656"/>
      <c r="AF1357" s="2656"/>
      <c r="AG1357" s="2656"/>
      <c r="AH1357" s="2656"/>
      <c r="AI1357" s="2656"/>
      <c r="AJ1357" s="2656"/>
      <c r="AK1357" s="2656"/>
      <c r="AL1357" s="2656"/>
      <c r="AM1357" s="2656"/>
      <c r="AN1357" s="2656"/>
      <c r="AO1357" s="2656"/>
      <c r="AP1357" s="2656"/>
      <c r="AQ1357" s="2656"/>
      <c r="AR1357" s="2656"/>
      <c r="AS1357" s="2656"/>
      <c r="AT1357" s="2656"/>
      <c r="AU1357" s="2656"/>
      <c r="AV1357" s="2656"/>
      <c r="AW1357" s="2656"/>
      <c r="AX1357" s="2656"/>
      <c r="AY1357" s="2656"/>
      <c r="AZ1357" s="2656"/>
      <c r="BA1357" s="2656"/>
      <c r="BB1357" s="2656"/>
      <c r="BC1357" s="2656"/>
      <c r="BD1357" s="2656"/>
      <c r="BE1357" s="2656"/>
      <c r="BF1357" s="2656"/>
      <c r="BG1357" s="2656"/>
      <c r="BH1357" s="2656"/>
      <c r="BI1357" s="2656"/>
    </row>
    <row r="1358" spans="1:61" ht="24.75" customHeight="1">
      <c r="A1358" s="3375"/>
      <c r="B1358" s="2646"/>
      <c r="C1358" s="2647"/>
      <c r="D1358" s="2646"/>
      <c r="E1358" s="3013"/>
      <c r="F1358" s="2655"/>
      <c r="G1358" s="2596"/>
      <c r="H1358" s="4138"/>
      <c r="I1358" s="3375"/>
      <c r="J1358" s="2648"/>
      <c r="K1358" s="3147"/>
      <c r="L1358" s="2785"/>
      <c r="M1358" s="2695"/>
      <c r="N1358" s="2649"/>
      <c r="O1358" s="2655"/>
      <c r="P1358" s="2651"/>
      <c r="Q1358" s="3440"/>
      <c r="R1358" s="3553"/>
      <c r="S1358" s="1407"/>
      <c r="T1358" s="3375"/>
      <c r="U1358" s="2648"/>
      <c r="V1358" s="3554"/>
      <c r="W1358" s="3150"/>
      <c r="X1358" s="2656"/>
      <c r="Y1358" s="2656"/>
      <c r="Z1358" s="2656"/>
      <c r="AA1358" s="2656"/>
      <c r="AB1358" s="2656"/>
      <c r="AC1358" s="2656"/>
      <c r="AD1358" s="2656"/>
      <c r="AE1358" s="2656"/>
      <c r="AF1358" s="2656"/>
      <c r="AG1358" s="2656"/>
      <c r="AH1358" s="2656"/>
      <c r="AI1358" s="2656"/>
      <c r="AJ1358" s="2656"/>
      <c r="AK1358" s="2656"/>
      <c r="AL1358" s="2656"/>
      <c r="AM1358" s="2656"/>
      <c r="AN1358" s="2656"/>
      <c r="AO1358" s="2656"/>
      <c r="AP1358" s="2656"/>
      <c r="AQ1358" s="2656"/>
      <c r="AR1358" s="2656"/>
      <c r="AS1358" s="2656"/>
      <c r="AT1358" s="2656"/>
      <c r="AU1358" s="2656"/>
      <c r="AV1358" s="2656"/>
      <c r="AW1358" s="2656"/>
      <c r="AX1358" s="2656"/>
      <c r="AY1358" s="2656"/>
      <c r="AZ1358" s="2656"/>
      <c r="BA1358" s="2656"/>
      <c r="BB1358" s="2656"/>
      <c r="BC1358" s="2656"/>
      <c r="BD1358" s="2656"/>
      <c r="BE1358" s="2656"/>
      <c r="BF1358" s="2656"/>
      <c r="BG1358" s="2656"/>
      <c r="BH1358" s="2656"/>
      <c r="BI1358" s="2656"/>
    </row>
    <row r="1359" spans="1:61" ht="24.75" customHeight="1">
      <c r="A1359" s="3375"/>
      <c r="B1359" s="2646"/>
      <c r="C1359" s="2647"/>
      <c r="D1359" s="2646"/>
      <c r="E1359" s="3013"/>
      <c r="F1359" s="2655"/>
      <c r="G1359" s="2596"/>
      <c r="H1359" s="4138"/>
      <c r="I1359" s="3375"/>
      <c r="J1359" s="2648"/>
      <c r="K1359" s="3147"/>
      <c r="L1359" s="2785"/>
      <c r="M1359" s="2695"/>
      <c r="N1359" s="2649"/>
      <c r="O1359" s="2655"/>
      <c r="P1359" s="2651"/>
      <c r="Q1359" s="3440"/>
      <c r="R1359" s="3553"/>
      <c r="S1359" s="1407"/>
      <c r="T1359" s="3375"/>
      <c r="U1359" s="2648"/>
      <c r="V1359" s="3554"/>
      <c r="W1359" s="3150"/>
      <c r="X1359" s="2656"/>
      <c r="Y1359" s="2656"/>
      <c r="Z1359" s="2656"/>
      <c r="AA1359" s="2656"/>
      <c r="AB1359" s="2656"/>
      <c r="AC1359" s="2656"/>
      <c r="AD1359" s="2656"/>
      <c r="AE1359" s="2656"/>
      <c r="AF1359" s="2656"/>
      <c r="AG1359" s="2656"/>
      <c r="AH1359" s="2656"/>
      <c r="AI1359" s="2656"/>
      <c r="AJ1359" s="2656"/>
      <c r="AK1359" s="2656"/>
      <c r="AL1359" s="2656"/>
      <c r="AM1359" s="2656"/>
      <c r="AN1359" s="2656"/>
      <c r="AO1359" s="2656"/>
      <c r="AP1359" s="2656"/>
      <c r="AQ1359" s="2656"/>
      <c r="AR1359" s="2656"/>
      <c r="AS1359" s="2656"/>
      <c r="AT1359" s="2656"/>
      <c r="AU1359" s="2656"/>
      <c r="AV1359" s="2656"/>
      <c r="AW1359" s="2656"/>
      <c r="AX1359" s="2656"/>
      <c r="AY1359" s="2656"/>
      <c r="AZ1359" s="2656"/>
      <c r="BA1359" s="2656"/>
      <c r="BB1359" s="2656"/>
      <c r="BC1359" s="2656"/>
      <c r="BD1359" s="2656"/>
      <c r="BE1359" s="2656"/>
      <c r="BF1359" s="2656"/>
      <c r="BG1359" s="2656"/>
      <c r="BH1359" s="2656"/>
      <c r="BI1359" s="2656"/>
    </row>
    <row r="1360" spans="1:61" ht="24.75" customHeight="1">
      <c r="A1360" s="3375"/>
      <c r="B1360" s="2646"/>
      <c r="C1360" s="2647"/>
      <c r="D1360" s="2646"/>
      <c r="E1360" s="3013"/>
      <c r="F1360" s="2655"/>
      <c r="G1360" s="2596"/>
      <c r="H1360" s="4138"/>
      <c r="I1360" s="3375"/>
      <c r="J1360" s="2648"/>
      <c r="K1360" s="3147"/>
      <c r="L1360" s="2785"/>
      <c r="M1360" s="2695"/>
      <c r="N1360" s="2649"/>
      <c r="O1360" s="2655"/>
      <c r="P1360" s="2651"/>
      <c r="Q1360" s="3440"/>
      <c r="R1360" s="3553"/>
      <c r="S1360" s="1407"/>
      <c r="T1360" s="3375"/>
      <c r="U1360" s="2648"/>
      <c r="V1360" s="3554"/>
      <c r="W1360" s="3150"/>
      <c r="X1360" s="2656"/>
      <c r="Y1360" s="2656"/>
      <c r="Z1360" s="2656"/>
      <c r="AA1360" s="2656"/>
      <c r="AB1360" s="2656"/>
      <c r="AC1360" s="2656"/>
      <c r="AD1360" s="2656"/>
      <c r="AE1360" s="2656"/>
      <c r="AF1360" s="2656"/>
      <c r="AG1360" s="2656"/>
      <c r="AH1360" s="2656"/>
      <c r="AI1360" s="2656"/>
      <c r="AJ1360" s="2656"/>
      <c r="AK1360" s="2656"/>
      <c r="AL1360" s="2656"/>
      <c r="AM1360" s="2656"/>
      <c r="AN1360" s="2656"/>
      <c r="AO1360" s="2656"/>
      <c r="AP1360" s="2656"/>
      <c r="AQ1360" s="2656"/>
      <c r="AR1360" s="2656"/>
      <c r="AS1360" s="2656"/>
      <c r="AT1360" s="2656"/>
      <c r="AU1360" s="2656"/>
      <c r="AV1360" s="2656"/>
      <c r="AW1360" s="2656"/>
      <c r="AX1360" s="2656"/>
      <c r="AY1360" s="2656"/>
      <c r="AZ1360" s="2656"/>
      <c r="BA1360" s="2656"/>
      <c r="BB1360" s="2656"/>
      <c r="BC1360" s="2656"/>
      <c r="BD1360" s="2656"/>
      <c r="BE1360" s="2656"/>
      <c r="BF1360" s="2656"/>
      <c r="BG1360" s="2656"/>
      <c r="BH1360" s="2656"/>
      <c r="BI1360" s="2656"/>
    </row>
    <row r="1361" spans="1:61" ht="24.75" customHeight="1">
      <c r="A1361" s="3375"/>
      <c r="B1361" s="2646"/>
      <c r="C1361" s="2647"/>
      <c r="D1361" s="2646"/>
      <c r="E1361" s="3013"/>
      <c r="F1361" s="2655"/>
      <c r="G1361" s="2596"/>
      <c r="H1361" s="4138"/>
      <c r="I1361" s="3375"/>
      <c r="J1361" s="2648"/>
      <c r="K1361" s="3147"/>
      <c r="L1361" s="2785"/>
      <c r="M1361" s="2695"/>
      <c r="N1361" s="2649"/>
      <c r="O1361" s="2655"/>
      <c r="P1361" s="2651"/>
      <c r="Q1361" s="3440"/>
      <c r="R1361" s="3553"/>
      <c r="S1361" s="1407"/>
      <c r="T1361" s="3375"/>
      <c r="U1361" s="2648"/>
      <c r="V1361" s="3554"/>
      <c r="W1361" s="3150"/>
      <c r="X1361" s="2656"/>
      <c r="Y1361" s="2656"/>
      <c r="Z1361" s="2656"/>
      <c r="AA1361" s="2656"/>
      <c r="AB1361" s="2656"/>
      <c r="AC1361" s="2656"/>
      <c r="AD1361" s="2656"/>
      <c r="AE1361" s="2656"/>
      <c r="AF1361" s="2656"/>
      <c r="AG1361" s="2656"/>
      <c r="AH1361" s="2656"/>
      <c r="AI1361" s="2656"/>
      <c r="AJ1361" s="2656"/>
      <c r="AK1361" s="2656"/>
      <c r="AL1361" s="2656"/>
      <c r="AM1361" s="2656"/>
      <c r="AN1361" s="2656"/>
      <c r="AO1361" s="2656"/>
      <c r="AP1361" s="2656"/>
      <c r="AQ1361" s="2656"/>
      <c r="AR1361" s="2656"/>
      <c r="AS1361" s="2656"/>
      <c r="AT1361" s="2656"/>
      <c r="AU1361" s="2656"/>
      <c r="AV1361" s="2656"/>
      <c r="AW1361" s="2656"/>
      <c r="AX1361" s="2656"/>
      <c r="AY1361" s="2656"/>
      <c r="AZ1361" s="2656"/>
      <c r="BA1361" s="2656"/>
      <c r="BB1361" s="2656"/>
      <c r="BC1361" s="2656"/>
      <c r="BD1361" s="2656"/>
      <c r="BE1361" s="2656"/>
      <c r="BF1361" s="2656"/>
      <c r="BG1361" s="2656"/>
      <c r="BH1361" s="2656"/>
      <c r="BI1361" s="2656"/>
    </row>
    <row r="1362" spans="1:61" ht="24.75" customHeight="1">
      <c r="A1362" s="3375"/>
      <c r="B1362" s="2646"/>
      <c r="C1362" s="2647"/>
      <c r="D1362" s="2646"/>
      <c r="E1362" s="3013"/>
      <c r="F1362" s="2655"/>
      <c r="G1362" s="2596"/>
      <c r="H1362" s="4138"/>
      <c r="I1362" s="3375"/>
      <c r="J1362" s="2648"/>
      <c r="K1362" s="3147"/>
      <c r="L1362" s="2785"/>
      <c r="M1362" s="2695"/>
      <c r="N1362" s="2649"/>
      <c r="O1362" s="2655"/>
      <c r="P1362" s="2651"/>
      <c r="Q1362" s="3440"/>
      <c r="R1362" s="3553"/>
      <c r="S1362" s="1407"/>
      <c r="T1362" s="3375"/>
      <c r="U1362" s="2648"/>
      <c r="V1362" s="3554"/>
      <c r="W1362" s="3150"/>
      <c r="X1362" s="2656"/>
      <c r="Y1362" s="2656"/>
      <c r="Z1362" s="2656"/>
      <c r="AA1362" s="2656"/>
      <c r="AB1362" s="2656"/>
      <c r="AC1362" s="2656"/>
      <c r="AD1362" s="2656"/>
      <c r="AE1362" s="2656"/>
      <c r="AF1362" s="2656"/>
      <c r="AG1362" s="2656"/>
      <c r="AH1362" s="2656"/>
      <c r="AI1362" s="2656"/>
      <c r="AJ1362" s="2656"/>
      <c r="AK1362" s="2656"/>
      <c r="AL1362" s="2656"/>
      <c r="AM1362" s="2656"/>
      <c r="AN1362" s="2656"/>
      <c r="AO1362" s="2656"/>
      <c r="AP1362" s="2656"/>
      <c r="AQ1362" s="2656"/>
      <c r="AR1362" s="2656"/>
      <c r="AS1362" s="2656"/>
      <c r="AT1362" s="2656"/>
      <c r="AU1362" s="2656"/>
      <c r="AV1362" s="2656"/>
      <c r="AW1362" s="2656"/>
      <c r="AX1362" s="2656"/>
      <c r="AY1362" s="2656"/>
      <c r="AZ1362" s="2656"/>
      <c r="BA1362" s="2656"/>
      <c r="BB1362" s="2656"/>
      <c r="BC1362" s="2656"/>
      <c r="BD1362" s="2656"/>
      <c r="BE1362" s="2656"/>
      <c r="BF1362" s="2656"/>
      <c r="BG1362" s="2656"/>
      <c r="BH1362" s="2656"/>
      <c r="BI1362" s="2656"/>
    </row>
    <row r="1363" spans="1:61" ht="24.75" customHeight="1">
      <c r="A1363" s="3375"/>
      <c r="B1363" s="2646"/>
      <c r="C1363" s="2647"/>
      <c r="D1363" s="2646"/>
      <c r="E1363" s="3013"/>
      <c r="F1363" s="2655"/>
      <c r="G1363" s="2596"/>
      <c r="H1363" s="4138"/>
      <c r="I1363" s="3375"/>
      <c r="J1363" s="2648"/>
      <c r="K1363" s="3147"/>
      <c r="L1363" s="2785"/>
      <c r="M1363" s="2695"/>
      <c r="N1363" s="2649"/>
      <c r="O1363" s="2655"/>
      <c r="P1363" s="2651"/>
      <c r="Q1363" s="3440"/>
      <c r="R1363" s="3553"/>
      <c r="S1363" s="1407"/>
      <c r="T1363" s="3375"/>
      <c r="U1363" s="2648"/>
      <c r="V1363" s="3554"/>
      <c r="W1363" s="3150"/>
      <c r="X1363" s="2656"/>
      <c r="Y1363" s="2656"/>
      <c r="Z1363" s="2656"/>
      <c r="AA1363" s="2656"/>
      <c r="AB1363" s="2656"/>
      <c r="AC1363" s="2656"/>
      <c r="AD1363" s="2656"/>
      <c r="AE1363" s="2656"/>
      <c r="AF1363" s="2656"/>
      <c r="AG1363" s="2656"/>
      <c r="AH1363" s="2656"/>
      <c r="AI1363" s="2656"/>
      <c r="AJ1363" s="2656"/>
      <c r="AK1363" s="2656"/>
      <c r="AL1363" s="2656"/>
      <c r="AM1363" s="2656"/>
      <c r="AN1363" s="2656"/>
      <c r="AO1363" s="2656"/>
      <c r="AP1363" s="2656"/>
      <c r="AQ1363" s="2656"/>
      <c r="AR1363" s="2656"/>
      <c r="AS1363" s="2656"/>
      <c r="AT1363" s="2656"/>
      <c r="AU1363" s="2656"/>
      <c r="AV1363" s="2656"/>
      <c r="AW1363" s="2656"/>
      <c r="AX1363" s="2656"/>
      <c r="AY1363" s="2656"/>
      <c r="AZ1363" s="2656"/>
      <c r="BA1363" s="2656"/>
      <c r="BB1363" s="2656"/>
      <c r="BC1363" s="2656"/>
      <c r="BD1363" s="2656"/>
      <c r="BE1363" s="2656"/>
      <c r="BF1363" s="2656"/>
      <c r="BG1363" s="2656"/>
      <c r="BH1363" s="2656"/>
      <c r="BI1363" s="2656"/>
    </row>
    <row r="1364" spans="1:61" ht="24.75" customHeight="1">
      <c r="A1364" s="3375"/>
      <c r="B1364" s="2646"/>
      <c r="C1364" s="2647"/>
      <c r="D1364" s="2646"/>
      <c r="E1364" s="3013"/>
      <c r="F1364" s="2655"/>
      <c r="G1364" s="2596"/>
      <c r="H1364" s="4138"/>
      <c r="I1364" s="3375"/>
      <c r="J1364" s="2648"/>
      <c r="K1364" s="3147"/>
      <c r="L1364" s="2785"/>
      <c r="M1364" s="2695"/>
      <c r="N1364" s="2649"/>
      <c r="O1364" s="2655"/>
      <c r="P1364" s="2651"/>
      <c r="Q1364" s="3440"/>
      <c r="R1364" s="3553"/>
      <c r="S1364" s="1407"/>
      <c r="T1364" s="3375"/>
      <c r="U1364" s="2648"/>
      <c r="V1364" s="3554"/>
      <c r="W1364" s="3150"/>
      <c r="X1364" s="2656"/>
      <c r="Y1364" s="2656"/>
      <c r="Z1364" s="2656"/>
      <c r="AA1364" s="2656"/>
      <c r="AB1364" s="2656"/>
      <c r="AC1364" s="2656"/>
      <c r="AD1364" s="2656"/>
      <c r="AE1364" s="2656"/>
      <c r="AF1364" s="2656"/>
      <c r="AG1364" s="2656"/>
      <c r="AH1364" s="2656"/>
      <c r="AI1364" s="2656"/>
      <c r="AJ1364" s="2656"/>
      <c r="AK1364" s="2656"/>
      <c r="AL1364" s="2656"/>
      <c r="AM1364" s="2656"/>
      <c r="AN1364" s="2656"/>
      <c r="AO1364" s="2656"/>
      <c r="AP1364" s="2656"/>
      <c r="AQ1364" s="2656"/>
      <c r="AR1364" s="2656"/>
      <c r="AS1364" s="2656"/>
      <c r="AT1364" s="2656"/>
      <c r="AU1364" s="2656"/>
      <c r="AV1364" s="2656"/>
      <c r="AW1364" s="2656"/>
      <c r="AX1364" s="2656"/>
      <c r="AY1364" s="2656"/>
      <c r="AZ1364" s="2656"/>
      <c r="BA1364" s="2656"/>
      <c r="BB1364" s="2656"/>
      <c r="BC1364" s="2656"/>
      <c r="BD1364" s="2656"/>
      <c r="BE1364" s="2656"/>
      <c r="BF1364" s="2656"/>
      <c r="BG1364" s="2656"/>
      <c r="BH1364" s="2656"/>
      <c r="BI1364" s="2656"/>
    </row>
    <row r="1365" spans="1:61" ht="24.75" customHeight="1">
      <c r="A1365" s="3375"/>
      <c r="B1365" s="2646"/>
      <c r="C1365" s="2647"/>
      <c r="D1365" s="2646"/>
      <c r="E1365" s="3013"/>
      <c r="F1365" s="2655"/>
      <c r="G1365" s="2596"/>
      <c r="H1365" s="4138"/>
      <c r="I1365" s="3375"/>
      <c r="J1365" s="2648"/>
      <c r="K1365" s="3147"/>
      <c r="L1365" s="2785"/>
      <c r="M1365" s="2695"/>
      <c r="N1365" s="2649"/>
      <c r="O1365" s="2655"/>
      <c r="P1365" s="2651"/>
      <c r="Q1365" s="3440"/>
      <c r="R1365" s="3553"/>
      <c r="S1365" s="1407"/>
      <c r="T1365" s="3375"/>
      <c r="U1365" s="2648"/>
      <c r="V1365" s="3554"/>
      <c r="W1365" s="3150"/>
      <c r="X1365" s="2656"/>
      <c r="Y1365" s="2656"/>
      <c r="Z1365" s="2656"/>
      <c r="AA1365" s="2656"/>
      <c r="AB1365" s="2656"/>
      <c r="AC1365" s="2656"/>
      <c r="AD1365" s="2656"/>
      <c r="AE1365" s="2656"/>
      <c r="AF1365" s="2656"/>
      <c r="AG1365" s="2656"/>
      <c r="AH1365" s="2656"/>
      <c r="AI1365" s="2656"/>
      <c r="AJ1365" s="2656"/>
      <c r="AK1365" s="2656"/>
      <c r="AL1365" s="2656"/>
      <c r="AM1365" s="2656"/>
      <c r="AN1365" s="2656"/>
      <c r="AO1365" s="2656"/>
      <c r="AP1365" s="2656"/>
      <c r="AQ1365" s="2656"/>
      <c r="AR1365" s="2656"/>
      <c r="AS1365" s="2656"/>
      <c r="AT1365" s="2656"/>
      <c r="AU1365" s="2656"/>
      <c r="AV1365" s="2656"/>
      <c r="AW1365" s="2656"/>
      <c r="AX1365" s="2656"/>
      <c r="AY1365" s="2656"/>
      <c r="AZ1365" s="2656"/>
      <c r="BA1365" s="2656"/>
      <c r="BB1365" s="2656"/>
      <c r="BC1365" s="2656"/>
      <c r="BD1365" s="2656"/>
      <c r="BE1365" s="2656"/>
      <c r="BF1365" s="2656"/>
      <c r="BG1365" s="2656"/>
      <c r="BH1365" s="2656"/>
      <c r="BI1365" s="2656"/>
    </row>
    <row r="1366" spans="1:61" ht="24.75" customHeight="1">
      <c r="A1366" s="3375"/>
      <c r="B1366" s="2646"/>
      <c r="C1366" s="2647"/>
      <c r="D1366" s="2646"/>
      <c r="E1366" s="3013"/>
      <c r="F1366" s="2655"/>
      <c r="G1366" s="2596"/>
      <c r="H1366" s="4138"/>
      <c r="I1366" s="3375"/>
      <c r="J1366" s="2648"/>
      <c r="K1366" s="3147"/>
      <c r="L1366" s="2785"/>
      <c r="M1366" s="2695"/>
      <c r="N1366" s="2649"/>
      <c r="O1366" s="2655"/>
      <c r="P1366" s="2651"/>
      <c r="Q1366" s="3440"/>
      <c r="R1366" s="3553"/>
      <c r="S1366" s="1407"/>
      <c r="T1366" s="3375"/>
      <c r="U1366" s="2648"/>
      <c r="V1366" s="3554"/>
      <c r="W1366" s="3150"/>
      <c r="X1366" s="2656"/>
      <c r="Y1366" s="2656"/>
      <c r="Z1366" s="2656"/>
      <c r="AA1366" s="2656"/>
      <c r="AB1366" s="2656"/>
      <c r="AC1366" s="2656"/>
      <c r="AD1366" s="2656"/>
      <c r="AE1366" s="2656"/>
      <c r="AF1366" s="2656"/>
      <c r="AG1366" s="2656"/>
      <c r="AH1366" s="2656"/>
      <c r="AI1366" s="2656"/>
      <c r="AJ1366" s="2656"/>
      <c r="AK1366" s="2656"/>
      <c r="AL1366" s="2656"/>
      <c r="AM1366" s="2656"/>
      <c r="AN1366" s="2656"/>
      <c r="AO1366" s="2656"/>
      <c r="AP1366" s="2656"/>
      <c r="AQ1366" s="2656"/>
      <c r="AR1366" s="2656"/>
      <c r="AS1366" s="2656"/>
      <c r="AT1366" s="2656"/>
      <c r="AU1366" s="2656"/>
      <c r="AV1366" s="2656"/>
      <c r="AW1366" s="2656"/>
      <c r="AX1366" s="2656"/>
      <c r="AY1366" s="2656"/>
      <c r="AZ1366" s="2656"/>
      <c r="BA1366" s="2656"/>
      <c r="BB1366" s="2656"/>
      <c r="BC1366" s="2656"/>
      <c r="BD1366" s="2656"/>
      <c r="BE1366" s="2656"/>
      <c r="BF1366" s="2656"/>
      <c r="BG1366" s="2656"/>
      <c r="BH1366" s="2656"/>
      <c r="BI1366" s="2656"/>
    </row>
    <row r="1367" spans="1:61" ht="24.75" customHeight="1">
      <c r="A1367" s="3375"/>
      <c r="B1367" s="2646"/>
      <c r="C1367" s="2647"/>
      <c r="D1367" s="2646"/>
      <c r="E1367" s="3013"/>
      <c r="F1367" s="2655"/>
      <c r="G1367" s="2596"/>
      <c r="H1367" s="4138"/>
      <c r="I1367" s="3375"/>
      <c r="J1367" s="2648"/>
      <c r="K1367" s="3147"/>
      <c r="L1367" s="2785"/>
      <c r="M1367" s="2695"/>
      <c r="N1367" s="2649"/>
      <c r="O1367" s="2655"/>
      <c r="P1367" s="2651"/>
      <c r="Q1367" s="3440"/>
      <c r="R1367" s="3553"/>
      <c r="S1367" s="1407"/>
      <c r="T1367" s="3375"/>
      <c r="U1367" s="2648"/>
      <c r="V1367" s="3554"/>
      <c r="W1367" s="3150"/>
      <c r="X1367" s="2656"/>
      <c r="Y1367" s="2656"/>
      <c r="Z1367" s="2656"/>
      <c r="AA1367" s="2656"/>
      <c r="AB1367" s="2656"/>
      <c r="AC1367" s="2656"/>
      <c r="AD1367" s="2656"/>
      <c r="AE1367" s="2656"/>
      <c r="AF1367" s="2656"/>
      <c r="AG1367" s="2656"/>
      <c r="AH1367" s="2656"/>
      <c r="AI1367" s="2656"/>
      <c r="AJ1367" s="2656"/>
      <c r="AK1367" s="2656"/>
      <c r="AL1367" s="2656"/>
      <c r="AM1367" s="2656"/>
      <c r="AN1367" s="2656"/>
      <c r="AO1367" s="2656"/>
      <c r="AP1367" s="2656"/>
      <c r="AQ1367" s="2656"/>
      <c r="AR1367" s="2656"/>
      <c r="AS1367" s="2656"/>
      <c r="AT1367" s="2656"/>
      <c r="AU1367" s="2656"/>
      <c r="AV1367" s="2656"/>
      <c r="AW1367" s="2656"/>
      <c r="AX1367" s="2656"/>
      <c r="AY1367" s="2656"/>
      <c r="AZ1367" s="2656"/>
      <c r="BA1367" s="2656"/>
      <c r="BB1367" s="2656"/>
      <c r="BC1367" s="2656"/>
      <c r="BD1367" s="2656"/>
      <c r="BE1367" s="2656"/>
      <c r="BF1367" s="2656"/>
      <c r="BG1367" s="2656"/>
      <c r="BH1367" s="2656"/>
      <c r="BI1367" s="2656"/>
    </row>
    <row r="1368" spans="1:61" ht="24.75" customHeight="1">
      <c r="A1368" s="3375"/>
      <c r="B1368" s="2646"/>
      <c r="C1368" s="2647"/>
      <c r="D1368" s="2646"/>
      <c r="E1368" s="3013"/>
      <c r="F1368" s="2655"/>
      <c r="G1368" s="2596"/>
      <c r="H1368" s="4138"/>
      <c r="I1368" s="3375"/>
      <c r="J1368" s="2648"/>
      <c r="K1368" s="3147"/>
      <c r="L1368" s="2785"/>
      <c r="M1368" s="2695"/>
      <c r="N1368" s="2649"/>
      <c r="O1368" s="2655"/>
      <c r="P1368" s="2651"/>
      <c r="Q1368" s="3440"/>
      <c r="R1368" s="3553"/>
      <c r="S1368" s="1407"/>
      <c r="T1368" s="3375"/>
      <c r="U1368" s="2648"/>
      <c r="V1368" s="3554"/>
      <c r="W1368" s="3150"/>
      <c r="X1368" s="2656"/>
      <c r="Y1368" s="2656"/>
      <c r="Z1368" s="2656"/>
      <c r="AA1368" s="2656"/>
      <c r="AB1368" s="2656"/>
      <c r="AC1368" s="2656"/>
      <c r="AD1368" s="2656"/>
      <c r="AE1368" s="2656"/>
      <c r="AF1368" s="2656"/>
      <c r="AG1368" s="2656"/>
      <c r="AH1368" s="2656"/>
      <c r="AI1368" s="2656"/>
      <c r="AJ1368" s="2656"/>
      <c r="AK1368" s="2656"/>
      <c r="AL1368" s="2656"/>
      <c r="AM1368" s="2656"/>
      <c r="AN1368" s="2656"/>
      <c r="AO1368" s="2656"/>
      <c r="AP1368" s="2656"/>
      <c r="AQ1368" s="2656"/>
      <c r="AR1368" s="2656"/>
      <c r="AS1368" s="2656"/>
      <c r="AT1368" s="2656"/>
      <c r="AU1368" s="2656"/>
      <c r="AV1368" s="2656"/>
      <c r="AW1368" s="2656"/>
      <c r="AX1368" s="2656"/>
      <c r="AY1368" s="2656"/>
      <c r="AZ1368" s="2656"/>
      <c r="BA1368" s="2656"/>
      <c r="BB1368" s="2656"/>
      <c r="BC1368" s="2656"/>
      <c r="BD1368" s="2656"/>
      <c r="BE1368" s="2656"/>
      <c r="BF1368" s="2656"/>
      <c r="BG1368" s="2656"/>
      <c r="BH1368" s="2656"/>
      <c r="BI1368" s="2656"/>
    </row>
    <row r="1369" spans="1:61" ht="24.75" customHeight="1">
      <c r="A1369" s="3375"/>
      <c r="B1369" s="2646"/>
      <c r="C1369" s="2647"/>
      <c r="D1369" s="2646"/>
      <c r="E1369" s="3013"/>
      <c r="F1369" s="2655"/>
      <c r="G1369" s="2596"/>
      <c r="H1369" s="4138"/>
      <c r="I1369" s="3375"/>
      <c r="J1369" s="2648"/>
      <c r="K1369" s="3147"/>
      <c r="L1369" s="2785"/>
      <c r="M1369" s="2695"/>
      <c r="N1369" s="2649"/>
      <c r="O1369" s="2655"/>
      <c r="P1369" s="2651"/>
      <c r="Q1369" s="3440"/>
      <c r="R1369" s="3553"/>
      <c r="S1369" s="1407"/>
      <c r="T1369" s="3375"/>
      <c r="U1369" s="2648"/>
      <c r="V1369" s="3554"/>
      <c r="W1369" s="3150"/>
      <c r="X1369" s="2656"/>
      <c r="Y1369" s="2656"/>
      <c r="Z1369" s="2656"/>
      <c r="AA1369" s="2656"/>
      <c r="AB1369" s="2656"/>
      <c r="AC1369" s="2656"/>
      <c r="AD1369" s="2656"/>
      <c r="AE1369" s="2656"/>
      <c r="AF1369" s="2656"/>
      <c r="AG1369" s="2656"/>
      <c r="AH1369" s="2656"/>
      <c r="AI1369" s="2656"/>
      <c r="AJ1369" s="2656"/>
      <c r="AK1369" s="2656"/>
      <c r="AL1369" s="2656"/>
      <c r="AM1369" s="2656"/>
      <c r="AN1369" s="2656"/>
      <c r="AO1369" s="2656"/>
      <c r="AP1369" s="2656"/>
      <c r="AQ1369" s="2656"/>
      <c r="AR1369" s="2656"/>
      <c r="AS1369" s="2656"/>
      <c r="AT1369" s="2656"/>
      <c r="AU1369" s="2656"/>
      <c r="AV1369" s="2656"/>
      <c r="AW1369" s="2656"/>
      <c r="AX1369" s="2656"/>
      <c r="AY1369" s="2656"/>
      <c r="AZ1369" s="2656"/>
      <c r="BA1369" s="2656"/>
      <c r="BB1369" s="2656"/>
      <c r="BC1369" s="2656"/>
      <c r="BD1369" s="2656"/>
      <c r="BE1369" s="2656"/>
      <c r="BF1369" s="2656"/>
      <c r="BG1369" s="2656"/>
      <c r="BH1369" s="2656"/>
      <c r="BI1369" s="2656"/>
    </row>
    <row r="1370" spans="1:61" ht="24.75" customHeight="1">
      <c r="A1370" s="3375"/>
      <c r="B1370" s="2646"/>
      <c r="C1370" s="2647"/>
      <c r="D1370" s="2646"/>
      <c r="E1370" s="3013"/>
      <c r="F1370" s="2655"/>
      <c r="G1370" s="2596"/>
      <c r="H1370" s="4138"/>
      <c r="I1370" s="3375"/>
      <c r="J1370" s="2648"/>
      <c r="K1370" s="3147"/>
      <c r="L1370" s="2785"/>
      <c r="M1370" s="2695"/>
      <c r="N1370" s="2649"/>
      <c r="O1370" s="2655"/>
      <c r="P1370" s="2651"/>
      <c r="Q1370" s="3440"/>
      <c r="R1370" s="3553"/>
      <c r="S1370" s="1407"/>
      <c r="T1370" s="3375"/>
      <c r="U1370" s="2648"/>
      <c r="V1370" s="3554"/>
      <c r="W1370" s="3150"/>
      <c r="X1370" s="2656"/>
      <c r="Y1370" s="2656"/>
      <c r="Z1370" s="2656"/>
      <c r="AA1370" s="2656"/>
      <c r="AB1370" s="2656"/>
      <c r="AC1370" s="2656"/>
      <c r="AD1370" s="2656"/>
      <c r="AE1370" s="2656"/>
      <c r="AF1370" s="2656"/>
      <c r="AG1370" s="2656"/>
      <c r="AH1370" s="2656"/>
      <c r="AI1370" s="2656"/>
      <c r="AJ1370" s="2656"/>
      <c r="AK1370" s="2656"/>
      <c r="AL1370" s="2656"/>
      <c r="AM1370" s="2656"/>
      <c r="AN1370" s="2656"/>
      <c r="AO1370" s="2656"/>
      <c r="AP1370" s="2656"/>
      <c r="AQ1370" s="2656"/>
      <c r="AR1370" s="2656"/>
      <c r="AS1370" s="2656"/>
      <c r="AT1370" s="2656"/>
      <c r="AU1370" s="2656"/>
      <c r="AV1370" s="2656"/>
      <c r="AW1370" s="2656"/>
      <c r="AX1370" s="2656"/>
      <c r="AY1370" s="2656"/>
      <c r="AZ1370" s="2656"/>
      <c r="BA1370" s="2656"/>
      <c r="BB1370" s="2656"/>
      <c r="BC1370" s="2656"/>
      <c r="BD1370" s="2656"/>
      <c r="BE1370" s="2656"/>
      <c r="BF1370" s="2656"/>
      <c r="BG1370" s="2656"/>
      <c r="BH1370" s="2656"/>
      <c r="BI1370" s="2656"/>
    </row>
    <row r="1371" spans="1:61" ht="24.75" customHeight="1">
      <c r="A1371" s="3375"/>
      <c r="B1371" s="2646"/>
      <c r="C1371" s="2647"/>
      <c r="D1371" s="2646"/>
      <c r="E1371" s="3013"/>
      <c r="F1371" s="2655"/>
      <c r="G1371" s="2596"/>
      <c r="H1371" s="4138"/>
      <c r="I1371" s="3375"/>
      <c r="J1371" s="2648"/>
      <c r="K1371" s="3147"/>
      <c r="L1371" s="2785"/>
      <c r="M1371" s="2695"/>
      <c r="N1371" s="2649"/>
      <c r="O1371" s="2655"/>
      <c r="P1371" s="2651"/>
      <c r="Q1371" s="3440"/>
      <c r="R1371" s="3553"/>
      <c r="S1371" s="1407"/>
      <c r="T1371" s="3375"/>
      <c r="U1371" s="2648"/>
      <c r="V1371" s="3554"/>
      <c r="W1371" s="3150"/>
      <c r="X1371" s="2656"/>
      <c r="Y1371" s="2656"/>
      <c r="Z1371" s="2656"/>
      <c r="AA1371" s="2656"/>
      <c r="AB1371" s="2656"/>
      <c r="AC1371" s="2656"/>
      <c r="AD1371" s="2656"/>
      <c r="AE1371" s="2656"/>
      <c r="AF1371" s="2656"/>
      <c r="AG1371" s="2656"/>
      <c r="AH1371" s="2656"/>
      <c r="AI1371" s="2656"/>
      <c r="AJ1371" s="2656"/>
      <c r="AK1371" s="2656"/>
      <c r="AL1371" s="2656"/>
      <c r="AM1371" s="2656"/>
      <c r="AN1371" s="2656"/>
      <c r="AO1371" s="2656"/>
      <c r="AP1371" s="2656"/>
      <c r="AQ1371" s="2656"/>
      <c r="AR1371" s="2656"/>
      <c r="AS1371" s="2656"/>
      <c r="AT1371" s="2656"/>
      <c r="AU1371" s="2656"/>
      <c r="AV1371" s="2656"/>
      <c r="AW1371" s="2656"/>
      <c r="AX1371" s="2656"/>
      <c r="AY1371" s="2656"/>
      <c r="AZ1371" s="2656"/>
      <c r="BA1371" s="2656"/>
      <c r="BB1371" s="2656"/>
      <c r="BC1371" s="2656"/>
      <c r="BD1371" s="2656"/>
      <c r="BE1371" s="2656"/>
      <c r="BF1371" s="2656"/>
      <c r="BG1371" s="2656"/>
      <c r="BH1371" s="2656"/>
      <c r="BI1371" s="2656"/>
    </row>
    <row r="1372" spans="1:61" ht="24.75" customHeight="1">
      <c r="A1372" s="3375"/>
      <c r="B1372" s="2646"/>
      <c r="C1372" s="2647"/>
      <c r="D1372" s="2646"/>
      <c r="E1372" s="3013"/>
      <c r="F1372" s="2655"/>
      <c r="G1372" s="2596"/>
      <c r="H1372" s="4138"/>
      <c r="I1372" s="3375"/>
      <c r="J1372" s="2648"/>
      <c r="K1372" s="3147"/>
      <c r="L1372" s="2785"/>
      <c r="M1372" s="2695"/>
      <c r="N1372" s="2649"/>
      <c r="O1372" s="2655"/>
      <c r="P1372" s="2651"/>
      <c r="Q1372" s="3440"/>
      <c r="R1372" s="3553"/>
      <c r="S1372" s="1407"/>
      <c r="T1372" s="3375"/>
      <c r="U1372" s="2648"/>
      <c r="V1372" s="3554"/>
      <c r="W1372" s="3150"/>
      <c r="X1372" s="2656"/>
      <c r="Y1372" s="2656"/>
      <c r="Z1372" s="2656"/>
      <c r="AA1372" s="2656"/>
      <c r="AB1372" s="2656"/>
      <c r="AC1372" s="2656"/>
      <c r="AD1372" s="2656"/>
      <c r="AE1372" s="2656"/>
      <c r="AF1372" s="2656"/>
      <c r="AG1372" s="2656"/>
      <c r="AH1372" s="2656"/>
      <c r="AI1372" s="2656"/>
      <c r="AJ1372" s="2656"/>
      <c r="AK1372" s="2656"/>
      <c r="AL1372" s="2656"/>
      <c r="AM1372" s="2656"/>
      <c r="AN1372" s="2656"/>
      <c r="AO1372" s="2656"/>
      <c r="AP1372" s="2656"/>
      <c r="AQ1372" s="2656"/>
      <c r="AR1372" s="2656"/>
      <c r="AS1372" s="2656"/>
      <c r="AT1372" s="2656"/>
      <c r="AU1372" s="2656"/>
      <c r="AV1372" s="2656"/>
      <c r="AW1372" s="2656"/>
      <c r="AX1372" s="2656"/>
      <c r="AY1372" s="2656"/>
      <c r="AZ1372" s="2656"/>
      <c r="BA1372" s="2656"/>
      <c r="BB1372" s="2656"/>
      <c r="BC1372" s="2656"/>
      <c r="BD1372" s="2656"/>
      <c r="BE1372" s="2656"/>
      <c r="BF1372" s="2656"/>
      <c r="BG1372" s="2656"/>
      <c r="BH1372" s="2656"/>
      <c r="BI1372" s="2656"/>
    </row>
    <row r="1373" spans="1:61" ht="24.75" customHeight="1">
      <c r="A1373" s="3375"/>
      <c r="B1373" s="2646"/>
      <c r="C1373" s="2647"/>
      <c r="D1373" s="2646"/>
      <c r="E1373" s="3013"/>
      <c r="F1373" s="2655"/>
      <c r="G1373" s="2596"/>
      <c r="H1373" s="4138"/>
      <c r="I1373" s="3375"/>
      <c r="J1373" s="2648"/>
      <c r="K1373" s="3147"/>
      <c r="L1373" s="2785"/>
      <c r="M1373" s="2695"/>
      <c r="N1373" s="2649"/>
      <c r="O1373" s="2655"/>
      <c r="P1373" s="2651"/>
      <c r="Q1373" s="3440"/>
      <c r="R1373" s="3553"/>
      <c r="S1373" s="1407"/>
      <c r="T1373" s="3375"/>
      <c r="U1373" s="2648"/>
      <c r="V1373" s="3554"/>
      <c r="W1373" s="3150"/>
      <c r="X1373" s="2656"/>
      <c r="Y1373" s="2656"/>
      <c r="Z1373" s="2656"/>
      <c r="AA1373" s="2656"/>
      <c r="AB1373" s="2656"/>
      <c r="AC1373" s="2656"/>
      <c r="AD1373" s="2656"/>
      <c r="AE1373" s="2656"/>
      <c r="AF1373" s="2656"/>
      <c r="AG1373" s="2656"/>
      <c r="AH1373" s="2656"/>
      <c r="AI1373" s="2656"/>
      <c r="AJ1373" s="2656"/>
      <c r="AK1373" s="2656"/>
      <c r="AL1373" s="2656"/>
      <c r="AM1373" s="2656"/>
      <c r="AN1373" s="2656"/>
      <c r="AO1373" s="2656"/>
      <c r="AP1373" s="2656"/>
      <c r="AQ1373" s="2656"/>
      <c r="AR1373" s="2656"/>
      <c r="AS1373" s="2656"/>
      <c r="AT1373" s="2656"/>
      <c r="AU1373" s="2656"/>
      <c r="AV1373" s="2656"/>
      <c r="AW1373" s="2656"/>
      <c r="AX1373" s="2656"/>
      <c r="AY1373" s="2656"/>
      <c r="AZ1373" s="2656"/>
      <c r="BA1373" s="2656"/>
      <c r="BB1373" s="2656"/>
      <c r="BC1373" s="2656"/>
      <c r="BD1373" s="2656"/>
      <c r="BE1373" s="2656"/>
      <c r="BF1373" s="2656"/>
      <c r="BG1373" s="2656"/>
      <c r="BH1373" s="2656"/>
      <c r="BI1373" s="2656"/>
    </row>
    <row r="1374" spans="1:61" ht="24.75" customHeight="1">
      <c r="A1374" s="3375"/>
      <c r="B1374" s="2646"/>
      <c r="C1374" s="2647"/>
      <c r="D1374" s="2646"/>
      <c r="E1374" s="3013"/>
      <c r="F1374" s="2655"/>
      <c r="G1374" s="2596"/>
      <c r="H1374" s="4138"/>
      <c r="I1374" s="3375"/>
      <c r="J1374" s="2648"/>
      <c r="K1374" s="3147"/>
      <c r="L1374" s="2785"/>
      <c r="M1374" s="2695"/>
      <c r="N1374" s="2649"/>
      <c r="O1374" s="2655"/>
      <c r="P1374" s="2651"/>
      <c r="Q1374" s="3440"/>
      <c r="R1374" s="3553"/>
      <c r="S1374" s="1407"/>
      <c r="T1374" s="3375"/>
      <c r="U1374" s="2648"/>
      <c r="V1374" s="3554"/>
      <c r="W1374" s="3150"/>
      <c r="X1374" s="2656"/>
      <c r="Y1374" s="2656"/>
      <c r="Z1374" s="2656"/>
      <c r="AA1374" s="2656"/>
      <c r="AB1374" s="2656"/>
      <c r="AC1374" s="2656"/>
      <c r="AD1374" s="2656"/>
      <c r="AE1374" s="2656"/>
      <c r="AF1374" s="2656"/>
      <c r="AG1374" s="2656"/>
      <c r="AH1374" s="2656"/>
      <c r="AI1374" s="2656"/>
      <c r="AJ1374" s="2656"/>
      <c r="AK1374" s="2656"/>
      <c r="AL1374" s="2656"/>
      <c r="AM1374" s="2656"/>
      <c r="AN1374" s="2656"/>
      <c r="AO1374" s="2656"/>
      <c r="AP1374" s="2656"/>
      <c r="AQ1374" s="2656"/>
      <c r="AR1374" s="2656"/>
      <c r="AS1374" s="2656"/>
      <c r="AT1374" s="2656"/>
      <c r="AU1374" s="2656"/>
      <c r="AV1374" s="2656"/>
      <c r="AW1374" s="2656"/>
      <c r="AX1374" s="2656"/>
      <c r="AY1374" s="2656"/>
      <c r="AZ1374" s="2656"/>
      <c r="BA1374" s="2656"/>
      <c r="BB1374" s="2656"/>
      <c r="BC1374" s="2656"/>
      <c r="BD1374" s="2656"/>
      <c r="BE1374" s="2656"/>
      <c r="BF1374" s="2656"/>
      <c r="BG1374" s="2656"/>
      <c r="BH1374" s="2656"/>
      <c r="BI1374" s="2656"/>
    </row>
    <row r="1375" spans="1:61" ht="24.75" customHeight="1">
      <c r="A1375" s="3375"/>
      <c r="B1375" s="2646"/>
      <c r="C1375" s="2647"/>
      <c r="D1375" s="2646"/>
      <c r="E1375" s="3013"/>
      <c r="F1375" s="2655"/>
      <c r="G1375" s="2596"/>
      <c r="H1375" s="4138"/>
      <c r="I1375" s="3375"/>
      <c r="J1375" s="2648"/>
      <c r="K1375" s="3147"/>
      <c r="L1375" s="2785"/>
      <c r="M1375" s="2695"/>
      <c r="N1375" s="2649"/>
      <c r="O1375" s="2655"/>
      <c r="P1375" s="2651"/>
      <c r="Q1375" s="3440"/>
      <c r="R1375" s="3553"/>
      <c r="S1375" s="1407"/>
      <c r="T1375" s="3375"/>
      <c r="U1375" s="2648"/>
      <c r="V1375" s="3554"/>
      <c r="W1375" s="3150"/>
      <c r="X1375" s="2656"/>
      <c r="Y1375" s="2656"/>
      <c r="Z1375" s="2656"/>
      <c r="AA1375" s="2656"/>
      <c r="AB1375" s="2656"/>
      <c r="AC1375" s="2656"/>
      <c r="AD1375" s="2656"/>
      <c r="AE1375" s="2656"/>
      <c r="AF1375" s="2656"/>
      <c r="AG1375" s="2656"/>
      <c r="AH1375" s="2656"/>
      <c r="AI1375" s="2656"/>
      <c r="AJ1375" s="2656"/>
      <c r="AK1375" s="2656"/>
      <c r="AL1375" s="2656"/>
      <c r="AM1375" s="2656"/>
      <c r="AN1375" s="2656"/>
      <c r="AO1375" s="2656"/>
      <c r="AP1375" s="2656"/>
      <c r="AQ1375" s="2656"/>
      <c r="AR1375" s="2656"/>
      <c r="AS1375" s="2656"/>
      <c r="AT1375" s="2656"/>
      <c r="AU1375" s="2656"/>
      <c r="AV1375" s="2656"/>
      <c r="AW1375" s="2656"/>
      <c r="AX1375" s="2656"/>
      <c r="AY1375" s="2656"/>
      <c r="AZ1375" s="2656"/>
      <c r="BA1375" s="2656"/>
      <c r="BB1375" s="2656"/>
      <c r="BC1375" s="2656"/>
      <c r="BD1375" s="2656"/>
      <c r="BE1375" s="2656"/>
      <c r="BF1375" s="2656"/>
      <c r="BG1375" s="2656"/>
      <c r="BH1375" s="2656"/>
      <c r="BI1375" s="2656"/>
    </row>
    <row r="1376" spans="1:61" ht="24.75" customHeight="1">
      <c r="A1376" s="3375"/>
      <c r="B1376" s="2646"/>
      <c r="C1376" s="2647"/>
      <c r="D1376" s="2646"/>
      <c r="E1376" s="3013"/>
      <c r="F1376" s="2655"/>
      <c r="G1376" s="2596"/>
      <c r="H1376" s="4138"/>
      <c r="I1376" s="3375"/>
      <c r="J1376" s="2648"/>
      <c r="K1376" s="3147"/>
      <c r="L1376" s="2785"/>
      <c r="M1376" s="2695"/>
      <c r="N1376" s="2649"/>
      <c r="O1376" s="2655"/>
      <c r="P1376" s="2651"/>
      <c r="Q1376" s="3440"/>
      <c r="R1376" s="3553"/>
      <c r="S1376" s="1407"/>
      <c r="T1376" s="3375"/>
      <c r="U1376" s="2648"/>
      <c r="V1376" s="3554"/>
      <c r="W1376" s="3150"/>
      <c r="X1376" s="2656"/>
      <c r="Y1376" s="2656"/>
      <c r="Z1376" s="2656"/>
      <c r="AA1376" s="2656"/>
      <c r="AB1376" s="2656"/>
      <c r="AC1376" s="2656"/>
      <c r="AD1376" s="2656"/>
      <c r="AE1376" s="2656"/>
      <c r="AF1376" s="2656"/>
      <c r="AG1376" s="2656"/>
      <c r="AH1376" s="2656"/>
      <c r="AI1376" s="2656"/>
      <c r="AJ1376" s="2656"/>
      <c r="AK1376" s="2656"/>
      <c r="AL1376" s="2656"/>
      <c r="AM1376" s="2656"/>
      <c r="AN1376" s="2656"/>
      <c r="AO1376" s="2656"/>
      <c r="AP1376" s="2656"/>
      <c r="AQ1376" s="2656"/>
      <c r="AR1376" s="2656"/>
      <c r="AS1376" s="2656"/>
      <c r="AT1376" s="2656"/>
      <c r="AU1376" s="2656"/>
      <c r="AV1376" s="2656"/>
      <c r="AW1376" s="2656"/>
      <c r="AX1376" s="2656"/>
      <c r="AY1376" s="2656"/>
      <c r="AZ1376" s="2656"/>
      <c r="BA1376" s="2656"/>
      <c r="BB1376" s="2656"/>
      <c r="BC1376" s="2656"/>
      <c r="BD1376" s="2656"/>
      <c r="BE1376" s="2656"/>
      <c r="BF1376" s="2656"/>
      <c r="BG1376" s="2656"/>
      <c r="BH1376" s="2656"/>
      <c r="BI1376" s="2656"/>
    </row>
    <row r="1377" spans="1:61" ht="24.75" customHeight="1">
      <c r="A1377" s="3375"/>
      <c r="B1377" s="2646"/>
      <c r="C1377" s="2647"/>
      <c r="D1377" s="2646"/>
      <c r="E1377" s="3013"/>
      <c r="F1377" s="2655"/>
      <c r="G1377" s="2596"/>
      <c r="H1377" s="4138"/>
      <c r="I1377" s="3375"/>
      <c r="J1377" s="2648"/>
      <c r="K1377" s="3147"/>
      <c r="L1377" s="2785"/>
      <c r="M1377" s="2695"/>
      <c r="N1377" s="2649"/>
      <c r="O1377" s="2655"/>
      <c r="P1377" s="2651"/>
      <c r="Q1377" s="3440"/>
      <c r="R1377" s="3553"/>
      <c r="S1377" s="1407"/>
      <c r="T1377" s="3375"/>
      <c r="U1377" s="2648"/>
      <c r="V1377" s="3554"/>
      <c r="W1377" s="3150"/>
      <c r="X1377" s="2656"/>
      <c r="Y1377" s="2656"/>
      <c r="Z1377" s="2656"/>
      <c r="AA1377" s="2656"/>
      <c r="AB1377" s="2656"/>
      <c r="AC1377" s="2656"/>
      <c r="AD1377" s="2656"/>
      <c r="AE1377" s="2656"/>
      <c r="AF1377" s="2656"/>
      <c r="AG1377" s="2656"/>
      <c r="AH1377" s="2656"/>
      <c r="AI1377" s="2656"/>
      <c r="AJ1377" s="2656"/>
      <c r="AK1377" s="2656"/>
      <c r="AL1377" s="2656"/>
      <c r="AM1377" s="2656"/>
      <c r="AN1377" s="2656"/>
      <c r="AO1377" s="2656"/>
      <c r="AP1377" s="2656"/>
      <c r="AQ1377" s="2656"/>
      <c r="AR1377" s="2656"/>
      <c r="AS1377" s="2656"/>
      <c r="AT1377" s="2656"/>
      <c r="AU1377" s="2656"/>
      <c r="AV1377" s="2656"/>
      <c r="AW1377" s="2656"/>
      <c r="AX1377" s="2656"/>
      <c r="AY1377" s="2656"/>
      <c r="AZ1377" s="2656"/>
      <c r="BA1377" s="2656"/>
      <c r="BB1377" s="2656"/>
      <c r="BC1377" s="2656"/>
      <c r="BD1377" s="2656"/>
      <c r="BE1377" s="2656"/>
      <c r="BF1377" s="2656"/>
      <c r="BG1377" s="2656"/>
      <c r="BH1377" s="2656"/>
      <c r="BI1377" s="2656"/>
    </row>
    <row r="1378" spans="1:61" ht="24.75" customHeight="1">
      <c r="A1378" s="3375"/>
      <c r="B1378" s="2646"/>
      <c r="C1378" s="2647"/>
      <c r="D1378" s="2646"/>
      <c r="E1378" s="3013"/>
      <c r="F1378" s="2655"/>
      <c r="G1378" s="2596"/>
      <c r="H1378" s="4138"/>
      <c r="I1378" s="3375"/>
      <c r="J1378" s="2648"/>
      <c r="K1378" s="3147"/>
      <c r="L1378" s="2785"/>
      <c r="M1378" s="2695"/>
      <c r="N1378" s="2649"/>
      <c r="O1378" s="2655"/>
      <c r="P1378" s="2651"/>
      <c r="Q1378" s="3440"/>
      <c r="R1378" s="3553"/>
      <c r="S1378" s="1407"/>
      <c r="T1378" s="3375"/>
      <c r="U1378" s="2648"/>
      <c r="V1378" s="3554"/>
      <c r="W1378" s="3150"/>
      <c r="X1378" s="2656"/>
      <c r="Y1378" s="2656"/>
      <c r="Z1378" s="2656"/>
      <c r="AA1378" s="2656"/>
      <c r="AB1378" s="2656"/>
      <c r="AC1378" s="2656"/>
      <c r="AD1378" s="2656"/>
      <c r="AE1378" s="2656"/>
      <c r="AF1378" s="2656"/>
      <c r="AG1378" s="2656"/>
      <c r="AH1378" s="2656"/>
      <c r="AI1378" s="2656"/>
      <c r="AJ1378" s="2656"/>
      <c r="AK1378" s="2656"/>
      <c r="AL1378" s="2656"/>
      <c r="AM1378" s="2656"/>
      <c r="AN1378" s="2656"/>
      <c r="AO1378" s="2656"/>
      <c r="AP1378" s="2656"/>
      <c r="AQ1378" s="2656"/>
      <c r="AR1378" s="2656"/>
      <c r="AS1378" s="2656"/>
      <c r="AT1378" s="2656"/>
      <c r="AU1378" s="2656"/>
      <c r="AV1378" s="2656"/>
      <c r="AW1378" s="2656"/>
      <c r="AX1378" s="2656"/>
      <c r="AY1378" s="2656"/>
      <c r="AZ1378" s="2656"/>
      <c r="BA1378" s="2656"/>
      <c r="BB1378" s="2656"/>
      <c r="BC1378" s="2656"/>
      <c r="BD1378" s="2656"/>
      <c r="BE1378" s="2656"/>
      <c r="BF1378" s="2656"/>
      <c r="BG1378" s="2656"/>
      <c r="BH1378" s="2656"/>
      <c r="BI1378" s="2656"/>
    </row>
    <row r="1379" spans="1:61" ht="24.75" customHeight="1">
      <c r="A1379" s="3375"/>
      <c r="B1379" s="2646"/>
      <c r="C1379" s="2647"/>
      <c r="D1379" s="2646"/>
      <c r="E1379" s="3013"/>
      <c r="F1379" s="2655"/>
      <c r="G1379" s="2596"/>
      <c r="H1379" s="4138"/>
      <c r="I1379" s="3375"/>
      <c r="J1379" s="2648"/>
      <c r="K1379" s="3147"/>
      <c r="L1379" s="2785"/>
      <c r="M1379" s="2695"/>
      <c r="N1379" s="2649"/>
      <c r="O1379" s="2655"/>
      <c r="P1379" s="2651"/>
      <c r="Q1379" s="3440"/>
      <c r="R1379" s="3553"/>
      <c r="S1379" s="1407"/>
      <c r="T1379" s="3375"/>
      <c r="U1379" s="2648"/>
      <c r="V1379" s="3554"/>
      <c r="W1379" s="3150"/>
      <c r="X1379" s="2656"/>
      <c r="Y1379" s="2656"/>
      <c r="Z1379" s="2656"/>
      <c r="AA1379" s="2656"/>
      <c r="AB1379" s="2656"/>
      <c r="AC1379" s="2656"/>
      <c r="AD1379" s="2656"/>
      <c r="AE1379" s="2656"/>
      <c r="AF1379" s="2656"/>
      <c r="AG1379" s="2656"/>
      <c r="AH1379" s="2656"/>
      <c r="AI1379" s="2656"/>
      <c r="AJ1379" s="2656"/>
      <c r="AK1379" s="2656"/>
      <c r="AL1379" s="2656"/>
      <c r="AM1379" s="2656"/>
      <c r="AN1379" s="2656"/>
      <c r="AO1379" s="2656"/>
      <c r="AP1379" s="2656"/>
      <c r="AQ1379" s="2656"/>
      <c r="AR1379" s="2656"/>
      <c r="AS1379" s="2656"/>
      <c r="AT1379" s="2656"/>
      <c r="AU1379" s="2656"/>
      <c r="AV1379" s="2656"/>
      <c r="AW1379" s="2656"/>
      <c r="AX1379" s="2656"/>
      <c r="AY1379" s="2656"/>
      <c r="AZ1379" s="2656"/>
      <c r="BA1379" s="2656"/>
      <c r="BB1379" s="2656"/>
      <c r="BC1379" s="2656"/>
      <c r="BD1379" s="2656"/>
      <c r="BE1379" s="2656"/>
      <c r="BF1379" s="2656"/>
      <c r="BG1379" s="2656"/>
      <c r="BH1379" s="2656"/>
      <c r="BI1379" s="2656"/>
    </row>
    <row r="1380" spans="1:61" ht="24.75" customHeight="1">
      <c r="A1380" s="3375"/>
      <c r="B1380" s="2646"/>
      <c r="C1380" s="2647"/>
      <c r="D1380" s="2646"/>
      <c r="E1380" s="3013"/>
      <c r="F1380" s="2655"/>
      <c r="G1380" s="2596"/>
      <c r="H1380" s="4138"/>
      <c r="I1380" s="3375"/>
      <c r="J1380" s="2648"/>
      <c r="K1380" s="3147"/>
      <c r="L1380" s="2785"/>
      <c r="M1380" s="2695"/>
      <c r="N1380" s="2649"/>
      <c r="O1380" s="2655"/>
      <c r="P1380" s="2651"/>
      <c r="Q1380" s="3440"/>
      <c r="R1380" s="3553"/>
      <c r="S1380" s="1407"/>
      <c r="T1380" s="3375"/>
      <c r="U1380" s="2648"/>
      <c r="V1380" s="3554"/>
      <c r="W1380" s="3150"/>
      <c r="X1380" s="2656"/>
      <c r="Y1380" s="2656"/>
      <c r="Z1380" s="2656"/>
      <c r="AA1380" s="2656"/>
      <c r="AB1380" s="2656"/>
      <c r="AC1380" s="2656"/>
      <c r="AD1380" s="2656"/>
      <c r="AE1380" s="2656"/>
      <c r="AF1380" s="2656"/>
      <c r="AG1380" s="2656"/>
      <c r="AH1380" s="2656"/>
      <c r="AI1380" s="2656"/>
      <c r="AJ1380" s="2656"/>
      <c r="AK1380" s="2656"/>
      <c r="AL1380" s="2656"/>
      <c r="AM1380" s="2656"/>
      <c r="AN1380" s="2656"/>
      <c r="AO1380" s="2656"/>
      <c r="AP1380" s="2656"/>
      <c r="AQ1380" s="2656"/>
      <c r="AR1380" s="2656"/>
      <c r="AS1380" s="2656"/>
      <c r="AT1380" s="2656"/>
      <c r="AU1380" s="2656"/>
      <c r="AV1380" s="2656"/>
      <c r="AW1380" s="2656"/>
      <c r="AX1380" s="2656"/>
      <c r="AY1380" s="2656"/>
      <c r="AZ1380" s="2656"/>
      <c r="BA1380" s="2656"/>
      <c r="BB1380" s="2656"/>
      <c r="BC1380" s="2656"/>
      <c r="BD1380" s="2656"/>
      <c r="BE1380" s="2656"/>
      <c r="BF1380" s="2656"/>
      <c r="BG1380" s="2656"/>
      <c r="BH1380" s="2656"/>
      <c r="BI1380" s="2656"/>
    </row>
    <row r="1381" spans="1:61" ht="24.75" customHeight="1">
      <c r="A1381" s="3375"/>
      <c r="B1381" s="2646"/>
      <c r="C1381" s="2647"/>
      <c r="D1381" s="2646"/>
      <c r="E1381" s="3013"/>
      <c r="F1381" s="2655"/>
      <c r="G1381" s="2596"/>
      <c r="H1381" s="4138"/>
      <c r="I1381" s="3375"/>
      <c r="J1381" s="2648"/>
      <c r="K1381" s="3147"/>
      <c r="L1381" s="2785"/>
      <c r="M1381" s="2695"/>
      <c r="N1381" s="2649"/>
      <c r="O1381" s="2655"/>
      <c r="P1381" s="2651"/>
      <c r="Q1381" s="3440"/>
      <c r="R1381" s="3553"/>
      <c r="S1381" s="1407"/>
      <c r="T1381" s="3375"/>
      <c r="U1381" s="2648"/>
      <c r="V1381" s="3554"/>
      <c r="W1381" s="3150"/>
      <c r="X1381" s="2656"/>
      <c r="Y1381" s="2656"/>
      <c r="Z1381" s="2656"/>
      <c r="AA1381" s="2656"/>
      <c r="AB1381" s="2656"/>
      <c r="AC1381" s="2656"/>
      <c r="AD1381" s="2656"/>
      <c r="AE1381" s="2656"/>
      <c r="AF1381" s="2656"/>
      <c r="AG1381" s="2656"/>
      <c r="AH1381" s="2656"/>
      <c r="AI1381" s="2656"/>
      <c r="AJ1381" s="2656"/>
      <c r="AK1381" s="2656"/>
      <c r="AL1381" s="2656"/>
      <c r="AM1381" s="2656"/>
      <c r="AN1381" s="2656"/>
      <c r="AO1381" s="2656"/>
      <c r="AP1381" s="2656"/>
      <c r="AQ1381" s="2656"/>
      <c r="AR1381" s="2656"/>
      <c r="AS1381" s="2656"/>
      <c r="AT1381" s="2656"/>
      <c r="AU1381" s="2656"/>
      <c r="AV1381" s="2656"/>
      <c r="AW1381" s="2656"/>
      <c r="AX1381" s="2656"/>
      <c r="AY1381" s="2656"/>
      <c r="AZ1381" s="2656"/>
      <c r="BA1381" s="2656"/>
      <c r="BB1381" s="2656"/>
      <c r="BC1381" s="2656"/>
      <c r="BD1381" s="2656"/>
      <c r="BE1381" s="2656"/>
      <c r="BF1381" s="2656"/>
      <c r="BG1381" s="2656"/>
      <c r="BH1381" s="2656"/>
      <c r="BI1381" s="2656"/>
    </row>
    <row r="1382" spans="1:61" ht="24.75" customHeight="1">
      <c r="A1382" s="3375"/>
      <c r="B1382" s="2646"/>
      <c r="C1382" s="2647"/>
      <c r="D1382" s="2646"/>
      <c r="E1382" s="3013"/>
      <c r="F1382" s="2655"/>
      <c r="G1382" s="2596"/>
      <c r="H1382" s="4138"/>
      <c r="I1382" s="3375"/>
      <c r="J1382" s="2648"/>
      <c r="K1382" s="3147"/>
      <c r="L1382" s="2785"/>
      <c r="M1382" s="2695"/>
      <c r="N1382" s="2649"/>
      <c r="O1382" s="2655"/>
      <c r="P1382" s="2651"/>
      <c r="Q1382" s="3440"/>
      <c r="R1382" s="3553"/>
      <c r="S1382" s="1407"/>
      <c r="T1382" s="3375"/>
      <c r="U1382" s="2648"/>
      <c r="V1382" s="3554"/>
      <c r="W1382" s="3150"/>
      <c r="X1382" s="2656"/>
      <c r="Y1382" s="2656"/>
      <c r="Z1382" s="2656"/>
      <c r="AA1382" s="2656"/>
      <c r="AB1382" s="2656"/>
      <c r="AC1382" s="2656"/>
      <c r="AD1382" s="2656"/>
      <c r="AE1382" s="2656"/>
      <c r="AF1382" s="2656"/>
      <c r="AG1382" s="2656"/>
      <c r="AH1382" s="2656"/>
      <c r="AI1382" s="2656"/>
      <c r="AJ1382" s="2656"/>
      <c r="AK1382" s="2656"/>
      <c r="AL1382" s="2656"/>
      <c r="AM1382" s="2656"/>
      <c r="AN1382" s="2656"/>
      <c r="AO1382" s="2656"/>
      <c r="AP1382" s="2656"/>
      <c r="AQ1382" s="2656"/>
      <c r="AR1382" s="2656"/>
      <c r="AS1382" s="2656"/>
      <c r="AT1382" s="2656"/>
      <c r="AU1382" s="2656"/>
      <c r="AV1382" s="2656"/>
      <c r="AW1382" s="2656"/>
      <c r="AX1382" s="2656"/>
      <c r="AY1382" s="2656"/>
      <c r="AZ1382" s="2656"/>
      <c r="BA1382" s="2656"/>
      <c r="BB1382" s="2656"/>
      <c r="BC1382" s="2656"/>
      <c r="BD1382" s="2656"/>
      <c r="BE1382" s="2656"/>
      <c r="BF1382" s="2656"/>
      <c r="BG1382" s="2656"/>
      <c r="BH1382" s="2656"/>
      <c r="BI1382" s="2656"/>
    </row>
    <row r="1383" spans="1:61" ht="24.75" customHeight="1">
      <c r="A1383" s="3375"/>
      <c r="B1383" s="2646"/>
      <c r="C1383" s="2647"/>
      <c r="D1383" s="2646"/>
      <c r="E1383" s="3013"/>
      <c r="F1383" s="2655"/>
      <c r="G1383" s="2596"/>
      <c r="H1383" s="4138"/>
      <c r="I1383" s="3375"/>
      <c r="J1383" s="2648"/>
      <c r="K1383" s="3147"/>
      <c r="L1383" s="2785"/>
      <c r="M1383" s="2695"/>
      <c r="N1383" s="2649"/>
      <c r="O1383" s="2655"/>
      <c r="P1383" s="2651"/>
      <c r="Q1383" s="3440"/>
      <c r="R1383" s="3553"/>
      <c r="S1383" s="1407"/>
      <c r="T1383" s="3375"/>
      <c r="U1383" s="2648"/>
      <c r="V1383" s="3554"/>
      <c r="W1383" s="3150"/>
      <c r="X1383" s="2656"/>
      <c r="Y1383" s="2656"/>
      <c r="Z1383" s="2656"/>
      <c r="AA1383" s="2656"/>
      <c r="AB1383" s="2656"/>
      <c r="AC1383" s="2656"/>
      <c r="AD1383" s="2656"/>
      <c r="AE1383" s="2656"/>
      <c r="AF1383" s="2656"/>
      <c r="AG1383" s="2656"/>
      <c r="AH1383" s="2656"/>
      <c r="AI1383" s="2656"/>
      <c r="AJ1383" s="2656"/>
      <c r="AK1383" s="2656"/>
      <c r="AL1383" s="2656"/>
      <c r="AM1383" s="2656"/>
      <c r="AN1383" s="2656"/>
      <c r="AO1383" s="2656"/>
      <c r="AP1383" s="2656"/>
      <c r="AQ1383" s="2656"/>
      <c r="AR1383" s="2656"/>
      <c r="AS1383" s="2656"/>
      <c r="AT1383" s="2656"/>
      <c r="AU1383" s="2656"/>
      <c r="AV1383" s="2656"/>
      <c r="AW1383" s="2656"/>
      <c r="AX1383" s="2656"/>
      <c r="AY1383" s="2656"/>
      <c r="AZ1383" s="2656"/>
      <c r="BA1383" s="2656"/>
      <c r="BB1383" s="2656"/>
      <c r="BC1383" s="2656"/>
      <c r="BD1383" s="2656"/>
      <c r="BE1383" s="2656"/>
      <c r="BF1383" s="2656"/>
      <c r="BG1383" s="2656"/>
      <c r="BH1383" s="2656"/>
      <c r="BI1383" s="2656"/>
    </row>
    <row r="1384" spans="1:61" ht="24.75" customHeight="1">
      <c r="A1384" s="3375"/>
      <c r="B1384" s="2646"/>
      <c r="C1384" s="2647"/>
      <c r="D1384" s="2646"/>
      <c r="E1384" s="3013"/>
      <c r="F1384" s="2655"/>
      <c r="G1384" s="2596"/>
      <c r="H1384" s="4138"/>
      <c r="I1384" s="3375"/>
      <c r="J1384" s="2648"/>
      <c r="K1384" s="3147"/>
      <c r="L1384" s="2785"/>
      <c r="M1384" s="2695"/>
      <c r="N1384" s="2649"/>
      <c r="O1384" s="2655"/>
      <c r="P1384" s="2651"/>
      <c r="Q1384" s="3440"/>
      <c r="R1384" s="3553"/>
      <c r="S1384" s="1407"/>
      <c r="T1384" s="3375"/>
      <c r="U1384" s="2648"/>
      <c r="V1384" s="3554"/>
      <c r="W1384" s="3150"/>
      <c r="X1384" s="2656"/>
      <c r="Y1384" s="2656"/>
      <c r="Z1384" s="2656"/>
      <c r="AA1384" s="2656"/>
      <c r="AB1384" s="2656"/>
      <c r="AC1384" s="2656"/>
      <c r="AD1384" s="2656"/>
      <c r="AE1384" s="2656"/>
      <c r="AF1384" s="2656"/>
      <c r="AG1384" s="2656"/>
      <c r="AH1384" s="2656"/>
      <c r="AI1384" s="2656"/>
      <c r="AJ1384" s="2656"/>
      <c r="AK1384" s="2656"/>
      <c r="AL1384" s="2656"/>
      <c r="AM1384" s="2656"/>
      <c r="AN1384" s="2656"/>
      <c r="AO1384" s="2656"/>
      <c r="AP1384" s="2656"/>
      <c r="AQ1384" s="2656"/>
      <c r="AR1384" s="2656"/>
      <c r="AS1384" s="2656"/>
      <c r="AT1384" s="2656"/>
      <c r="AU1384" s="2656"/>
      <c r="AV1384" s="2656"/>
      <c r="AW1384" s="2656"/>
      <c r="AX1384" s="2656"/>
      <c r="AY1384" s="2656"/>
      <c r="AZ1384" s="2656"/>
      <c r="BA1384" s="2656"/>
      <c r="BB1384" s="2656"/>
      <c r="BC1384" s="2656"/>
      <c r="BD1384" s="2656"/>
      <c r="BE1384" s="2656"/>
      <c r="BF1384" s="2656"/>
      <c r="BG1384" s="2656"/>
      <c r="BH1384" s="2656"/>
      <c r="BI1384" s="2656"/>
    </row>
    <row r="1385" spans="1:61" ht="24.75" customHeight="1">
      <c r="A1385" s="3375"/>
      <c r="B1385" s="2646"/>
      <c r="C1385" s="2647"/>
      <c r="D1385" s="2646"/>
      <c r="E1385" s="3013"/>
      <c r="F1385" s="2655"/>
      <c r="G1385" s="2596"/>
      <c r="H1385" s="4138"/>
      <c r="I1385" s="3375"/>
      <c r="J1385" s="2648"/>
      <c r="K1385" s="3147"/>
      <c r="L1385" s="2785"/>
      <c r="M1385" s="2695"/>
      <c r="N1385" s="2649"/>
      <c r="O1385" s="2655"/>
      <c r="P1385" s="2651"/>
      <c r="Q1385" s="3440"/>
      <c r="R1385" s="3553"/>
      <c r="S1385" s="1407"/>
      <c r="T1385" s="3375"/>
      <c r="U1385" s="2648"/>
      <c r="V1385" s="3554"/>
      <c r="W1385" s="3150"/>
      <c r="X1385" s="2656"/>
      <c r="Y1385" s="2656"/>
      <c r="Z1385" s="2656"/>
      <c r="AA1385" s="2656"/>
      <c r="AB1385" s="2656"/>
      <c r="AC1385" s="2656"/>
      <c r="AD1385" s="2656"/>
      <c r="AE1385" s="2656"/>
      <c r="AF1385" s="2656"/>
      <c r="AG1385" s="2656"/>
      <c r="AH1385" s="2656"/>
      <c r="AI1385" s="2656"/>
      <c r="AJ1385" s="2656"/>
      <c r="AK1385" s="2656"/>
      <c r="AL1385" s="2656"/>
      <c r="AM1385" s="2656"/>
      <c r="AN1385" s="2656"/>
      <c r="AO1385" s="2656"/>
      <c r="AP1385" s="2656"/>
      <c r="AQ1385" s="2656"/>
      <c r="AR1385" s="2656"/>
      <c r="AS1385" s="2656"/>
      <c r="AT1385" s="2656"/>
      <c r="AU1385" s="2656"/>
      <c r="AV1385" s="2656"/>
      <c r="AW1385" s="2656"/>
      <c r="AX1385" s="2656"/>
      <c r="AY1385" s="2656"/>
      <c r="AZ1385" s="2656"/>
      <c r="BA1385" s="2656"/>
      <c r="BB1385" s="2656"/>
      <c r="BC1385" s="2656"/>
      <c r="BD1385" s="2656"/>
      <c r="BE1385" s="2656"/>
      <c r="BF1385" s="2656"/>
      <c r="BG1385" s="2656"/>
      <c r="BH1385" s="2656"/>
      <c r="BI1385" s="2656"/>
    </row>
    <row r="1386" spans="1:61" ht="24.75" customHeight="1">
      <c r="A1386" s="3375"/>
      <c r="B1386" s="2646"/>
      <c r="C1386" s="2647"/>
      <c r="D1386" s="2646"/>
      <c r="E1386" s="3013"/>
      <c r="F1386" s="2655"/>
      <c r="G1386" s="2596"/>
      <c r="H1386" s="4138"/>
      <c r="I1386" s="3375"/>
      <c r="J1386" s="2648"/>
      <c r="K1386" s="3147"/>
      <c r="L1386" s="2785"/>
      <c r="M1386" s="2695"/>
      <c r="N1386" s="2649"/>
      <c r="O1386" s="2655"/>
      <c r="P1386" s="2651"/>
      <c r="Q1386" s="3440"/>
      <c r="R1386" s="3553"/>
      <c r="S1386" s="1407"/>
      <c r="T1386" s="3375"/>
      <c r="U1386" s="2648"/>
      <c r="V1386" s="3554"/>
      <c r="W1386" s="3150"/>
      <c r="X1386" s="2656"/>
      <c r="Y1386" s="2656"/>
      <c r="Z1386" s="2656"/>
      <c r="AA1386" s="2656"/>
      <c r="AB1386" s="2656"/>
      <c r="AC1386" s="2656"/>
      <c r="AD1386" s="2656"/>
      <c r="AE1386" s="2656"/>
      <c r="AF1386" s="2656"/>
      <c r="AG1386" s="2656"/>
      <c r="AH1386" s="2656"/>
      <c r="AI1386" s="2656"/>
      <c r="AJ1386" s="2656"/>
      <c r="AK1386" s="2656"/>
      <c r="AL1386" s="2656"/>
      <c r="AM1386" s="2656"/>
      <c r="AN1386" s="2656"/>
      <c r="AO1386" s="2656"/>
      <c r="AP1386" s="2656"/>
      <c r="AQ1386" s="2656"/>
      <c r="AR1386" s="2656"/>
      <c r="AS1386" s="2656"/>
      <c r="AT1386" s="2656"/>
      <c r="AU1386" s="2656"/>
      <c r="AV1386" s="2656"/>
      <c r="AW1386" s="2656"/>
      <c r="AX1386" s="2656"/>
      <c r="AY1386" s="2656"/>
      <c r="AZ1386" s="2656"/>
      <c r="BA1386" s="2656"/>
      <c r="BB1386" s="2656"/>
      <c r="BC1386" s="2656"/>
      <c r="BD1386" s="2656"/>
      <c r="BE1386" s="2656"/>
      <c r="BF1386" s="2656"/>
      <c r="BG1386" s="2656"/>
      <c r="BH1386" s="2656"/>
      <c r="BI1386" s="2656"/>
    </row>
    <row r="1387" spans="1:61" ht="24.75" customHeight="1">
      <c r="A1387" s="3375"/>
      <c r="B1387" s="2646"/>
      <c r="C1387" s="2647"/>
      <c r="D1387" s="2646"/>
      <c r="E1387" s="3013"/>
      <c r="F1387" s="2655"/>
      <c r="G1387" s="2596"/>
      <c r="H1387" s="4138"/>
      <c r="I1387" s="3375"/>
      <c r="J1387" s="2648"/>
      <c r="K1387" s="3147"/>
      <c r="L1387" s="2785"/>
      <c r="M1387" s="2695"/>
      <c r="N1387" s="2649"/>
      <c r="O1387" s="2655"/>
      <c r="P1387" s="2651"/>
      <c r="Q1387" s="3440"/>
      <c r="R1387" s="3553"/>
      <c r="S1387" s="1407"/>
      <c r="T1387" s="3375"/>
      <c r="U1387" s="2648"/>
      <c r="V1387" s="3554"/>
      <c r="W1387" s="3150"/>
      <c r="X1387" s="2656"/>
      <c r="Y1387" s="2656"/>
      <c r="Z1387" s="2656"/>
      <c r="AA1387" s="2656"/>
      <c r="AB1387" s="2656"/>
      <c r="AC1387" s="2656"/>
      <c r="AD1387" s="2656"/>
      <c r="AE1387" s="2656"/>
      <c r="AF1387" s="2656"/>
      <c r="AG1387" s="2656"/>
      <c r="AH1387" s="2656"/>
      <c r="AI1387" s="2656"/>
      <c r="AJ1387" s="2656"/>
      <c r="AK1387" s="2656"/>
      <c r="AL1387" s="2656"/>
      <c r="AM1387" s="2656"/>
      <c r="AN1387" s="2656"/>
      <c r="AO1387" s="2656"/>
      <c r="AP1387" s="2656"/>
      <c r="AQ1387" s="2656"/>
      <c r="AR1387" s="2656"/>
      <c r="AS1387" s="2656"/>
      <c r="AT1387" s="2656"/>
      <c r="AU1387" s="2656"/>
      <c r="AV1387" s="2656"/>
      <c r="AW1387" s="2656"/>
      <c r="AX1387" s="2656"/>
      <c r="AY1387" s="2656"/>
      <c r="AZ1387" s="2656"/>
      <c r="BA1387" s="2656"/>
      <c r="BB1387" s="2656"/>
      <c r="BC1387" s="2656"/>
      <c r="BD1387" s="2656"/>
      <c r="BE1387" s="2656"/>
      <c r="BF1387" s="2656"/>
      <c r="BG1387" s="2656"/>
      <c r="BH1387" s="2656"/>
      <c r="BI1387" s="2656"/>
    </row>
    <row r="1388" spans="1:61" ht="24.75" customHeight="1">
      <c r="A1388" s="3375"/>
      <c r="B1388" s="2646"/>
      <c r="C1388" s="2647"/>
      <c r="D1388" s="2646"/>
      <c r="E1388" s="3013"/>
      <c r="F1388" s="2655"/>
      <c r="G1388" s="2596"/>
      <c r="H1388" s="4138"/>
      <c r="I1388" s="3375"/>
      <c r="J1388" s="2648"/>
      <c r="K1388" s="3147"/>
      <c r="L1388" s="2785"/>
      <c r="M1388" s="2695"/>
      <c r="N1388" s="2649"/>
      <c r="O1388" s="2655"/>
      <c r="P1388" s="2651"/>
      <c r="Q1388" s="3440"/>
      <c r="R1388" s="3553"/>
      <c r="S1388" s="1407"/>
      <c r="T1388" s="3375"/>
      <c r="U1388" s="2648"/>
      <c r="V1388" s="3554"/>
      <c r="W1388" s="3150"/>
      <c r="X1388" s="2656"/>
      <c r="Y1388" s="2656"/>
      <c r="Z1388" s="2656"/>
      <c r="AA1388" s="2656"/>
      <c r="AB1388" s="2656"/>
      <c r="AC1388" s="2656"/>
      <c r="AD1388" s="2656"/>
      <c r="AE1388" s="2656"/>
      <c r="AF1388" s="2656"/>
      <c r="AG1388" s="2656"/>
      <c r="AH1388" s="2656"/>
      <c r="AI1388" s="2656"/>
      <c r="AJ1388" s="2656"/>
      <c r="AK1388" s="2656"/>
      <c r="AL1388" s="2656"/>
      <c r="AM1388" s="2656"/>
      <c r="AN1388" s="2656"/>
      <c r="AO1388" s="2656"/>
      <c r="AP1388" s="2656"/>
      <c r="AQ1388" s="2656"/>
      <c r="AR1388" s="2656"/>
      <c r="AS1388" s="2656"/>
      <c r="AT1388" s="2656"/>
      <c r="AU1388" s="2656"/>
      <c r="AV1388" s="2656"/>
      <c r="AW1388" s="2656"/>
      <c r="AX1388" s="2656"/>
      <c r="AY1388" s="2656"/>
      <c r="AZ1388" s="2656"/>
      <c r="BA1388" s="2656"/>
      <c r="BB1388" s="2656"/>
      <c r="BC1388" s="2656"/>
      <c r="BD1388" s="2656"/>
      <c r="BE1388" s="2656"/>
      <c r="BF1388" s="2656"/>
      <c r="BG1388" s="2656"/>
      <c r="BH1388" s="2656"/>
      <c r="BI1388" s="2656"/>
    </row>
    <row r="1389" spans="1:61" ht="24.75" customHeight="1">
      <c r="A1389" s="3375"/>
      <c r="B1389" s="2646"/>
      <c r="C1389" s="2647"/>
      <c r="D1389" s="2646"/>
      <c r="E1389" s="3013"/>
      <c r="F1389" s="2655"/>
      <c r="G1389" s="2596"/>
      <c r="H1389" s="4138"/>
      <c r="I1389" s="3375"/>
      <c r="J1389" s="2648"/>
      <c r="K1389" s="3147"/>
      <c r="L1389" s="2785"/>
      <c r="M1389" s="2695"/>
      <c r="N1389" s="2649"/>
      <c r="O1389" s="2655"/>
      <c r="P1389" s="2651"/>
      <c r="Q1389" s="3440"/>
      <c r="R1389" s="3553"/>
      <c r="S1389" s="1407"/>
      <c r="T1389" s="3375"/>
      <c r="U1389" s="2648"/>
      <c r="V1389" s="3554"/>
      <c r="W1389" s="3150"/>
      <c r="X1389" s="2656"/>
      <c r="Y1389" s="2656"/>
      <c r="Z1389" s="2656"/>
      <c r="AA1389" s="2656"/>
      <c r="AB1389" s="2656"/>
      <c r="AC1389" s="2656"/>
      <c r="AD1389" s="2656"/>
      <c r="AE1389" s="2656"/>
      <c r="AF1389" s="2656"/>
      <c r="AG1389" s="2656"/>
      <c r="AH1389" s="2656"/>
      <c r="AI1389" s="2656"/>
      <c r="AJ1389" s="2656"/>
      <c r="AK1389" s="2656"/>
      <c r="AL1389" s="2656"/>
      <c r="AM1389" s="2656"/>
      <c r="AN1389" s="2656"/>
      <c r="AO1389" s="2656"/>
      <c r="AP1389" s="2656"/>
      <c r="AQ1389" s="2656"/>
      <c r="AR1389" s="2656"/>
      <c r="AS1389" s="2656"/>
      <c r="AT1389" s="2656"/>
      <c r="AU1389" s="2656"/>
      <c r="AV1389" s="2656"/>
      <c r="AW1389" s="2656"/>
      <c r="AX1389" s="2656"/>
      <c r="AY1389" s="2656"/>
      <c r="AZ1389" s="2656"/>
      <c r="BA1389" s="2656"/>
      <c r="BB1389" s="2656"/>
      <c r="BC1389" s="2656"/>
      <c r="BD1389" s="2656"/>
      <c r="BE1389" s="2656"/>
      <c r="BF1389" s="2656"/>
      <c r="BG1389" s="2656"/>
      <c r="BH1389" s="2656"/>
      <c r="BI1389" s="2656"/>
    </row>
    <row r="1390" spans="1:61" ht="24.75" customHeight="1">
      <c r="A1390" s="3375"/>
      <c r="B1390" s="2646"/>
      <c r="C1390" s="2647"/>
      <c r="D1390" s="2646"/>
      <c r="E1390" s="3013"/>
      <c r="F1390" s="2655"/>
      <c r="G1390" s="2596"/>
      <c r="H1390" s="4138"/>
      <c r="I1390" s="3375"/>
      <c r="J1390" s="2648"/>
      <c r="K1390" s="3147"/>
      <c r="L1390" s="2785"/>
      <c r="M1390" s="2695"/>
      <c r="N1390" s="2649"/>
      <c r="O1390" s="2655"/>
      <c r="P1390" s="2651"/>
      <c r="Q1390" s="3440"/>
      <c r="R1390" s="3553"/>
      <c r="S1390" s="1407"/>
      <c r="T1390" s="3375"/>
      <c r="U1390" s="2648"/>
      <c r="V1390" s="3554"/>
      <c r="W1390" s="3150"/>
      <c r="X1390" s="2656"/>
      <c r="Y1390" s="2656"/>
      <c r="Z1390" s="2656"/>
      <c r="AA1390" s="2656"/>
      <c r="AB1390" s="2656"/>
      <c r="AC1390" s="2656"/>
      <c r="AD1390" s="2656"/>
      <c r="AE1390" s="2656"/>
      <c r="AF1390" s="2656"/>
      <c r="AG1390" s="2656"/>
      <c r="AH1390" s="2656"/>
      <c r="AI1390" s="2656"/>
      <c r="AJ1390" s="2656"/>
      <c r="AK1390" s="2656"/>
      <c r="AL1390" s="2656"/>
      <c r="AM1390" s="2656"/>
      <c r="AN1390" s="2656"/>
      <c r="AO1390" s="2656"/>
      <c r="AP1390" s="2656"/>
      <c r="AQ1390" s="2656"/>
      <c r="AR1390" s="2656"/>
      <c r="AS1390" s="2656"/>
      <c r="AT1390" s="2656"/>
      <c r="AU1390" s="2656"/>
      <c r="AV1390" s="2656"/>
      <c r="AW1390" s="2656"/>
      <c r="AX1390" s="2656"/>
      <c r="AY1390" s="2656"/>
      <c r="AZ1390" s="2656"/>
      <c r="BA1390" s="2656"/>
      <c r="BB1390" s="2656"/>
      <c r="BC1390" s="2656"/>
      <c r="BD1390" s="2656"/>
      <c r="BE1390" s="2656"/>
      <c r="BF1390" s="2656"/>
      <c r="BG1390" s="2656"/>
      <c r="BH1390" s="2656"/>
      <c r="BI1390" s="2656"/>
    </row>
    <row r="1391" spans="1:61" ht="24.75" customHeight="1">
      <c r="A1391" s="3375"/>
      <c r="B1391" s="2646"/>
      <c r="C1391" s="2647"/>
      <c r="D1391" s="2646"/>
      <c r="E1391" s="3013"/>
      <c r="F1391" s="2655"/>
      <c r="G1391" s="2596"/>
      <c r="H1391" s="4138"/>
      <c r="I1391" s="3375"/>
      <c r="J1391" s="2648"/>
      <c r="K1391" s="3147"/>
      <c r="L1391" s="2785"/>
      <c r="M1391" s="2695"/>
      <c r="N1391" s="2649"/>
      <c r="O1391" s="2655"/>
      <c r="P1391" s="2651"/>
      <c r="Q1391" s="3440"/>
      <c r="R1391" s="3553"/>
      <c r="S1391" s="1407"/>
      <c r="T1391" s="3375"/>
      <c r="U1391" s="2648"/>
      <c r="V1391" s="3554"/>
      <c r="W1391" s="3150"/>
      <c r="X1391" s="2656"/>
      <c r="Y1391" s="2656"/>
      <c r="Z1391" s="2656"/>
      <c r="AA1391" s="2656"/>
      <c r="AB1391" s="2656"/>
      <c r="AC1391" s="2656"/>
      <c r="AD1391" s="2656"/>
      <c r="AE1391" s="2656"/>
      <c r="AF1391" s="2656"/>
      <c r="AG1391" s="2656"/>
      <c r="AH1391" s="2656"/>
      <c r="AI1391" s="2656"/>
      <c r="AJ1391" s="2656"/>
      <c r="AK1391" s="2656"/>
      <c r="AL1391" s="2656"/>
      <c r="AM1391" s="2656"/>
      <c r="AN1391" s="2656"/>
      <c r="AO1391" s="2656"/>
      <c r="AP1391" s="2656"/>
      <c r="AQ1391" s="2656"/>
      <c r="AR1391" s="2656"/>
      <c r="AS1391" s="2656"/>
      <c r="AT1391" s="2656"/>
      <c r="AU1391" s="2656"/>
      <c r="AV1391" s="2656"/>
      <c r="AW1391" s="2656"/>
      <c r="AX1391" s="2656"/>
      <c r="AY1391" s="2656"/>
      <c r="AZ1391" s="2656"/>
      <c r="BA1391" s="2656"/>
      <c r="BB1391" s="2656"/>
      <c r="BC1391" s="2656"/>
      <c r="BD1391" s="2656"/>
      <c r="BE1391" s="2656"/>
      <c r="BF1391" s="2656"/>
      <c r="BG1391" s="2656"/>
      <c r="BH1391" s="2656"/>
      <c r="BI1391" s="2656"/>
    </row>
    <row r="1392" spans="1:61" ht="24.75" customHeight="1">
      <c r="A1392" s="3375"/>
      <c r="B1392" s="2646"/>
      <c r="C1392" s="2647"/>
      <c r="D1392" s="2646"/>
      <c r="E1392" s="3013"/>
      <c r="F1392" s="2655"/>
      <c r="G1392" s="2596"/>
      <c r="H1392" s="4138"/>
      <c r="I1392" s="3375"/>
      <c r="J1392" s="2648"/>
      <c r="K1392" s="3147"/>
      <c r="L1392" s="2785"/>
      <c r="M1392" s="2695"/>
      <c r="N1392" s="2649"/>
      <c r="O1392" s="2655"/>
      <c r="P1392" s="2651"/>
      <c r="Q1392" s="3440"/>
      <c r="R1392" s="3553"/>
      <c r="S1392" s="1407"/>
      <c r="T1392" s="3375"/>
      <c r="U1392" s="2648"/>
      <c r="V1392" s="3554"/>
      <c r="W1392" s="3150"/>
      <c r="X1392" s="2656"/>
      <c r="Y1392" s="2656"/>
      <c r="Z1392" s="2656"/>
      <c r="AA1392" s="2656"/>
      <c r="AB1392" s="2656"/>
      <c r="AC1392" s="2656"/>
      <c r="AD1392" s="2656"/>
      <c r="AE1392" s="2656"/>
      <c r="AF1392" s="2656"/>
      <c r="AG1392" s="2656"/>
      <c r="AH1392" s="2656"/>
      <c r="AI1392" s="2656"/>
      <c r="AJ1392" s="2656"/>
      <c r="AK1392" s="2656"/>
      <c r="AL1392" s="2656"/>
      <c r="AM1392" s="2656"/>
      <c r="AN1392" s="2656"/>
      <c r="AO1392" s="2656"/>
      <c r="AP1392" s="2656"/>
      <c r="AQ1392" s="2656"/>
      <c r="AR1392" s="2656"/>
      <c r="AS1392" s="2656"/>
      <c r="AT1392" s="2656"/>
      <c r="AU1392" s="2656"/>
      <c r="AV1392" s="2656"/>
      <c r="AW1392" s="2656"/>
      <c r="AX1392" s="2656"/>
      <c r="AY1392" s="2656"/>
      <c r="AZ1392" s="2656"/>
      <c r="BA1392" s="2656"/>
      <c r="BB1392" s="2656"/>
      <c r="BC1392" s="2656"/>
      <c r="BD1392" s="2656"/>
      <c r="BE1392" s="2656"/>
      <c r="BF1392" s="2656"/>
      <c r="BG1392" s="2656"/>
      <c r="BH1392" s="2656"/>
      <c r="BI1392" s="2656"/>
    </row>
    <row r="1393" spans="1:61" ht="24.75" customHeight="1">
      <c r="A1393" s="3375"/>
      <c r="B1393" s="2646"/>
      <c r="C1393" s="2647"/>
      <c r="D1393" s="2646"/>
      <c r="E1393" s="3013"/>
      <c r="F1393" s="2655"/>
      <c r="G1393" s="2596"/>
      <c r="H1393" s="4138"/>
      <c r="I1393" s="3375"/>
      <c r="J1393" s="2648"/>
      <c r="K1393" s="3147"/>
      <c r="L1393" s="2785"/>
      <c r="M1393" s="2695"/>
      <c r="N1393" s="2649"/>
      <c r="O1393" s="2655"/>
      <c r="P1393" s="2651"/>
      <c r="Q1393" s="3440"/>
      <c r="R1393" s="3553"/>
      <c r="S1393" s="1407"/>
      <c r="T1393" s="3375"/>
      <c r="U1393" s="2648"/>
      <c r="V1393" s="3554"/>
      <c r="W1393" s="3150"/>
      <c r="X1393" s="2656"/>
      <c r="Y1393" s="2656"/>
      <c r="Z1393" s="2656"/>
      <c r="AA1393" s="2656"/>
      <c r="AB1393" s="2656"/>
      <c r="AC1393" s="2656"/>
      <c r="AD1393" s="2656"/>
      <c r="AE1393" s="2656"/>
      <c r="AF1393" s="2656"/>
      <c r="AG1393" s="2656"/>
      <c r="AH1393" s="2656"/>
      <c r="AI1393" s="2656"/>
      <c r="AJ1393" s="2656"/>
      <c r="AK1393" s="2656"/>
      <c r="AL1393" s="2656"/>
      <c r="AM1393" s="2656"/>
      <c r="AN1393" s="2656"/>
      <c r="AO1393" s="2656"/>
      <c r="AP1393" s="2656"/>
      <c r="AQ1393" s="2656"/>
      <c r="AR1393" s="2656"/>
      <c r="AS1393" s="2656"/>
      <c r="AT1393" s="2656"/>
      <c r="AU1393" s="2656"/>
      <c r="AV1393" s="2656"/>
      <c r="AW1393" s="2656"/>
      <c r="AX1393" s="2656"/>
      <c r="AY1393" s="2656"/>
      <c r="AZ1393" s="2656"/>
      <c r="BA1393" s="2656"/>
      <c r="BB1393" s="2656"/>
      <c r="BC1393" s="2656"/>
      <c r="BD1393" s="2656"/>
      <c r="BE1393" s="2656"/>
      <c r="BF1393" s="2656"/>
      <c r="BG1393" s="2656"/>
      <c r="BH1393" s="2656"/>
      <c r="BI1393" s="2656"/>
    </row>
    <row r="1394" spans="1:61" ht="24.75" customHeight="1">
      <c r="A1394" s="3375"/>
      <c r="B1394" s="2646"/>
      <c r="C1394" s="2647"/>
      <c r="D1394" s="2646"/>
      <c r="E1394" s="3013"/>
      <c r="F1394" s="2655"/>
      <c r="G1394" s="2596"/>
      <c r="H1394" s="4138"/>
      <c r="I1394" s="3375"/>
      <c r="J1394" s="2648"/>
      <c r="K1394" s="3147"/>
      <c r="L1394" s="2785"/>
      <c r="M1394" s="2695"/>
      <c r="N1394" s="2649"/>
      <c r="O1394" s="2655"/>
      <c r="P1394" s="2651"/>
      <c r="Q1394" s="3440"/>
      <c r="R1394" s="3553"/>
      <c r="S1394" s="1407"/>
      <c r="T1394" s="3375"/>
      <c r="U1394" s="2648"/>
      <c r="V1394" s="3554"/>
      <c r="W1394" s="3150"/>
      <c r="X1394" s="2656"/>
      <c r="Y1394" s="2656"/>
      <c r="Z1394" s="2656"/>
      <c r="AA1394" s="2656"/>
      <c r="AB1394" s="2656"/>
      <c r="AC1394" s="2656"/>
      <c r="AD1394" s="2656"/>
      <c r="AE1394" s="2656"/>
      <c r="AF1394" s="2656"/>
      <c r="AG1394" s="2656"/>
      <c r="AH1394" s="2656"/>
      <c r="AI1394" s="2656"/>
      <c r="AJ1394" s="2656"/>
      <c r="AK1394" s="2656"/>
      <c r="AL1394" s="2656"/>
      <c r="AM1394" s="2656"/>
      <c r="AN1394" s="2656"/>
      <c r="AO1394" s="2656"/>
      <c r="AP1394" s="2656"/>
      <c r="AQ1394" s="2656"/>
      <c r="AR1394" s="2656"/>
      <c r="AS1394" s="2656"/>
      <c r="AT1394" s="2656"/>
      <c r="AU1394" s="2656"/>
      <c r="AV1394" s="2656"/>
      <c r="AW1394" s="2656"/>
      <c r="AX1394" s="2656"/>
      <c r="AY1394" s="2656"/>
      <c r="AZ1394" s="2656"/>
      <c r="BA1394" s="2656"/>
      <c r="BB1394" s="2656"/>
      <c r="BC1394" s="2656"/>
      <c r="BD1394" s="2656"/>
      <c r="BE1394" s="2656"/>
      <c r="BF1394" s="2656"/>
      <c r="BG1394" s="2656"/>
      <c r="BH1394" s="2656"/>
      <c r="BI1394" s="2656"/>
    </row>
    <row r="1395" spans="1:61" ht="24.75" customHeight="1">
      <c r="A1395" s="3375"/>
      <c r="B1395" s="2646"/>
      <c r="C1395" s="2647"/>
      <c r="D1395" s="2646"/>
      <c r="E1395" s="3013"/>
      <c r="F1395" s="2655"/>
      <c r="G1395" s="2596"/>
      <c r="H1395" s="4138"/>
      <c r="I1395" s="3375"/>
      <c r="J1395" s="2648"/>
      <c r="K1395" s="3147"/>
      <c r="L1395" s="2785"/>
      <c r="M1395" s="2695"/>
      <c r="N1395" s="2649"/>
      <c r="O1395" s="2655"/>
      <c r="P1395" s="2651"/>
      <c r="Q1395" s="3440"/>
      <c r="R1395" s="3553"/>
      <c r="S1395" s="1407"/>
      <c r="T1395" s="3375"/>
      <c r="U1395" s="2648"/>
      <c r="V1395" s="3554"/>
      <c r="W1395" s="3150"/>
      <c r="X1395" s="2656"/>
      <c r="Y1395" s="2656"/>
      <c r="Z1395" s="2656"/>
      <c r="AA1395" s="2656"/>
      <c r="AB1395" s="2656"/>
      <c r="AC1395" s="2656"/>
      <c r="AD1395" s="2656"/>
      <c r="AE1395" s="2656"/>
      <c r="AF1395" s="2656"/>
      <c r="AG1395" s="2656"/>
      <c r="AH1395" s="2656"/>
      <c r="AI1395" s="2656"/>
      <c r="AJ1395" s="2656"/>
      <c r="AK1395" s="2656"/>
      <c r="AL1395" s="2656"/>
      <c r="AM1395" s="2656"/>
      <c r="AN1395" s="2656"/>
      <c r="AO1395" s="2656"/>
      <c r="AP1395" s="2656"/>
      <c r="AQ1395" s="2656"/>
      <c r="AR1395" s="2656"/>
      <c r="AS1395" s="2656"/>
      <c r="AT1395" s="2656"/>
      <c r="AU1395" s="2656"/>
      <c r="AV1395" s="2656"/>
      <c r="AW1395" s="2656"/>
      <c r="AX1395" s="2656"/>
      <c r="AY1395" s="2656"/>
      <c r="AZ1395" s="2656"/>
      <c r="BA1395" s="2656"/>
      <c r="BB1395" s="2656"/>
      <c r="BC1395" s="2656"/>
      <c r="BD1395" s="2656"/>
      <c r="BE1395" s="2656"/>
      <c r="BF1395" s="2656"/>
      <c r="BG1395" s="2656"/>
      <c r="BH1395" s="2656"/>
      <c r="BI1395" s="2656"/>
    </row>
    <row r="1396" spans="1:61" ht="24.75" customHeight="1">
      <c r="A1396" s="3375"/>
      <c r="B1396" s="2646"/>
      <c r="C1396" s="2647"/>
      <c r="D1396" s="2646"/>
      <c r="E1396" s="3013"/>
      <c r="F1396" s="2655"/>
      <c r="G1396" s="2596"/>
      <c r="H1396" s="4138"/>
      <c r="I1396" s="3375"/>
      <c r="J1396" s="2648"/>
      <c r="K1396" s="3147"/>
      <c r="L1396" s="2785"/>
      <c r="M1396" s="2695"/>
      <c r="N1396" s="2649"/>
      <c r="O1396" s="2655"/>
      <c r="P1396" s="2651"/>
      <c r="Q1396" s="3440"/>
      <c r="R1396" s="3553"/>
      <c r="S1396" s="1407"/>
      <c r="T1396" s="3375"/>
      <c r="U1396" s="2648"/>
      <c r="V1396" s="3554"/>
      <c r="W1396" s="3150"/>
      <c r="X1396" s="2656"/>
      <c r="Y1396" s="2656"/>
      <c r="Z1396" s="2656"/>
      <c r="AA1396" s="2656"/>
      <c r="AB1396" s="2656"/>
      <c r="AC1396" s="2656"/>
      <c r="AD1396" s="2656"/>
      <c r="AE1396" s="2656"/>
      <c r="AF1396" s="2656"/>
      <c r="AG1396" s="2656"/>
      <c r="AH1396" s="2656"/>
      <c r="AI1396" s="2656"/>
      <c r="AJ1396" s="2656"/>
      <c r="AK1396" s="2656"/>
      <c r="AL1396" s="2656"/>
      <c r="AM1396" s="2656"/>
      <c r="AN1396" s="2656"/>
      <c r="AO1396" s="2656"/>
      <c r="AP1396" s="2656"/>
      <c r="AQ1396" s="2656"/>
      <c r="AR1396" s="2656"/>
      <c r="AS1396" s="2656"/>
      <c r="AT1396" s="2656"/>
      <c r="AU1396" s="2656"/>
      <c r="AV1396" s="2656"/>
      <c r="AW1396" s="2656"/>
      <c r="AX1396" s="2656"/>
      <c r="AY1396" s="2656"/>
      <c r="AZ1396" s="2656"/>
      <c r="BA1396" s="2656"/>
      <c r="BB1396" s="2656"/>
      <c r="BC1396" s="2656"/>
      <c r="BD1396" s="2656"/>
      <c r="BE1396" s="2656"/>
      <c r="BF1396" s="2656"/>
      <c r="BG1396" s="2656"/>
      <c r="BH1396" s="2656"/>
      <c r="BI1396" s="2656"/>
    </row>
    <row r="1397" spans="1:61" ht="24.75" customHeight="1">
      <c r="A1397" s="3375"/>
      <c r="B1397" s="2646"/>
      <c r="C1397" s="2647"/>
      <c r="D1397" s="2646"/>
      <c r="E1397" s="3013"/>
      <c r="F1397" s="2655"/>
      <c r="G1397" s="2596"/>
      <c r="H1397" s="4138"/>
      <c r="I1397" s="3375"/>
      <c r="J1397" s="2648"/>
      <c r="K1397" s="3147"/>
      <c r="L1397" s="2785"/>
      <c r="M1397" s="2695"/>
      <c r="N1397" s="2649"/>
      <c r="O1397" s="2655"/>
      <c r="P1397" s="2651"/>
      <c r="Q1397" s="3440"/>
      <c r="R1397" s="3553"/>
      <c r="S1397" s="1407"/>
      <c r="T1397" s="3375"/>
      <c r="U1397" s="2648"/>
      <c r="V1397" s="3554"/>
      <c r="W1397" s="3150"/>
      <c r="X1397" s="2656"/>
      <c r="Y1397" s="2656"/>
      <c r="Z1397" s="2656"/>
      <c r="AA1397" s="2656"/>
      <c r="AB1397" s="2656"/>
      <c r="AC1397" s="2656"/>
      <c r="AD1397" s="2656"/>
      <c r="AE1397" s="2656"/>
      <c r="AF1397" s="2656"/>
      <c r="AG1397" s="2656"/>
      <c r="AH1397" s="2656"/>
      <c r="AI1397" s="2656"/>
      <c r="AJ1397" s="2656"/>
      <c r="AK1397" s="2656"/>
      <c r="AL1397" s="2656"/>
      <c r="AM1397" s="2656"/>
      <c r="AN1397" s="2656"/>
      <c r="AO1397" s="2656"/>
      <c r="AP1397" s="2656"/>
      <c r="AQ1397" s="2656"/>
      <c r="AR1397" s="2656"/>
      <c r="AS1397" s="2656"/>
      <c r="AT1397" s="2656"/>
      <c r="AU1397" s="2656"/>
      <c r="AV1397" s="2656"/>
      <c r="AW1397" s="2656"/>
      <c r="AX1397" s="2656"/>
      <c r="AY1397" s="2656"/>
      <c r="AZ1397" s="2656"/>
      <c r="BA1397" s="2656"/>
      <c r="BB1397" s="2656"/>
      <c r="BC1397" s="2656"/>
      <c r="BD1397" s="2656"/>
      <c r="BE1397" s="2656"/>
      <c r="BF1397" s="2656"/>
      <c r="BG1397" s="2656"/>
      <c r="BH1397" s="2656"/>
      <c r="BI1397" s="2656"/>
    </row>
    <row r="1398" spans="1:61" ht="24.75" customHeight="1">
      <c r="A1398" s="3375"/>
      <c r="B1398" s="2646"/>
      <c r="C1398" s="2647"/>
      <c r="D1398" s="2646"/>
      <c r="E1398" s="3013"/>
      <c r="F1398" s="2655"/>
      <c r="G1398" s="2596"/>
      <c r="H1398" s="4138"/>
      <c r="I1398" s="3375"/>
      <c r="J1398" s="2648"/>
      <c r="K1398" s="3147"/>
      <c r="L1398" s="2785"/>
      <c r="M1398" s="2695"/>
      <c r="N1398" s="2649"/>
      <c r="O1398" s="2655"/>
      <c r="P1398" s="2651"/>
      <c r="Q1398" s="3440"/>
      <c r="R1398" s="3553"/>
      <c r="S1398" s="1407"/>
      <c r="T1398" s="3375"/>
      <c r="U1398" s="2648"/>
      <c r="V1398" s="3554"/>
      <c r="W1398" s="3150"/>
      <c r="X1398" s="2656"/>
      <c r="Y1398" s="2656"/>
      <c r="Z1398" s="2656"/>
      <c r="AA1398" s="2656"/>
      <c r="AB1398" s="2656"/>
      <c r="AC1398" s="2656"/>
      <c r="AD1398" s="2656"/>
      <c r="AE1398" s="2656"/>
      <c r="AF1398" s="2656"/>
      <c r="AG1398" s="2656"/>
      <c r="AH1398" s="2656"/>
      <c r="AI1398" s="2656"/>
      <c r="AJ1398" s="2656"/>
      <c r="AK1398" s="2656"/>
      <c r="AL1398" s="2656"/>
      <c r="AM1398" s="2656"/>
      <c r="AN1398" s="2656"/>
      <c r="AO1398" s="2656"/>
      <c r="AP1398" s="2656"/>
      <c r="AQ1398" s="2656"/>
      <c r="AR1398" s="2656"/>
      <c r="AS1398" s="2656"/>
      <c r="AT1398" s="2656"/>
      <c r="AU1398" s="2656"/>
      <c r="AV1398" s="2656"/>
      <c r="AW1398" s="2656"/>
      <c r="AX1398" s="2656"/>
      <c r="AY1398" s="2656"/>
      <c r="AZ1398" s="2656"/>
      <c r="BA1398" s="2656"/>
      <c r="BB1398" s="2656"/>
      <c r="BC1398" s="2656"/>
      <c r="BD1398" s="2656"/>
      <c r="BE1398" s="2656"/>
      <c r="BF1398" s="2656"/>
      <c r="BG1398" s="2656"/>
      <c r="BH1398" s="2656"/>
      <c r="BI1398" s="2656"/>
    </row>
    <row r="1399" spans="1:61" ht="24.75" customHeight="1">
      <c r="A1399" s="3375"/>
      <c r="B1399" s="2646"/>
      <c r="C1399" s="2647"/>
      <c r="D1399" s="2646"/>
      <c r="E1399" s="3013"/>
      <c r="F1399" s="2655"/>
      <c r="G1399" s="2596"/>
      <c r="H1399" s="4138"/>
      <c r="I1399" s="3375"/>
      <c r="J1399" s="2648"/>
      <c r="K1399" s="3147"/>
      <c r="L1399" s="2785"/>
      <c r="M1399" s="2695"/>
      <c r="N1399" s="2649"/>
      <c r="O1399" s="2655"/>
      <c r="P1399" s="2651"/>
      <c r="Q1399" s="3440"/>
      <c r="R1399" s="3553"/>
      <c r="S1399" s="1407"/>
      <c r="T1399" s="3375"/>
      <c r="U1399" s="2648"/>
      <c r="V1399" s="3554"/>
      <c r="W1399" s="3150"/>
      <c r="X1399" s="2656"/>
      <c r="Y1399" s="2656"/>
      <c r="Z1399" s="2656"/>
      <c r="AA1399" s="2656"/>
      <c r="AB1399" s="2656"/>
      <c r="AC1399" s="2656"/>
      <c r="AD1399" s="2656"/>
      <c r="AE1399" s="2656"/>
      <c r="AF1399" s="2656"/>
      <c r="AG1399" s="2656"/>
      <c r="AH1399" s="2656"/>
      <c r="AI1399" s="2656"/>
      <c r="AJ1399" s="2656"/>
      <c r="AK1399" s="2656"/>
      <c r="AL1399" s="2656"/>
      <c r="AM1399" s="2656"/>
      <c r="AN1399" s="2656"/>
      <c r="AO1399" s="2656"/>
      <c r="AP1399" s="2656"/>
      <c r="AQ1399" s="2656"/>
      <c r="AR1399" s="2656"/>
      <c r="AS1399" s="2656"/>
      <c r="AT1399" s="2656"/>
      <c r="AU1399" s="2656"/>
      <c r="AV1399" s="2656"/>
      <c r="AW1399" s="2656"/>
      <c r="AX1399" s="2656"/>
      <c r="AY1399" s="2656"/>
      <c r="AZ1399" s="2656"/>
      <c r="BA1399" s="2656"/>
      <c r="BB1399" s="2656"/>
      <c r="BC1399" s="2656"/>
      <c r="BD1399" s="2656"/>
      <c r="BE1399" s="2656"/>
      <c r="BF1399" s="2656"/>
      <c r="BG1399" s="2656"/>
      <c r="BH1399" s="2656"/>
      <c r="BI1399" s="2656"/>
    </row>
    <row r="1400" spans="1:61" ht="24.75" customHeight="1">
      <c r="A1400" s="3375"/>
      <c r="B1400" s="2646"/>
      <c r="C1400" s="2647"/>
      <c r="D1400" s="2646"/>
      <c r="E1400" s="3013"/>
      <c r="F1400" s="2655"/>
      <c r="G1400" s="2596"/>
      <c r="H1400" s="4138"/>
      <c r="I1400" s="3375"/>
      <c r="J1400" s="2648"/>
      <c r="K1400" s="3147"/>
      <c r="L1400" s="2785"/>
      <c r="M1400" s="2695"/>
      <c r="N1400" s="2649"/>
      <c r="O1400" s="2655"/>
      <c r="P1400" s="2651"/>
      <c r="Q1400" s="3440"/>
      <c r="R1400" s="3553"/>
      <c r="S1400" s="1407"/>
      <c r="T1400" s="3375"/>
      <c r="U1400" s="2648"/>
      <c r="V1400" s="3554"/>
      <c r="W1400" s="3150"/>
      <c r="X1400" s="2656"/>
      <c r="Y1400" s="2656"/>
      <c r="Z1400" s="2656"/>
      <c r="AA1400" s="2656"/>
      <c r="AB1400" s="2656"/>
      <c r="AC1400" s="2656"/>
      <c r="AD1400" s="2656"/>
      <c r="AE1400" s="2656"/>
      <c r="AF1400" s="2656"/>
      <c r="AG1400" s="2656"/>
      <c r="AH1400" s="2656"/>
      <c r="AI1400" s="2656"/>
      <c r="AJ1400" s="2656"/>
      <c r="AK1400" s="2656"/>
      <c r="AL1400" s="2656"/>
      <c r="AM1400" s="2656"/>
      <c r="AN1400" s="2656"/>
      <c r="AO1400" s="2656"/>
      <c r="AP1400" s="2656"/>
      <c r="AQ1400" s="2656"/>
      <c r="AR1400" s="2656"/>
      <c r="AS1400" s="2656"/>
      <c r="AT1400" s="2656"/>
      <c r="AU1400" s="2656"/>
      <c r="AV1400" s="2656"/>
      <c r="AW1400" s="2656"/>
      <c r="AX1400" s="2656"/>
      <c r="AY1400" s="2656"/>
      <c r="AZ1400" s="2656"/>
      <c r="BA1400" s="2656"/>
      <c r="BB1400" s="2656"/>
      <c r="BC1400" s="2656"/>
      <c r="BD1400" s="2656"/>
      <c r="BE1400" s="2656"/>
      <c r="BF1400" s="2656"/>
      <c r="BG1400" s="2656"/>
      <c r="BH1400" s="2656"/>
      <c r="BI1400" s="2656"/>
    </row>
    <row r="1401" spans="1:61" ht="24.75" customHeight="1">
      <c r="A1401" s="3375"/>
      <c r="B1401" s="2646"/>
      <c r="C1401" s="2647"/>
      <c r="D1401" s="2646"/>
      <c r="E1401" s="3013"/>
      <c r="F1401" s="2655"/>
      <c r="G1401" s="2596"/>
      <c r="H1401" s="4138"/>
      <c r="I1401" s="3375"/>
      <c r="J1401" s="2648"/>
      <c r="K1401" s="3147"/>
      <c r="L1401" s="2785"/>
      <c r="M1401" s="2695"/>
      <c r="N1401" s="2649"/>
      <c r="O1401" s="2655"/>
      <c r="P1401" s="2651"/>
      <c r="Q1401" s="3440"/>
      <c r="R1401" s="3553"/>
      <c r="S1401" s="1407"/>
      <c r="T1401" s="3375"/>
      <c r="U1401" s="2648"/>
      <c r="V1401" s="3554"/>
      <c r="W1401" s="3150"/>
      <c r="X1401" s="2656"/>
      <c r="Y1401" s="2656"/>
      <c r="Z1401" s="2656"/>
      <c r="AA1401" s="2656"/>
      <c r="AB1401" s="2656"/>
      <c r="AC1401" s="2656"/>
      <c r="AD1401" s="2656"/>
      <c r="AE1401" s="2656"/>
      <c r="AF1401" s="2656"/>
      <c r="AG1401" s="2656"/>
      <c r="AH1401" s="2656"/>
      <c r="AI1401" s="2656"/>
      <c r="AJ1401" s="2656"/>
      <c r="AK1401" s="2656"/>
      <c r="AL1401" s="2656"/>
      <c r="AM1401" s="2656"/>
      <c r="AN1401" s="2656"/>
      <c r="AO1401" s="2656"/>
      <c r="AP1401" s="2656"/>
      <c r="AQ1401" s="2656"/>
      <c r="AR1401" s="2656"/>
      <c r="AS1401" s="2656"/>
      <c r="AT1401" s="2656"/>
      <c r="AU1401" s="2656"/>
      <c r="AV1401" s="2656"/>
      <c r="AW1401" s="2656"/>
      <c r="AX1401" s="2656"/>
      <c r="AY1401" s="2656"/>
      <c r="AZ1401" s="2656"/>
      <c r="BA1401" s="2656"/>
      <c r="BB1401" s="2656"/>
      <c r="BC1401" s="2656"/>
      <c r="BD1401" s="2656"/>
      <c r="BE1401" s="2656"/>
      <c r="BF1401" s="2656"/>
      <c r="BG1401" s="2656"/>
      <c r="BH1401" s="2656"/>
      <c r="BI1401" s="2656"/>
    </row>
    <row r="1402" spans="1:61" ht="24.75" customHeight="1">
      <c r="A1402" s="3375"/>
      <c r="B1402" s="2646"/>
      <c r="C1402" s="2647"/>
      <c r="D1402" s="2646"/>
      <c r="E1402" s="3013"/>
      <c r="F1402" s="2655"/>
      <c r="G1402" s="2596"/>
      <c r="H1402" s="4138"/>
      <c r="I1402" s="3375"/>
      <c r="J1402" s="2648"/>
      <c r="K1402" s="3147"/>
      <c r="L1402" s="2785"/>
      <c r="M1402" s="2695"/>
      <c r="N1402" s="2649"/>
      <c r="O1402" s="2655"/>
      <c r="P1402" s="2651"/>
      <c r="Q1402" s="3440"/>
      <c r="R1402" s="3553"/>
      <c r="S1402" s="1407"/>
      <c r="T1402" s="3375"/>
      <c r="U1402" s="2648"/>
      <c r="V1402" s="3554"/>
      <c r="W1402" s="3150"/>
      <c r="X1402" s="2656"/>
      <c r="Y1402" s="2656"/>
      <c r="Z1402" s="2656"/>
      <c r="AA1402" s="2656"/>
      <c r="AB1402" s="2656"/>
      <c r="AC1402" s="2656"/>
      <c r="AD1402" s="2656"/>
      <c r="AE1402" s="2656"/>
      <c r="AF1402" s="2656"/>
      <c r="AG1402" s="2656"/>
      <c r="AH1402" s="2656"/>
      <c r="AI1402" s="2656"/>
      <c r="AJ1402" s="2656"/>
      <c r="AK1402" s="2656"/>
      <c r="AL1402" s="2656"/>
      <c r="AM1402" s="2656"/>
      <c r="AN1402" s="2656"/>
      <c r="AO1402" s="2656"/>
      <c r="AP1402" s="2656"/>
      <c r="AQ1402" s="2656"/>
      <c r="AR1402" s="2656"/>
      <c r="AS1402" s="2656"/>
      <c r="AT1402" s="2656"/>
      <c r="AU1402" s="2656"/>
      <c r="AV1402" s="2656"/>
      <c r="AW1402" s="2656"/>
      <c r="AX1402" s="2656"/>
      <c r="AY1402" s="2656"/>
      <c r="AZ1402" s="2656"/>
      <c r="BA1402" s="2656"/>
      <c r="BB1402" s="2656"/>
      <c r="BC1402" s="2656"/>
      <c r="BD1402" s="2656"/>
      <c r="BE1402" s="2656"/>
      <c r="BF1402" s="2656"/>
      <c r="BG1402" s="2656"/>
      <c r="BH1402" s="2656"/>
      <c r="BI1402" s="2656"/>
    </row>
    <row r="1403" spans="1:61" ht="24.75" customHeight="1">
      <c r="A1403" s="3375"/>
      <c r="B1403" s="2646"/>
      <c r="C1403" s="2647"/>
      <c r="D1403" s="2646"/>
      <c r="E1403" s="3013"/>
      <c r="F1403" s="2655"/>
      <c r="G1403" s="2596"/>
      <c r="H1403" s="4138"/>
      <c r="I1403" s="3375"/>
      <c r="J1403" s="2648"/>
      <c r="K1403" s="3147"/>
      <c r="L1403" s="2785"/>
      <c r="M1403" s="2695"/>
      <c r="N1403" s="2649"/>
      <c r="O1403" s="2655"/>
      <c r="P1403" s="2651"/>
      <c r="Q1403" s="3440"/>
      <c r="R1403" s="3553"/>
      <c r="S1403" s="1407"/>
      <c r="T1403" s="3375"/>
      <c r="U1403" s="2648"/>
      <c r="V1403" s="3554"/>
      <c r="W1403" s="3150"/>
      <c r="X1403" s="2656"/>
      <c r="Y1403" s="2656"/>
      <c r="Z1403" s="2656"/>
      <c r="AA1403" s="2656"/>
      <c r="AB1403" s="2656"/>
      <c r="AC1403" s="2656"/>
      <c r="AD1403" s="2656"/>
      <c r="AE1403" s="2656"/>
      <c r="AF1403" s="2656"/>
      <c r="AG1403" s="2656"/>
      <c r="AH1403" s="2656"/>
      <c r="AI1403" s="2656"/>
      <c r="AJ1403" s="2656"/>
      <c r="AK1403" s="2656"/>
      <c r="AL1403" s="2656"/>
      <c r="AM1403" s="2656"/>
      <c r="AN1403" s="2656"/>
      <c r="AO1403" s="2656"/>
      <c r="AP1403" s="2656"/>
      <c r="AQ1403" s="2656"/>
      <c r="AR1403" s="2656"/>
      <c r="AS1403" s="2656"/>
      <c r="AT1403" s="2656"/>
      <c r="AU1403" s="2656"/>
      <c r="AV1403" s="2656"/>
      <c r="AW1403" s="2656"/>
      <c r="AX1403" s="2656"/>
      <c r="AY1403" s="2656"/>
      <c r="AZ1403" s="2656"/>
      <c r="BA1403" s="2656"/>
      <c r="BB1403" s="2656"/>
      <c r="BC1403" s="2656"/>
      <c r="BD1403" s="2656"/>
      <c r="BE1403" s="2656"/>
      <c r="BF1403" s="2656"/>
      <c r="BG1403" s="2656"/>
      <c r="BH1403" s="2656"/>
      <c r="BI1403" s="2656"/>
    </row>
    <row r="1404" spans="1:61" ht="24.75" customHeight="1">
      <c r="A1404" s="3375"/>
      <c r="B1404" s="2646"/>
      <c r="C1404" s="2647"/>
      <c r="D1404" s="2646"/>
      <c r="E1404" s="3013"/>
      <c r="F1404" s="2655"/>
      <c r="G1404" s="2596"/>
      <c r="H1404" s="4138"/>
      <c r="I1404" s="3375"/>
      <c r="J1404" s="2648"/>
      <c r="K1404" s="3147"/>
      <c r="L1404" s="2785"/>
      <c r="M1404" s="2695"/>
      <c r="N1404" s="2649"/>
      <c r="O1404" s="2655"/>
      <c r="P1404" s="2651"/>
      <c r="Q1404" s="3440"/>
      <c r="R1404" s="3553"/>
      <c r="S1404" s="1407"/>
      <c r="T1404" s="3375"/>
      <c r="U1404" s="2648"/>
      <c r="V1404" s="3554"/>
      <c r="W1404" s="3150"/>
      <c r="X1404" s="2656"/>
      <c r="Y1404" s="2656"/>
      <c r="Z1404" s="2656"/>
      <c r="AA1404" s="2656"/>
      <c r="AB1404" s="2656"/>
      <c r="AC1404" s="2656"/>
      <c r="AD1404" s="2656"/>
      <c r="AE1404" s="2656"/>
      <c r="AF1404" s="2656"/>
      <c r="AG1404" s="2656"/>
      <c r="AH1404" s="2656"/>
      <c r="AI1404" s="2656"/>
      <c r="AJ1404" s="2656"/>
      <c r="AK1404" s="2656"/>
      <c r="AL1404" s="2656"/>
      <c r="AM1404" s="2656"/>
      <c r="AN1404" s="2656"/>
      <c r="AO1404" s="2656"/>
      <c r="AP1404" s="2656"/>
      <c r="AQ1404" s="2656"/>
      <c r="AR1404" s="2656"/>
      <c r="AS1404" s="2656"/>
      <c r="AT1404" s="2656"/>
      <c r="AU1404" s="2656"/>
      <c r="AV1404" s="2656"/>
      <c r="AW1404" s="2656"/>
      <c r="AX1404" s="2656"/>
      <c r="AY1404" s="2656"/>
      <c r="AZ1404" s="2656"/>
      <c r="BA1404" s="2656"/>
      <c r="BB1404" s="2656"/>
      <c r="BC1404" s="2656"/>
      <c r="BD1404" s="2656"/>
      <c r="BE1404" s="2656"/>
      <c r="BF1404" s="2656"/>
      <c r="BG1404" s="2656"/>
      <c r="BH1404" s="2656"/>
      <c r="BI1404" s="2656"/>
    </row>
    <row r="1405" spans="1:61" ht="24.75" customHeight="1">
      <c r="A1405" s="3375"/>
      <c r="B1405" s="2646"/>
      <c r="C1405" s="2647"/>
      <c r="D1405" s="2646"/>
      <c r="E1405" s="3013"/>
      <c r="F1405" s="2655"/>
      <c r="G1405" s="2596"/>
      <c r="H1405" s="4138"/>
      <c r="I1405" s="3375"/>
      <c r="J1405" s="2648"/>
      <c r="K1405" s="3147"/>
      <c r="L1405" s="2785"/>
      <c r="M1405" s="2695"/>
      <c r="N1405" s="2649"/>
      <c r="O1405" s="2655"/>
      <c r="P1405" s="2651"/>
      <c r="Q1405" s="3440"/>
      <c r="R1405" s="3553"/>
      <c r="S1405" s="1407"/>
      <c r="T1405" s="3375"/>
      <c r="U1405" s="2648"/>
      <c r="V1405" s="3554"/>
      <c r="W1405" s="3150"/>
      <c r="X1405" s="2656"/>
      <c r="Y1405" s="2656"/>
      <c r="Z1405" s="2656"/>
      <c r="AA1405" s="2656"/>
      <c r="AB1405" s="2656"/>
      <c r="AC1405" s="2656"/>
      <c r="AD1405" s="2656"/>
      <c r="AE1405" s="2656"/>
      <c r="AF1405" s="2656"/>
      <c r="AG1405" s="2656"/>
      <c r="AH1405" s="2656"/>
      <c r="AI1405" s="2656"/>
      <c r="AJ1405" s="2656"/>
      <c r="AK1405" s="2656"/>
      <c r="AL1405" s="2656"/>
      <c r="AM1405" s="2656"/>
      <c r="AN1405" s="2656"/>
      <c r="AO1405" s="2656"/>
      <c r="AP1405" s="2656"/>
      <c r="AQ1405" s="2656"/>
      <c r="AR1405" s="2656"/>
      <c r="AS1405" s="2656"/>
      <c r="AT1405" s="2656"/>
      <c r="AU1405" s="2656"/>
      <c r="AV1405" s="2656"/>
      <c r="AW1405" s="2656"/>
      <c r="AX1405" s="2656"/>
      <c r="AY1405" s="2656"/>
      <c r="AZ1405" s="2656"/>
      <c r="BA1405" s="2656"/>
      <c r="BB1405" s="2656"/>
      <c r="BC1405" s="2656"/>
      <c r="BD1405" s="2656"/>
      <c r="BE1405" s="2656"/>
      <c r="BF1405" s="2656"/>
      <c r="BG1405" s="2656"/>
      <c r="BH1405" s="2656"/>
      <c r="BI1405" s="2656"/>
    </row>
    <row r="1406" spans="1:61" ht="24.75" customHeight="1">
      <c r="A1406" s="3375"/>
      <c r="B1406" s="2646"/>
      <c r="C1406" s="2647"/>
      <c r="D1406" s="2646"/>
      <c r="E1406" s="3013"/>
      <c r="F1406" s="2655"/>
      <c r="G1406" s="2596"/>
      <c r="H1406" s="4138"/>
      <c r="I1406" s="3375"/>
      <c r="J1406" s="2648"/>
      <c r="K1406" s="3147"/>
      <c r="L1406" s="2785"/>
      <c r="M1406" s="2695"/>
      <c r="N1406" s="2649"/>
      <c r="O1406" s="2655"/>
      <c r="P1406" s="2651"/>
      <c r="Q1406" s="3440"/>
      <c r="R1406" s="3553"/>
      <c r="S1406" s="1407"/>
      <c r="T1406" s="3375"/>
      <c r="U1406" s="2648"/>
      <c r="V1406" s="3554"/>
      <c r="W1406" s="3150"/>
      <c r="X1406" s="2656"/>
      <c r="Y1406" s="2656"/>
      <c r="Z1406" s="2656"/>
      <c r="AA1406" s="2656"/>
      <c r="AB1406" s="2656"/>
      <c r="AC1406" s="2656"/>
      <c r="AD1406" s="2656"/>
      <c r="AE1406" s="2656"/>
      <c r="AF1406" s="2656"/>
      <c r="AG1406" s="2656"/>
      <c r="AH1406" s="2656"/>
      <c r="AI1406" s="2656"/>
      <c r="AJ1406" s="2656"/>
      <c r="AK1406" s="2656"/>
      <c r="AL1406" s="2656"/>
      <c r="AM1406" s="2656"/>
      <c r="AN1406" s="2656"/>
      <c r="AO1406" s="2656"/>
      <c r="AP1406" s="2656"/>
      <c r="AQ1406" s="2656"/>
      <c r="AR1406" s="2656"/>
      <c r="AS1406" s="2656"/>
      <c r="AT1406" s="2656"/>
      <c r="AU1406" s="2656"/>
      <c r="AV1406" s="2656"/>
      <c r="AW1406" s="2656"/>
      <c r="AX1406" s="2656"/>
      <c r="AY1406" s="2656"/>
      <c r="AZ1406" s="2656"/>
      <c r="BA1406" s="2656"/>
      <c r="BB1406" s="2656"/>
      <c r="BC1406" s="2656"/>
      <c r="BD1406" s="2656"/>
      <c r="BE1406" s="2656"/>
      <c r="BF1406" s="2656"/>
      <c r="BG1406" s="2656"/>
      <c r="BH1406" s="2656"/>
      <c r="BI1406" s="2656"/>
    </row>
    <row r="1407" spans="1:61" ht="24.75" customHeight="1">
      <c r="A1407" s="3375"/>
      <c r="B1407" s="2646"/>
      <c r="C1407" s="2647"/>
      <c r="D1407" s="2646"/>
      <c r="E1407" s="3013"/>
      <c r="F1407" s="2655"/>
      <c r="G1407" s="2596"/>
      <c r="H1407" s="4138"/>
      <c r="I1407" s="3375"/>
      <c r="J1407" s="2648"/>
      <c r="K1407" s="3147"/>
      <c r="L1407" s="2785"/>
      <c r="M1407" s="2695"/>
      <c r="N1407" s="2649"/>
      <c r="O1407" s="2655"/>
      <c r="P1407" s="2651"/>
      <c r="Q1407" s="3440"/>
      <c r="R1407" s="3553"/>
      <c r="S1407" s="1407"/>
      <c r="T1407" s="3375"/>
      <c r="U1407" s="2648"/>
      <c r="V1407" s="3554"/>
      <c r="W1407" s="3150"/>
      <c r="X1407" s="2656"/>
      <c r="Y1407" s="2656"/>
      <c r="Z1407" s="2656"/>
      <c r="AA1407" s="2656"/>
      <c r="AB1407" s="2656"/>
      <c r="AC1407" s="2656"/>
      <c r="AD1407" s="2656"/>
      <c r="AE1407" s="2656"/>
      <c r="AF1407" s="2656"/>
      <c r="AG1407" s="2656"/>
      <c r="AH1407" s="2656"/>
      <c r="AI1407" s="2656"/>
      <c r="AJ1407" s="2656"/>
      <c r="AK1407" s="2656"/>
      <c r="AL1407" s="2656"/>
      <c r="AM1407" s="2656"/>
      <c r="AN1407" s="2656"/>
      <c r="AO1407" s="2656"/>
      <c r="AP1407" s="2656"/>
      <c r="AQ1407" s="2656"/>
      <c r="AR1407" s="2656"/>
      <c r="AS1407" s="2656"/>
      <c r="AT1407" s="2656"/>
      <c r="AU1407" s="2656"/>
      <c r="AV1407" s="2656"/>
      <c r="AW1407" s="2656"/>
      <c r="AX1407" s="2656"/>
      <c r="AY1407" s="2656"/>
      <c r="AZ1407" s="2656"/>
      <c r="BA1407" s="2656"/>
      <c r="BB1407" s="2656"/>
      <c r="BC1407" s="2656"/>
      <c r="BD1407" s="2656"/>
      <c r="BE1407" s="2656"/>
      <c r="BF1407" s="2656"/>
      <c r="BG1407" s="2656"/>
      <c r="BH1407" s="2656"/>
      <c r="BI1407" s="2656"/>
    </row>
    <row r="1408" spans="1:61" ht="24.75" customHeight="1">
      <c r="A1408" s="3375"/>
      <c r="B1408" s="2646"/>
      <c r="C1408" s="2647"/>
      <c r="D1408" s="2646"/>
      <c r="E1408" s="3013"/>
      <c r="F1408" s="2655"/>
      <c r="G1408" s="2596"/>
      <c r="H1408" s="4138"/>
      <c r="I1408" s="3375"/>
      <c r="J1408" s="2648"/>
      <c r="K1408" s="3147"/>
      <c r="L1408" s="2785"/>
      <c r="M1408" s="2695"/>
      <c r="N1408" s="2649"/>
      <c r="O1408" s="2655"/>
      <c r="P1408" s="2651"/>
      <c r="Q1408" s="3440"/>
      <c r="R1408" s="3553"/>
      <c r="S1408" s="1407"/>
      <c r="T1408" s="3375"/>
      <c r="U1408" s="2648"/>
      <c r="V1408" s="3554"/>
      <c r="W1408" s="3150"/>
      <c r="X1408" s="2656"/>
      <c r="Y1408" s="2656"/>
      <c r="Z1408" s="2656"/>
      <c r="AA1408" s="2656"/>
      <c r="AB1408" s="2656"/>
      <c r="AC1408" s="2656"/>
      <c r="AD1408" s="2656"/>
      <c r="AE1408" s="2656"/>
      <c r="AF1408" s="2656"/>
      <c r="AG1408" s="2656"/>
      <c r="AH1408" s="2656"/>
      <c r="AI1408" s="2656"/>
      <c r="AJ1408" s="2656"/>
      <c r="AK1408" s="2656"/>
      <c r="AL1408" s="2656"/>
      <c r="AM1408" s="2656"/>
      <c r="AN1408" s="2656"/>
      <c r="AO1408" s="2656"/>
      <c r="AP1408" s="2656"/>
      <c r="AQ1408" s="2656"/>
      <c r="AR1408" s="2656"/>
      <c r="AS1408" s="2656"/>
      <c r="AT1408" s="2656"/>
      <c r="AU1408" s="2656"/>
      <c r="AV1408" s="2656"/>
      <c r="AW1408" s="2656"/>
      <c r="AX1408" s="2656"/>
      <c r="AY1408" s="2656"/>
      <c r="AZ1408" s="2656"/>
      <c r="BA1408" s="2656"/>
      <c r="BB1408" s="2656"/>
      <c r="BC1408" s="2656"/>
      <c r="BD1408" s="2656"/>
      <c r="BE1408" s="2656"/>
      <c r="BF1408" s="2656"/>
      <c r="BG1408" s="2656"/>
      <c r="BH1408" s="2656"/>
      <c r="BI1408" s="2656"/>
    </row>
    <row r="1409" spans="1:61" ht="24.75" customHeight="1">
      <c r="A1409" s="3375"/>
      <c r="B1409" s="2646"/>
      <c r="C1409" s="2647"/>
      <c r="D1409" s="2646"/>
      <c r="E1409" s="3013"/>
      <c r="F1409" s="2655"/>
      <c r="G1409" s="2596"/>
      <c r="H1409" s="4138"/>
      <c r="I1409" s="3375"/>
      <c r="J1409" s="2648"/>
      <c r="K1409" s="3147"/>
      <c r="L1409" s="2785"/>
      <c r="M1409" s="2695"/>
      <c r="N1409" s="2649"/>
      <c r="O1409" s="2655"/>
      <c r="P1409" s="2651"/>
      <c r="Q1409" s="3440"/>
      <c r="R1409" s="3553"/>
      <c r="S1409" s="1407"/>
      <c r="T1409" s="3375"/>
      <c r="U1409" s="2648"/>
      <c r="V1409" s="3554"/>
      <c r="W1409" s="3150"/>
      <c r="X1409" s="2656"/>
      <c r="Y1409" s="2656"/>
      <c r="Z1409" s="2656"/>
      <c r="AA1409" s="2656"/>
      <c r="AB1409" s="2656"/>
      <c r="AC1409" s="2656"/>
      <c r="AD1409" s="2656"/>
      <c r="AE1409" s="2656"/>
      <c r="AF1409" s="2656"/>
      <c r="AG1409" s="2656"/>
      <c r="AH1409" s="2656"/>
      <c r="AI1409" s="2656"/>
      <c r="AJ1409" s="2656"/>
      <c r="AK1409" s="2656"/>
      <c r="AL1409" s="2656"/>
      <c r="AM1409" s="2656"/>
      <c r="AN1409" s="2656"/>
      <c r="AO1409" s="2656"/>
      <c r="AP1409" s="2656"/>
      <c r="AQ1409" s="2656"/>
      <c r="AR1409" s="2656"/>
      <c r="AS1409" s="2656"/>
      <c r="AT1409" s="2656"/>
      <c r="AU1409" s="2656"/>
      <c r="AV1409" s="2656"/>
      <c r="AW1409" s="2656"/>
      <c r="AX1409" s="2656"/>
      <c r="AY1409" s="2656"/>
      <c r="AZ1409" s="2656"/>
      <c r="BA1409" s="2656"/>
      <c r="BB1409" s="2656"/>
      <c r="BC1409" s="2656"/>
      <c r="BD1409" s="2656"/>
      <c r="BE1409" s="2656"/>
      <c r="BF1409" s="2656"/>
      <c r="BG1409" s="2656"/>
      <c r="BH1409" s="2656"/>
      <c r="BI1409" s="2656"/>
    </row>
    <row r="1410" spans="1:61" ht="24.75" customHeight="1">
      <c r="A1410" s="3375"/>
      <c r="B1410" s="2646"/>
      <c r="C1410" s="2647"/>
      <c r="D1410" s="2646"/>
      <c r="E1410" s="3013"/>
      <c r="F1410" s="2655"/>
      <c r="G1410" s="2596"/>
      <c r="H1410" s="4138"/>
      <c r="I1410" s="3375"/>
      <c r="J1410" s="2648"/>
      <c r="K1410" s="3147"/>
      <c r="L1410" s="2785"/>
      <c r="M1410" s="2695"/>
      <c r="N1410" s="2649"/>
      <c r="O1410" s="2655"/>
      <c r="P1410" s="2651"/>
      <c r="Q1410" s="3440"/>
      <c r="R1410" s="3553"/>
      <c r="S1410" s="1407"/>
      <c r="T1410" s="3375"/>
      <c r="U1410" s="2648"/>
      <c r="V1410" s="3554"/>
      <c r="W1410" s="3150"/>
      <c r="X1410" s="2656"/>
      <c r="Y1410" s="2656"/>
      <c r="Z1410" s="2656"/>
      <c r="AA1410" s="2656"/>
      <c r="AB1410" s="2656"/>
      <c r="AC1410" s="2656"/>
      <c r="AD1410" s="2656"/>
      <c r="AE1410" s="2656"/>
      <c r="AF1410" s="2656"/>
      <c r="AG1410" s="2656"/>
      <c r="AH1410" s="2656"/>
      <c r="AI1410" s="2656"/>
      <c r="AJ1410" s="2656"/>
      <c r="AK1410" s="2656"/>
      <c r="AL1410" s="2656"/>
      <c r="AM1410" s="2656"/>
      <c r="AN1410" s="2656"/>
      <c r="AO1410" s="2656"/>
      <c r="AP1410" s="2656"/>
      <c r="AQ1410" s="2656"/>
      <c r="AR1410" s="2656"/>
      <c r="AS1410" s="2656"/>
      <c r="AT1410" s="2656"/>
      <c r="AU1410" s="2656"/>
      <c r="AV1410" s="2656"/>
      <c r="AW1410" s="2656"/>
      <c r="AX1410" s="2656"/>
      <c r="AY1410" s="2656"/>
      <c r="AZ1410" s="2656"/>
      <c r="BA1410" s="2656"/>
      <c r="BB1410" s="2656"/>
      <c r="BC1410" s="2656"/>
      <c r="BD1410" s="2656"/>
      <c r="BE1410" s="2656"/>
      <c r="BF1410" s="2656"/>
      <c r="BG1410" s="2656"/>
      <c r="BH1410" s="2656"/>
      <c r="BI1410" s="2656"/>
    </row>
    <row r="1411" spans="1:61" ht="24.75" customHeight="1">
      <c r="A1411" s="3375"/>
      <c r="B1411" s="2646"/>
      <c r="C1411" s="2647"/>
      <c r="D1411" s="2646"/>
      <c r="E1411" s="3013"/>
      <c r="F1411" s="2655"/>
      <c r="G1411" s="2596"/>
      <c r="H1411" s="4138"/>
      <c r="I1411" s="3375"/>
      <c r="J1411" s="2648"/>
      <c r="K1411" s="3147"/>
      <c r="L1411" s="2785"/>
      <c r="M1411" s="2695"/>
      <c r="N1411" s="2649"/>
      <c r="O1411" s="2655"/>
      <c r="P1411" s="2651"/>
      <c r="Q1411" s="3440"/>
      <c r="R1411" s="3553"/>
      <c r="S1411" s="1407"/>
      <c r="T1411" s="3375"/>
      <c r="U1411" s="2648"/>
      <c r="V1411" s="3554"/>
      <c r="W1411" s="3150"/>
      <c r="X1411" s="2656"/>
      <c r="Y1411" s="2656"/>
      <c r="Z1411" s="2656"/>
      <c r="AA1411" s="2656"/>
      <c r="AB1411" s="2656"/>
      <c r="AC1411" s="2656"/>
      <c r="AD1411" s="2656"/>
      <c r="AE1411" s="2656"/>
      <c r="AF1411" s="2656"/>
      <c r="AG1411" s="2656"/>
      <c r="AH1411" s="2656"/>
      <c r="AI1411" s="2656"/>
      <c r="AJ1411" s="2656"/>
      <c r="AK1411" s="2656"/>
      <c r="AL1411" s="2656"/>
      <c r="AM1411" s="2656"/>
      <c r="AN1411" s="2656"/>
      <c r="AO1411" s="2656"/>
      <c r="AP1411" s="2656"/>
      <c r="AQ1411" s="2656"/>
      <c r="AR1411" s="2656"/>
      <c r="AS1411" s="2656"/>
      <c r="AT1411" s="2656"/>
      <c r="AU1411" s="2656"/>
      <c r="AV1411" s="2656"/>
      <c r="AW1411" s="2656"/>
      <c r="AX1411" s="2656"/>
      <c r="AY1411" s="2656"/>
      <c r="AZ1411" s="2656"/>
      <c r="BA1411" s="2656"/>
      <c r="BB1411" s="2656"/>
      <c r="BC1411" s="2656"/>
      <c r="BD1411" s="2656"/>
      <c r="BE1411" s="2656"/>
      <c r="BF1411" s="2656"/>
      <c r="BG1411" s="2656"/>
      <c r="BH1411" s="2656"/>
      <c r="BI1411" s="2656"/>
    </row>
    <row r="1412" spans="1:61" ht="24.75" customHeight="1">
      <c r="A1412" s="3375"/>
      <c r="B1412" s="2646"/>
      <c r="C1412" s="2647"/>
      <c r="D1412" s="2646"/>
      <c r="E1412" s="3013"/>
      <c r="F1412" s="2655"/>
      <c r="G1412" s="2596"/>
      <c r="H1412" s="4138"/>
      <c r="I1412" s="3375"/>
      <c r="J1412" s="2648"/>
      <c r="K1412" s="3147"/>
      <c r="L1412" s="2785"/>
      <c r="M1412" s="2695"/>
      <c r="N1412" s="2649"/>
      <c r="O1412" s="2655"/>
      <c r="P1412" s="2651"/>
      <c r="Q1412" s="3440"/>
      <c r="R1412" s="3553"/>
      <c r="S1412" s="1407"/>
      <c r="T1412" s="3375"/>
      <c r="U1412" s="2648"/>
      <c r="V1412" s="3554"/>
      <c r="W1412" s="3150"/>
      <c r="X1412" s="2656"/>
      <c r="Y1412" s="2656"/>
      <c r="Z1412" s="2656"/>
      <c r="AA1412" s="2656"/>
      <c r="AB1412" s="2656"/>
      <c r="AC1412" s="2656"/>
      <c r="AD1412" s="2656"/>
      <c r="AE1412" s="2656"/>
      <c r="AF1412" s="2656"/>
      <c r="AG1412" s="2656"/>
      <c r="AH1412" s="2656"/>
      <c r="AI1412" s="2656"/>
      <c r="AJ1412" s="2656"/>
      <c r="AK1412" s="2656"/>
      <c r="AL1412" s="2656"/>
      <c r="AM1412" s="2656"/>
      <c r="AN1412" s="2656"/>
      <c r="AO1412" s="2656"/>
      <c r="AP1412" s="2656"/>
      <c r="AQ1412" s="2656"/>
      <c r="AR1412" s="2656"/>
      <c r="AS1412" s="2656"/>
      <c r="AT1412" s="2656"/>
      <c r="AU1412" s="2656"/>
      <c r="AV1412" s="2656"/>
      <c r="AW1412" s="2656"/>
      <c r="AX1412" s="2656"/>
      <c r="AY1412" s="2656"/>
      <c r="AZ1412" s="2656"/>
      <c r="BA1412" s="2656"/>
      <c r="BB1412" s="2656"/>
      <c r="BC1412" s="2656"/>
      <c r="BD1412" s="2656"/>
      <c r="BE1412" s="2656"/>
      <c r="BF1412" s="2656"/>
      <c r="BG1412" s="2656"/>
      <c r="BH1412" s="2656"/>
      <c r="BI1412" s="2656"/>
    </row>
    <row r="1413" spans="1:61" ht="24.75" customHeight="1">
      <c r="A1413" s="3375"/>
      <c r="B1413" s="2646"/>
      <c r="C1413" s="2647"/>
      <c r="D1413" s="2646"/>
      <c r="E1413" s="3013"/>
      <c r="F1413" s="2655"/>
      <c r="G1413" s="2596"/>
      <c r="H1413" s="4138"/>
      <c r="I1413" s="3375"/>
      <c r="J1413" s="2648"/>
      <c r="K1413" s="3147"/>
      <c r="L1413" s="2785"/>
      <c r="M1413" s="2695"/>
      <c r="N1413" s="2649"/>
      <c r="O1413" s="2655"/>
      <c r="P1413" s="2651"/>
      <c r="Q1413" s="3440"/>
      <c r="R1413" s="3553"/>
      <c r="S1413" s="1407"/>
      <c r="T1413" s="3375"/>
      <c r="U1413" s="2648"/>
      <c r="V1413" s="3554"/>
      <c r="W1413" s="3150"/>
      <c r="X1413" s="2656"/>
      <c r="Y1413" s="2656"/>
      <c r="Z1413" s="2656"/>
      <c r="AA1413" s="2656"/>
      <c r="AB1413" s="2656"/>
      <c r="AC1413" s="2656"/>
      <c r="AD1413" s="2656"/>
      <c r="AE1413" s="2656"/>
      <c r="AF1413" s="2656"/>
      <c r="AG1413" s="2656"/>
      <c r="AH1413" s="2656"/>
      <c r="AI1413" s="2656"/>
      <c r="AJ1413" s="2656"/>
      <c r="AK1413" s="2656"/>
      <c r="AL1413" s="2656"/>
      <c r="AM1413" s="2656"/>
      <c r="AN1413" s="2656"/>
      <c r="AO1413" s="2656"/>
      <c r="AP1413" s="2656"/>
      <c r="AQ1413" s="2656"/>
      <c r="AR1413" s="2656"/>
      <c r="AS1413" s="2656"/>
      <c r="AT1413" s="2656"/>
      <c r="AU1413" s="2656"/>
      <c r="AV1413" s="2656"/>
      <c r="AW1413" s="2656"/>
      <c r="AX1413" s="2656"/>
      <c r="AY1413" s="2656"/>
      <c r="AZ1413" s="2656"/>
      <c r="BA1413" s="2656"/>
      <c r="BB1413" s="2656"/>
      <c r="BC1413" s="2656"/>
      <c r="BD1413" s="2656"/>
      <c r="BE1413" s="2656"/>
      <c r="BF1413" s="2656"/>
      <c r="BG1413" s="2656"/>
      <c r="BH1413" s="2656"/>
      <c r="BI1413" s="2656"/>
    </row>
    <row r="1414" spans="1:61" ht="24.75" customHeight="1">
      <c r="A1414" s="3375"/>
      <c r="B1414" s="2646"/>
      <c r="C1414" s="2647"/>
      <c r="D1414" s="2646"/>
      <c r="E1414" s="3013"/>
      <c r="F1414" s="2655"/>
      <c r="G1414" s="2596"/>
      <c r="H1414" s="4138"/>
      <c r="I1414" s="3375"/>
      <c r="J1414" s="2648"/>
      <c r="K1414" s="3147"/>
      <c r="L1414" s="2785"/>
      <c r="M1414" s="2695"/>
      <c r="N1414" s="2649"/>
      <c r="O1414" s="2655"/>
      <c r="P1414" s="2651"/>
      <c r="Q1414" s="3440"/>
      <c r="R1414" s="3553"/>
      <c r="S1414" s="1407"/>
      <c r="T1414" s="3375"/>
      <c r="U1414" s="2648"/>
      <c r="V1414" s="3554"/>
      <c r="W1414" s="3150"/>
      <c r="X1414" s="2656"/>
      <c r="Y1414" s="2656"/>
      <c r="Z1414" s="2656"/>
      <c r="AA1414" s="2656"/>
      <c r="AB1414" s="2656"/>
      <c r="AC1414" s="2656"/>
      <c r="AD1414" s="2656"/>
      <c r="AE1414" s="2656"/>
      <c r="AF1414" s="2656"/>
      <c r="AG1414" s="2656"/>
      <c r="AH1414" s="2656"/>
      <c r="AI1414" s="2656"/>
      <c r="AJ1414" s="2656"/>
      <c r="AK1414" s="2656"/>
      <c r="AL1414" s="2656"/>
      <c r="AM1414" s="2656"/>
      <c r="AN1414" s="2656"/>
      <c r="AO1414" s="2656"/>
      <c r="AP1414" s="2656"/>
      <c r="AQ1414" s="2656"/>
      <c r="AR1414" s="2656"/>
      <c r="AS1414" s="2656"/>
      <c r="AT1414" s="2656"/>
      <c r="AU1414" s="2656"/>
      <c r="AV1414" s="2656"/>
      <c r="AW1414" s="2656"/>
      <c r="AX1414" s="2656"/>
      <c r="AY1414" s="2656"/>
      <c r="AZ1414" s="2656"/>
      <c r="BA1414" s="2656"/>
      <c r="BB1414" s="2656"/>
      <c r="BC1414" s="2656"/>
      <c r="BD1414" s="2656"/>
      <c r="BE1414" s="2656"/>
      <c r="BF1414" s="2656"/>
      <c r="BG1414" s="2656"/>
      <c r="BH1414" s="2656"/>
      <c r="BI1414" s="2656"/>
    </row>
    <row r="1415" spans="1:61" ht="24.75" customHeight="1">
      <c r="A1415" s="3375"/>
      <c r="B1415" s="2646"/>
      <c r="C1415" s="2647"/>
      <c r="D1415" s="2646"/>
      <c r="E1415" s="3013"/>
      <c r="F1415" s="2655"/>
      <c r="G1415" s="2596"/>
      <c r="H1415" s="4138"/>
      <c r="I1415" s="3375"/>
      <c r="J1415" s="2648"/>
      <c r="K1415" s="3147"/>
      <c r="L1415" s="2785"/>
      <c r="M1415" s="2695"/>
      <c r="N1415" s="2649"/>
      <c r="O1415" s="2655"/>
      <c r="P1415" s="2651"/>
      <c r="Q1415" s="3440"/>
      <c r="R1415" s="3553"/>
      <c r="S1415" s="1407"/>
      <c r="T1415" s="3375"/>
      <c r="U1415" s="2648"/>
      <c r="V1415" s="3554"/>
      <c r="W1415" s="3150"/>
      <c r="X1415" s="2656"/>
      <c r="Y1415" s="2656"/>
      <c r="Z1415" s="2656"/>
      <c r="AA1415" s="2656"/>
      <c r="AB1415" s="2656"/>
      <c r="AC1415" s="2656"/>
      <c r="AD1415" s="2656"/>
      <c r="AE1415" s="2656"/>
      <c r="AF1415" s="2656"/>
      <c r="AG1415" s="2656"/>
      <c r="AH1415" s="2656"/>
      <c r="AI1415" s="2656"/>
      <c r="AJ1415" s="2656"/>
      <c r="AK1415" s="2656"/>
      <c r="AL1415" s="2656"/>
      <c r="AM1415" s="2656"/>
      <c r="AN1415" s="2656"/>
      <c r="AO1415" s="2656"/>
      <c r="AP1415" s="2656"/>
      <c r="AQ1415" s="2656"/>
      <c r="AR1415" s="2656"/>
      <c r="AS1415" s="2656"/>
      <c r="AT1415" s="2656"/>
      <c r="AU1415" s="2656"/>
      <c r="AV1415" s="2656"/>
      <c r="AW1415" s="2656"/>
      <c r="AX1415" s="2656"/>
      <c r="AY1415" s="2656"/>
      <c r="AZ1415" s="2656"/>
      <c r="BA1415" s="2656"/>
      <c r="BB1415" s="2656"/>
      <c r="BC1415" s="2656"/>
      <c r="BD1415" s="2656"/>
      <c r="BE1415" s="2656"/>
      <c r="BF1415" s="2656"/>
      <c r="BG1415" s="2656"/>
      <c r="BH1415" s="2656"/>
      <c r="BI1415" s="2656"/>
    </row>
    <row r="1416" spans="1:61" ht="24.75" customHeight="1">
      <c r="A1416" s="3375"/>
      <c r="B1416" s="2646"/>
      <c r="C1416" s="2647"/>
      <c r="D1416" s="2646"/>
      <c r="E1416" s="3013"/>
      <c r="F1416" s="2655"/>
      <c r="G1416" s="2596"/>
      <c r="H1416" s="4138"/>
      <c r="I1416" s="3375"/>
      <c r="J1416" s="2648"/>
      <c r="K1416" s="3147"/>
      <c r="L1416" s="2785"/>
      <c r="M1416" s="2695"/>
      <c r="N1416" s="2649"/>
      <c r="O1416" s="2655"/>
      <c r="P1416" s="2651"/>
      <c r="Q1416" s="3440"/>
      <c r="R1416" s="3553"/>
      <c r="S1416" s="1407"/>
      <c r="T1416" s="3375"/>
      <c r="U1416" s="2648"/>
      <c r="V1416" s="3554"/>
      <c r="W1416" s="3150"/>
      <c r="X1416" s="2656"/>
      <c r="Y1416" s="2656"/>
      <c r="Z1416" s="2656"/>
      <c r="AA1416" s="2656"/>
      <c r="AB1416" s="2656"/>
      <c r="AC1416" s="2656"/>
      <c r="AD1416" s="2656"/>
      <c r="AE1416" s="2656"/>
      <c r="AF1416" s="2656"/>
      <c r="AG1416" s="2656"/>
      <c r="AH1416" s="2656"/>
      <c r="AI1416" s="2656"/>
      <c r="AJ1416" s="2656"/>
      <c r="AK1416" s="2656"/>
      <c r="AL1416" s="2656"/>
      <c r="AM1416" s="2656"/>
      <c r="AN1416" s="2656"/>
      <c r="AO1416" s="2656"/>
      <c r="AP1416" s="2656"/>
      <c r="AQ1416" s="2656"/>
      <c r="AR1416" s="2656"/>
      <c r="AS1416" s="2656"/>
      <c r="AT1416" s="2656"/>
      <c r="AU1416" s="2656"/>
      <c r="AV1416" s="2656"/>
      <c r="AW1416" s="2656"/>
      <c r="AX1416" s="2656"/>
      <c r="AY1416" s="2656"/>
      <c r="AZ1416" s="2656"/>
      <c r="BA1416" s="2656"/>
      <c r="BB1416" s="2656"/>
      <c r="BC1416" s="2656"/>
      <c r="BD1416" s="2656"/>
      <c r="BE1416" s="2656"/>
      <c r="BF1416" s="2656"/>
      <c r="BG1416" s="2656"/>
      <c r="BH1416" s="2656"/>
      <c r="BI1416" s="2656"/>
    </row>
    <row r="1417" spans="1:61" ht="24.75" customHeight="1">
      <c r="A1417" s="3375"/>
      <c r="B1417" s="2646"/>
      <c r="C1417" s="2647"/>
      <c r="D1417" s="2646"/>
      <c r="E1417" s="3013"/>
      <c r="F1417" s="2655"/>
      <c r="G1417" s="2596"/>
      <c r="H1417" s="4138"/>
      <c r="I1417" s="3375"/>
      <c r="J1417" s="2648"/>
      <c r="K1417" s="3147"/>
      <c r="L1417" s="2785"/>
      <c r="M1417" s="2695"/>
      <c r="N1417" s="2649"/>
      <c r="O1417" s="2655"/>
      <c r="P1417" s="2651"/>
      <c r="Q1417" s="3440"/>
      <c r="R1417" s="3553"/>
      <c r="S1417" s="1407"/>
      <c r="T1417" s="3375"/>
      <c r="U1417" s="2648"/>
      <c r="V1417" s="3554"/>
      <c r="W1417" s="3150"/>
      <c r="X1417" s="2656"/>
      <c r="Y1417" s="2656"/>
      <c r="Z1417" s="2656"/>
      <c r="AA1417" s="2656"/>
      <c r="AB1417" s="2656"/>
      <c r="AC1417" s="2656"/>
      <c r="AD1417" s="2656"/>
      <c r="AE1417" s="2656"/>
      <c r="AF1417" s="2656"/>
      <c r="AG1417" s="2656"/>
      <c r="AH1417" s="2656"/>
      <c r="AI1417" s="2656"/>
      <c r="AJ1417" s="2656"/>
      <c r="AK1417" s="2656"/>
      <c r="AL1417" s="2656"/>
      <c r="AM1417" s="2656"/>
      <c r="AN1417" s="2656"/>
      <c r="AO1417" s="2656"/>
      <c r="AP1417" s="2656"/>
      <c r="AQ1417" s="2656"/>
      <c r="AR1417" s="2656"/>
      <c r="AS1417" s="2656"/>
      <c r="AT1417" s="2656"/>
      <c r="AU1417" s="2656"/>
      <c r="AV1417" s="2656"/>
      <c r="AW1417" s="2656"/>
      <c r="AX1417" s="2656"/>
      <c r="AY1417" s="2656"/>
      <c r="AZ1417" s="2656"/>
      <c r="BA1417" s="2656"/>
      <c r="BB1417" s="2656"/>
      <c r="BC1417" s="2656"/>
      <c r="BD1417" s="2656"/>
      <c r="BE1417" s="2656"/>
      <c r="BF1417" s="2656"/>
      <c r="BG1417" s="2656"/>
      <c r="BH1417" s="2656"/>
      <c r="BI1417" s="2656"/>
    </row>
    <row r="1418" spans="1:61" ht="24.75" customHeight="1">
      <c r="A1418" s="3375"/>
      <c r="B1418" s="2646"/>
      <c r="C1418" s="2647"/>
      <c r="D1418" s="2646"/>
      <c r="E1418" s="3013"/>
      <c r="F1418" s="2655"/>
      <c r="G1418" s="2596"/>
      <c r="H1418" s="4138"/>
      <c r="I1418" s="3375"/>
      <c r="J1418" s="2648"/>
      <c r="K1418" s="3147"/>
      <c r="L1418" s="2785"/>
      <c r="M1418" s="2695"/>
      <c r="N1418" s="2649"/>
      <c r="O1418" s="2655"/>
      <c r="P1418" s="2651"/>
      <c r="Q1418" s="3440"/>
      <c r="R1418" s="3553"/>
      <c r="S1418" s="1407"/>
      <c r="T1418" s="3375"/>
      <c r="U1418" s="2648"/>
      <c r="V1418" s="3554"/>
      <c r="W1418" s="3150"/>
      <c r="X1418" s="2656"/>
      <c r="Y1418" s="2656"/>
      <c r="Z1418" s="2656"/>
      <c r="AA1418" s="2656"/>
      <c r="AB1418" s="2656"/>
      <c r="AC1418" s="2656"/>
      <c r="AD1418" s="2656"/>
      <c r="AE1418" s="2656"/>
      <c r="AF1418" s="2656"/>
      <c r="AG1418" s="2656"/>
      <c r="AH1418" s="2656"/>
      <c r="AI1418" s="2656"/>
      <c r="AJ1418" s="2656"/>
      <c r="AK1418" s="2656"/>
      <c r="AL1418" s="2656"/>
      <c r="AM1418" s="2656"/>
      <c r="AN1418" s="2656"/>
      <c r="AO1418" s="2656"/>
      <c r="AP1418" s="2656"/>
      <c r="AQ1418" s="2656"/>
      <c r="AR1418" s="2656"/>
      <c r="AS1418" s="2656"/>
      <c r="AT1418" s="2656"/>
      <c r="AU1418" s="2656"/>
      <c r="AV1418" s="2656"/>
      <c r="AW1418" s="2656"/>
      <c r="AX1418" s="2656"/>
      <c r="AY1418" s="2656"/>
      <c r="AZ1418" s="2656"/>
      <c r="BA1418" s="2656"/>
      <c r="BB1418" s="2656"/>
      <c r="BC1418" s="2656"/>
      <c r="BD1418" s="2656"/>
      <c r="BE1418" s="2656"/>
      <c r="BF1418" s="2656"/>
      <c r="BG1418" s="2656"/>
      <c r="BH1418" s="2656"/>
      <c r="BI1418" s="2656"/>
    </row>
    <row r="1419" spans="1:61" ht="24.75" customHeight="1">
      <c r="A1419" s="3375"/>
      <c r="B1419" s="2646"/>
      <c r="C1419" s="2647"/>
      <c r="D1419" s="2646"/>
      <c r="E1419" s="3013"/>
      <c r="F1419" s="2655"/>
      <c r="G1419" s="2596"/>
      <c r="H1419" s="4138"/>
      <c r="I1419" s="3375"/>
      <c r="J1419" s="2648"/>
      <c r="K1419" s="3147"/>
      <c r="L1419" s="2785"/>
      <c r="M1419" s="2695"/>
      <c r="N1419" s="2649"/>
      <c r="O1419" s="2655"/>
      <c r="P1419" s="2651"/>
      <c r="Q1419" s="3440"/>
      <c r="R1419" s="3553"/>
      <c r="S1419" s="1407"/>
      <c r="T1419" s="3375"/>
      <c r="U1419" s="2648"/>
      <c r="V1419" s="3554"/>
      <c r="W1419" s="3150"/>
      <c r="X1419" s="2656"/>
      <c r="Y1419" s="2656"/>
      <c r="Z1419" s="2656"/>
      <c r="AA1419" s="2656"/>
      <c r="AB1419" s="2656"/>
      <c r="AC1419" s="2656"/>
      <c r="AD1419" s="2656"/>
      <c r="AE1419" s="2656"/>
      <c r="AF1419" s="2656"/>
      <c r="AG1419" s="2656"/>
      <c r="AH1419" s="2656"/>
      <c r="AI1419" s="2656"/>
      <c r="AJ1419" s="2656"/>
      <c r="AK1419" s="2656"/>
      <c r="AL1419" s="2656"/>
      <c r="AM1419" s="2656"/>
      <c r="AN1419" s="2656"/>
      <c r="AO1419" s="2656"/>
      <c r="AP1419" s="2656"/>
      <c r="AQ1419" s="2656"/>
      <c r="AR1419" s="2656"/>
      <c r="AS1419" s="2656"/>
      <c r="AT1419" s="2656"/>
      <c r="AU1419" s="2656"/>
      <c r="AV1419" s="2656"/>
      <c r="AW1419" s="2656"/>
      <c r="AX1419" s="2656"/>
      <c r="AY1419" s="2656"/>
      <c r="AZ1419" s="2656"/>
      <c r="BA1419" s="2656"/>
      <c r="BB1419" s="2656"/>
      <c r="BC1419" s="2656"/>
      <c r="BD1419" s="2656"/>
      <c r="BE1419" s="2656"/>
      <c r="BF1419" s="2656"/>
      <c r="BG1419" s="2656"/>
      <c r="BH1419" s="2656"/>
      <c r="BI1419" s="2656"/>
    </row>
    <row r="1420" spans="1:61" ht="24.75" customHeight="1">
      <c r="A1420" s="3375"/>
      <c r="B1420" s="2646"/>
      <c r="C1420" s="2647"/>
      <c r="D1420" s="2646"/>
      <c r="E1420" s="3013"/>
      <c r="F1420" s="2655"/>
      <c r="G1420" s="2596"/>
      <c r="H1420" s="4138"/>
      <c r="I1420" s="3375"/>
      <c r="J1420" s="2648"/>
      <c r="K1420" s="3147"/>
      <c r="L1420" s="2785"/>
      <c r="M1420" s="2695"/>
      <c r="N1420" s="2649"/>
      <c r="O1420" s="2655"/>
      <c r="P1420" s="2651"/>
      <c r="Q1420" s="3440"/>
      <c r="R1420" s="3553"/>
      <c r="S1420" s="1407"/>
      <c r="T1420" s="3375"/>
      <c r="U1420" s="2648"/>
      <c r="V1420" s="3554"/>
      <c r="W1420" s="3150"/>
      <c r="X1420" s="2656"/>
      <c r="Y1420" s="2656"/>
      <c r="Z1420" s="2656"/>
      <c r="AA1420" s="2656"/>
      <c r="AB1420" s="2656"/>
      <c r="AC1420" s="2656"/>
      <c r="AD1420" s="2656"/>
      <c r="AE1420" s="2656"/>
      <c r="AF1420" s="2656"/>
      <c r="AG1420" s="2656"/>
      <c r="AH1420" s="2656"/>
      <c r="AI1420" s="2656"/>
      <c r="AJ1420" s="2656"/>
      <c r="AK1420" s="2656"/>
      <c r="AL1420" s="2656"/>
      <c r="AM1420" s="2656"/>
      <c r="AN1420" s="2656"/>
      <c r="AO1420" s="2656"/>
      <c r="AP1420" s="2656"/>
      <c r="AQ1420" s="2656"/>
      <c r="AR1420" s="2656"/>
      <c r="AS1420" s="2656"/>
      <c r="AT1420" s="2656"/>
      <c r="AU1420" s="2656"/>
      <c r="AV1420" s="2656"/>
      <c r="AW1420" s="2656"/>
      <c r="AX1420" s="2656"/>
      <c r="AY1420" s="2656"/>
      <c r="AZ1420" s="2656"/>
      <c r="BA1420" s="2656"/>
      <c r="BB1420" s="2656"/>
      <c r="BC1420" s="2656"/>
      <c r="BD1420" s="2656"/>
      <c r="BE1420" s="2656"/>
      <c r="BF1420" s="2656"/>
      <c r="BG1420" s="2656"/>
      <c r="BH1420" s="2656"/>
      <c r="BI1420" s="2656"/>
    </row>
    <row r="1421" spans="1:61" ht="24.75" customHeight="1">
      <c r="A1421" s="3375"/>
      <c r="B1421" s="2646"/>
      <c r="C1421" s="2647"/>
      <c r="D1421" s="2646"/>
      <c r="E1421" s="3013"/>
      <c r="F1421" s="2655"/>
      <c r="G1421" s="2596"/>
      <c r="H1421" s="4138"/>
      <c r="I1421" s="3375"/>
      <c r="J1421" s="2648"/>
      <c r="K1421" s="3147"/>
      <c r="L1421" s="2785"/>
      <c r="M1421" s="2695"/>
      <c r="N1421" s="2649"/>
      <c r="O1421" s="2655"/>
      <c r="P1421" s="2651"/>
      <c r="Q1421" s="3440"/>
      <c r="R1421" s="3553"/>
      <c r="S1421" s="1407"/>
      <c r="T1421" s="3375"/>
      <c r="U1421" s="2648"/>
      <c r="V1421" s="3554"/>
      <c r="W1421" s="3150"/>
      <c r="X1421" s="2656"/>
      <c r="Y1421" s="2656"/>
      <c r="Z1421" s="2656"/>
      <c r="AA1421" s="2656"/>
      <c r="AB1421" s="2656"/>
      <c r="AC1421" s="2656"/>
      <c r="AD1421" s="2656"/>
      <c r="AE1421" s="2656"/>
      <c r="AF1421" s="2656"/>
      <c r="AG1421" s="2656"/>
      <c r="AH1421" s="2656"/>
      <c r="AI1421" s="2656"/>
      <c r="AJ1421" s="2656"/>
      <c r="AK1421" s="2656"/>
      <c r="AL1421" s="2656"/>
      <c r="AM1421" s="2656"/>
      <c r="AN1421" s="2656"/>
      <c r="AO1421" s="2656"/>
      <c r="AP1421" s="2656"/>
      <c r="AQ1421" s="2656"/>
      <c r="AR1421" s="2656"/>
      <c r="AS1421" s="2656"/>
      <c r="AT1421" s="2656"/>
      <c r="AU1421" s="2656"/>
      <c r="AV1421" s="2656"/>
      <c r="AW1421" s="2656"/>
      <c r="AX1421" s="2656"/>
      <c r="AY1421" s="2656"/>
      <c r="AZ1421" s="2656"/>
      <c r="BA1421" s="2656"/>
      <c r="BB1421" s="2656"/>
      <c r="BC1421" s="2656"/>
      <c r="BD1421" s="2656"/>
      <c r="BE1421" s="2656"/>
      <c r="BF1421" s="2656"/>
      <c r="BG1421" s="2656"/>
      <c r="BH1421" s="2656"/>
      <c r="BI1421" s="2656"/>
    </row>
    <row r="1422" spans="1:61" ht="24.75" customHeight="1">
      <c r="A1422" s="3375"/>
      <c r="B1422" s="2646"/>
      <c r="C1422" s="2647"/>
      <c r="D1422" s="2646"/>
      <c r="E1422" s="3013"/>
      <c r="F1422" s="2655"/>
      <c r="G1422" s="2596"/>
      <c r="H1422" s="4138"/>
      <c r="I1422" s="3375"/>
      <c r="J1422" s="2648"/>
      <c r="K1422" s="3147"/>
      <c r="L1422" s="2785"/>
      <c r="M1422" s="2695"/>
      <c r="N1422" s="2649"/>
      <c r="O1422" s="2655"/>
      <c r="P1422" s="2651"/>
      <c r="Q1422" s="3440"/>
      <c r="R1422" s="3553"/>
      <c r="S1422" s="1407"/>
      <c r="T1422" s="3375"/>
      <c r="U1422" s="2648"/>
      <c r="V1422" s="3554"/>
      <c r="W1422" s="3150"/>
      <c r="X1422" s="2656"/>
      <c r="Y1422" s="2656"/>
      <c r="Z1422" s="2656"/>
      <c r="AA1422" s="2656"/>
      <c r="AB1422" s="2656"/>
      <c r="AC1422" s="2656"/>
      <c r="AD1422" s="2656"/>
      <c r="AE1422" s="2656"/>
      <c r="AF1422" s="2656"/>
      <c r="AG1422" s="2656"/>
      <c r="AH1422" s="2656"/>
      <c r="AI1422" s="2656"/>
      <c r="AJ1422" s="2656"/>
      <c r="AK1422" s="2656"/>
      <c r="AL1422" s="2656"/>
      <c r="AM1422" s="2656"/>
      <c r="AN1422" s="2656"/>
      <c r="AO1422" s="2656"/>
      <c r="AP1422" s="2656"/>
      <c r="AQ1422" s="2656"/>
      <c r="AR1422" s="2656"/>
      <c r="AS1422" s="2656"/>
      <c r="AT1422" s="2656"/>
      <c r="AU1422" s="2656"/>
      <c r="AV1422" s="2656"/>
      <c r="AW1422" s="2656"/>
      <c r="AX1422" s="2656"/>
      <c r="AY1422" s="2656"/>
      <c r="AZ1422" s="2656"/>
      <c r="BA1422" s="2656"/>
      <c r="BB1422" s="2656"/>
      <c r="BC1422" s="2656"/>
      <c r="BD1422" s="2656"/>
      <c r="BE1422" s="2656"/>
      <c r="BF1422" s="2656"/>
      <c r="BG1422" s="2656"/>
      <c r="BH1422" s="2656"/>
      <c r="BI1422" s="2656"/>
    </row>
    <row r="1423" spans="1:61" ht="24.75" customHeight="1">
      <c r="A1423" s="3375"/>
      <c r="B1423" s="2646"/>
      <c r="C1423" s="2647"/>
      <c r="D1423" s="2646"/>
      <c r="E1423" s="3013"/>
      <c r="F1423" s="2655"/>
      <c r="G1423" s="2596"/>
      <c r="H1423" s="4138"/>
      <c r="I1423" s="3375"/>
      <c r="J1423" s="2648"/>
      <c r="K1423" s="3147"/>
      <c r="L1423" s="2785"/>
      <c r="M1423" s="2695"/>
      <c r="N1423" s="2649"/>
      <c r="O1423" s="2655"/>
      <c r="P1423" s="2651"/>
      <c r="Q1423" s="3440"/>
      <c r="R1423" s="3553"/>
      <c r="S1423" s="1407"/>
      <c r="T1423" s="3375"/>
      <c r="U1423" s="2648"/>
      <c r="V1423" s="3554"/>
      <c r="W1423" s="3150"/>
      <c r="X1423" s="2656"/>
      <c r="Y1423" s="2656"/>
      <c r="Z1423" s="2656"/>
      <c r="AA1423" s="2656"/>
      <c r="AB1423" s="2656"/>
      <c r="AC1423" s="2656"/>
      <c r="AD1423" s="2656"/>
      <c r="AE1423" s="2656"/>
      <c r="AF1423" s="2656"/>
      <c r="AG1423" s="2656"/>
      <c r="AH1423" s="2656"/>
      <c r="AI1423" s="2656"/>
      <c r="AJ1423" s="2656"/>
      <c r="AK1423" s="2656"/>
      <c r="AL1423" s="2656"/>
      <c r="AM1423" s="2656"/>
      <c r="AN1423" s="2656"/>
      <c r="AO1423" s="2656"/>
      <c r="AP1423" s="2656"/>
      <c r="AQ1423" s="2656"/>
      <c r="AR1423" s="2656"/>
      <c r="AS1423" s="2656"/>
      <c r="AT1423" s="2656"/>
      <c r="AU1423" s="2656"/>
      <c r="AV1423" s="2656"/>
      <c r="AW1423" s="2656"/>
      <c r="AX1423" s="2656"/>
      <c r="AY1423" s="2656"/>
      <c r="AZ1423" s="2656"/>
      <c r="BA1423" s="2656"/>
      <c r="BB1423" s="2656"/>
      <c r="BC1423" s="2656"/>
      <c r="BD1423" s="2656"/>
      <c r="BE1423" s="2656"/>
      <c r="BF1423" s="2656"/>
      <c r="BG1423" s="2656"/>
      <c r="BH1423" s="2656"/>
      <c r="BI1423" s="2656"/>
    </row>
    <row r="1424" spans="1:61" ht="24.75" customHeight="1">
      <c r="A1424" s="3375"/>
      <c r="B1424" s="2646"/>
      <c r="C1424" s="2647"/>
      <c r="D1424" s="2646"/>
      <c r="E1424" s="3013"/>
      <c r="F1424" s="2655"/>
      <c r="G1424" s="2596"/>
      <c r="H1424" s="4138"/>
      <c r="I1424" s="3375"/>
      <c r="J1424" s="2648"/>
      <c r="K1424" s="3147"/>
      <c r="L1424" s="2785"/>
      <c r="M1424" s="2695"/>
      <c r="N1424" s="2649"/>
      <c r="O1424" s="2655"/>
      <c r="P1424" s="2651"/>
      <c r="Q1424" s="3440"/>
      <c r="R1424" s="3553"/>
      <c r="S1424" s="1407"/>
      <c r="T1424" s="3375"/>
      <c r="U1424" s="2648"/>
      <c r="V1424" s="3554"/>
      <c r="W1424" s="3150"/>
      <c r="X1424" s="2656"/>
      <c r="Y1424" s="2656"/>
      <c r="Z1424" s="2656"/>
      <c r="AA1424" s="2656"/>
      <c r="AB1424" s="2656"/>
      <c r="AC1424" s="2656"/>
      <c r="AD1424" s="2656"/>
      <c r="AE1424" s="2656"/>
      <c r="AF1424" s="2656"/>
      <c r="AG1424" s="2656"/>
      <c r="AH1424" s="2656"/>
      <c r="AI1424" s="2656"/>
      <c r="AJ1424" s="2656"/>
      <c r="AK1424" s="2656"/>
      <c r="AL1424" s="2656"/>
      <c r="AM1424" s="2656"/>
      <c r="AN1424" s="2656"/>
      <c r="AO1424" s="2656"/>
      <c r="AP1424" s="2656"/>
      <c r="AQ1424" s="2656"/>
      <c r="AR1424" s="2656"/>
      <c r="AS1424" s="2656"/>
      <c r="AT1424" s="2656"/>
      <c r="AU1424" s="2656"/>
      <c r="AV1424" s="2656"/>
      <c r="AW1424" s="2656"/>
      <c r="AX1424" s="2656"/>
      <c r="AY1424" s="2656"/>
      <c r="AZ1424" s="2656"/>
      <c r="BA1424" s="2656"/>
      <c r="BB1424" s="2656"/>
      <c r="BC1424" s="2656"/>
      <c r="BD1424" s="2656"/>
      <c r="BE1424" s="2656"/>
      <c r="BF1424" s="2656"/>
      <c r="BG1424" s="2656"/>
      <c r="BH1424" s="2656"/>
      <c r="BI1424" s="2656"/>
    </row>
    <row r="1425" spans="1:61" ht="24.75" customHeight="1">
      <c r="A1425" s="3375"/>
      <c r="B1425" s="2646"/>
      <c r="C1425" s="2647"/>
      <c r="D1425" s="2646"/>
      <c r="E1425" s="3013"/>
      <c r="F1425" s="2655"/>
      <c r="G1425" s="2596"/>
      <c r="H1425" s="4138"/>
      <c r="I1425" s="3375"/>
      <c r="J1425" s="2648"/>
      <c r="K1425" s="3147"/>
      <c r="L1425" s="2785"/>
      <c r="M1425" s="2695"/>
      <c r="N1425" s="2649"/>
      <c r="O1425" s="2655"/>
      <c r="P1425" s="2651"/>
      <c r="Q1425" s="3440"/>
      <c r="R1425" s="3553"/>
      <c r="S1425" s="1407"/>
      <c r="T1425" s="3375"/>
      <c r="U1425" s="2648"/>
      <c r="V1425" s="3554"/>
      <c r="W1425" s="3150"/>
      <c r="X1425" s="2656"/>
      <c r="Y1425" s="2656"/>
      <c r="Z1425" s="2656"/>
      <c r="AA1425" s="2656"/>
      <c r="AB1425" s="2656"/>
      <c r="AC1425" s="2656"/>
      <c r="AD1425" s="2656"/>
      <c r="AE1425" s="2656"/>
      <c r="AF1425" s="2656"/>
      <c r="AG1425" s="2656"/>
      <c r="AH1425" s="2656"/>
      <c r="AI1425" s="2656"/>
      <c r="AJ1425" s="2656"/>
      <c r="AK1425" s="2656"/>
      <c r="AL1425" s="2656"/>
      <c r="AM1425" s="2656"/>
      <c r="AN1425" s="2656"/>
      <c r="AO1425" s="2656"/>
      <c r="AP1425" s="2656"/>
      <c r="AQ1425" s="2656"/>
      <c r="AR1425" s="2656"/>
      <c r="AS1425" s="2656"/>
      <c r="AT1425" s="2656"/>
      <c r="AU1425" s="2656"/>
      <c r="AV1425" s="2656"/>
      <c r="AW1425" s="2656"/>
      <c r="AX1425" s="2656"/>
      <c r="AY1425" s="2656"/>
      <c r="AZ1425" s="2656"/>
      <c r="BA1425" s="2656"/>
      <c r="BB1425" s="2656"/>
      <c r="BC1425" s="2656"/>
      <c r="BD1425" s="2656"/>
      <c r="BE1425" s="2656"/>
      <c r="BF1425" s="2656"/>
      <c r="BG1425" s="2656"/>
      <c r="BH1425" s="2656"/>
      <c r="BI1425" s="2656"/>
    </row>
    <row r="1426" spans="1:61" ht="24.75" customHeight="1">
      <c r="A1426" s="3375"/>
      <c r="B1426" s="2646"/>
      <c r="C1426" s="2647"/>
      <c r="D1426" s="2646"/>
      <c r="E1426" s="3013"/>
      <c r="F1426" s="2655"/>
      <c r="G1426" s="2596"/>
      <c r="H1426" s="4138"/>
      <c r="I1426" s="3375"/>
      <c r="J1426" s="2648"/>
      <c r="K1426" s="3147"/>
      <c r="L1426" s="2785"/>
      <c r="M1426" s="2695"/>
      <c r="N1426" s="2649"/>
      <c r="O1426" s="2655"/>
      <c r="P1426" s="2651"/>
      <c r="Q1426" s="3440"/>
      <c r="R1426" s="3553"/>
      <c r="S1426" s="1407"/>
      <c r="T1426" s="3375"/>
      <c r="U1426" s="2648"/>
      <c r="V1426" s="3554"/>
      <c r="W1426" s="3150"/>
      <c r="X1426" s="2656"/>
      <c r="Y1426" s="2656"/>
      <c r="Z1426" s="2656"/>
      <c r="AA1426" s="2656"/>
      <c r="AB1426" s="2656"/>
      <c r="AC1426" s="2656"/>
      <c r="AD1426" s="2656"/>
      <c r="AE1426" s="2656"/>
      <c r="AF1426" s="2656"/>
      <c r="AG1426" s="2656"/>
      <c r="AH1426" s="2656"/>
      <c r="AI1426" s="2656"/>
      <c r="AJ1426" s="2656"/>
      <c r="AK1426" s="2656"/>
      <c r="AL1426" s="2656"/>
      <c r="AM1426" s="2656"/>
      <c r="AN1426" s="2656"/>
      <c r="AO1426" s="2656"/>
      <c r="AP1426" s="2656"/>
      <c r="AQ1426" s="2656"/>
      <c r="AR1426" s="2656"/>
      <c r="AS1426" s="2656"/>
      <c r="AT1426" s="2656"/>
      <c r="AU1426" s="2656"/>
      <c r="AV1426" s="2656"/>
      <c r="AW1426" s="2656"/>
      <c r="AX1426" s="2656"/>
      <c r="AY1426" s="2656"/>
      <c r="AZ1426" s="2656"/>
      <c r="BA1426" s="2656"/>
      <c r="BB1426" s="2656"/>
      <c r="BC1426" s="2656"/>
      <c r="BD1426" s="2656"/>
      <c r="BE1426" s="2656"/>
      <c r="BF1426" s="2656"/>
      <c r="BG1426" s="2656"/>
      <c r="BH1426" s="2656"/>
      <c r="BI1426" s="2656"/>
    </row>
    <row r="1427" spans="1:61" ht="24.75" customHeight="1">
      <c r="A1427" s="3375"/>
      <c r="B1427" s="2646"/>
      <c r="C1427" s="2647"/>
      <c r="D1427" s="2646"/>
      <c r="E1427" s="3013"/>
      <c r="F1427" s="2655"/>
      <c r="G1427" s="2596"/>
      <c r="H1427" s="4138"/>
      <c r="I1427" s="3375"/>
      <c r="J1427" s="2648"/>
      <c r="K1427" s="3147"/>
      <c r="L1427" s="2785"/>
      <c r="M1427" s="2695"/>
      <c r="N1427" s="2649"/>
      <c r="O1427" s="2655"/>
      <c r="P1427" s="2651"/>
      <c r="Q1427" s="3440"/>
      <c r="R1427" s="3553"/>
      <c r="S1427" s="1407"/>
      <c r="T1427" s="3375"/>
      <c r="U1427" s="2648"/>
      <c r="V1427" s="3554"/>
      <c r="W1427" s="3150"/>
      <c r="X1427" s="2656"/>
      <c r="Y1427" s="2656"/>
      <c r="Z1427" s="2656"/>
      <c r="AA1427" s="2656"/>
      <c r="AB1427" s="2656"/>
      <c r="AC1427" s="2656"/>
      <c r="AD1427" s="2656"/>
      <c r="AE1427" s="2656"/>
      <c r="AF1427" s="2656"/>
      <c r="AG1427" s="2656"/>
      <c r="AH1427" s="2656"/>
      <c r="AI1427" s="2656"/>
      <c r="AJ1427" s="2656"/>
      <c r="AK1427" s="2656"/>
      <c r="AL1427" s="2656"/>
      <c r="AM1427" s="2656"/>
      <c r="AN1427" s="2656"/>
      <c r="AO1427" s="2656"/>
      <c r="AP1427" s="2656"/>
      <c r="AQ1427" s="2656"/>
      <c r="AR1427" s="2656"/>
      <c r="AS1427" s="2656"/>
      <c r="AT1427" s="2656"/>
      <c r="AU1427" s="2656"/>
      <c r="AV1427" s="2656"/>
      <c r="AW1427" s="2656"/>
      <c r="AX1427" s="2656"/>
      <c r="AY1427" s="2656"/>
      <c r="AZ1427" s="2656"/>
      <c r="BA1427" s="2656"/>
      <c r="BB1427" s="2656"/>
      <c r="BC1427" s="2656"/>
      <c r="BD1427" s="2656"/>
      <c r="BE1427" s="2656"/>
      <c r="BF1427" s="2656"/>
      <c r="BG1427" s="2656"/>
      <c r="BH1427" s="2656"/>
      <c r="BI1427" s="2656"/>
    </row>
    <row r="1428" spans="1:61" ht="24.75" customHeight="1">
      <c r="A1428" s="3375"/>
      <c r="B1428" s="2646"/>
      <c r="C1428" s="2647"/>
      <c r="D1428" s="2646"/>
      <c r="E1428" s="3013"/>
      <c r="F1428" s="2655"/>
      <c r="G1428" s="2596"/>
      <c r="H1428" s="4138"/>
      <c r="I1428" s="3375"/>
      <c r="J1428" s="2648"/>
      <c r="K1428" s="3147"/>
      <c r="L1428" s="2785"/>
      <c r="M1428" s="2695"/>
      <c r="N1428" s="2649"/>
      <c r="O1428" s="2655"/>
      <c r="P1428" s="2651"/>
      <c r="Q1428" s="3440"/>
      <c r="R1428" s="3553"/>
      <c r="S1428" s="1407"/>
      <c r="T1428" s="3375"/>
      <c r="U1428" s="2648"/>
      <c r="V1428" s="3554"/>
      <c r="W1428" s="3150"/>
      <c r="X1428" s="2656"/>
      <c r="Y1428" s="2656"/>
      <c r="Z1428" s="2656"/>
      <c r="AA1428" s="2656"/>
      <c r="AB1428" s="2656"/>
      <c r="AC1428" s="2656"/>
      <c r="AD1428" s="2656"/>
      <c r="AE1428" s="2656"/>
      <c r="AF1428" s="2656"/>
      <c r="AG1428" s="2656"/>
      <c r="AH1428" s="2656"/>
      <c r="AI1428" s="2656"/>
      <c r="AJ1428" s="2656"/>
      <c r="AK1428" s="2656"/>
      <c r="AL1428" s="2656"/>
      <c r="AM1428" s="2656"/>
      <c r="AN1428" s="2656"/>
      <c r="AO1428" s="2656"/>
      <c r="AP1428" s="2656"/>
      <c r="AQ1428" s="2656"/>
      <c r="AR1428" s="2656"/>
      <c r="AS1428" s="2656"/>
      <c r="AT1428" s="2656"/>
      <c r="AU1428" s="2656"/>
      <c r="AV1428" s="2656"/>
      <c r="AW1428" s="2656"/>
      <c r="AX1428" s="2656"/>
      <c r="AY1428" s="2656"/>
      <c r="AZ1428" s="2656"/>
      <c r="BA1428" s="2656"/>
      <c r="BB1428" s="2656"/>
      <c r="BC1428" s="2656"/>
      <c r="BD1428" s="2656"/>
      <c r="BE1428" s="2656"/>
      <c r="BF1428" s="2656"/>
      <c r="BG1428" s="2656"/>
      <c r="BH1428" s="2656"/>
      <c r="BI1428" s="2656"/>
    </row>
    <row r="1429" spans="1:61" ht="24.75" customHeight="1">
      <c r="A1429" s="3375"/>
      <c r="B1429" s="2646"/>
      <c r="C1429" s="2647"/>
      <c r="D1429" s="2646"/>
      <c r="E1429" s="3013"/>
      <c r="F1429" s="2655"/>
      <c r="G1429" s="2596"/>
      <c r="H1429" s="4138"/>
      <c r="I1429" s="3375"/>
      <c r="J1429" s="2648"/>
      <c r="K1429" s="3147"/>
      <c r="L1429" s="2785"/>
      <c r="M1429" s="2695"/>
      <c r="N1429" s="2649"/>
      <c r="O1429" s="2655"/>
      <c r="P1429" s="2651"/>
      <c r="Q1429" s="3440"/>
      <c r="R1429" s="3553"/>
      <c r="S1429" s="1407"/>
      <c r="T1429" s="3375"/>
      <c r="U1429" s="2648"/>
      <c r="V1429" s="3554"/>
      <c r="W1429" s="3150"/>
      <c r="X1429" s="2656"/>
      <c r="Y1429" s="2656"/>
      <c r="Z1429" s="2656"/>
      <c r="AA1429" s="2656"/>
      <c r="AB1429" s="2656"/>
      <c r="AC1429" s="2656"/>
      <c r="AD1429" s="2656"/>
      <c r="AE1429" s="2656"/>
      <c r="AF1429" s="2656"/>
      <c r="AG1429" s="2656"/>
      <c r="AH1429" s="2656"/>
      <c r="AI1429" s="2656"/>
      <c r="AJ1429" s="2656"/>
      <c r="AK1429" s="2656"/>
      <c r="AL1429" s="2656"/>
      <c r="AM1429" s="2656"/>
      <c r="AN1429" s="2656"/>
      <c r="AO1429" s="2656"/>
      <c r="AP1429" s="2656"/>
      <c r="AQ1429" s="2656"/>
      <c r="AR1429" s="2656"/>
      <c r="AS1429" s="2656"/>
      <c r="AT1429" s="2656"/>
      <c r="AU1429" s="2656"/>
      <c r="AV1429" s="2656"/>
      <c r="AW1429" s="2656"/>
      <c r="AX1429" s="2656"/>
      <c r="AY1429" s="2656"/>
      <c r="AZ1429" s="2656"/>
      <c r="BA1429" s="2656"/>
      <c r="BB1429" s="2656"/>
      <c r="BC1429" s="2656"/>
      <c r="BD1429" s="2656"/>
      <c r="BE1429" s="2656"/>
      <c r="BF1429" s="2656"/>
      <c r="BG1429" s="2656"/>
      <c r="BH1429" s="2656"/>
      <c r="BI1429" s="2656"/>
    </row>
    <row r="1430" spans="1:61" ht="24.75" customHeight="1">
      <c r="A1430" s="3375"/>
      <c r="B1430" s="2646"/>
      <c r="C1430" s="2647"/>
      <c r="D1430" s="2646"/>
      <c r="E1430" s="3013"/>
      <c r="F1430" s="2655"/>
      <c r="G1430" s="2596"/>
      <c r="H1430" s="4138"/>
      <c r="I1430" s="3375"/>
      <c r="J1430" s="2648"/>
      <c r="K1430" s="3147"/>
      <c r="L1430" s="2785"/>
      <c r="M1430" s="2695"/>
      <c r="N1430" s="2649"/>
      <c r="O1430" s="2655"/>
      <c r="P1430" s="2651"/>
      <c r="Q1430" s="3440"/>
      <c r="R1430" s="3553"/>
      <c r="S1430" s="1407"/>
      <c r="T1430" s="3375"/>
      <c r="U1430" s="2648"/>
      <c r="V1430" s="3554"/>
      <c r="W1430" s="3150"/>
      <c r="X1430" s="2656"/>
      <c r="Y1430" s="2656"/>
      <c r="Z1430" s="2656"/>
      <c r="AA1430" s="2656"/>
      <c r="AB1430" s="2656"/>
      <c r="AC1430" s="2656"/>
      <c r="AD1430" s="2656"/>
      <c r="AE1430" s="2656"/>
      <c r="AF1430" s="2656"/>
      <c r="AG1430" s="2656"/>
      <c r="AH1430" s="2656"/>
      <c r="AI1430" s="2656"/>
      <c r="AJ1430" s="2656"/>
      <c r="AK1430" s="2656"/>
      <c r="AL1430" s="2656"/>
      <c r="AM1430" s="2656"/>
      <c r="AN1430" s="2656"/>
      <c r="AO1430" s="2656"/>
      <c r="AP1430" s="2656"/>
      <c r="AQ1430" s="2656"/>
      <c r="AR1430" s="2656"/>
      <c r="AS1430" s="2656"/>
      <c r="AT1430" s="2656"/>
      <c r="AU1430" s="2656"/>
      <c r="AV1430" s="2656"/>
      <c r="AW1430" s="2656"/>
      <c r="AX1430" s="2656"/>
      <c r="AY1430" s="2656"/>
      <c r="AZ1430" s="2656"/>
      <c r="BA1430" s="2656"/>
      <c r="BB1430" s="2656"/>
      <c r="BC1430" s="2656"/>
      <c r="BD1430" s="2656"/>
      <c r="BE1430" s="2656"/>
      <c r="BF1430" s="2656"/>
      <c r="BG1430" s="2656"/>
      <c r="BH1430" s="2656"/>
      <c r="BI1430" s="2656"/>
    </row>
    <row r="1431" spans="1:61" ht="24.75" customHeight="1">
      <c r="A1431" s="3375"/>
      <c r="B1431" s="2646"/>
      <c r="C1431" s="2647"/>
      <c r="D1431" s="2646"/>
      <c r="E1431" s="3013"/>
      <c r="F1431" s="2655"/>
      <c r="G1431" s="2596"/>
      <c r="H1431" s="4138"/>
      <c r="I1431" s="3375"/>
      <c r="J1431" s="2648"/>
      <c r="K1431" s="3147"/>
      <c r="L1431" s="2785"/>
      <c r="M1431" s="2695"/>
      <c r="N1431" s="2649"/>
      <c r="O1431" s="2655"/>
      <c r="P1431" s="2651"/>
      <c r="Q1431" s="3440"/>
      <c r="R1431" s="3553"/>
      <c r="S1431" s="1407"/>
      <c r="T1431" s="3375"/>
      <c r="U1431" s="2648"/>
      <c r="V1431" s="3554"/>
      <c r="W1431" s="3150"/>
      <c r="X1431" s="2656"/>
      <c r="Y1431" s="2656"/>
      <c r="Z1431" s="2656"/>
      <c r="AA1431" s="2656"/>
      <c r="AB1431" s="2656"/>
      <c r="AC1431" s="2656"/>
      <c r="AD1431" s="2656"/>
      <c r="AE1431" s="2656"/>
      <c r="AF1431" s="2656"/>
      <c r="AG1431" s="2656"/>
      <c r="AH1431" s="2656"/>
      <c r="AI1431" s="2656"/>
      <c r="AJ1431" s="2656"/>
      <c r="AK1431" s="2656"/>
      <c r="AL1431" s="2656"/>
      <c r="AM1431" s="2656"/>
      <c r="AN1431" s="2656"/>
      <c r="AO1431" s="2656"/>
      <c r="AP1431" s="2656"/>
      <c r="AQ1431" s="2656"/>
      <c r="AR1431" s="2656"/>
      <c r="AS1431" s="2656"/>
      <c r="AT1431" s="2656"/>
      <c r="AU1431" s="2656"/>
      <c r="AV1431" s="2656"/>
      <c r="AW1431" s="2656"/>
      <c r="AX1431" s="2656"/>
      <c r="AY1431" s="2656"/>
      <c r="AZ1431" s="2656"/>
      <c r="BA1431" s="2656"/>
      <c r="BB1431" s="2656"/>
      <c r="BC1431" s="2656"/>
      <c r="BD1431" s="2656"/>
      <c r="BE1431" s="2656"/>
      <c r="BF1431" s="2656"/>
      <c r="BG1431" s="2656"/>
      <c r="BH1431" s="2656"/>
      <c r="BI1431" s="2656"/>
    </row>
    <row r="1432" spans="1:61" ht="24.75" customHeight="1">
      <c r="A1432" s="3375"/>
      <c r="B1432" s="2646"/>
      <c r="C1432" s="2647"/>
      <c r="D1432" s="2646"/>
      <c r="E1432" s="3013"/>
      <c r="F1432" s="2655"/>
      <c r="G1432" s="2596"/>
      <c r="H1432" s="4138"/>
      <c r="I1432" s="3375"/>
      <c r="J1432" s="2648"/>
      <c r="K1432" s="3147"/>
      <c r="L1432" s="2785"/>
      <c r="M1432" s="2695"/>
      <c r="N1432" s="2649"/>
      <c r="O1432" s="2655"/>
      <c r="P1432" s="2651"/>
      <c r="Q1432" s="3440"/>
      <c r="R1432" s="3553"/>
      <c r="S1432" s="1407"/>
      <c r="T1432" s="3375"/>
      <c r="U1432" s="2648"/>
      <c r="V1432" s="3554"/>
      <c r="W1432" s="3150"/>
      <c r="X1432" s="2656"/>
      <c r="Y1432" s="2656"/>
      <c r="Z1432" s="2656"/>
      <c r="AA1432" s="2656"/>
      <c r="AB1432" s="2656"/>
      <c r="AC1432" s="2656"/>
      <c r="AD1432" s="2656"/>
      <c r="AE1432" s="2656"/>
      <c r="AF1432" s="2656"/>
      <c r="AG1432" s="2656"/>
      <c r="AH1432" s="2656"/>
      <c r="AI1432" s="2656"/>
      <c r="AJ1432" s="2656"/>
      <c r="AK1432" s="2656"/>
      <c r="AL1432" s="2656"/>
      <c r="AM1432" s="2656"/>
      <c r="AN1432" s="2656"/>
      <c r="AO1432" s="2656"/>
      <c r="AP1432" s="2656"/>
      <c r="AQ1432" s="2656"/>
      <c r="AR1432" s="2656"/>
      <c r="AS1432" s="2656"/>
      <c r="AT1432" s="2656"/>
      <c r="AU1432" s="2656"/>
      <c r="AV1432" s="2656"/>
      <c r="AW1432" s="2656"/>
      <c r="AX1432" s="2656"/>
      <c r="AY1432" s="2656"/>
      <c r="AZ1432" s="2656"/>
      <c r="BA1432" s="2656"/>
      <c r="BB1432" s="2656"/>
      <c r="BC1432" s="2656"/>
      <c r="BD1432" s="2656"/>
      <c r="BE1432" s="2656"/>
      <c r="BF1432" s="2656"/>
      <c r="BG1432" s="2656"/>
      <c r="BH1432" s="2656"/>
      <c r="BI1432" s="2656"/>
    </row>
    <row r="1433" spans="1:61" ht="24.75" customHeight="1">
      <c r="A1433" s="3375"/>
      <c r="B1433" s="2646"/>
      <c r="C1433" s="2647"/>
      <c r="D1433" s="2646"/>
      <c r="E1433" s="3013"/>
      <c r="F1433" s="2655"/>
      <c r="G1433" s="2596"/>
      <c r="H1433" s="4138"/>
      <c r="I1433" s="3375"/>
      <c r="J1433" s="2648"/>
      <c r="K1433" s="3147"/>
      <c r="L1433" s="2785"/>
      <c r="M1433" s="2695"/>
      <c r="N1433" s="2649"/>
      <c r="O1433" s="2655"/>
      <c r="P1433" s="2651"/>
      <c r="Q1433" s="3440"/>
      <c r="R1433" s="3553"/>
      <c r="S1433" s="1407"/>
      <c r="T1433" s="3375"/>
      <c r="U1433" s="2648"/>
      <c r="V1433" s="3554"/>
      <c r="W1433" s="3150"/>
      <c r="X1433" s="2656"/>
      <c r="Y1433" s="2656"/>
      <c r="Z1433" s="2656"/>
      <c r="AA1433" s="2656"/>
      <c r="AB1433" s="2656"/>
      <c r="AC1433" s="2656"/>
      <c r="AD1433" s="2656"/>
      <c r="AE1433" s="2656"/>
      <c r="AF1433" s="2656"/>
      <c r="AG1433" s="2656"/>
      <c r="AH1433" s="2656"/>
      <c r="AI1433" s="2656"/>
      <c r="AJ1433" s="2656"/>
      <c r="AK1433" s="2656"/>
      <c r="AL1433" s="2656"/>
      <c r="AM1433" s="2656"/>
      <c r="AN1433" s="2656"/>
      <c r="AO1433" s="2656"/>
      <c r="AP1433" s="2656"/>
      <c r="AQ1433" s="2656"/>
      <c r="AR1433" s="2656"/>
      <c r="AS1433" s="2656"/>
      <c r="AT1433" s="2656"/>
      <c r="AU1433" s="2656"/>
      <c r="AV1433" s="2656"/>
      <c r="AW1433" s="2656"/>
      <c r="AX1433" s="2656"/>
      <c r="AY1433" s="2656"/>
      <c r="AZ1433" s="2656"/>
      <c r="BA1433" s="2656"/>
      <c r="BB1433" s="2656"/>
      <c r="BC1433" s="2656"/>
      <c r="BD1433" s="2656"/>
      <c r="BE1433" s="2656"/>
      <c r="BF1433" s="2656"/>
      <c r="BG1433" s="2656"/>
      <c r="BH1433" s="2656"/>
      <c r="BI1433" s="2656"/>
    </row>
    <row r="1434" spans="1:61" ht="24.75" customHeight="1">
      <c r="A1434" s="3375"/>
      <c r="B1434" s="2646"/>
      <c r="C1434" s="2647"/>
      <c r="D1434" s="2646"/>
      <c r="E1434" s="3013"/>
      <c r="F1434" s="2655"/>
      <c r="G1434" s="2596"/>
      <c r="H1434" s="4138"/>
      <c r="I1434" s="3375"/>
      <c r="J1434" s="2648"/>
      <c r="K1434" s="3147"/>
      <c r="L1434" s="2785"/>
      <c r="M1434" s="2695"/>
      <c r="N1434" s="2649"/>
      <c r="O1434" s="2655"/>
      <c r="P1434" s="2651"/>
      <c r="Q1434" s="3440"/>
      <c r="R1434" s="3553"/>
      <c r="S1434" s="1407"/>
      <c r="T1434" s="3375"/>
      <c r="U1434" s="2648"/>
      <c r="V1434" s="3554"/>
      <c r="W1434" s="3150"/>
      <c r="X1434" s="2656"/>
      <c r="Y1434" s="2656"/>
      <c r="Z1434" s="2656"/>
      <c r="AA1434" s="2656"/>
      <c r="AB1434" s="2656"/>
      <c r="AC1434" s="2656"/>
      <c r="AD1434" s="2656"/>
      <c r="AE1434" s="2656"/>
      <c r="AF1434" s="2656"/>
      <c r="AG1434" s="2656"/>
      <c r="AH1434" s="2656"/>
      <c r="AI1434" s="2656"/>
      <c r="AJ1434" s="2656"/>
      <c r="AK1434" s="2656"/>
      <c r="AL1434" s="2656"/>
      <c r="AM1434" s="2656"/>
      <c r="AN1434" s="2656"/>
      <c r="AO1434" s="2656"/>
      <c r="AP1434" s="2656"/>
      <c r="AQ1434" s="2656"/>
      <c r="AR1434" s="2656"/>
      <c r="AS1434" s="2656"/>
      <c r="AT1434" s="2656"/>
      <c r="AU1434" s="2656"/>
      <c r="AV1434" s="2656"/>
      <c r="AW1434" s="2656"/>
      <c r="AX1434" s="2656"/>
      <c r="AY1434" s="2656"/>
      <c r="AZ1434" s="2656"/>
      <c r="BA1434" s="2656"/>
      <c r="BB1434" s="2656"/>
      <c r="BC1434" s="2656"/>
      <c r="BD1434" s="2656"/>
      <c r="BE1434" s="2656"/>
      <c r="BF1434" s="2656"/>
      <c r="BG1434" s="2656"/>
      <c r="BH1434" s="2656"/>
      <c r="BI1434" s="2656"/>
    </row>
    <row r="1435" spans="1:61" ht="24.75" customHeight="1">
      <c r="A1435" s="3375"/>
      <c r="B1435" s="2646"/>
      <c r="C1435" s="2647"/>
      <c r="D1435" s="2646"/>
      <c r="E1435" s="3013"/>
      <c r="F1435" s="2655"/>
      <c r="G1435" s="2596"/>
      <c r="H1435" s="4138"/>
      <c r="I1435" s="3375"/>
      <c r="J1435" s="2648"/>
      <c r="K1435" s="3147"/>
      <c r="L1435" s="2785"/>
      <c r="M1435" s="2695"/>
      <c r="N1435" s="2649"/>
      <c r="O1435" s="2655"/>
      <c r="P1435" s="2651"/>
      <c r="Q1435" s="3440"/>
      <c r="R1435" s="3553"/>
      <c r="S1435" s="1407"/>
      <c r="T1435" s="3375"/>
      <c r="U1435" s="2648"/>
      <c r="V1435" s="3554"/>
      <c r="W1435" s="3150"/>
      <c r="X1435" s="2656"/>
      <c r="Y1435" s="2656"/>
      <c r="Z1435" s="2656"/>
      <c r="AA1435" s="2656"/>
      <c r="AB1435" s="2656"/>
      <c r="AC1435" s="2656"/>
      <c r="AD1435" s="2656"/>
      <c r="AE1435" s="2656"/>
      <c r="AF1435" s="2656"/>
      <c r="AG1435" s="2656"/>
      <c r="AH1435" s="2656"/>
      <c r="AI1435" s="2656"/>
      <c r="AJ1435" s="2656"/>
      <c r="AK1435" s="2656"/>
      <c r="AL1435" s="2656"/>
      <c r="AM1435" s="2656"/>
      <c r="AN1435" s="2656"/>
      <c r="AO1435" s="2656"/>
      <c r="AP1435" s="2656"/>
      <c r="AQ1435" s="2656"/>
      <c r="AR1435" s="2656"/>
      <c r="AS1435" s="2656"/>
      <c r="AT1435" s="2656"/>
      <c r="AU1435" s="2656"/>
      <c r="AV1435" s="2656"/>
      <c r="AW1435" s="2656"/>
      <c r="AX1435" s="2656"/>
      <c r="AY1435" s="2656"/>
      <c r="AZ1435" s="2656"/>
      <c r="BA1435" s="2656"/>
      <c r="BB1435" s="2656"/>
      <c r="BC1435" s="2656"/>
      <c r="BD1435" s="2656"/>
      <c r="BE1435" s="2656"/>
      <c r="BF1435" s="2656"/>
      <c r="BG1435" s="2656"/>
      <c r="BH1435" s="2656"/>
      <c r="BI1435" s="2656"/>
    </row>
    <row r="1436" spans="1:61" ht="24.75" customHeight="1">
      <c r="A1436" s="3375"/>
      <c r="B1436" s="2646"/>
      <c r="C1436" s="2647"/>
      <c r="D1436" s="2646"/>
      <c r="E1436" s="3013"/>
      <c r="F1436" s="2655"/>
      <c r="G1436" s="2596"/>
      <c r="H1436" s="4138"/>
      <c r="I1436" s="3375"/>
      <c r="J1436" s="2648"/>
      <c r="K1436" s="3147"/>
      <c r="L1436" s="2785"/>
      <c r="M1436" s="2695"/>
      <c r="N1436" s="2649"/>
      <c r="O1436" s="2655"/>
      <c r="P1436" s="2651"/>
      <c r="Q1436" s="3440"/>
      <c r="R1436" s="3553"/>
      <c r="S1436" s="1407"/>
      <c r="T1436" s="3375"/>
      <c r="U1436" s="2648"/>
      <c r="V1436" s="3554"/>
      <c r="W1436" s="3150"/>
      <c r="X1436" s="2656"/>
      <c r="Y1436" s="2656"/>
      <c r="Z1436" s="2656"/>
      <c r="AA1436" s="2656"/>
      <c r="AB1436" s="2656"/>
      <c r="AC1436" s="2656"/>
      <c r="AD1436" s="2656"/>
      <c r="AE1436" s="2656"/>
      <c r="AF1436" s="2656"/>
      <c r="AG1436" s="2656"/>
      <c r="AH1436" s="2656"/>
      <c r="AI1436" s="2656"/>
      <c r="AJ1436" s="2656"/>
      <c r="AK1436" s="2656"/>
      <c r="AL1436" s="2656"/>
      <c r="AM1436" s="2656"/>
      <c r="AN1436" s="2656"/>
      <c r="AO1436" s="2656"/>
      <c r="AP1436" s="2656"/>
      <c r="AQ1436" s="2656"/>
      <c r="AR1436" s="2656"/>
      <c r="AS1436" s="2656"/>
      <c r="AT1436" s="2656"/>
      <c r="AU1436" s="2656"/>
      <c r="AV1436" s="2656"/>
      <c r="AW1436" s="2656"/>
      <c r="AX1436" s="2656"/>
      <c r="AY1436" s="2656"/>
      <c r="AZ1436" s="2656"/>
      <c r="BA1436" s="2656"/>
      <c r="BB1436" s="2656"/>
      <c r="BC1436" s="2656"/>
      <c r="BD1436" s="2656"/>
      <c r="BE1436" s="2656"/>
      <c r="BF1436" s="2656"/>
      <c r="BG1436" s="2656"/>
      <c r="BH1436" s="2656"/>
      <c r="BI1436" s="2656"/>
    </row>
    <row r="1437" spans="1:61" ht="24.75" customHeight="1">
      <c r="A1437" s="3375"/>
      <c r="B1437" s="2646"/>
      <c r="C1437" s="2647"/>
      <c r="D1437" s="2646"/>
      <c r="E1437" s="3013"/>
      <c r="F1437" s="2655"/>
      <c r="G1437" s="2596"/>
      <c r="H1437" s="4138"/>
      <c r="I1437" s="3375"/>
      <c r="J1437" s="2648"/>
      <c r="K1437" s="3147"/>
      <c r="L1437" s="2785"/>
      <c r="M1437" s="2695"/>
      <c r="N1437" s="2649"/>
      <c r="O1437" s="2655"/>
      <c r="P1437" s="2651"/>
      <c r="Q1437" s="3440"/>
      <c r="R1437" s="3553"/>
      <c r="S1437" s="1407"/>
      <c r="T1437" s="3375"/>
      <c r="U1437" s="2648"/>
      <c r="V1437" s="3554"/>
      <c r="W1437" s="3150"/>
      <c r="X1437" s="2656"/>
      <c r="Y1437" s="2656"/>
      <c r="Z1437" s="2656"/>
      <c r="AA1437" s="2656"/>
      <c r="AB1437" s="2656"/>
      <c r="AC1437" s="2656"/>
      <c r="AD1437" s="2656"/>
      <c r="AE1437" s="2656"/>
      <c r="AF1437" s="2656"/>
      <c r="AG1437" s="2656"/>
      <c r="AH1437" s="2656"/>
      <c r="AI1437" s="2656"/>
      <c r="AJ1437" s="2656"/>
      <c r="AK1437" s="2656"/>
      <c r="AL1437" s="2656"/>
      <c r="AM1437" s="2656"/>
      <c r="AN1437" s="2656"/>
      <c r="AO1437" s="2656"/>
      <c r="AP1437" s="2656"/>
      <c r="AQ1437" s="2656"/>
      <c r="AR1437" s="2656"/>
      <c r="AS1437" s="2656"/>
      <c r="AT1437" s="2656"/>
      <c r="AU1437" s="2656"/>
      <c r="AV1437" s="2656"/>
      <c r="AW1437" s="2656"/>
      <c r="AX1437" s="2656"/>
      <c r="AY1437" s="2656"/>
      <c r="AZ1437" s="2656"/>
      <c r="BA1437" s="2656"/>
      <c r="BB1437" s="2656"/>
      <c r="BC1437" s="2656"/>
      <c r="BD1437" s="2656"/>
      <c r="BE1437" s="2656"/>
      <c r="BF1437" s="2656"/>
      <c r="BG1437" s="2656"/>
      <c r="BH1437" s="2656"/>
      <c r="BI1437" s="2656"/>
    </row>
    <row r="1438" spans="1:61" ht="24.75" customHeight="1">
      <c r="A1438" s="3375"/>
      <c r="B1438" s="2646"/>
      <c r="C1438" s="2647"/>
      <c r="D1438" s="2646"/>
      <c r="E1438" s="3013"/>
      <c r="F1438" s="2655"/>
      <c r="G1438" s="2596"/>
      <c r="H1438" s="4138"/>
      <c r="I1438" s="3375"/>
      <c r="J1438" s="2648"/>
      <c r="K1438" s="3147"/>
      <c r="L1438" s="2785"/>
      <c r="M1438" s="2695"/>
      <c r="N1438" s="2649"/>
      <c r="O1438" s="2655"/>
      <c r="P1438" s="2651"/>
      <c r="Q1438" s="3440"/>
      <c r="R1438" s="3553"/>
      <c r="S1438" s="1407"/>
      <c r="T1438" s="3375"/>
      <c r="U1438" s="2648"/>
      <c r="V1438" s="3554"/>
      <c r="W1438" s="3150"/>
      <c r="X1438" s="2656"/>
      <c r="Y1438" s="2656"/>
      <c r="Z1438" s="2656"/>
      <c r="AA1438" s="2656"/>
      <c r="AB1438" s="2656"/>
      <c r="AC1438" s="2656"/>
      <c r="AD1438" s="2656"/>
      <c r="AE1438" s="2656"/>
      <c r="AF1438" s="2656"/>
      <c r="AG1438" s="2656"/>
      <c r="AH1438" s="2656"/>
      <c r="AI1438" s="2656"/>
      <c r="AJ1438" s="2656"/>
      <c r="AK1438" s="2656"/>
      <c r="AL1438" s="2656"/>
      <c r="AM1438" s="2656"/>
      <c r="AN1438" s="2656"/>
      <c r="AO1438" s="2656"/>
      <c r="AP1438" s="2656"/>
      <c r="AQ1438" s="2656"/>
      <c r="AR1438" s="2656"/>
      <c r="AS1438" s="2656"/>
      <c r="AT1438" s="2656"/>
      <c r="AU1438" s="2656"/>
      <c r="AV1438" s="2656"/>
      <c r="AW1438" s="2656"/>
      <c r="AX1438" s="2656"/>
      <c r="AY1438" s="2656"/>
      <c r="AZ1438" s="2656"/>
      <c r="BA1438" s="2656"/>
      <c r="BB1438" s="2656"/>
      <c r="BC1438" s="2656"/>
      <c r="BD1438" s="2656"/>
      <c r="BE1438" s="2656"/>
      <c r="BF1438" s="2656"/>
      <c r="BG1438" s="2656"/>
      <c r="BH1438" s="2656"/>
      <c r="BI1438" s="2656"/>
    </row>
    <row r="1439" spans="1:61" ht="24.75" customHeight="1">
      <c r="A1439" s="3375"/>
      <c r="B1439" s="2646"/>
      <c r="C1439" s="2647"/>
      <c r="D1439" s="2646"/>
      <c r="E1439" s="3013"/>
      <c r="F1439" s="2655"/>
      <c r="G1439" s="2596"/>
      <c r="H1439" s="4138"/>
      <c r="I1439" s="3375"/>
      <c r="J1439" s="2648"/>
      <c r="K1439" s="3147"/>
      <c r="L1439" s="2785"/>
      <c r="M1439" s="2695"/>
      <c r="N1439" s="2649"/>
      <c r="O1439" s="2655"/>
      <c r="P1439" s="2651"/>
      <c r="Q1439" s="3440"/>
      <c r="R1439" s="3553"/>
      <c r="S1439" s="1407"/>
      <c r="T1439" s="3375"/>
      <c r="U1439" s="2648"/>
      <c r="V1439" s="3554"/>
      <c r="W1439" s="3150"/>
      <c r="X1439" s="2656"/>
      <c r="Y1439" s="2656"/>
      <c r="Z1439" s="2656"/>
      <c r="AA1439" s="2656"/>
      <c r="AB1439" s="2656"/>
      <c r="AC1439" s="2656"/>
      <c r="AD1439" s="2656"/>
      <c r="AE1439" s="2656"/>
      <c r="AF1439" s="2656"/>
      <c r="AG1439" s="2656"/>
      <c r="AH1439" s="2656"/>
      <c r="AI1439" s="2656"/>
      <c r="AJ1439" s="2656"/>
      <c r="AK1439" s="2656"/>
      <c r="AL1439" s="2656"/>
      <c r="AM1439" s="2656"/>
      <c r="AN1439" s="2656"/>
      <c r="AO1439" s="2656"/>
      <c r="AP1439" s="2656"/>
      <c r="AQ1439" s="2656"/>
      <c r="AR1439" s="2656"/>
      <c r="AS1439" s="2656"/>
      <c r="AT1439" s="2656"/>
      <c r="AU1439" s="2656"/>
      <c r="AV1439" s="2656"/>
      <c r="AW1439" s="2656"/>
      <c r="AX1439" s="2656"/>
      <c r="AY1439" s="2656"/>
      <c r="AZ1439" s="2656"/>
      <c r="BA1439" s="2656"/>
      <c r="BB1439" s="2656"/>
      <c r="BC1439" s="2656"/>
      <c r="BD1439" s="2656"/>
      <c r="BE1439" s="2656"/>
      <c r="BF1439" s="2656"/>
      <c r="BG1439" s="2656"/>
      <c r="BH1439" s="2656"/>
      <c r="BI1439" s="2656"/>
    </row>
    <row r="1440" spans="1:61" ht="24.75" customHeight="1">
      <c r="A1440" s="3375"/>
      <c r="B1440" s="2646"/>
      <c r="C1440" s="2647"/>
      <c r="D1440" s="2646"/>
      <c r="E1440" s="3013"/>
      <c r="F1440" s="2655"/>
      <c r="G1440" s="2596"/>
      <c r="H1440" s="4138"/>
      <c r="I1440" s="3375"/>
      <c r="J1440" s="2648"/>
      <c r="K1440" s="3147"/>
      <c r="L1440" s="2785"/>
      <c r="M1440" s="2695"/>
      <c r="N1440" s="2649"/>
      <c r="O1440" s="2655"/>
      <c r="P1440" s="2651"/>
      <c r="Q1440" s="3440"/>
      <c r="R1440" s="3553"/>
      <c r="S1440" s="1407"/>
      <c r="T1440" s="3375"/>
      <c r="U1440" s="2648"/>
      <c r="V1440" s="3554"/>
      <c r="W1440" s="3150"/>
      <c r="X1440" s="2656"/>
      <c r="Y1440" s="2656"/>
      <c r="Z1440" s="2656"/>
      <c r="AA1440" s="2656"/>
      <c r="AB1440" s="2656"/>
      <c r="AC1440" s="2656"/>
      <c r="AD1440" s="2656"/>
      <c r="AE1440" s="2656"/>
      <c r="AF1440" s="2656"/>
      <c r="AG1440" s="2656"/>
      <c r="AH1440" s="2656"/>
      <c r="AI1440" s="2656"/>
      <c r="AJ1440" s="2656"/>
      <c r="AK1440" s="2656"/>
      <c r="AL1440" s="2656"/>
      <c r="AM1440" s="2656"/>
      <c r="AN1440" s="2656"/>
      <c r="AO1440" s="2656"/>
      <c r="AP1440" s="2656"/>
      <c r="AQ1440" s="2656"/>
      <c r="AR1440" s="2656"/>
      <c r="AS1440" s="2656"/>
      <c r="AT1440" s="2656"/>
      <c r="AU1440" s="2656"/>
      <c r="AV1440" s="2656"/>
      <c r="AW1440" s="2656"/>
      <c r="AX1440" s="2656"/>
      <c r="AY1440" s="2656"/>
      <c r="AZ1440" s="2656"/>
      <c r="BA1440" s="2656"/>
      <c r="BB1440" s="2656"/>
      <c r="BC1440" s="2656"/>
      <c r="BD1440" s="2656"/>
      <c r="BE1440" s="2656"/>
      <c r="BF1440" s="2656"/>
      <c r="BG1440" s="2656"/>
      <c r="BH1440" s="2656"/>
      <c r="BI1440" s="2656"/>
    </row>
    <row r="1441" spans="1:61" ht="24.75" customHeight="1">
      <c r="A1441" s="3375"/>
      <c r="B1441" s="2646"/>
      <c r="C1441" s="2647"/>
      <c r="D1441" s="2646"/>
      <c r="E1441" s="3013"/>
      <c r="F1441" s="2655"/>
      <c r="G1441" s="2596"/>
      <c r="H1441" s="4138"/>
      <c r="I1441" s="3375"/>
      <c r="J1441" s="2648"/>
      <c r="K1441" s="3147"/>
      <c r="L1441" s="2785"/>
      <c r="M1441" s="2695"/>
      <c r="N1441" s="2649"/>
      <c r="O1441" s="2655"/>
      <c r="P1441" s="2651"/>
      <c r="Q1441" s="3440"/>
      <c r="R1441" s="3553"/>
      <c r="S1441" s="1407"/>
      <c r="T1441" s="3375"/>
      <c r="U1441" s="2648"/>
      <c r="V1441" s="3554"/>
      <c r="W1441" s="3150"/>
      <c r="X1441" s="2656"/>
      <c r="Y1441" s="2656"/>
      <c r="Z1441" s="2656"/>
      <c r="AA1441" s="2656"/>
      <c r="AB1441" s="2656"/>
      <c r="AC1441" s="2656"/>
      <c r="AD1441" s="2656"/>
      <c r="AE1441" s="2656"/>
      <c r="AF1441" s="2656"/>
      <c r="AG1441" s="2656"/>
      <c r="AH1441" s="2656"/>
      <c r="AI1441" s="2656"/>
      <c r="AJ1441" s="2656"/>
      <c r="AK1441" s="2656"/>
      <c r="AL1441" s="2656"/>
      <c r="AM1441" s="2656"/>
      <c r="AN1441" s="2656"/>
      <c r="AO1441" s="2656"/>
      <c r="AP1441" s="2656"/>
      <c r="AQ1441" s="2656"/>
      <c r="AR1441" s="2656"/>
      <c r="AS1441" s="2656"/>
      <c r="AT1441" s="2656"/>
      <c r="AU1441" s="2656"/>
      <c r="AV1441" s="2656"/>
      <c r="AW1441" s="2656"/>
      <c r="AX1441" s="2656"/>
      <c r="AY1441" s="2656"/>
      <c r="AZ1441" s="2656"/>
      <c r="BA1441" s="2656"/>
      <c r="BB1441" s="2656"/>
      <c r="BC1441" s="2656"/>
      <c r="BD1441" s="2656"/>
      <c r="BE1441" s="2656"/>
      <c r="BF1441" s="2656"/>
      <c r="BG1441" s="2656"/>
      <c r="BH1441" s="2656"/>
      <c r="BI1441" s="2656"/>
    </row>
    <row r="1442" spans="1:61" ht="24.75" customHeight="1">
      <c r="A1442" s="3375"/>
      <c r="B1442" s="2646"/>
      <c r="C1442" s="2647"/>
      <c r="D1442" s="2646"/>
      <c r="E1442" s="3013"/>
      <c r="F1442" s="2655"/>
      <c r="G1442" s="2596"/>
      <c r="H1442" s="4138"/>
      <c r="I1442" s="3375"/>
      <c r="J1442" s="2648"/>
      <c r="K1442" s="3147"/>
      <c r="L1442" s="2785"/>
      <c r="M1442" s="2695"/>
      <c r="N1442" s="2649"/>
      <c r="O1442" s="2655"/>
      <c r="P1442" s="2651"/>
      <c r="Q1442" s="3440"/>
      <c r="R1442" s="3553"/>
      <c r="S1442" s="1407"/>
      <c r="T1442" s="3375"/>
      <c r="U1442" s="2648"/>
      <c r="V1442" s="3554"/>
      <c r="W1442" s="3150"/>
      <c r="X1442" s="2656"/>
      <c r="Y1442" s="2656"/>
      <c r="Z1442" s="2656"/>
      <c r="AA1442" s="2656"/>
      <c r="AB1442" s="2656"/>
      <c r="AC1442" s="2656"/>
      <c r="AD1442" s="2656"/>
      <c r="AE1442" s="2656"/>
      <c r="AF1442" s="2656"/>
      <c r="AG1442" s="2656"/>
      <c r="AH1442" s="2656"/>
      <c r="AI1442" s="2656"/>
      <c r="AJ1442" s="2656"/>
      <c r="AK1442" s="2656"/>
      <c r="AL1442" s="2656"/>
      <c r="AM1442" s="2656"/>
      <c r="AN1442" s="2656"/>
      <c r="AO1442" s="2656"/>
      <c r="AP1442" s="2656"/>
      <c r="AQ1442" s="2656"/>
      <c r="AR1442" s="2656"/>
      <c r="AS1442" s="2656"/>
      <c r="AT1442" s="2656"/>
      <c r="AU1442" s="2656"/>
      <c r="AV1442" s="2656"/>
      <c r="AW1442" s="2656"/>
      <c r="AX1442" s="2656"/>
      <c r="AY1442" s="2656"/>
      <c r="AZ1442" s="2656"/>
      <c r="BA1442" s="2656"/>
      <c r="BB1442" s="2656"/>
      <c r="BC1442" s="2656"/>
      <c r="BD1442" s="2656"/>
      <c r="BE1442" s="2656"/>
      <c r="BF1442" s="2656"/>
      <c r="BG1442" s="2656"/>
      <c r="BH1442" s="2656"/>
      <c r="BI1442" s="2656"/>
    </row>
    <row r="1443" spans="1:61" ht="24.75" customHeight="1">
      <c r="A1443" s="3375"/>
      <c r="B1443" s="2646"/>
      <c r="C1443" s="2647"/>
      <c r="D1443" s="2646"/>
      <c r="E1443" s="3013"/>
      <c r="F1443" s="2655"/>
      <c r="G1443" s="2596"/>
      <c r="H1443" s="4138"/>
      <c r="I1443" s="3375"/>
      <c r="J1443" s="2648"/>
      <c r="K1443" s="3147"/>
      <c r="L1443" s="2785"/>
      <c r="M1443" s="2695"/>
      <c r="N1443" s="2649"/>
      <c r="O1443" s="2655"/>
      <c r="P1443" s="2651"/>
      <c r="Q1443" s="3440"/>
      <c r="R1443" s="3553"/>
      <c r="S1443" s="1407"/>
      <c r="T1443" s="3375"/>
      <c r="U1443" s="2648"/>
      <c r="V1443" s="3554"/>
      <c r="W1443" s="3150"/>
      <c r="X1443" s="2656"/>
      <c r="Y1443" s="2656"/>
      <c r="Z1443" s="2656"/>
      <c r="AA1443" s="2656"/>
      <c r="AB1443" s="2656"/>
      <c r="AC1443" s="2656"/>
      <c r="AD1443" s="2656"/>
      <c r="AE1443" s="2656"/>
      <c r="AF1443" s="2656"/>
      <c r="AG1443" s="2656"/>
      <c r="AH1443" s="2656"/>
      <c r="AI1443" s="2656"/>
      <c r="AJ1443" s="2656"/>
      <c r="AK1443" s="2656"/>
      <c r="AL1443" s="2656"/>
      <c r="AM1443" s="2656"/>
      <c r="AN1443" s="2656"/>
      <c r="AO1443" s="2656"/>
      <c r="AP1443" s="2656"/>
      <c r="AQ1443" s="2656"/>
      <c r="AR1443" s="2656"/>
      <c r="AS1443" s="2656"/>
      <c r="AT1443" s="2656"/>
      <c r="AU1443" s="2656"/>
      <c r="AV1443" s="2656"/>
      <c r="AW1443" s="2656"/>
      <c r="AX1443" s="2656"/>
      <c r="AY1443" s="2656"/>
      <c r="AZ1443" s="2656"/>
      <c r="BA1443" s="2656"/>
      <c r="BB1443" s="2656"/>
      <c r="BC1443" s="2656"/>
      <c r="BD1443" s="2656"/>
      <c r="BE1443" s="2656"/>
      <c r="BF1443" s="2656"/>
      <c r="BG1443" s="2656"/>
      <c r="BH1443" s="2656"/>
      <c r="BI1443" s="2656"/>
    </row>
    <row r="1444" spans="1:61" ht="24.75" customHeight="1">
      <c r="A1444" s="3375"/>
      <c r="B1444" s="2646"/>
      <c r="C1444" s="2647"/>
      <c r="D1444" s="2646"/>
      <c r="E1444" s="3013"/>
      <c r="F1444" s="2655"/>
      <c r="G1444" s="2596"/>
      <c r="H1444" s="4138"/>
      <c r="I1444" s="3375"/>
      <c r="J1444" s="2648"/>
      <c r="K1444" s="3147"/>
      <c r="L1444" s="2785"/>
      <c r="M1444" s="2695"/>
      <c r="N1444" s="2649"/>
      <c r="O1444" s="2655"/>
      <c r="P1444" s="2651"/>
      <c r="Q1444" s="3440"/>
      <c r="R1444" s="3553"/>
      <c r="S1444" s="1407"/>
      <c r="T1444" s="3375"/>
      <c r="U1444" s="2648"/>
      <c r="V1444" s="3554"/>
      <c r="W1444" s="3150"/>
      <c r="X1444" s="2656"/>
      <c r="Y1444" s="2656"/>
      <c r="Z1444" s="2656"/>
      <c r="AA1444" s="2656"/>
      <c r="AB1444" s="2656"/>
      <c r="AC1444" s="2656"/>
      <c r="AD1444" s="2656"/>
      <c r="AE1444" s="2656"/>
      <c r="AF1444" s="2656"/>
      <c r="AG1444" s="2656"/>
      <c r="AH1444" s="2656"/>
      <c r="AI1444" s="2656"/>
      <c r="AJ1444" s="2656"/>
      <c r="AK1444" s="2656"/>
      <c r="AL1444" s="2656"/>
      <c r="AM1444" s="2656"/>
      <c r="AN1444" s="2656"/>
      <c r="AO1444" s="2656"/>
      <c r="AP1444" s="2656"/>
      <c r="AQ1444" s="2656"/>
      <c r="AR1444" s="2656"/>
      <c r="AS1444" s="2656"/>
      <c r="AT1444" s="2656"/>
      <c r="AU1444" s="2656"/>
      <c r="AV1444" s="2656"/>
      <c r="AW1444" s="2656"/>
      <c r="AX1444" s="2656"/>
      <c r="AY1444" s="2656"/>
      <c r="AZ1444" s="2656"/>
      <c r="BA1444" s="2656"/>
      <c r="BB1444" s="2656"/>
      <c r="BC1444" s="2656"/>
      <c r="BD1444" s="2656"/>
      <c r="BE1444" s="2656"/>
      <c r="BF1444" s="2656"/>
      <c r="BG1444" s="2656"/>
      <c r="BH1444" s="2656"/>
      <c r="BI1444" s="2656"/>
    </row>
    <row r="1445" spans="1:61" ht="24.75" customHeight="1">
      <c r="A1445" s="3375"/>
      <c r="B1445" s="2646"/>
      <c r="C1445" s="2647"/>
      <c r="D1445" s="2646"/>
      <c r="E1445" s="3013"/>
      <c r="F1445" s="2655"/>
      <c r="G1445" s="2596"/>
      <c r="H1445" s="4138"/>
      <c r="I1445" s="3375"/>
      <c r="J1445" s="2648"/>
      <c r="K1445" s="3147"/>
      <c r="L1445" s="2785"/>
      <c r="M1445" s="2695"/>
      <c r="N1445" s="2649"/>
      <c r="O1445" s="2655"/>
      <c r="P1445" s="2651"/>
      <c r="Q1445" s="3440"/>
      <c r="R1445" s="3553"/>
      <c r="S1445" s="1407"/>
      <c r="T1445" s="3375"/>
      <c r="U1445" s="2648"/>
      <c r="V1445" s="3554"/>
      <c r="W1445" s="3150"/>
      <c r="X1445" s="2656"/>
      <c r="Y1445" s="2656"/>
      <c r="Z1445" s="2656"/>
      <c r="AA1445" s="2656"/>
      <c r="AB1445" s="2656"/>
      <c r="AC1445" s="2656"/>
      <c r="AD1445" s="2656"/>
      <c r="AE1445" s="2656"/>
      <c r="AF1445" s="2656"/>
      <c r="AG1445" s="2656"/>
      <c r="AH1445" s="2656"/>
      <c r="AI1445" s="2656"/>
      <c r="AJ1445" s="2656"/>
      <c r="AK1445" s="2656"/>
      <c r="AL1445" s="2656"/>
      <c r="AM1445" s="2656"/>
      <c r="AN1445" s="2656"/>
      <c r="AO1445" s="2656"/>
      <c r="AP1445" s="2656"/>
      <c r="AQ1445" s="2656"/>
      <c r="AR1445" s="2656"/>
      <c r="AS1445" s="2656"/>
      <c r="AT1445" s="2656"/>
      <c r="AU1445" s="2656"/>
      <c r="AV1445" s="2656"/>
      <c r="AW1445" s="2656"/>
      <c r="AX1445" s="2656"/>
      <c r="AY1445" s="2656"/>
      <c r="AZ1445" s="2656"/>
      <c r="BA1445" s="2656"/>
      <c r="BB1445" s="2656"/>
      <c r="BC1445" s="2656"/>
      <c r="BD1445" s="2656"/>
      <c r="BE1445" s="2656"/>
      <c r="BF1445" s="2656"/>
      <c r="BG1445" s="2656"/>
      <c r="BH1445" s="2656"/>
      <c r="BI1445" s="2656"/>
    </row>
    <row r="1446" spans="1:61" ht="24.75" customHeight="1">
      <c r="A1446" s="3375"/>
      <c r="B1446" s="2646"/>
      <c r="C1446" s="2647"/>
      <c r="D1446" s="2646"/>
      <c r="E1446" s="3013"/>
      <c r="F1446" s="2655"/>
      <c r="G1446" s="2596"/>
      <c r="H1446" s="4138"/>
      <c r="I1446" s="3375"/>
      <c r="J1446" s="2648"/>
      <c r="K1446" s="3147"/>
      <c r="L1446" s="2785"/>
      <c r="M1446" s="2695"/>
      <c r="N1446" s="2649"/>
      <c r="O1446" s="2655"/>
      <c r="P1446" s="2651"/>
      <c r="Q1446" s="3440"/>
      <c r="R1446" s="3553"/>
      <c r="S1446" s="1407"/>
      <c r="T1446" s="3375"/>
      <c r="U1446" s="2648"/>
      <c r="V1446" s="3554"/>
      <c r="W1446" s="3150"/>
      <c r="X1446" s="2656"/>
      <c r="Y1446" s="2656"/>
      <c r="Z1446" s="2656"/>
      <c r="AA1446" s="2656"/>
      <c r="AB1446" s="2656"/>
      <c r="AC1446" s="2656"/>
      <c r="AD1446" s="2656"/>
      <c r="AE1446" s="2656"/>
      <c r="AF1446" s="2656"/>
      <c r="AG1446" s="2656"/>
      <c r="AH1446" s="2656"/>
      <c r="AI1446" s="2656"/>
      <c r="AJ1446" s="2656"/>
      <c r="AK1446" s="2656"/>
      <c r="AL1446" s="2656"/>
      <c r="AM1446" s="2656"/>
      <c r="AN1446" s="2656"/>
      <c r="AO1446" s="2656"/>
      <c r="AP1446" s="2656"/>
      <c r="AQ1446" s="2656"/>
      <c r="AR1446" s="2656"/>
      <c r="AS1446" s="2656"/>
      <c r="AT1446" s="2656"/>
      <c r="AU1446" s="2656"/>
      <c r="AV1446" s="2656"/>
      <c r="AW1446" s="2656"/>
      <c r="AX1446" s="2656"/>
      <c r="AY1446" s="2656"/>
      <c r="AZ1446" s="2656"/>
      <c r="BA1446" s="2656"/>
      <c r="BB1446" s="2656"/>
      <c r="BC1446" s="2656"/>
      <c r="BD1446" s="2656"/>
      <c r="BE1446" s="2656"/>
      <c r="BF1446" s="2656"/>
      <c r="BG1446" s="2656"/>
      <c r="BH1446" s="2656"/>
      <c r="BI1446" s="2656"/>
    </row>
    <row r="1447" spans="1:61" ht="24.75" customHeight="1">
      <c r="A1447" s="3375"/>
      <c r="B1447" s="2646"/>
      <c r="C1447" s="2647"/>
      <c r="D1447" s="2646"/>
      <c r="E1447" s="3013"/>
      <c r="F1447" s="2655"/>
      <c r="G1447" s="2596"/>
      <c r="H1447" s="4138"/>
      <c r="I1447" s="3375"/>
      <c r="J1447" s="2648"/>
      <c r="K1447" s="3147"/>
      <c r="L1447" s="2785"/>
      <c r="M1447" s="2695"/>
      <c r="N1447" s="2649"/>
      <c r="O1447" s="2655"/>
      <c r="P1447" s="2651"/>
      <c r="Q1447" s="3440"/>
      <c r="R1447" s="3553"/>
      <c r="S1447" s="1407"/>
      <c r="T1447" s="3375"/>
      <c r="U1447" s="2648"/>
      <c r="V1447" s="3554"/>
      <c r="W1447" s="3150"/>
      <c r="X1447" s="2656"/>
      <c r="Y1447" s="2656"/>
      <c r="Z1447" s="2656"/>
      <c r="AA1447" s="2656"/>
      <c r="AB1447" s="2656"/>
      <c r="AC1447" s="2656"/>
      <c r="AD1447" s="2656"/>
      <c r="AE1447" s="2656"/>
      <c r="AF1447" s="2656"/>
      <c r="AG1447" s="2656"/>
      <c r="AH1447" s="2656"/>
      <c r="AI1447" s="2656"/>
      <c r="AJ1447" s="2656"/>
      <c r="AK1447" s="2656"/>
      <c r="AL1447" s="2656"/>
      <c r="AM1447" s="2656"/>
      <c r="AN1447" s="2656"/>
      <c r="AO1447" s="2656"/>
      <c r="AP1447" s="2656"/>
      <c r="AQ1447" s="2656"/>
      <c r="AR1447" s="2656"/>
      <c r="AS1447" s="2656"/>
      <c r="AT1447" s="2656"/>
      <c r="AU1447" s="2656"/>
      <c r="AV1447" s="2656"/>
      <c r="AW1447" s="2656"/>
      <c r="AX1447" s="2656"/>
      <c r="AY1447" s="2656"/>
      <c r="AZ1447" s="2656"/>
      <c r="BA1447" s="2656"/>
      <c r="BB1447" s="2656"/>
      <c r="BC1447" s="2656"/>
      <c r="BD1447" s="2656"/>
      <c r="BE1447" s="2656"/>
      <c r="BF1447" s="2656"/>
      <c r="BG1447" s="2656"/>
      <c r="BH1447" s="2656"/>
      <c r="BI1447" s="2656"/>
    </row>
    <row r="1448" spans="1:61" ht="24.75" customHeight="1">
      <c r="A1448" s="3375"/>
      <c r="B1448" s="2646"/>
      <c r="C1448" s="2647"/>
      <c r="D1448" s="2646"/>
      <c r="E1448" s="3013"/>
      <c r="F1448" s="2655"/>
      <c r="G1448" s="2596"/>
      <c r="H1448" s="4138"/>
      <c r="I1448" s="3375"/>
      <c r="J1448" s="2648"/>
      <c r="K1448" s="3147"/>
      <c r="L1448" s="2785"/>
      <c r="M1448" s="2695"/>
      <c r="N1448" s="2649"/>
      <c r="O1448" s="2655"/>
      <c r="P1448" s="2651"/>
      <c r="Q1448" s="3440"/>
      <c r="R1448" s="3553"/>
      <c r="S1448" s="1407"/>
      <c r="T1448" s="3375"/>
      <c r="U1448" s="2648"/>
      <c r="V1448" s="3554"/>
      <c r="W1448" s="3150"/>
      <c r="X1448" s="2656"/>
      <c r="Y1448" s="2656"/>
      <c r="Z1448" s="2656"/>
      <c r="AA1448" s="2656"/>
      <c r="AB1448" s="2656"/>
      <c r="AC1448" s="2656"/>
      <c r="AD1448" s="2656"/>
      <c r="AE1448" s="2656"/>
      <c r="AF1448" s="2656"/>
      <c r="AG1448" s="2656"/>
      <c r="AH1448" s="2656"/>
      <c r="AI1448" s="2656"/>
      <c r="AJ1448" s="2656"/>
      <c r="AK1448" s="2656"/>
      <c r="AL1448" s="2656"/>
      <c r="AM1448" s="2656"/>
      <c r="AN1448" s="2656"/>
      <c r="AO1448" s="2656"/>
      <c r="AP1448" s="2656"/>
      <c r="AQ1448" s="2656"/>
      <c r="AR1448" s="2656"/>
      <c r="AS1448" s="2656"/>
      <c r="AT1448" s="2656"/>
      <c r="AU1448" s="2656"/>
      <c r="AV1448" s="2656"/>
      <c r="AW1448" s="2656"/>
      <c r="AX1448" s="2656"/>
      <c r="AY1448" s="2656"/>
      <c r="AZ1448" s="2656"/>
      <c r="BA1448" s="2656"/>
      <c r="BB1448" s="2656"/>
      <c r="BC1448" s="2656"/>
      <c r="BD1448" s="2656"/>
      <c r="BE1448" s="2656"/>
      <c r="BF1448" s="2656"/>
      <c r="BG1448" s="2656"/>
      <c r="BH1448" s="2656"/>
      <c r="BI1448" s="2656"/>
    </row>
    <row r="1449" spans="1:61" ht="24.75" customHeight="1">
      <c r="A1449" s="3375"/>
      <c r="B1449" s="2646"/>
      <c r="C1449" s="2647"/>
      <c r="D1449" s="2646"/>
      <c r="E1449" s="3013"/>
      <c r="F1449" s="2655"/>
      <c r="G1449" s="2596"/>
      <c r="H1449" s="4138"/>
      <c r="I1449" s="3375"/>
      <c r="J1449" s="2648"/>
      <c r="K1449" s="3147"/>
      <c r="L1449" s="2785"/>
      <c r="M1449" s="2695"/>
      <c r="N1449" s="2649"/>
      <c r="O1449" s="2655"/>
      <c r="P1449" s="2651"/>
      <c r="Q1449" s="3440"/>
      <c r="R1449" s="3553"/>
      <c r="S1449" s="1407"/>
      <c r="T1449" s="3375"/>
      <c r="U1449" s="2648"/>
      <c r="V1449" s="3554"/>
      <c r="W1449" s="3150"/>
      <c r="X1449" s="2656"/>
      <c r="Y1449" s="2656"/>
      <c r="Z1449" s="2656"/>
      <c r="AA1449" s="2656"/>
      <c r="AB1449" s="2656"/>
      <c r="AC1449" s="2656"/>
      <c r="AD1449" s="2656"/>
      <c r="AE1449" s="2656"/>
      <c r="AF1449" s="2656"/>
      <c r="AG1449" s="2656"/>
      <c r="AH1449" s="2656"/>
      <c r="AI1449" s="2656"/>
      <c r="AJ1449" s="2656"/>
      <c r="AK1449" s="2656"/>
      <c r="AL1449" s="2656"/>
      <c r="AM1449" s="2656"/>
      <c r="AN1449" s="2656"/>
      <c r="AO1449" s="2656"/>
      <c r="AP1449" s="2656"/>
      <c r="AQ1449" s="2656"/>
      <c r="AR1449" s="2656"/>
      <c r="AS1449" s="2656"/>
      <c r="AT1449" s="2656"/>
      <c r="AU1449" s="2656"/>
      <c r="AV1449" s="2656"/>
      <c r="AW1449" s="2656"/>
      <c r="AX1449" s="2656"/>
      <c r="AY1449" s="2656"/>
      <c r="AZ1449" s="2656"/>
      <c r="BA1449" s="2656"/>
      <c r="BB1449" s="2656"/>
      <c r="BC1449" s="2656"/>
      <c r="BD1449" s="2656"/>
      <c r="BE1449" s="2656"/>
      <c r="BF1449" s="2656"/>
      <c r="BG1449" s="2656"/>
      <c r="BH1449" s="2656"/>
      <c r="BI1449" s="2656"/>
    </row>
    <row r="1450" spans="1:61" ht="24.75" customHeight="1">
      <c r="A1450" s="3375"/>
      <c r="B1450" s="2646"/>
      <c r="C1450" s="2647"/>
      <c r="D1450" s="2646"/>
      <c r="E1450" s="3013"/>
      <c r="F1450" s="2655"/>
      <c r="G1450" s="2596"/>
      <c r="H1450" s="4138"/>
      <c r="I1450" s="3375"/>
      <c r="J1450" s="2648"/>
      <c r="K1450" s="3147"/>
      <c r="L1450" s="2785"/>
      <c r="M1450" s="2695"/>
      <c r="N1450" s="2649"/>
      <c r="O1450" s="2655"/>
      <c r="P1450" s="2651"/>
      <c r="Q1450" s="3440"/>
      <c r="R1450" s="3553"/>
      <c r="S1450" s="1407"/>
      <c r="T1450" s="3375"/>
      <c r="U1450" s="2648"/>
      <c r="V1450" s="3554"/>
      <c r="W1450" s="3150"/>
      <c r="X1450" s="2656"/>
      <c r="Y1450" s="2656"/>
      <c r="Z1450" s="2656"/>
      <c r="AA1450" s="2656"/>
      <c r="AB1450" s="2656"/>
      <c r="AC1450" s="2656"/>
      <c r="AD1450" s="2656"/>
      <c r="AE1450" s="2656"/>
      <c r="AF1450" s="2656"/>
      <c r="AG1450" s="2656"/>
      <c r="AH1450" s="2656"/>
      <c r="AI1450" s="2656"/>
      <c r="AJ1450" s="2656"/>
      <c r="AK1450" s="2656"/>
      <c r="AL1450" s="2656"/>
      <c r="AM1450" s="2656"/>
      <c r="AN1450" s="2656"/>
      <c r="AO1450" s="2656"/>
      <c r="AP1450" s="2656"/>
      <c r="AQ1450" s="2656"/>
      <c r="AR1450" s="2656"/>
      <c r="AS1450" s="2656"/>
      <c r="AT1450" s="2656"/>
      <c r="AU1450" s="2656"/>
      <c r="AV1450" s="2656"/>
      <c r="AW1450" s="2656"/>
      <c r="AX1450" s="2656"/>
      <c r="AY1450" s="2656"/>
      <c r="AZ1450" s="2656"/>
      <c r="BA1450" s="2656"/>
      <c r="BB1450" s="2656"/>
      <c r="BC1450" s="2656"/>
      <c r="BD1450" s="2656"/>
      <c r="BE1450" s="2656"/>
      <c r="BF1450" s="2656"/>
      <c r="BG1450" s="2656"/>
      <c r="BH1450" s="2656"/>
      <c r="BI1450" s="2656"/>
    </row>
    <row r="1451" spans="1:61" ht="24.75" customHeight="1">
      <c r="A1451" s="3375"/>
      <c r="B1451" s="2646"/>
      <c r="C1451" s="2647"/>
      <c r="D1451" s="2646"/>
      <c r="E1451" s="3013"/>
      <c r="F1451" s="2655"/>
      <c r="G1451" s="2596"/>
      <c r="H1451" s="4138"/>
      <c r="I1451" s="3375"/>
      <c r="J1451" s="2648"/>
      <c r="K1451" s="3147"/>
      <c r="L1451" s="2785"/>
      <c r="M1451" s="2695"/>
      <c r="N1451" s="2649"/>
      <c r="O1451" s="2655"/>
      <c r="P1451" s="2651"/>
      <c r="Q1451" s="3440"/>
      <c r="R1451" s="3553"/>
      <c r="S1451" s="1407"/>
      <c r="T1451" s="3375"/>
      <c r="U1451" s="2648"/>
      <c r="V1451" s="3554"/>
      <c r="W1451" s="3150"/>
      <c r="X1451" s="2656"/>
      <c r="Y1451" s="2656"/>
      <c r="Z1451" s="2656"/>
      <c r="AA1451" s="2656"/>
      <c r="AB1451" s="2656"/>
      <c r="AC1451" s="2656"/>
      <c r="AD1451" s="2656"/>
      <c r="AE1451" s="2656"/>
      <c r="AF1451" s="2656"/>
      <c r="AG1451" s="2656"/>
      <c r="AH1451" s="2656"/>
      <c r="AI1451" s="2656"/>
      <c r="AJ1451" s="2656"/>
      <c r="AK1451" s="2656"/>
      <c r="AL1451" s="2656"/>
      <c r="AM1451" s="2656"/>
      <c r="AN1451" s="2656"/>
      <c r="AO1451" s="2656"/>
      <c r="AP1451" s="2656"/>
      <c r="AQ1451" s="2656"/>
      <c r="AR1451" s="2656"/>
      <c r="AS1451" s="2656"/>
      <c r="AT1451" s="2656"/>
      <c r="AU1451" s="2656"/>
      <c r="AV1451" s="2656"/>
      <c r="AW1451" s="2656"/>
      <c r="AX1451" s="2656"/>
      <c r="AY1451" s="2656"/>
      <c r="AZ1451" s="2656"/>
      <c r="BA1451" s="2656"/>
      <c r="BB1451" s="2656"/>
      <c r="BC1451" s="2656"/>
      <c r="BD1451" s="2656"/>
      <c r="BE1451" s="2656"/>
      <c r="BF1451" s="2656"/>
      <c r="BG1451" s="2656"/>
      <c r="BH1451" s="2656"/>
      <c r="BI1451" s="2656"/>
    </row>
    <row r="1452" spans="1:61" ht="24.75" customHeight="1">
      <c r="A1452" s="3375"/>
      <c r="B1452" s="2646"/>
      <c r="C1452" s="2647"/>
      <c r="D1452" s="2646"/>
      <c r="E1452" s="3013"/>
      <c r="F1452" s="2655"/>
      <c r="G1452" s="2596"/>
      <c r="H1452" s="4138"/>
      <c r="I1452" s="3375"/>
      <c r="J1452" s="2648"/>
      <c r="K1452" s="3147"/>
      <c r="L1452" s="2785"/>
      <c r="M1452" s="2695"/>
      <c r="N1452" s="2649"/>
      <c r="O1452" s="2655"/>
      <c r="P1452" s="2651"/>
      <c r="Q1452" s="3440"/>
      <c r="R1452" s="3553"/>
      <c r="S1452" s="1407"/>
      <c r="T1452" s="3375"/>
      <c r="U1452" s="2648"/>
      <c r="V1452" s="3554"/>
      <c r="W1452" s="3150"/>
      <c r="X1452" s="2656"/>
      <c r="Y1452" s="2656"/>
      <c r="Z1452" s="2656"/>
      <c r="AA1452" s="2656"/>
      <c r="AB1452" s="2656"/>
      <c r="AC1452" s="2656"/>
      <c r="AD1452" s="2656"/>
      <c r="AE1452" s="2656"/>
      <c r="AF1452" s="2656"/>
      <c r="AG1452" s="2656"/>
      <c r="AH1452" s="2656"/>
      <c r="AI1452" s="2656"/>
      <c r="AJ1452" s="2656"/>
      <c r="AK1452" s="2656"/>
      <c r="AL1452" s="2656"/>
      <c r="AM1452" s="2656"/>
      <c r="AN1452" s="2656"/>
      <c r="AO1452" s="2656"/>
      <c r="AP1452" s="2656"/>
      <c r="AQ1452" s="2656"/>
      <c r="AR1452" s="2656"/>
      <c r="AS1452" s="2656"/>
      <c r="AT1452" s="2656"/>
      <c r="AU1452" s="2656"/>
      <c r="AV1452" s="2656"/>
      <c r="AW1452" s="2656"/>
      <c r="AX1452" s="2656"/>
      <c r="AY1452" s="2656"/>
      <c r="AZ1452" s="2656"/>
      <c r="BA1452" s="2656"/>
      <c r="BB1452" s="2656"/>
      <c r="BC1452" s="2656"/>
      <c r="BD1452" s="2656"/>
      <c r="BE1452" s="2656"/>
      <c r="BF1452" s="2656"/>
      <c r="BG1452" s="2656"/>
      <c r="BH1452" s="2656"/>
      <c r="BI1452" s="2656"/>
    </row>
    <row r="1453" spans="1:61" ht="24.75" customHeight="1">
      <c r="A1453" s="3375"/>
      <c r="B1453" s="2646"/>
      <c r="C1453" s="2647"/>
      <c r="D1453" s="2646"/>
      <c r="E1453" s="3013"/>
      <c r="F1453" s="2655"/>
      <c r="G1453" s="2596"/>
      <c r="H1453" s="4138"/>
      <c r="I1453" s="3375"/>
      <c r="J1453" s="2648"/>
      <c r="K1453" s="3147"/>
      <c r="L1453" s="2785"/>
      <c r="M1453" s="2695"/>
      <c r="N1453" s="2649"/>
      <c r="O1453" s="2655"/>
      <c r="P1453" s="2651"/>
      <c r="Q1453" s="3440"/>
      <c r="R1453" s="3553"/>
      <c r="S1453" s="1407"/>
      <c r="T1453" s="3375"/>
      <c r="U1453" s="2648"/>
      <c r="V1453" s="3554"/>
      <c r="W1453" s="3150"/>
      <c r="X1453" s="2656"/>
      <c r="Y1453" s="2656"/>
      <c r="Z1453" s="2656"/>
      <c r="AA1453" s="2656"/>
      <c r="AB1453" s="2656"/>
      <c r="AC1453" s="2656"/>
      <c r="AD1453" s="2656"/>
      <c r="AE1453" s="2656"/>
      <c r="AF1453" s="2656"/>
      <c r="AG1453" s="2656"/>
      <c r="AH1453" s="2656"/>
      <c r="AI1453" s="2656"/>
      <c r="AJ1453" s="2656"/>
      <c r="AK1453" s="2656"/>
      <c r="AL1453" s="2656"/>
      <c r="AM1453" s="2656"/>
      <c r="AN1453" s="2656"/>
      <c r="AO1453" s="2656"/>
      <c r="AP1453" s="2656"/>
      <c r="AQ1453" s="2656"/>
      <c r="AR1453" s="2656"/>
      <c r="AS1453" s="2656"/>
      <c r="AT1453" s="2656"/>
      <c r="AU1453" s="2656"/>
      <c r="AV1453" s="2656"/>
      <c r="AW1453" s="2656"/>
      <c r="AX1453" s="2656"/>
      <c r="AY1453" s="2656"/>
      <c r="AZ1453" s="2656"/>
      <c r="BA1453" s="2656"/>
      <c r="BB1453" s="2656"/>
      <c r="BC1453" s="2656"/>
      <c r="BD1453" s="2656"/>
      <c r="BE1453" s="2656"/>
      <c r="BF1453" s="2656"/>
      <c r="BG1453" s="2656"/>
      <c r="BH1453" s="2656"/>
      <c r="BI1453" s="2656"/>
    </row>
    <row r="1454" spans="1:61" ht="24.75" customHeight="1">
      <c r="A1454" s="3375"/>
      <c r="B1454" s="2646"/>
      <c r="C1454" s="2647"/>
      <c r="D1454" s="2646"/>
      <c r="E1454" s="3013"/>
      <c r="F1454" s="2655"/>
      <c r="G1454" s="2596"/>
      <c r="H1454" s="4138"/>
      <c r="I1454" s="3375"/>
      <c r="J1454" s="2648"/>
      <c r="K1454" s="3147"/>
      <c r="L1454" s="2785"/>
      <c r="M1454" s="2695"/>
      <c r="N1454" s="2649"/>
      <c r="O1454" s="2655"/>
      <c r="P1454" s="2651"/>
      <c r="Q1454" s="3440"/>
      <c r="R1454" s="3553"/>
      <c r="S1454" s="1407"/>
      <c r="T1454" s="3375"/>
      <c r="U1454" s="2648"/>
      <c r="V1454" s="3554"/>
      <c r="W1454" s="3150"/>
      <c r="X1454" s="2656"/>
      <c r="Y1454" s="2656"/>
      <c r="Z1454" s="2656"/>
      <c r="AA1454" s="2656"/>
      <c r="AB1454" s="2656"/>
      <c r="AC1454" s="2656"/>
      <c r="AD1454" s="2656"/>
      <c r="AE1454" s="2656"/>
      <c r="AF1454" s="2656"/>
      <c r="AG1454" s="2656"/>
      <c r="AH1454" s="2656"/>
      <c r="AI1454" s="2656"/>
      <c r="AJ1454" s="2656"/>
      <c r="AK1454" s="2656"/>
      <c r="AL1454" s="2656"/>
      <c r="AM1454" s="2656"/>
      <c r="AN1454" s="2656"/>
      <c r="AO1454" s="2656"/>
      <c r="AP1454" s="2656"/>
      <c r="AQ1454" s="2656"/>
      <c r="AR1454" s="2656"/>
      <c r="AS1454" s="2656"/>
      <c r="AT1454" s="2656"/>
      <c r="AU1454" s="2656"/>
      <c r="AV1454" s="2656"/>
      <c r="AW1454" s="2656"/>
      <c r="AX1454" s="2656"/>
      <c r="AY1454" s="2656"/>
      <c r="AZ1454" s="2656"/>
      <c r="BA1454" s="2656"/>
      <c r="BB1454" s="2656"/>
      <c r="BC1454" s="2656"/>
      <c r="BD1454" s="2656"/>
      <c r="BE1454" s="2656"/>
      <c r="BF1454" s="2656"/>
      <c r="BG1454" s="2656"/>
      <c r="BH1454" s="2656"/>
      <c r="BI1454" s="2656"/>
    </row>
    <row r="1455" spans="1:61" ht="24.75" customHeight="1">
      <c r="A1455" s="3375"/>
      <c r="B1455" s="2646"/>
      <c r="C1455" s="2647"/>
      <c r="D1455" s="2646"/>
      <c r="E1455" s="3013"/>
      <c r="F1455" s="2655"/>
      <c r="G1455" s="2596"/>
      <c r="H1455" s="4138"/>
      <c r="I1455" s="3375"/>
      <c r="J1455" s="2648"/>
      <c r="K1455" s="3147"/>
      <c r="L1455" s="2785"/>
      <c r="M1455" s="2695"/>
      <c r="N1455" s="2649"/>
      <c r="O1455" s="2655"/>
      <c r="P1455" s="2651"/>
      <c r="Q1455" s="3440"/>
      <c r="R1455" s="3553"/>
      <c r="S1455" s="1407"/>
      <c r="T1455" s="3375"/>
      <c r="U1455" s="2648"/>
      <c r="V1455" s="3554"/>
      <c r="W1455" s="3150"/>
      <c r="X1455" s="2656"/>
      <c r="Y1455" s="2656"/>
      <c r="Z1455" s="2656"/>
      <c r="AA1455" s="2656"/>
      <c r="AB1455" s="2656"/>
      <c r="AC1455" s="2656"/>
      <c r="AD1455" s="2656"/>
      <c r="AE1455" s="2656"/>
      <c r="AF1455" s="2656"/>
      <c r="AG1455" s="2656"/>
      <c r="AH1455" s="2656"/>
      <c r="AI1455" s="2656"/>
      <c r="AJ1455" s="2656"/>
      <c r="AK1455" s="2656"/>
      <c r="AL1455" s="2656"/>
      <c r="AM1455" s="2656"/>
      <c r="AN1455" s="2656"/>
      <c r="AO1455" s="2656"/>
      <c r="AP1455" s="2656"/>
      <c r="AQ1455" s="2656"/>
      <c r="AR1455" s="2656"/>
      <c r="AS1455" s="2656"/>
      <c r="AT1455" s="2656"/>
      <c r="AU1455" s="2656"/>
      <c r="AV1455" s="2656"/>
      <c r="AW1455" s="2656"/>
      <c r="AX1455" s="2656"/>
      <c r="AY1455" s="2656"/>
      <c r="AZ1455" s="2656"/>
      <c r="BA1455" s="2656"/>
      <c r="BB1455" s="2656"/>
      <c r="BC1455" s="2656"/>
      <c r="BD1455" s="2656"/>
      <c r="BE1455" s="2656"/>
      <c r="BF1455" s="2656"/>
      <c r="BG1455" s="2656"/>
      <c r="BH1455" s="2656"/>
      <c r="BI1455" s="2656"/>
    </row>
    <row r="1456" spans="1:61" ht="24.75" customHeight="1">
      <c r="A1456" s="3375"/>
      <c r="B1456" s="2646"/>
      <c r="C1456" s="2647"/>
      <c r="D1456" s="2646"/>
      <c r="E1456" s="3013"/>
      <c r="F1456" s="2655"/>
      <c r="G1456" s="2596"/>
      <c r="H1456" s="4138"/>
      <c r="I1456" s="3375"/>
      <c r="J1456" s="2648"/>
      <c r="K1456" s="3147"/>
      <c r="L1456" s="2785"/>
      <c r="M1456" s="2695"/>
      <c r="N1456" s="2649"/>
      <c r="O1456" s="2655"/>
      <c r="P1456" s="2651"/>
      <c r="Q1456" s="3440"/>
      <c r="R1456" s="3553"/>
      <c r="S1456" s="1407"/>
      <c r="T1456" s="3375"/>
      <c r="U1456" s="2648"/>
      <c r="V1456" s="3554"/>
      <c r="W1456" s="3150"/>
      <c r="X1456" s="2656"/>
      <c r="Y1456" s="2656"/>
      <c r="Z1456" s="2656"/>
      <c r="AA1456" s="2656"/>
      <c r="AB1456" s="2656"/>
      <c r="AC1456" s="2656"/>
      <c r="AD1456" s="2656"/>
      <c r="AE1456" s="2656"/>
      <c r="AF1456" s="2656"/>
      <c r="AG1456" s="2656"/>
      <c r="AH1456" s="2656"/>
      <c r="AI1456" s="2656"/>
      <c r="AJ1456" s="2656"/>
      <c r="AK1456" s="2656"/>
      <c r="AL1456" s="2656"/>
      <c r="AM1456" s="2656"/>
      <c r="AN1456" s="2656"/>
      <c r="AO1456" s="2656"/>
      <c r="AP1456" s="2656"/>
      <c r="AQ1456" s="2656"/>
      <c r="AR1456" s="2656"/>
      <c r="AS1456" s="2656"/>
      <c r="AT1456" s="2656"/>
      <c r="AU1456" s="2656"/>
      <c r="AV1456" s="2656"/>
      <c r="AW1456" s="2656"/>
      <c r="AX1456" s="2656"/>
      <c r="AY1456" s="2656"/>
      <c r="AZ1456" s="2656"/>
      <c r="BA1456" s="2656"/>
      <c r="BB1456" s="2656"/>
      <c r="BC1456" s="2656"/>
      <c r="BD1456" s="2656"/>
      <c r="BE1456" s="2656"/>
      <c r="BF1456" s="2656"/>
      <c r="BG1456" s="2656"/>
      <c r="BH1456" s="2656"/>
      <c r="BI1456" s="2656"/>
    </row>
    <row r="1457" spans="1:61" ht="24.75" customHeight="1">
      <c r="A1457" s="3375"/>
      <c r="B1457" s="2646"/>
      <c r="C1457" s="2647"/>
      <c r="D1457" s="2646"/>
      <c r="E1457" s="3013"/>
      <c r="F1457" s="2655"/>
      <c r="G1457" s="2596"/>
      <c r="H1457" s="4138"/>
      <c r="I1457" s="3375"/>
      <c r="J1457" s="2648"/>
      <c r="K1457" s="3147"/>
      <c r="L1457" s="2785"/>
      <c r="M1457" s="2695"/>
      <c r="N1457" s="2649"/>
      <c r="O1457" s="2655"/>
      <c r="P1457" s="2651"/>
      <c r="Q1457" s="3440"/>
      <c r="R1457" s="3553"/>
      <c r="S1457" s="1407"/>
      <c r="T1457" s="3375"/>
      <c r="U1457" s="2648"/>
      <c r="V1457" s="3554"/>
      <c r="W1457" s="3150"/>
      <c r="X1457" s="2656"/>
      <c r="Y1457" s="2656"/>
      <c r="Z1457" s="2656"/>
      <c r="AA1457" s="2656"/>
      <c r="AB1457" s="2656"/>
      <c r="AC1457" s="2656"/>
      <c r="AD1457" s="2656"/>
      <c r="AE1457" s="2656"/>
      <c r="AF1457" s="2656"/>
      <c r="AG1457" s="2656"/>
      <c r="AH1457" s="2656"/>
      <c r="AI1457" s="2656"/>
      <c r="AJ1457" s="2656"/>
      <c r="AK1457" s="2656"/>
      <c r="AL1457" s="2656"/>
      <c r="AM1457" s="2656"/>
      <c r="AN1457" s="2656"/>
      <c r="AO1457" s="2656"/>
      <c r="AP1457" s="2656"/>
      <c r="AQ1457" s="2656"/>
      <c r="AR1457" s="2656"/>
      <c r="AS1457" s="2656"/>
      <c r="AT1457" s="2656"/>
      <c r="AU1457" s="2656"/>
      <c r="AV1457" s="2656"/>
      <c r="AW1457" s="2656"/>
      <c r="AX1457" s="2656"/>
      <c r="AY1457" s="2656"/>
      <c r="AZ1457" s="2656"/>
      <c r="BA1457" s="2656"/>
      <c r="BB1457" s="2656"/>
      <c r="BC1457" s="2656"/>
      <c r="BD1457" s="2656"/>
      <c r="BE1457" s="2656"/>
      <c r="BF1457" s="2656"/>
      <c r="BG1457" s="2656"/>
      <c r="BH1457" s="2656"/>
      <c r="BI1457" s="2656"/>
    </row>
    <row r="1458" spans="1:61" ht="24.75" customHeight="1">
      <c r="A1458" s="3375"/>
      <c r="B1458" s="2646"/>
      <c r="C1458" s="2647"/>
      <c r="D1458" s="2646"/>
      <c r="E1458" s="3013"/>
      <c r="F1458" s="2655"/>
      <c r="G1458" s="2596"/>
      <c r="H1458" s="4138"/>
      <c r="I1458" s="3375"/>
      <c r="J1458" s="2648"/>
      <c r="K1458" s="3147"/>
      <c r="L1458" s="2785"/>
      <c r="M1458" s="2695"/>
      <c r="N1458" s="2649"/>
      <c r="O1458" s="2655"/>
      <c r="P1458" s="2651"/>
      <c r="Q1458" s="3440"/>
      <c r="R1458" s="3553"/>
      <c r="S1458" s="1407"/>
      <c r="T1458" s="3375"/>
      <c r="U1458" s="2648"/>
      <c r="V1458" s="3554"/>
      <c r="W1458" s="3150"/>
      <c r="X1458" s="2656"/>
      <c r="Y1458" s="2656"/>
      <c r="Z1458" s="2656"/>
      <c r="AA1458" s="2656"/>
      <c r="AB1458" s="2656"/>
      <c r="AC1458" s="2656"/>
      <c r="AD1458" s="2656"/>
      <c r="AE1458" s="2656"/>
      <c r="AF1458" s="2656"/>
      <c r="AG1458" s="2656"/>
      <c r="AH1458" s="2656"/>
      <c r="AI1458" s="2656"/>
      <c r="AJ1458" s="2656"/>
      <c r="AK1458" s="2656"/>
      <c r="AL1458" s="2656"/>
      <c r="AM1458" s="2656"/>
      <c r="AN1458" s="2656"/>
      <c r="AO1458" s="2656"/>
      <c r="AP1458" s="2656"/>
      <c r="AQ1458" s="2656"/>
      <c r="AR1458" s="2656"/>
      <c r="AS1458" s="2656"/>
      <c r="AT1458" s="2656"/>
      <c r="AU1458" s="2656"/>
      <c r="AV1458" s="2656"/>
      <c r="AW1458" s="2656"/>
      <c r="AX1458" s="2656"/>
      <c r="AY1458" s="2656"/>
      <c r="AZ1458" s="2656"/>
      <c r="BA1458" s="2656"/>
      <c r="BB1458" s="2656"/>
      <c r="BC1458" s="2656"/>
      <c r="BD1458" s="2656"/>
      <c r="BE1458" s="2656"/>
      <c r="BF1458" s="2656"/>
      <c r="BG1458" s="2656"/>
      <c r="BH1458" s="2656"/>
      <c r="BI1458" s="2656"/>
    </row>
    <row r="1459" spans="1:61" ht="24.75" customHeight="1">
      <c r="A1459" s="3375"/>
      <c r="B1459" s="2646"/>
      <c r="C1459" s="2647"/>
      <c r="D1459" s="2646"/>
      <c r="E1459" s="3013"/>
      <c r="F1459" s="2655"/>
      <c r="G1459" s="2596"/>
      <c r="H1459" s="4138"/>
      <c r="I1459" s="3375"/>
      <c r="J1459" s="2648"/>
      <c r="K1459" s="3147"/>
      <c r="L1459" s="2785"/>
      <c r="M1459" s="2695"/>
      <c r="N1459" s="2649"/>
      <c r="O1459" s="2655"/>
      <c r="P1459" s="2651"/>
      <c r="Q1459" s="3440"/>
      <c r="R1459" s="3553"/>
      <c r="S1459" s="1407"/>
      <c r="T1459" s="3375"/>
      <c r="U1459" s="2648"/>
      <c r="V1459" s="3554"/>
      <c r="W1459" s="3150"/>
      <c r="X1459" s="2656"/>
      <c r="Y1459" s="2656"/>
      <c r="Z1459" s="2656"/>
      <c r="AA1459" s="2656"/>
      <c r="AB1459" s="2656"/>
      <c r="AC1459" s="2656"/>
      <c r="AD1459" s="2656"/>
      <c r="AE1459" s="2656"/>
      <c r="AF1459" s="2656"/>
      <c r="AG1459" s="2656"/>
      <c r="AH1459" s="2656"/>
      <c r="AI1459" s="2656"/>
      <c r="AJ1459" s="2656"/>
      <c r="AK1459" s="2656"/>
      <c r="AL1459" s="2656"/>
      <c r="AM1459" s="2656"/>
      <c r="AN1459" s="2656"/>
      <c r="AO1459" s="2656"/>
      <c r="AP1459" s="2656"/>
      <c r="AQ1459" s="2656"/>
      <c r="AR1459" s="2656"/>
      <c r="AS1459" s="2656"/>
      <c r="AT1459" s="2656"/>
      <c r="AU1459" s="2656"/>
      <c r="AV1459" s="2656"/>
      <c r="AW1459" s="2656"/>
      <c r="AX1459" s="2656"/>
      <c r="AY1459" s="2656"/>
      <c r="AZ1459" s="2656"/>
      <c r="BA1459" s="2656"/>
      <c r="BB1459" s="2656"/>
      <c r="BC1459" s="2656"/>
      <c r="BD1459" s="2656"/>
      <c r="BE1459" s="2656"/>
      <c r="BF1459" s="2656"/>
      <c r="BG1459" s="2656"/>
      <c r="BH1459" s="2656"/>
      <c r="BI1459" s="2656"/>
    </row>
    <row r="1460" spans="1:61" ht="24.75" customHeight="1">
      <c r="A1460" s="3375"/>
      <c r="B1460" s="2646"/>
      <c r="C1460" s="2647"/>
      <c r="D1460" s="2646"/>
      <c r="E1460" s="3013"/>
      <c r="F1460" s="2655"/>
      <c r="G1460" s="2596"/>
      <c r="H1460" s="4138"/>
      <c r="I1460" s="3375"/>
      <c r="J1460" s="2648"/>
      <c r="K1460" s="3147"/>
      <c r="L1460" s="2785"/>
      <c r="M1460" s="2695"/>
      <c r="N1460" s="2649"/>
      <c r="O1460" s="2655"/>
      <c r="P1460" s="2651"/>
      <c r="Q1460" s="3440"/>
      <c r="R1460" s="3553"/>
      <c r="S1460" s="1407"/>
      <c r="T1460" s="3375"/>
      <c r="U1460" s="2648"/>
      <c r="V1460" s="3554"/>
      <c r="W1460" s="3150"/>
      <c r="X1460" s="2656"/>
      <c r="Y1460" s="2656"/>
      <c r="Z1460" s="2656"/>
      <c r="AA1460" s="2656"/>
      <c r="AB1460" s="2656"/>
      <c r="AC1460" s="2656"/>
      <c r="AD1460" s="2656"/>
      <c r="AE1460" s="2656"/>
      <c r="AF1460" s="2656"/>
      <c r="AG1460" s="2656"/>
      <c r="AH1460" s="2656"/>
      <c r="AI1460" s="2656"/>
      <c r="AJ1460" s="2656"/>
      <c r="AK1460" s="2656"/>
      <c r="AL1460" s="2656"/>
      <c r="AM1460" s="2656"/>
      <c r="AN1460" s="2656"/>
      <c r="AO1460" s="2656"/>
      <c r="AP1460" s="2656"/>
      <c r="AQ1460" s="2656"/>
      <c r="AR1460" s="2656"/>
      <c r="AS1460" s="2656"/>
      <c r="AT1460" s="2656"/>
      <c r="AU1460" s="2656"/>
      <c r="AV1460" s="2656"/>
      <c r="AW1460" s="2656"/>
      <c r="AX1460" s="2656"/>
      <c r="AY1460" s="2656"/>
      <c r="AZ1460" s="2656"/>
      <c r="BA1460" s="2656"/>
      <c r="BB1460" s="2656"/>
      <c r="BC1460" s="2656"/>
      <c r="BD1460" s="2656"/>
      <c r="BE1460" s="2656"/>
      <c r="BF1460" s="2656"/>
      <c r="BG1460" s="2656"/>
      <c r="BH1460" s="2656"/>
      <c r="BI1460" s="2656"/>
    </row>
    <row r="1461" spans="1:61" ht="24.75" customHeight="1">
      <c r="A1461" s="3375"/>
      <c r="B1461" s="2646"/>
      <c r="C1461" s="2647"/>
      <c r="D1461" s="2646"/>
      <c r="E1461" s="3013"/>
      <c r="F1461" s="2655"/>
      <c r="G1461" s="2596"/>
      <c r="H1461" s="4138"/>
      <c r="I1461" s="3375"/>
      <c r="J1461" s="2648"/>
      <c r="K1461" s="3147"/>
      <c r="L1461" s="2785"/>
      <c r="M1461" s="2695"/>
      <c r="N1461" s="2649"/>
      <c r="O1461" s="2655"/>
      <c r="P1461" s="2651"/>
      <c r="Q1461" s="3440"/>
      <c r="R1461" s="3553"/>
      <c r="S1461" s="1407"/>
      <c r="T1461" s="3375"/>
      <c r="U1461" s="2648"/>
      <c r="V1461" s="3554"/>
      <c r="W1461" s="3150"/>
      <c r="X1461" s="2656"/>
      <c r="Y1461" s="2656"/>
      <c r="Z1461" s="2656"/>
      <c r="AA1461" s="2656"/>
      <c r="AB1461" s="2656"/>
      <c r="AC1461" s="2656"/>
      <c r="AD1461" s="2656"/>
      <c r="AE1461" s="2656"/>
      <c r="AF1461" s="2656"/>
      <c r="AG1461" s="2656"/>
      <c r="AH1461" s="2656"/>
      <c r="AI1461" s="2656"/>
      <c r="AJ1461" s="2656"/>
      <c r="AK1461" s="2656"/>
      <c r="AL1461" s="2656"/>
      <c r="AM1461" s="2656"/>
      <c r="AN1461" s="2656"/>
      <c r="AO1461" s="2656"/>
      <c r="AP1461" s="2656"/>
      <c r="AQ1461" s="2656"/>
      <c r="AR1461" s="2656"/>
      <c r="AS1461" s="2656"/>
      <c r="AT1461" s="2656"/>
      <c r="AU1461" s="2656"/>
      <c r="AV1461" s="2656"/>
      <c r="AW1461" s="2656"/>
      <c r="AX1461" s="2656"/>
      <c r="AY1461" s="2656"/>
      <c r="AZ1461" s="2656"/>
      <c r="BA1461" s="2656"/>
      <c r="BB1461" s="2656"/>
      <c r="BC1461" s="2656"/>
      <c r="BD1461" s="2656"/>
      <c r="BE1461" s="2656"/>
      <c r="BF1461" s="2656"/>
      <c r="BG1461" s="2656"/>
      <c r="BH1461" s="2656"/>
      <c r="BI1461" s="2656"/>
    </row>
    <row r="1462" spans="1:61" ht="24.75" customHeight="1">
      <c r="A1462" s="3375"/>
      <c r="B1462" s="2646"/>
      <c r="C1462" s="2647"/>
      <c r="D1462" s="2646"/>
      <c r="E1462" s="3013"/>
      <c r="F1462" s="2655"/>
      <c r="G1462" s="2596"/>
      <c r="H1462" s="4138"/>
      <c r="I1462" s="3375"/>
      <c r="J1462" s="2648"/>
      <c r="K1462" s="3147"/>
      <c r="L1462" s="2785"/>
      <c r="M1462" s="2695"/>
      <c r="N1462" s="2649"/>
      <c r="O1462" s="2655"/>
      <c r="P1462" s="2651"/>
      <c r="Q1462" s="3440"/>
      <c r="R1462" s="3553"/>
      <c r="S1462" s="1407"/>
      <c r="T1462" s="3375"/>
      <c r="U1462" s="2648"/>
      <c r="V1462" s="3554"/>
      <c r="W1462" s="3150"/>
      <c r="X1462" s="2656"/>
      <c r="Y1462" s="2656"/>
      <c r="Z1462" s="2656"/>
      <c r="AA1462" s="2656"/>
      <c r="AB1462" s="2656"/>
      <c r="AC1462" s="2656"/>
      <c r="AD1462" s="2656"/>
      <c r="AE1462" s="2656"/>
      <c r="AF1462" s="2656"/>
      <c r="AG1462" s="2656"/>
      <c r="AH1462" s="2656"/>
      <c r="AI1462" s="2656"/>
      <c r="AJ1462" s="2656"/>
      <c r="AK1462" s="2656"/>
      <c r="AL1462" s="2656"/>
      <c r="AM1462" s="2656"/>
      <c r="AN1462" s="2656"/>
      <c r="AO1462" s="2656"/>
      <c r="AP1462" s="2656"/>
      <c r="AQ1462" s="2656"/>
      <c r="AR1462" s="2656"/>
      <c r="AS1462" s="2656"/>
      <c r="AT1462" s="2656"/>
      <c r="AU1462" s="2656"/>
      <c r="AV1462" s="2656"/>
      <c r="AW1462" s="2656"/>
      <c r="AX1462" s="2656"/>
      <c r="AY1462" s="2656"/>
      <c r="AZ1462" s="2656"/>
      <c r="BA1462" s="2656"/>
      <c r="BB1462" s="2656"/>
      <c r="BC1462" s="2656"/>
      <c r="BD1462" s="2656"/>
      <c r="BE1462" s="2656"/>
      <c r="BF1462" s="2656"/>
      <c r="BG1462" s="2656"/>
      <c r="BH1462" s="2656"/>
      <c r="BI1462" s="2656"/>
    </row>
    <row r="1463" spans="1:61" ht="24.75" customHeight="1">
      <c r="A1463" s="3375"/>
      <c r="B1463" s="2646"/>
      <c r="C1463" s="2647"/>
      <c r="D1463" s="2646"/>
      <c r="E1463" s="3013"/>
      <c r="F1463" s="2655"/>
      <c r="G1463" s="2596"/>
      <c r="H1463" s="4138"/>
      <c r="I1463" s="3375"/>
      <c r="J1463" s="2648"/>
      <c r="K1463" s="3147"/>
      <c r="L1463" s="2785"/>
      <c r="M1463" s="2695"/>
      <c r="N1463" s="2649"/>
      <c r="O1463" s="2655"/>
      <c r="P1463" s="2651"/>
      <c r="Q1463" s="3440"/>
      <c r="R1463" s="3553"/>
      <c r="S1463" s="1407"/>
      <c r="T1463" s="3375"/>
      <c r="U1463" s="2648"/>
      <c r="V1463" s="3554"/>
      <c r="W1463" s="3150"/>
      <c r="X1463" s="2656"/>
      <c r="Y1463" s="2656"/>
      <c r="Z1463" s="2656"/>
      <c r="AA1463" s="2656"/>
      <c r="AB1463" s="2656"/>
      <c r="AC1463" s="2656"/>
      <c r="AD1463" s="2656"/>
      <c r="AE1463" s="2656"/>
      <c r="AF1463" s="2656"/>
      <c r="AG1463" s="2656"/>
      <c r="AH1463" s="2656"/>
      <c r="AI1463" s="2656"/>
      <c r="AJ1463" s="2656"/>
      <c r="AK1463" s="2656"/>
      <c r="AL1463" s="2656"/>
      <c r="AM1463" s="2656"/>
      <c r="AN1463" s="2656"/>
      <c r="AO1463" s="2656"/>
      <c r="AP1463" s="2656"/>
      <c r="AQ1463" s="2656"/>
      <c r="AR1463" s="2656"/>
      <c r="AS1463" s="2656"/>
      <c r="AT1463" s="2656"/>
      <c r="AU1463" s="2656"/>
      <c r="AV1463" s="2656"/>
      <c r="AW1463" s="2656"/>
      <c r="AX1463" s="2656"/>
      <c r="AY1463" s="2656"/>
      <c r="AZ1463" s="2656"/>
      <c r="BA1463" s="2656"/>
      <c r="BB1463" s="2656"/>
      <c r="BC1463" s="2656"/>
      <c r="BD1463" s="2656"/>
      <c r="BE1463" s="2656"/>
      <c r="BF1463" s="2656"/>
      <c r="BG1463" s="2656"/>
      <c r="BH1463" s="2656"/>
      <c r="BI1463" s="2656"/>
    </row>
    <row r="1464" spans="1:61" ht="24.75" customHeight="1">
      <c r="A1464" s="3375"/>
      <c r="B1464" s="2646"/>
      <c r="C1464" s="2647"/>
      <c r="D1464" s="2646"/>
      <c r="E1464" s="3013"/>
      <c r="F1464" s="2655"/>
      <c r="G1464" s="2596"/>
      <c r="H1464" s="4138"/>
      <c r="I1464" s="3375"/>
      <c r="J1464" s="2648"/>
      <c r="K1464" s="3147"/>
      <c r="L1464" s="2785"/>
      <c r="M1464" s="2695"/>
      <c r="N1464" s="2649"/>
      <c r="O1464" s="2655"/>
      <c r="P1464" s="2651"/>
      <c r="Q1464" s="3440"/>
      <c r="R1464" s="3553"/>
      <c r="S1464" s="1407"/>
      <c r="T1464" s="3375"/>
      <c r="U1464" s="2648"/>
      <c r="V1464" s="3554"/>
      <c r="W1464" s="3150"/>
      <c r="X1464" s="2656"/>
      <c r="Y1464" s="2656"/>
      <c r="Z1464" s="2656"/>
      <c r="AA1464" s="2656"/>
      <c r="AB1464" s="2656"/>
      <c r="AC1464" s="2656"/>
      <c r="AD1464" s="2656"/>
      <c r="AE1464" s="2656"/>
      <c r="AF1464" s="2656"/>
      <c r="AG1464" s="2656"/>
      <c r="AH1464" s="2656"/>
      <c r="AI1464" s="2656"/>
      <c r="AJ1464" s="2656"/>
      <c r="AK1464" s="2656"/>
      <c r="AL1464" s="2656"/>
      <c r="AM1464" s="2656"/>
      <c r="AN1464" s="2656"/>
      <c r="AO1464" s="2656"/>
      <c r="AP1464" s="2656"/>
      <c r="AQ1464" s="2656"/>
      <c r="AR1464" s="2656"/>
      <c r="AS1464" s="2656"/>
      <c r="AT1464" s="2656"/>
      <c r="AU1464" s="2656"/>
      <c r="AV1464" s="2656"/>
      <c r="AW1464" s="2656"/>
      <c r="AX1464" s="2656"/>
      <c r="AY1464" s="2656"/>
      <c r="AZ1464" s="2656"/>
      <c r="BA1464" s="2656"/>
      <c r="BB1464" s="2656"/>
      <c r="BC1464" s="2656"/>
      <c r="BD1464" s="2656"/>
      <c r="BE1464" s="2656"/>
      <c r="BF1464" s="2656"/>
      <c r="BG1464" s="2656"/>
      <c r="BH1464" s="2656"/>
      <c r="BI1464" s="2656"/>
    </row>
    <row r="1465" spans="1:61" ht="24.75" customHeight="1">
      <c r="A1465" s="3375"/>
      <c r="B1465" s="2646"/>
      <c r="C1465" s="2647"/>
      <c r="D1465" s="2646"/>
      <c r="E1465" s="3013"/>
      <c r="F1465" s="2655"/>
      <c r="G1465" s="2596"/>
      <c r="H1465" s="4138"/>
      <c r="I1465" s="3375"/>
      <c r="J1465" s="2648"/>
      <c r="K1465" s="3147"/>
      <c r="L1465" s="2785"/>
      <c r="M1465" s="2695"/>
      <c r="N1465" s="2649"/>
      <c r="O1465" s="2655"/>
      <c r="P1465" s="2651"/>
      <c r="Q1465" s="3440"/>
      <c r="R1465" s="3553"/>
      <c r="S1465" s="1407"/>
      <c r="T1465" s="3375"/>
      <c r="U1465" s="2648"/>
      <c r="V1465" s="3554"/>
      <c r="W1465" s="3150"/>
      <c r="X1465" s="2656"/>
      <c r="Y1465" s="2656"/>
      <c r="Z1465" s="2656"/>
      <c r="AA1465" s="2656"/>
      <c r="AB1465" s="2656"/>
      <c r="AC1465" s="2656"/>
      <c r="AD1465" s="2656"/>
      <c r="AE1465" s="2656"/>
      <c r="AF1465" s="2656"/>
      <c r="AG1465" s="2656"/>
      <c r="AH1465" s="2656"/>
      <c r="AI1465" s="2656"/>
      <c r="AJ1465" s="2656"/>
      <c r="AK1465" s="2656"/>
      <c r="AL1465" s="2656"/>
      <c r="AM1465" s="2656"/>
      <c r="AN1465" s="2656"/>
      <c r="AO1465" s="2656"/>
      <c r="AP1465" s="2656"/>
      <c r="AQ1465" s="2656"/>
      <c r="AR1465" s="2656"/>
      <c r="AS1465" s="2656"/>
      <c r="AT1465" s="2656"/>
      <c r="AU1465" s="2656"/>
      <c r="AV1465" s="2656"/>
      <c r="AW1465" s="2656"/>
      <c r="AX1465" s="2656"/>
      <c r="AY1465" s="2656"/>
      <c r="AZ1465" s="2656"/>
      <c r="BA1465" s="2656"/>
      <c r="BB1465" s="2656"/>
      <c r="BC1465" s="2656"/>
      <c r="BD1465" s="2656"/>
      <c r="BE1465" s="2656"/>
      <c r="BF1465" s="2656"/>
      <c r="BG1465" s="2656"/>
      <c r="BH1465" s="2656"/>
      <c r="BI1465" s="2656"/>
    </row>
    <row r="1466" spans="1:61" ht="24.75" customHeight="1">
      <c r="A1466" s="3375"/>
      <c r="B1466" s="2646"/>
      <c r="C1466" s="2647"/>
      <c r="D1466" s="2646"/>
      <c r="E1466" s="3013"/>
      <c r="F1466" s="2655"/>
      <c r="G1466" s="2596"/>
      <c r="H1466" s="4138"/>
      <c r="I1466" s="3375"/>
      <c r="J1466" s="2648"/>
      <c r="K1466" s="3147"/>
      <c r="L1466" s="2785"/>
      <c r="M1466" s="2695"/>
      <c r="N1466" s="2649"/>
      <c r="O1466" s="2655"/>
      <c r="P1466" s="2651"/>
      <c r="Q1466" s="3440"/>
      <c r="R1466" s="3553"/>
      <c r="S1466" s="1407"/>
      <c r="T1466" s="3375"/>
      <c r="U1466" s="2648"/>
      <c r="V1466" s="3554"/>
      <c r="W1466" s="3150"/>
      <c r="X1466" s="2656"/>
      <c r="Y1466" s="2656"/>
      <c r="Z1466" s="2656"/>
      <c r="AA1466" s="2656"/>
      <c r="AB1466" s="2656"/>
      <c r="AC1466" s="2656"/>
      <c r="AD1466" s="2656"/>
      <c r="AE1466" s="2656"/>
      <c r="AF1466" s="2656"/>
      <c r="AG1466" s="2656"/>
      <c r="AH1466" s="2656"/>
      <c r="AI1466" s="2656"/>
      <c r="AJ1466" s="2656"/>
      <c r="AK1466" s="2656"/>
      <c r="AL1466" s="2656"/>
      <c r="AM1466" s="2656"/>
      <c r="AN1466" s="2656"/>
      <c r="AO1466" s="2656"/>
      <c r="AP1466" s="2656"/>
      <c r="AQ1466" s="2656"/>
      <c r="AR1466" s="2656"/>
      <c r="AS1466" s="2656"/>
      <c r="AT1466" s="2656"/>
      <c r="AU1466" s="2656"/>
      <c r="AV1466" s="2656"/>
      <c r="AW1466" s="2656"/>
      <c r="AX1466" s="2656"/>
      <c r="AY1466" s="2656"/>
      <c r="AZ1466" s="2656"/>
      <c r="BA1466" s="2656"/>
      <c r="BB1466" s="2656"/>
      <c r="BC1466" s="2656"/>
      <c r="BD1466" s="2656"/>
      <c r="BE1466" s="2656"/>
      <c r="BF1466" s="2656"/>
      <c r="BG1466" s="2656"/>
      <c r="BH1466" s="2656"/>
      <c r="BI1466" s="2656"/>
    </row>
    <row r="1467" spans="1:61" ht="24.75" customHeight="1">
      <c r="A1467" s="3375"/>
      <c r="B1467" s="2646"/>
      <c r="C1467" s="2647"/>
      <c r="D1467" s="2646"/>
      <c r="E1467" s="3013"/>
      <c r="F1467" s="2655"/>
      <c r="G1467" s="2596"/>
      <c r="H1467" s="4138"/>
      <c r="I1467" s="3375"/>
      <c r="J1467" s="2648"/>
      <c r="K1467" s="3147"/>
      <c r="L1467" s="2785"/>
      <c r="M1467" s="2695"/>
      <c r="N1467" s="2649"/>
      <c r="O1467" s="2655"/>
      <c r="P1467" s="2651"/>
      <c r="Q1467" s="3440"/>
      <c r="R1467" s="3553"/>
      <c r="S1467" s="1407"/>
      <c r="T1467" s="3375"/>
      <c r="U1467" s="2648"/>
      <c r="V1467" s="3554"/>
      <c r="W1467" s="3150"/>
      <c r="X1467" s="2656"/>
      <c r="Y1467" s="2656"/>
      <c r="Z1467" s="2656"/>
      <c r="AA1467" s="2656"/>
      <c r="AB1467" s="2656"/>
      <c r="AC1467" s="2656"/>
      <c r="AD1467" s="2656"/>
      <c r="AE1467" s="2656"/>
      <c r="AF1467" s="2656"/>
      <c r="AG1467" s="2656"/>
      <c r="AH1467" s="2656"/>
      <c r="AI1467" s="2656"/>
      <c r="AJ1467" s="2656"/>
      <c r="AK1467" s="2656"/>
      <c r="AL1467" s="2656"/>
      <c r="AM1467" s="2656"/>
      <c r="AN1467" s="2656"/>
      <c r="AO1467" s="2656"/>
      <c r="AP1467" s="2656"/>
      <c r="AQ1467" s="2656"/>
      <c r="AR1467" s="2656"/>
      <c r="AS1467" s="2656"/>
      <c r="AT1467" s="2656"/>
      <c r="AU1467" s="2656"/>
      <c r="AV1467" s="2656"/>
      <c r="AW1467" s="2656"/>
      <c r="AX1467" s="2656"/>
      <c r="AY1467" s="2656"/>
      <c r="AZ1467" s="2656"/>
      <c r="BA1467" s="2656"/>
      <c r="BB1467" s="2656"/>
      <c r="BC1467" s="2656"/>
      <c r="BD1467" s="2656"/>
      <c r="BE1467" s="2656"/>
      <c r="BF1467" s="2656"/>
      <c r="BG1467" s="2656"/>
      <c r="BH1467" s="2656"/>
      <c r="BI1467" s="2656"/>
    </row>
    <row r="1468" spans="1:61" ht="24.75" customHeight="1">
      <c r="A1468" s="3375"/>
      <c r="B1468" s="2646"/>
      <c r="C1468" s="2647"/>
      <c r="D1468" s="2646"/>
      <c r="E1468" s="3013"/>
      <c r="F1468" s="2655"/>
      <c r="G1468" s="2596"/>
      <c r="H1468" s="4138"/>
      <c r="I1468" s="3375"/>
      <c r="J1468" s="2648"/>
      <c r="K1468" s="3147"/>
      <c r="L1468" s="2785"/>
      <c r="M1468" s="2695"/>
      <c r="N1468" s="2649"/>
      <c r="O1468" s="2655"/>
      <c r="P1468" s="2651"/>
      <c r="Q1468" s="3440"/>
      <c r="R1468" s="3553"/>
      <c r="S1468" s="1407"/>
      <c r="T1468" s="3375"/>
      <c r="U1468" s="2648"/>
      <c r="V1468" s="3554"/>
      <c r="W1468" s="3150"/>
      <c r="X1468" s="2656"/>
      <c r="Y1468" s="2656"/>
      <c r="Z1468" s="2656"/>
      <c r="AA1468" s="2656"/>
      <c r="AB1468" s="2656"/>
      <c r="AC1468" s="2656"/>
      <c r="AD1468" s="2656"/>
      <c r="AE1468" s="2656"/>
      <c r="AF1468" s="2656"/>
      <c r="AG1468" s="2656"/>
      <c r="AH1468" s="2656"/>
      <c r="AI1468" s="2656"/>
      <c r="AJ1468" s="2656"/>
      <c r="AK1468" s="2656"/>
      <c r="AL1468" s="2656"/>
      <c r="AM1468" s="2656"/>
      <c r="AN1468" s="2656"/>
      <c r="AO1468" s="2656"/>
      <c r="AP1468" s="2656"/>
      <c r="AQ1468" s="2656"/>
      <c r="AR1468" s="2656"/>
      <c r="AS1468" s="2656"/>
      <c r="AT1468" s="2656"/>
      <c r="AU1468" s="2656"/>
      <c r="AV1468" s="2656"/>
      <c r="AW1468" s="2656"/>
      <c r="AX1468" s="2656"/>
      <c r="AY1468" s="2656"/>
      <c r="AZ1468" s="2656"/>
      <c r="BA1468" s="2656"/>
      <c r="BB1468" s="2656"/>
      <c r="BC1468" s="2656"/>
      <c r="BD1468" s="2656"/>
      <c r="BE1468" s="2656"/>
      <c r="BF1468" s="2656"/>
      <c r="BG1468" s="2656"/>
      <c r="BH1468" s="2656"/>
      <c r="BI1468" s="2656"/>
    </row>
    <row r="1469" spans="1:61" ht="24.75" customHeight="1">
      <c r="A1469" s="3375"/>
      <c r="B1469" s="2646"/>
      <c r="C1469" s="2647"/>
      <c r="D1469" s="2646"/>
      <c r="E1469" s="3013"/>
      <c r="F1469" s="2655"/>
      <c r="G1469" s="2596"/>
      <c r="H1469" s="4138"/>
      <c r="I1469" s="3375"/>
      <c r="J1469" s="2648"/>
      <c r="K1469" s="3147"/>
      <c r="L1469" s="2785"/>
      <c r="M1469" s="2695"/>
      <c r="N1469" s="2649"/>
      <c r="O1469" s="2655"/>
      <c r="P1469" s="2651"/>
      <c r="Q1469" s="3440"/>
      <c r="R1469" s="3553"/>
      <c r="S1469" s="1407"/>
      <c r="T1469" s="3375"/>
      <c r="U1469" s="2648"/>
      <c r="V1469" s="3554"/>
      <c r="W1469" s="3150"/>
      <c r="X1469" s="2656"/>
      <c r="Y1469" s="2656"/>
      <c r="Z1469" s="2656"/>
      <c r="AA1469" s="2656"/>
      <c r="AB1469" s="2656"/>
      <c r="AC1469" s="2656"/>
      <c r="AD1469" s="2656"/>
      <c r="AE1469" s="2656"/>
      <c r="AF1469" s="2656"/>
      <c r="AG1469" s="2656"/>
      <c r="AH1469" s="2656"/>
      <c r="AI1469" s="2656"/>
      <c r="AJ1469" s="2656"/>
      <c r="AK1469" s="2656"/>
      <c r="AL1469" s="2656"/>
      <c r="AM1469" s="2656"/>
      <c r="AN1469" s="2656"/>
      <c r="AO1469" s="2656"/>
      <c r="AP1469" s="2656"/>
      <c r="AQ1469" s="2656"/>
      <c r="AR1469" s="2656"/>
      <c r="AS1469" s="2656"/>
      <c r="AT1469" s="2656"/>
      <c r="AU1469" s="2656"/>
      <c r="AV1469" s="2656"/>
      <c r="AW1469" s="2656"/>
      <c r="AX1469" s="2656"/>
      <c r="AY1469" s="2656"/>
      <c r="AZ1469" s="2656"/>
      <c r="BA1469" s="2656"/>
      <c r="BB1469" s="2656"/>
      <c r="BC1469" s="2656"/>
      <c r="BD1469" s="2656"/>
      <c r="BE1469" s="2656"/>
      <c r="BF1469" s="2656"/>
      <c r="BG1469" s="2656"/>
      <c r="BH1469" s="2656"/>
      <c r="BI1469" s="2656"/>
    </row>
    <row r="1470" spans="1:61" ht="24.75" customHeight="1">
      <c r="A1470" s="3375"/>
      <c r="B1470" s="2646"/>
      <c r="C1470" s="2647"/>
      <c r="D1470" s="2646"/>
      <c r="E1470" s="3013"/>
      <c r="F1470" s="2655"/>
      <c r="G1470" s="2596"/>
      <c r="H1470" s="4138"/>
      <c r="I1470" s="3375"/>
      <c r="J1470" s="2648"/>
      <c r="K1470" s="3147"/>
      <c r="L1470" s="2785"/>
      <c r="M1470" s="2695"/>
      <c r="N1470" s="2649"/>
      <c r="O1470" s="2655"/>
      <c r="P1470" s="2651"/>
      <c r="Q1470" s="3440"/>
      <c r="R1470" s="3553"/>
      <c r="S1470" s="1407"/>
      <c r="T1470" s="3375"/>
      <c r="U1470" s="2648"/>
      <c r="V1470" s="3554"/>
      <c r="W1470" s="3150"/>
      <c r="X1470" s="2656"/>
      <c r="Y1470" s="2656"/>
      <c r="Z1470" s="2656"/>
      <c r="AA1470" s="2656"/>
      <c r="AB1470" s="2656"/>
      <c r="AC1470" s="2656"/>
      <c r="AD1470" s="2656"/>
      <c r="AE1470" s="2656"/>
      <c r="AF1470" s="2656"/>
      <c r="AG1470" s="2656"/>
      <c r="AH1470" s="2656"/>
      <c r="AI1470" s="2656"/>
      <c r="AJ1470" s="2656"/>
      <c r="AK1470" s="2656"/>
      <c r="AL1470" s="2656"/>
      <c r="AM1470" s="2656"/>
      <c r="AN1470" s="2656"/>
      <c r="AO1470" s="2656"/>
      <c r="AP1470" s="2656"/>
      <c r="AQ1470" s="2656"/>
      <c r="AR1470" s="2656"/>
      <c r="AS1470" s="2656"/>
      <c r="AT1470" s="2656"/>
      <c r="AU1470" s="2656"/>
      <c r="AV1470" s="2656"/>
      <c r="AW1470" s="2656"/>
      <c r="AX1470" s="2656"/>
      <c r="AY1470" s="2656"/>
      <c r="AZ1470" s="2656"/>
      <c r="BA1470" s="2656"/>
      <c r="BB1470" s="2656"/>
      <c r="BC1470" s="2656"/>
      <c r="BD1470" s="2656"/>
      <c r="BE1470" s="2656"/>
      <c r="BF1470" s="2656"/>
      <c r="BG1470" s="2656"/>
      <c r="BH1470" s="2656"/>
      <c r="BI1470" s="2656"/>
    </row>
    <row r="1471" spans="1:61" ht="24.75" customHeight="1">
      <c r="A1471" s="3375"/>
      <c r="B1471" s="2646"/>
      <c r="C1471" s="2647"/>
      <c r="D1471" s="2646"/>
      <c r="E1471" s="3013"/>
      <c r="F1471" s="2655"/>
      <c r="G1471" s="2596"/>
      <c r="H1471" s="4138"/>
      <c r="I1471" s="3375"/>
      <c r="J1471" s="2648"/>
      <c r="K1471" s="3147"/>
      <c r="L1471" s="2785"/>
      <c r="M1471" s="2695"/>
      <c r="N1471" s="2649"/>
      <c r="O1471" s="2655"/>
      <c r="P1471" s="2651"/>
      <c r="Q1471" s="3440"/>
      <c r="R1471" s="3553"/>
      <c r="S1471" s="1407"/>
      <c r="T1471" s="3375"/>
      <c r="U1471" s="2648"/>
      <c r="V1471" s="3554"/>
      <c r="W1471" s="3150"/>
      <c r="X1471" s="2656"/>
      <c r="Y1471" s="2656"/>
      <c r="Z1471" s="2656"/>
      <c r="AA1471" s="2656"/>
      <c r="AB1471" s="2656"/>
      <c r="AC1471" s="2656"/>
      <c r="AD1471" s="2656"/>
      <c r="AE1471" s="2656"/>
      <c r="AF1471" s="2656"/>
      <c r="AG1471" s="2656"/>
      <c r="AH1471" s="2656"/>
      <c r="AI1471" s="2656"/>
      <c r="AJ1471" s="2656"/>
      <c r="AK1471" s="2656"/>
      <c r="AL1471" s="2656"/>
      <c r="AM1471" s="2656"/>
      <c r="AN1471" s="2656"/>
      <c r="AO1471" s="2656"/>
      <c r="AP1471" s="2656"/>
      <c r="AQ1471" s="2656"/>
      <c r="AR1471" s="2656"/>
      <c r="AS1471" s="2656"/>
      <c r="AT1471" s="2656"/>
      <c r="AU1471" s="2656"/>
      <c r="AV1471" s="2656"/>
      <c r="AW1471" s="2656"/>
      <c r="AX1471" s="2656"/>
      <c r="AY1471" s="2656"/>
      <c r="AZ1471" s="2656"/>
      <c r="BA1471" s="2656"/>
      <c r="BB1471" s="2656"/>
      <c r="BC1471" s="2656"/>
      <c r="BD1471" s="2656"/>
      <c r="BE1471" s="2656"/>
      <c r="BF1471" s="2656"/>
      <c r="BG1471" s="2656"/>
      <c r="BH1471" s="2656"/>
      <c r="BI1471" s="2656"/>
    </row>
    <row r="1472" spans="1:61" ht="24.75" customHeight="1">
      <c r="A1472" s="3375"/>
      <c r="B1472" s="2646"/>
      <c r="C1472" s="2647"/>
      <c r="D1472" s="2646"/>
      <c r="E1472" s="3013"/>
      <c r="F1472" s="2655"/>
      <c r="G1472" s="2596"/>
      <c r="H1472" s="4138"/>
      <c r="I1472" s="3375"/>
      <c r="J1472" s="2648"/>
      <c r="K1472" s="3147"/>
      <c r="L1472" s="2785"/>
      <c r="M1472" s="2695"/>
      <c r="N1472" s="2649"/>
      <c r="O1472" s="2655"/>
      <c r="P1472" s="2651"/>
      <c r="Q1472" s="3440"/>
      <c r="R1472" s="3553"/>
      <c r="S1472" s="1407"/>
      <c r="T1472" s="3375"/>
      <c r="U1472" s="2648"/>
      <c r="V1472" s="3554"/>
      <c r="W1472" s="3150"/>
      <c r="X1472" s="2656"/>
      <c r="Y1472" s="2656"/>
      <c r="Z1472" s="2656"/>
      <c r="AA1472" s="2656"/>
      <c r="AB1472" s="2656"/>
      <c r="AC1472" s="2656"/>
      <c r="AD1472" s="2656"/>
      <c r="AE1472" s="2656"/>
      <c r="AF1472" s="2656"/>
      <c r="AG1472" s="2656"/>
      <c r="AH1472" s="2656"/>
      <c r="AI1472" s="2656"/>
      <c r="AJ1472" s="2656"/>
      <c r="AK1472" s="2656"/>
      <c r="AL1472" s="2656"/>
      <c r="AM1472" s="2656"/>
      <c r="AN1472" s="2656"/>
      <c r="AO1472" s="2656"/>
      <c r="AP1472" s="2656"/>
      <c r="AQ1472" s="2656"/>
      <c r="AR1472" s="2656"/>
      <c r="AS1472" s="2656"/>
      <c r="AT1472" s="2656"/>
      <c r="AU1472" s="2656"/>
      <c r="AV1472" s="2656"/>
      <c r="AW1472" s="2656"/>
      <c r="AX1472" s="2656"/>
      <c r="AY1472" s="2656"/>
      <c r="AZ1472" s="2656"/>
      <c r="BA1472" s="2656"/>
      <c r="BB1472" s="2656"/>
      <c r="BC1472" s="2656"/>
      <c r="BD1472" s="2656"/>
      <c r="BE1472" s="2656"/>
      <c r="BF1472" s="2656"/>
      <c r="BG1472" s="2656"/>
      <c r="BH1472" s="2656"/>
      <c r="BI1472" s="2656"/>
    </row>
    <row r="1473" spans="1:61" ht="24.75" customHeight="1">
      <c r="A1473" s="3375"/>
      <c r="B1473" s="2646"/>
      <c r="C1473" s="2647"/>
      <c r="D1473" s="2646"/>
      <c r="E1473" s="3013"/>
      <c r="F1473" s="2655"/>
      <c r="G1473" s="2596"/>
      <c r="H1473" s="4138"/>
      <c r="I1473" s="3375"/>
      <c r="J1473" s="2648"/>
      <c r="K1473" s="3147"/>
      <c r="L1473" s="2785"/>
      <c r="M1473" s="2695"/>
      <c r="N1473" s="2649"/>
      <c r="O1473" s="2655"/>
      <c r="P1473" s="2651"/>
      <c r="Q1473" s="3440"/>
      <c r="R1473" s="3553"/>
      <c r="S1473" s="1407"/>
      <c r="T1473" s="3375"/>
      <c r="U1473" s="2648"/>
      <c r="V1473" s="3554"/>
      <c r="W1473" s="3150"/>
      <c r="X1473" s="2656"/>
      <c r="Y1473" s="2656"/>
      <c r="Z1473" s="2656"/>
      <c r="AA1473" s="2656"/>
      <c r="AB1473" s="2656"/>
      <c r="AC1473" s="2656"/>
      <c r="AD1473" s="2656"/>
      <c r="AE1473" s="2656"/>
      <c r="AF1473" s="2656"/>
      <c r="AG1473" s="2656"/>
      <c r="AH1473" s="2656"/>
      <c r="AI1473" s="2656"/>
      <c r="AJ1473" s="2656"/>
      <c r="AK1473" s="2656"/>
      <c r="AL1473" s="2656"/>
      <c r="AM1473" s="2656"/>
      <c r="AN1473" s="2656"/>
      <c r="AO1473" s="2656"/>
      <c r="AP1473" s="2656"/>
      <c r="AQ1473" s="2656"/>
      <c r="AR1473" s="2656"/>
      <c r="AS1473" s="2656"/>
      <c r="AT1473" s="2656"/>
      <c r="AU1473" s="2656"/>
      <c r="AV1473" s="2656"/>
      <c r="AW1473" s="2656"/>
      <c r="AX1473" s="2656"/>
      <c r="AY1473" s="2656"/>
      <c r="AZ1473" s="2656"/>
      <c r="BA1473" s="2656"/>
      <c r="BB1473" s="2656"/>
      <c r="BC1473" s="2656"/>
      <c r="BD1473" s="2656"/>
      <c r="BE1473" s="2656"/>
      <c r="BF1473" s="2656"/>
      <c r="BG1473" s="2656"/>
      <c r="BH1473" s="2656"/>
      <c r="BI1473" s="2656"/>
    </row>
    <row r="1474" spans="1:61" ht="24.75" customHeight="1">
      <c r="A1474" s="3375"/>
      <c r="B1474" s="2646"/>
      <c r="C1474" s="2647"/>
      <c r="D1474" s="2646"/>
      <c r="E1474" s="3013"/>
      <c r="F1474" s="2655"/>
      <c r="G1474" s="2596"/>
      <c r="H1474" s="4138"/>
      <c r="I1474" s="3375"/>
      <c r="J1474" s="2648"/>
      <c r="K1474" s="3147"/>
      <c r="L1474" s="2785"/>
      <c r="M1474" s="2695"/>
      <c r="N1474" s="2649"/>
      <c r="O1474" s="2655"/>
      <c r="P1474" s="2651"/>
      <c r="Q1474" s="3440"/>
      <c r="R1474" s="3553"/>
      <c r="S1474" s="1407"/>
      <c r="T1474" s="3375"/>
      <c r="U1474" s="2648"/>
      <c r="V1474" s="3554"/>
      <c r="W1474" s="3150"/>
      <c r="X1474" s="2656"/>
      <c r="Y1474" s="2656"/>
      <c r="Z1474" s="2656"/>
      <c r="AA1474" s="2656"/>
      <c r="AB1474" s="2656"/>
      <c r="AC1474" s="2656"/>
      <c r="AD1474" s="2656"/>
      <c r="AE1474" s="2656"/>
      <c r="AF1474" s="2656"/>
      <c r="AG1474" s="2656"/>
      <c r="AH1474" s="2656"/>
      <c r="AI1474" s="2656"/>
      <c r="AJ1474" s="2656"/>
      <c r="AK1474" s="2656"/>
      <c r="AL1474" s="2656"/>
      <c r="AM1474" s="2656"/>
      <c r="AN1474" s="2656"/>
      <c r="AO1474" s="2656"/>
      <c r="AP1474" s="2656"/>
      <c r="AQ1474" s="2656"/>
      <c r="AR1474" s="2656"/>
      <c r="AS1474" s="2656"/>
      <c r="AT1474" s="2656"/>
      <c r="AU1474" s="2656"/>
      <c r="AV1474" s="2656"/>
      <c r="AW1474" s="2656"/>
      <c r="AX1474" s="2656"/>
      <c r="AY1474" s="2656"/>
      <c r="AZ1474" s="2656"/>
      <c r="BA1474" s="2656"/>
      <c r="BB1474" s="2656"/>
      <c r="BC1474" s="2656"/>
      <c r="BD1474" s="2656"/>
      <c r="BE1474" s="2656"/>
      <c r="BF1474" s="2656"/>
      <c r="BG1474" s="2656"/>
      <c r="BH1474" s="2656"/>
      <c r="BI1474" s="2656"/>
    </row>
    <row r="1475" spans="1:61" ht="24.75" customHeight="1">
      <c r="A1475" s="3375"/>
      <c r="B1475" s="2646"/>
      <c r="C1475" s="2647"/>
      <c r="D1475" s="2646"/>
      <c r="E1475" s="3013"/>
      <c r="F1475" s="2655"/>
      <c r="G1475" s="2596"/>
      <c r="H1475" s="4138"/>
      <c r="I1475" s="3375"/>
      <c r="J1475" s="2648"/>
      <c r="K1475" s="3147"/>
      <c r="L1475" s="2785"/>
      <c r="M1475" s="2695"/>
      <c r="N1475" s="2649"/>
      <c r="O1475" s="2655"/>
      <c r="P1475" s="2651"/>
      <c r="Q1475" s="3440"/>
      <c r="R1475" s="3553"/>
      <c r="S1475" s="1407"/>
      <c r="T1475" s="3375"/>
      <c r="U1475" s="2648"/>
      <c r="V1475" s="3554"/>
      <c r="W1475" s="3150"/>
      <c r="X1475" s="2656"/>
      <c r="Y1475" s="2656"/>
      <c r="Z1475" s="2656"/>
      <c r="AA1475" s="2656"/>
      <c r="AB1475" s="2656"/>
      <c r="AC1475" s="2656"/>
      <c r="AD1475" s="2656"/>
      <c r="AE1475" s="2656"/>
      <c r="AF1475" s="2656"/>
      <c r="AG1475" s="2656"/>
      <c r="AH1475" s="2656"/>
      <c r="AI1475" s="2656"/>
      <c r="AJ1475" s="2656"/>
      <c r="AK1475" s="2656"/>
      <c r="AL1475" s="2656"/>
      <c r="AM1475" s="2656"/>
      <c r="AN1475" s="2656"/>
      <c r="AO1475" s="2656"/>
      <c r="AP1475" s="2656"/>
      <c r="AQ1475" s="2656"/>
      <c r="AR1475" s="2656"/>
      <c r="AS1475" s="2656"/>
      <c r="AT1475" s="2656"/>
      <c r="AU1475" s="2656"/>
      <c r="AV1475" s="2656"/>
      <c r="AW1475" s="2656"/>
      <c r="AX1475" s="2656"/>
      <c r="AY1475" s="2656"/>
      <c r="AZ1475" s="2656"/>
      <c r="BA1475" s="2656"/>
      <c r="BB1475" s="2656"/>
      <c r="BC1475" s="2656"/>
      <c r="BD1475" s="2656"/>
      <c r="BE1475" s="2656"/>
      <c r="BF1475" s="2656"/>
      <c r="BG1475" s="2656"/>
      <c r="BH1475" s="2656"/>
      <c r="BI1475" s="2656"/>
    </row>
    <row r="1476" spans="1:61" ht="24.75" customHeight="1">
      <c r="A1476" s="3375"/>
      <c r="B1476" s="2646"/>
      <c r="C1476" s="2647"/>
      <c r="D1476" s="2646"/>
      <c r="E1476" s="3013"/>
      <c r="F1476" s="2655"/>
      <c r="G1476" s="2596"/>
      <c r="H1476" s="4138"/>
      <c r="I1476" s="3375"/>
      <c r="J1476" s="2648"/>
      <c r="K1476" s="3147"/>
      <c r="L1476" s="2785"/>
      <c r="M1476" s="2695"/>
      <c r="N1476" s="2649"/>
      <c r="O1476" s="2655"/>
      <c r="P1476" s="2651"/>
      <c r="Q1476" s="3440"/>
      <c r="R1476" s="3553"/>
      <c r="S1476" s="1407"/>
      <c r="T1476" s="3375"/>
      <c r="U1476" s="2648"/>
      <c r="V1476" s="3554"/>
      <c r="W1476" s="3150"/>
      <c r="X1476" s="2656"/>
      <c r="Y1476" s="2656"/>
      <c r="Z1476" s="2656"/>
      <c r="AA1476" s="2656"/>
      <c r="AB1476" s="2656"/>
      <c r="AC1476" s="2656"/>
      <c r="AD1476" s="2656"/>
      <c r="AE1476" s="2656"/>
      <c r="AF1476" s="2656"/>
      <c r="AG1476" s="2656"/>
      <c r="AH1476" s="2656"/>
      <c r="AI1476" s="2656"/>
      <c r="AJ1476" s="2656"/>
      <c r="AK1476" s="2656"/>
      <c r="AL1476" s="2656"/>
      <c r="AM1476" s="2656"/>
      <c r="AN1476" s="2656"/>
      <c r="AO1476" s="2656"/>
      <c r="AP1476" s="2656"/>
      <c r="AQ1476" s="2656"/>
      <c r="AR1476" s="2656"/>
      <c r="AS1476" s="2656"/>
      <c r="AT1476" s="2656"/>
      <c r="AU1476" s="2656"/>
      <c r="AV1476" s="2656"/>
      <c r="AW1476" s="2656"/>
      <c r="AX1476" s="2656"/>
      <c r="AY1476" s="2656"/>
      <c r="AZ1476" s="2656"/>
      <c r="BA1476" s="2656"/>
      <c r="BB1476" s="2656"/>
      <c r="BC1476" s="2656"/>
      <c r="BD1476" s="2656"/>
      <c r="BE1476" s="2656"/>
      <c r="BF1476" s="2656"/>
      <c r="BG1476" s="2656"/>
      <c r="BH1476" s="2656"/>
      <c r="BI1476" s="2656"/>
    </row>
    <row r="1477" spans="1:61" ht="24.75" customHeight="1">
      <c r="A1477" s="3375"/>
      <c r="B1477" s="2646"/>
      <c r="C1477" s="2647"/>
      <c r="D1477" s="2646"/>
      <c r="E1477" s="3013"/>
      <c r="F1477" s="2655"/>
      <c r="G1477" s="2596"/>
      <c r="H1477" s="4138"/>
      <c r="I1477" s="3375"/>
      <c r="J1477" s="2648"/>
      <c r="K1477" s="3147"/>
      <c r="L1477" s="2785"/>
      <c r="M1477" s="2695"/>
      <c r="N1477" s="2649"/>
      <c r="O1477" s="2655"/>
      <c r="P1477" s="2651"/>
      <c r="Q1477" s="3440"/>
      <c r="R1477" s="3553"/>
      <c r="S1477" s="1407"/>
      <c r="T1477" s="3375"/>
      <c r="U1477" s="2648"/>
      <c r="V1477" s="3554"/>
      <c r="W1477" s="3150"/>
      <c r="X1477" s="2656"/>
      <c r="Y1477" s="2656"/>
      <c r="Z1477" s="2656"/>
      <c r="AA1477" s="2656"/>
      <c r="AB1477" s="2656"/>
      <c r="AC1477" s="2656"/>
      <c r="AD1477" s="2656"/>
      <c r="AE1477" s="2656"/>
      <c r="AF1477" s="2656"/>
      <c r="AG1477" s="2656"/>
      <c r="AH1477" s="2656"/>
      <c r="AI1477" s="2656"/>
      <c r="AJ1477" s="2656"/>
      <c r="AK1477" s="2656"/>
      <c r="AL1477" s="2656"/>
      <c r="AM1477" s="2656"/>
      <c r="AN1477" s="2656"/>
      <c r="AO1477" s="2656"/>
      <c r="AP1477" s="2656"/>
      <c r="AQ1477" s="2656"/>
      <c r="AR1477" s="2656"/>
      <c r="AS1477" s="2656"/>
      <c r="AT1477" s="2656"/>
      <c r="AU1477" s="2656"/>
      <c r="AV1477" s="2656"/>
      <c r="AW1477" s="2656"/>
      <c r="AX1477" s="2656"/>
      <c r="AY1477" s="2656"/>
      <c r="AZ1477" s="2656"/>
      <c r="BA1477" s="2656"/>
      <c r="BB1477" s="2656"/>
      <c r="BC1477" s="2656"/>
      <c r="BD1477" s="2656"/>
      <c r="BE1477" s="2656"/>
      <c r="BF1477" s="2656"/>
      <c r="BG1477" s="2656"/>
      <c r="BH1477" s="2656"/>
      <c r="BI1477" s="2656"/>
    </row>
    <row r="1478" spans="1:61" ht="24.75" customHeight="1">
      <c r="A1478" s="3375"/>
      <c r="B1478" s="2646"/>
      <c r="C1478" s="2647"/>
      <c r="D1478" s="2646"/>
      <c r="E1478" s="3013"/>
      <c r="F1478" s="2655"/>
      <c r="G1478" s="2596"/>
      <c r="H1478" s="4138"/>
      <c r="I1478" s="3375"/>
      <c r="J1478" s="2648"/>
      <c r="K1478" s="3147"/>
      <c r="L1478" s="2785"/>
      <c r="M1478" s="2695"/>
      <c r="N1478" s="2649"/>
      <c r="O1478" s="2655"/>
      <c r="P1478" s="2651"/>
      <c r="Q1478" s="3440"/>
      <c r="R1478" s="3553"/>
      <c r="S1478" s="1407"/>
      <c r="T1478" s="3375"/>
      <c r="U1478" s="2648"/>
      <c r="V1478" s="3554"/>
      <c r="W1478" s="3150"/>
      <c r="X1478" s="2656"/>
      <c r="Y1478" s="2656"/>
      <c r="Z1478" s="2656"/>
      <c r="AA1478" s="2656"/>
      <c r="AB1478" s="2656"/>
      <c r="AC1478" s="2656"/>
      <c r="AD1478" s="2656"/>
      <c r="AE1478" s="2656"/>
      <c r="AF1478" s="2656"/>
      <c r="AG1478" s="2656"/>
      <c r="AH1478" s="2656"/>
      <c r="AI1478" s="2656"/>
      <c r="AJ1478" s="2656"/>
      <c r="AK1478" s="2656"/>
      <c r="AL1478" s="2656"/>
      <c r="AM1478" s="2656"/>
      <c r="AN1478" s="2656"/>
      <c r="AO1478" s="2656"/>
      <c r="AP1478" s="2656"/>
      <c r="AQ1478" s="2656"/>
      <c r="AR1478" s="2656"/>
      <c r="AS1478" s="2656"/>
      <c r="AT1478" s="2656"/>
      <c r="AU1478" s="2656"/>
      <c r="AV1478" s="2656"/>
      <c r="AW1478" s="2656"/>
      <c r="AX1478" s="2656"/>
      <c r="AY1478" s="2656"/>
      <c r="AZ1478" s="2656"/>
      <c r="BA1478" s="2656"/>
      <c r="BB1478" s="2656"/>
      <c r="BC1478" s="2656"/>
      <c r="BD1478" s="2656"/>
      <c r="BE1478" s="2656"/>
      <c r="BF1478" s="2656"/>
      <c r="BG1478" s="2656"/>
      <c r="BH1478" s="2656"/>
      <c r="BI1478" s="2656"/>
    </row>
    <row r="1479" spans="1:61" ht="24.75" customHeight="1">
      <c r="A1479" s="3375"/>
      <c r="B1479" s="2646"/>
      <c r="C1479" s="2647"/>
      <c r="D1479" s="2646"/>
      <c r="E1479" s="3013"/>
      <c r="F1479" s="2655"/>
      <c r="G1479" s="2596"/>
      <c r="H1479" s="4138"/>
      <c r="I1479" s="3375"/>
      <c r="J1479" s="2648"/>
      <c r="K1479" s="3147"/>
      <c r="L1479" s="2785"/>
      <c r="M1479" s="2695"/>
      <c r="N1479" s="2649"/>
      <c r="O1479" s="2655"/>
      <c r="P1479" s="2651"/>
      <c r="Q1479" s="3440"/>
      <c r="R1479" s="3553"/>
      <c r="S1479" s="1407"/>
      <c r="T1479" s="3375"/>
      <c r="U1479" s="2648"/>
      <c r="V1479" s="3554"/>
      <c r="W1479" s="3150"/>
      <c r="X1479" s="2656"/>
      <c r="Y1479" s="2656"/>
      <c r="Z1479" s="2656"/>
      <c r="AA1479" s="2656"/>
      <c r="AB1479" s="2656"/>
      <c r="AC1479" s="2656"/>
      <c r="AD1479" s="2656"/>
      <c r="AE1479" s="2656"/>
      <c r="AF1479" s="2656"/>
      <c r="AG1479" s="2656"/>
      <c r="AH1479" s="2656"/>
      <c r="AI1479" s="2656"/>
      <c r="AJ1479" s="2656"/>
      <c r="AK1479" s="2656"/>
      <c r="AL1479" s="2656"/>
      <c r="AM1479" s="2656"/>
      <c r="AN1479" s="2656"/>
      <c r="AO1479" s="2656"/>
      <c r="AP1479" s="2656"/>
      <c r="AQ1479" s="2656"/>
      <c r="AR1479" s="2656"/>
      <c r="AS1479" s="2656"/>
      <c r="AT1479" s="2656"/>
      <c r="AU1479" s="2656"/>
      <c r="AV1479" s="2656"/>
      <c r="AW1479" s="2656"/>
      <c r="AX1479" s="2656"/>
      <c r="AY1479" s="2656"/>
      <c r="AZ1479" s="2656"/>
      <c r="BA1479" s="2656"/>
      <c r="BB1479" s="2656"/>
      <c r="BC1479" s="2656"/>
      <c r="BD1479" s="2656"/>
      <c r="BE1479" s="2656"/>
      <c r="BF1479" s="2656"/>
      <c r="BG1479" s="2656"/>
      <c r="BH1479" s="2656"/>
      <c r="BI1479" s="2656"/>
    </row>
    <row r="1480" spans="1:61" ht="24.75" customHeight="1">
      <c r="A1480" s="3375"/>
      <c r="B1480" s="2646"/>
      <c r="C1480" s="2647"/>
      <c r="D1480" s="2646"/>
      <c r="E1480" s="3013"/>
      <c r="F1480" s="2655"/>
      <c r="G1480" s="2596"/>
      <c r="H1480" s="4138"/>
      <c r="I1480" s="3375"/>
      <c r="J1480" s="2648"/>
      <c r="K1480" s="3147"/>
      <c r="L1480" s="2785"/>
      <c r="M1480" s="2695"/>
      <c r="N1480" s="2649"/>
      <c r="O1480" s="2655"/>
      <c r="P1480" s="2651"/>
      <c r="Q1480" s="3440"/>
      <c r="R1480" s="3553"/>
      <c r="S1480" s="1407"/>
      <c r="T1480" s="3375"/>
      <c r="U1480" s="2648"/>
      <c r="V1480" s="3554"/>
      <c r="W1480" s="3150"/>
      <c r="X1480" s="2656"/>
      <c r="Y1480" s="2656"/>
      <c r="Z1480" s="2656"/>
      <c r="AA1480" s="2656"/>
      <c r="AB1480" s="2656"/>
      <c r="AC1480" s="2656"/>
      <c r="AD1480" s="2656"/>
      <c r="AE1480" s="2656"/>
      <c r="AF1480" s="2656"/>
      <c r="AG1480" s="2656"/>
      <c r="AH1480" s="2656"/>
      <c r="AI1480" s="2656"/>
      <c r="AJ1480" s="2656"/>
      <c r="AK1480" s="2656"/>
      <c r="AL1480" s="2656"/>
      <c r="AM1480" s="2656"/>
      <c r="AN1480" s="2656"/>
      <c r="AO1480" s="2656"/>
      <c r="AP1480" s="2656"/>
      <c r="AQ1480" s="2656"/>
      <c r="AR1480" s="2656"/>
      <c r="AS1480" s="2656"/>
      <c r="AT1480" s="2656"/>
      <c r="AU1480" s="2656"/>
      <c r="AV1480" s="2656"/>
      <c r="AW1480" s="2656"/>
      <c r="AX1480" s="2656"/>
      <c r="AY1480" s="2656"/>
      <c r="AZ1480" s="2656"/>
      <c r="BA1480" s="2656"/>
      <c r="BB1480" s="2656"/>
      <c r="BC1480" s="2656"/>
      <c r="BD1480" s="2656"/>
      <c r="BE1480" s="2656"/>
      <c r="BF1480" s="2656"/>
      <c r="BG1480" s="2656"/>
      <c r="BH1480" s="2656"/>
      <c r="BI1480" s="2656"/>
    </row>
    <row r="1481" spans="1:61" ht="24.75" customHeight="1">
      <c r="A1481" s="3375"/>
      <c r="B1481" s="2646"/>
      <c r="C1481" s="2647"/>
      <c r="D1481" s="2646"/>
      <c r="E1481" s="3013"/>
      <c r="F1481" s="2655"/>
      <c r="G1481" s="2596"/>
      <c r="H1481" s="4138"/>
      <c r="I1481" s="3375"/>
      <c r="J1481" s="2648"/>
      <c r="K1481" s="3147"/>
      <c r="L1481" s="2785"/>
      <c r="M1481" s="2695"/>
      <c r="N1481" s="2649"/>
      <c r="O1481" s="2655"/>
      <c r="P1481" s="2651"/>
      <c r="Q1481" s="3440"/>
      <c r="R1481" s="3553"/>
      <c r="S1481" s="1407"/>
      <c r="T1481" s="3375"/>
      <c r="U1481" s="2648"/>
      <c r="V1481" s="3554"/>
      <c r="W1481" s="3150"/>
      <c r="X1481" s="2656"/>
      <c r="Y1481" s="2656"/>
      <c r="Z1481" s="2656"/>
      <c r="AA1481" s="2656"/>
      <c r="AB1481" s="2656"/>
      <c r="AC1481" s="2656"/>
      <c r="AD1481" s="2656"/>
      <c r="AE1481" s="2656"/>
      <c r="AF1481" s="2656"/>
      <c r="AG1481" s="2656"/>
      <c r="AH1481" s="2656"/>
      <c r="AI1481" s="2656"/>
      <c r="AJ1481" s="2656"/>
      <c r="AK1481" s="2656"/>
      <c r="AL1481" s="2656"/>
      <c r="AM1481" s="2656"/>
      <c r="AN1481" s="2656"/>
      <c r="AO1481" s="2656"/>
      <c r="AP1481" s="2656"/>
      <c r="AQ1481" s="2656"/>
      <c r="AR1481" s="2656"/>
      <c r="AS1481" s="2656"/>
      <c r="AT1481" s="2656"/>
      <c r="AU1481" s="2656"/>
      <c r="AV1481" s="2656"/>
      <c r="AW1481" s="2656"/>
      <c r="AX1481" s="2656"/>
      <c r="AY1481" s="2656"/>
      <c r="AZ1481" s="2656"/>
      <c r="BA1481" s="2656"/>
      <c r="BB1481" s="2656"/>
      <c r="BC1481" s="2656"/>
      <c r="BD1481" s="2656"/>
      <c r="BE1481" s="2656"/>
      <c r="BF1481" s="2656"/>
      <c r="BG1481" s="2656"/>
      <c r="BH1481" s="2656"/>
      <c r="BI1481" s="2656"/>
    </row>
    <row r="1482" spans="1:61" ht="24.75" customHeight="1">
      <c r="A1482" s="3375"/>
      <c r="B1482" s="2646"/>
      <c r="C1482" s="2647"/>
      <c r="D1482" s="2646"/>
      <c r="E1482" s="3013"/>
      <c r="F1482" s="2655"/>
      <c r="G1482" s="2596"/>
      <c r="H1482" s="4138"/>
      <c r="I1482" s="3375"/>
      <c r="J1482" s="2648"/>
      <c r="K1482" s="3147"/>
      <c r="L1482" s="2785"/>
      <c r="M1482" s="2695"/>
      <c r="N1482" s="2649"/>
      <c r="O1482" s="2655"/>
      <c r="P1482" s="2651"/>
      <c r="Q1482" s="3440"/>
      <c r="R1482" s="3553"/>
      <c r="S1482" s="1407"/>
      <c r="T1482" s="3375"/>
      <c r="U1482" s="2648"/>
      <c r="V1482" s="3554"/>
      <c r="W1482" s="3150"/>
      <c r="X1482" s="2656"/>
      <c r="Y1482" s="2656"/>
      <c r="Z1482" s="2656"/>
      <c r="AA1482" s="2656"/>
      <c r="AB1482" s="2656"/>
      <c r="AC1482" s="2656"/>
      <c r="AD1482" s="2656"/>
      <c r="AE1482" s="2656"/>
      <c r="AF1482" s="2656"/>
      <c r="AG1482" s="2656"/>
      <c r="AH1482" s="2656"/>
      <c r="AI1482" s="2656"/>
      <c r="AJ1482" s="2656"/>
      <c r="AK1482" s="2656"/>
      <c r="AL1482" s="2656"/>
      <c r="AM1482" s="2656"/>
      <c r="AN1482" s="2656"/>
      <c r="AO1482" s="2656"/>
      <c r="AP1482" s="2656"/>
      <c r="AQ1482" s="2656"/>
      <c r="AR1482" s="2656"/>
      <c r="AS1482" s="2656"/>
      <c r="AT1482" s="2656"/>
      <c r="AU1482" s="2656"/>
      <c r="AV1482" s="2656"/>
      <c r="AW1482" s="2656"/>
      <c r="AX1482" s="2656"/>
      <c r="AY1482" s="2656"/>
      <c r="AZ1482" s="2656"/>
      <c r="BA1482" s="2656"/>
      <c r="BB1482" s="2656"/>
      <c r="BC1482" s="2656"/>
      <c r="BD1482" s="2656"/>
      <c r="BE1482" s="2656"/>
      <c r="BF1482" s="2656"/>
      <c r="BG1482" s="2656"/>
      <c r="BH1482" s="2656"/>
      <c r="BI1482" s="2656"/>
    </row>
    <row r="1483" spans="1:61" ht="24.75" customHeight="1">
      <c r="A1483" s="3375"/>
      <c r="B1483" s="2646"/>
      <c r="C1483" s="2647"/>
      <c r="D1483" s="2646"/>
      <c r="E1483" s="3013"/>
      <c r="F1483" s="2655"/>
      <c r="G1483" s="2596"/>
      <c r="H1483" s="4138"/>
      <c r="I1483" s="3375"/>
      <c r="J1483" s="2648"/>
      <c r="K1483" s="3147"/>
      <c r="L1483" s="2785"/>
      <c r="M1483" s="2695"/>
      <c r="N1483" s="2649"/>
      <c r="O1483" s="2655"/>
      <c r="P1483" s="2651"/>
      <c r="Q1483" s="3440"/>
      <c r="R1483" s="3553"/>
      <c r="S1483" s="1407"/>
      <c r="T1483" s="3375"/>
      <c r="U1483" s="2648"/>
      <c r="V1483" s="3554"/>
      <c r="W1483" s="3150"/>
      <c r="X1483" s="2656"/>
      <c r="Y1483" s="2656"/>
      <c r="Z1483" s="2656"/>
      <c r="AA1483" s="2656"/>
      <c r="AB1483" s="2656"/>
      <c r="AC1483" s="2656"/>
      <c r="AD1483" s="2656"/>
      <c r="AE1483" s="2656"/>
      <c r="AF1483" s="2656"/>
      <c r="AG1483" s="2656"/>
      <c r="AH1483" s="2656"/>
      <c r="AI1483" s="2656"/>
      <c r="AJ1483" s="2656"/>
      <c r="AK1483" s="2656"/>
      <c r="AL1483" s="2656"/>
      <c r="AM1483" s="2656"/>
      <c r="AN1483" s="2656"/>
      <c r="AO1483" s="2656"/>
      <c r="AP1483" s="2656"/>
      <c r="AQ1483" s="2656"/>
      <c r="AR1483" s="2656"/>
      <c r="AS1483" s="2656"/>
      <c r="AT1483" s="2656"/>
      <c r="AU1483" s="2656"/>
      <c r="AV1483" s="2656"/>
      <c r="AW1483" s="2656"/>
      <c r="AX1483" s="2656"/>
      <c r="AY1483" s="2656"/>
      <c r="AZ1483" s="2656"/>
      <c r="BA1483" s="2656"/>
      <c r="BB1483" s="2656"/>
      <c r="BC1483" s="2656"/>
      <c r="BD1483" s="2656"/>
      <c r="BE1483" s="2656"/>
      <c r="BF1483" s="2656"/>
      <c r="BG1483" s="2656"/>
      <c r="BH1483" s="2656"/>
      <c r="BI1483" s="2656"/>
    </row>
    <row r="1484" spans="1:61" ht="24.75" customHeight="1">
      <c r="A1484" s="3375"/>
      <c r="B1484" s="2646"/>
      <c r="C1484" s="2647"/>
      <c r="D1484" s="2646"/>
      <c r="E1484" s="3013"/>
      <c r="F1484" s="2655"/>
      <c r="G1484" s="2596"/>
      <c r="H1484" s="4138"/>
      <c r="I1484" s="3375"/>
      <c r="J1484" s="2648"/>
      <c r="K1484" s="3147"/>
      <c r="L1484" s="2785"/>
      <c r="M1484" s="2695"/>
      <c r="N1484" s="2649"/>
      <c r="O1484" s="2655"/>
      <c r="P1484" s="2651"/>
      <c r="Q1484" s="3440"/>
      <c r="R1484" s="3553"/>
      <c r="S1484" s="1407"/>
      <c r="T1484" s="3375"/>
      <c r="U1484" s="2648"/>
      <c r="V1484" s="3554"/>
      <c r="W1484" s="3150"/>
      <c r="X1484" s="2656"/>
      <c r="Y1484" s="2656"/>
      <c r="Z1484" s="2656"/>
      <c r="AA1484" s="2656"/>
      <c r="AB1484" s="2656"/>
      <c r="AC1484" s="2656"/>
      <c r="AD1484" s="2656"/>
      <c r="AE1484" s="2656"/>
      <c r="AF1484" s="2656"/>
      <c r="AG1484" s="2656"/>
      <c r="AH1484" s="2656"/>
      <c r="AI1484" s="2656"/>
      <c r="AJ1484" s="2656"/>
      <c r="AK1484" s="2656"/>
      <c r="AL1484" s="2656"/>
      <c r="AM1484" s="2656"/>
      <c r="AN1484" s="2656"/>
      <c r="AO1484" s="2656"/>
      <c r="AP1484" s="2656"/>
      <c r="AQ1484" s="2656"/>
      <c r="AR1484" s="2656"/>
      <c r="AS1484" s="2656"/>
      <c r="AT1484" s="2656"/>
      <c r="AU1484" s="2656"/>
      <c r="AV1484" s="2656"/>
      <c r="AW1484" s="2656"/>
      <c r="AX1484" s="2656"/>
      <c r="AY1484" s="2656"/>
      <c r="AZ1484" s="2656"/>
      <c r="BA1484" s="2656"/>
      <c r="BB1484" s="2656"/>
      <c r="BC1484" s="2656"/>
      <c r="BD1484" s="2656"/>
      <c r="BE1484" s="2656"/>
      <c r="BF1484" s="2656"/>
      <c r="BG1484" s="2656"/>
      <c r="BH1484" s="2656"/>
      <c r="BI1484" s="2656"/>
    </row>
    <row r="1485" spans="1:61" ht="24.75" customHeight="1">
      <c r="A1485" s="3375"/>
      <c r="B1485" s="2646"/>
      <c r="C1485" s="2647"/>
      <c r="D1485" s="2646"/>
      <c r="E1485" s="3013"/>
      <c r="F1485" s="2655"/>
      <c r="G1485" s="2596"/>
      <c r="H1485" s="4138"/>
      <c r="I1485" s="3375"/>
      <c r="J1485" s="2648"/>
      <c r="K1485" s="3147"/>
      <c r="L1485" s="2785"/>
      <c r="M1485" s="2695"/>
      <c r="N1485" s="2649"/>
      <c r="O1485" s="2655"/>
      <c r="P1485" s="2651"/>
      <c r="Q1485" s="3440"/>
      <c r="R1485" s="3553"/>
      <c r="S1485" s="1407"/>
      <c r="T1485" s="3375"/>
      <c r="U1485" s="2648"/>
      <c r="V1485" s="3554"/>
      <c r="W1485" s="3150"/>
      <c r="X1485" s="2656"/>
      <c r="Y1485" s="2656"/>
      <c r="Z1485" s="2656"/>
      <c r="AA1485" s="2656"/>
      <c r="AB1485" s="2656"/>
      <c r="AC1485" s="2656"/>
      <c r="AD1485" s="2656"/>
      <c r="AE1485" s="2656"/>
      <c r="AF1485" s="2656"/>
      <c r="AG1485" s="2656"/>
      <c r="AH1485" s="2656"/>
      <c r="AI1485" s="2656"/>
      <c r="AJ1485" s="2656"/>
      <c r="AK1485" s="2656"/>
      <c r="AL1485" s="2656"/>
      <c r="AM1485" s="2656"/>
      <c r="AN1485" s="2656"/>
      <c r="AO1485" s="2656"/>
      <c r="AP1485" s="2656"/>
      <c r="AQ1485" s="2656"/>
      <c r="AR1485" s="2656"/>
      <c r="AS1485" s="2656"/>
      <c r="AT1485" s="2656"/>
      <c r="AU1485" s="2656"/>
      <c r="AV1485" s="2656"/>
      <c r="AW1485" s="2656"/>
      <c r="AX1485" s="2656"/>
      <c r="AY1485" s="2656"/>
      <c r="AZ1485" s="2656"/>
      <c r="BA1485" s="2656"/>
      <c r="BB1485" s="2656"/>
      <c r="BC1485" s="2656"/>
      <c r="BD1485" s="2656"/>
      <c r="BE1485" s="2656"/>
      <c r="BF1485" s="2656"/>
      <c r="BG1485" s="2656"/>
      <c r="BH1485" s="2656"/>
      <c r="BI1485" s="2656"/>
    </row>
    <row r="1486" spans="1:61" ht="24.75" customHeight="1">
      <c r="A1486" s="3375"/>
      <c r="B1486" s="2646"/>
      <c r="C1486" s="2647"/>
      <c r="D1486" s="2646"/>
      <c r="E1486" s="3013"/>
      <c r="F1486" s="2655"/>
      <c r="G1486" s="2596"/>
      <c r="H1486" s="4138"/>
      <c r="I1486" s="3375"/>
      <c r="J1486" s="2648"/>
      <c r="K1486" s="3147"/>
      <c r="L1486" s="2785"/>
      <c r="M1486" s="2695"/>
      <c r="N1486" s="2649"/>
      <c r="O1486" s="2655"/>
      <c r="P1486" s="2651"/>
      <c r="Q1486" s="3440"/>
      <c r="R1486" s="3553"/>
      <c r="S1486" s="1407"/>
      <c r="T1486" s="3375"/>
      <c r="U1486" s="2648"/>
      <c r="V1486" s="3554"/>
      <c r="W1486" s="3150"/>
      <c r="X1486" s="2656"/>
      <c r="Y1486" s="2656"/>
      <c r="Z1486" s="2656"/>
      <c r="AA1486" s="2656"/>
      <c r="AB1486" s="2656"/>
      <c r="AC1486" s="2656"/>
      <c r="AD1486" s="2656"/>
      <c r="AE1486" s="2656"/>
      <c r="AF1486" s="2656"/>
      <c r="AG1486" s="2656"/>
      <c r="AH1486" s="2656"/>
      <c r="AI1486" s="2656"/>
      <c r="AJ1486" s="2656"/>
      <c r="AK1486" s="2656"/>
      <c r="AL1486" s="2656"/>
      <c r="AM1486" s="2656"/>
      <c r="AN1486" s="2656"/>
      <c r="AO1486" s="2656"/>
      <c r="AP1486" s="2656"/>
      <c r="AQ1486" s="2656"/>
      <c r="AR1486" s="2656"/>
      <c r="AS1486" s="2656"/>
      <c r="AT1486" s="2656"/>
      <c r="AU1486" s="2656"/>
      <c r="AV1486" s="2656"/>
      <c r="AW1486" s="2656"/>
      <c r="AX1486" s="2656"/>
      <c r="AY1486" s="2656"/>
      <c r="AZ1486" s="2656"/>
      <c r="BA1486" s="2656"/>
      <c r="BB1486" s="2656"/>
      <c r="BC1486" s="2656"/>
      <c r="BD1486" s="2656"/>
      <c r="BE1486" s="2656"/>
      <c r="BF1486" s="2656"/>
      <c r="BG1486" s="2656"/>
      <c r="BH1486" s="2656"/>
      <c r="BI1486" s="2656"/>
    </row>
    <row r="1487" spans="1:61" ht="24.75" customHeight="1">
      <c r="A1487" s="3375"/>
      <c r="B1487" s="2646"/>
      <c r="C1487" s="2647"/>
      <c r="D1487" s="2646"/>
      <c r="E1487" s="3013"/>
      <c r="F1487" s="2655"/>
      <c r="G1487" s="2596"/>
      <c r="H1487" s="4138"/>
      <c r="I1487" s="3375"/>
      <c r="J1487" s="2648"/>
      <c r="K1487" s="3147"/>
      <c r="L1487" s="2785"/>
      <c r="M1487" s="2695"/>
      <c r="N1487" s="2649"/>
      <c r="O1487" s="2655"/>
      <c r="P1487" s="2651"/>
      <c r="Q1487" s="3440"/>
      <c r="R1487" s="3553"/>
      <c r="S1487" s="1407"/>
      <c r="T1487" s="3375"/>
      <c r="U1487" s="2648"/>
      <c r="V1487" s="3554"/>
      <c r="W1487" s="3150"/>
      <c r="X1487" s="2656"/>
      <c r="Y1487" s="2656"/>
      <c r="Z1487" s="2656"/>
      <c r="AA1487" s="2656"/>
      <c r="AB1487" s="2656"/>
      <c r="AC1487" s="2656"/>
      <c r="AD1487" s="2656"/>
      <c r="AE1487" s="2656"/>
      <c r="AF1487" s="2656"/>
      <c r="AG1487" s="2656"/>
      <c r="AH1487" s="2656"/>
      <c r="AI1487" s="2656"/>
      <c r="AJ1487" s="2656"/>
      <c r="AK1487" s="2656"/>
      <c r="AL1487" s="2656"/>
      <c r="AM1487" s="2656"/>
      <c r="AN1487" s="2656"/>
      <c r="AO1487" s="2656"/>
      <c r="AP1487" s="2656"/>
      <c r="AQ1487" s="2656"/>
      <c r="AR1487" s="2656"/>
      <c r="AS1487" s="2656"/>
      <c r="AT1487" s="2656"/>
      <c r="AU1487" s="2656"/>
      <c r="AV1487" s="2656"/>
      <c r="AW1487" s="2656"/>
      <c r="AX1487" s="2656"/>
      <c r="AY1487" s="2656"/>
      <c r="AZ1487" s="2656"/>
      <c r="BA1487" s="2656"/>
      <c r="BB1487" s="2656"/>
      <c r="BC1487" s="2656"/>
      <c r="BD1487" s="2656"/>
      <c r="BE1487" s="2656"/>
      <c r="BF1487" s="2656"/>
      <c r="BG1487" s="2656"/>
      <c r="BH1487" s="2656"/>
      <c r="BI1487" s="2656"/>
    </row>
    <row r="1488" spans="1:61" ht="24.75" customHeight="1">
      <c r="A1488" s="3375"/>
      <c r="B1488" s="2646"/>
      <c r="C1488" s="2647"/>
      <c r="D1488" s="2646"/>
      <c r="E1488" s="3013"/>
      <c r="F1488" s="2655"/>
      <c r="G1488" s="2596"/>
      <c r="H1488" s="4138"/>
      <c r="I1488" s="3375"/>
      <c r="J1488" s="2648"/>
      <c r="K1488" s="3147"/>
      <c r="L1488" s="2785"/>
      <c r="M1488" s="2695"/>
      <c r="N1488" s="2649"/>
      <c r="O1488" s="2655"/>
      <c r="P1488" s="2651"/>
      <c r="Q1488" s="3440"/>
      <c r="R1488" s="3553"/>
      <c r="S1488" s="1407"/>
      <c r="T1488" s="3375"/>
      <c r="U1488" s="2648"/>
      <c r="V1488" s="3554"/>
      <c r="W1488" s="3150"/>
      <c r="X1488" s="2656"/>
      <c r="Y1488" s="2656"/>
      <c r="Z1488" s="2656"/>
      <c r="AA1488" s="2656"/>
      <c r="AB1488" s="2656"/>
      <c r="AC1488" s="2656"/>
      <c r="AD1488" s="2656"/>
      <c r="AE1488" s="2656"/>
      <c r="AF1488" s="2656"/>
      <c r="AG1488" s="2656"/>
      <c r="AH1488" s="2656"/>
      <c r="AI1488" s="2656"/>
      <c r="AJ1488" s="2656"/>
      <c r="AK1488" s="2656"/>
      <c r="AL1488" s="2656"/>
      <c r="AM1488" s="2656"/>
      <c r="AN1488" s="2656"/>
      <c r="AO1488" s="2656"/>
      <c r="AP1488" s="2656"/>
      <c r="AQ1488" s="2656"/>
      <c r="AR1488" s="2656"/>
      <c r="AS1488" s="2656"/>
      <c r="AT1488" s="2656"/>
      <c r="AU1488" s="2656"/>
      <c r="AV1488" s="2656"/>
      <c r="AW1488" s="2656"/>
      <c r="AX1488" s="2656"/>
      <c r="AY1488" s="2656"/>
      <c r="AZ1488" s="2656"/>
      <c r="BA1488" s="2656"/>
      <c r="BB1488" s="2656"/>
      <c r="BC1488" s="2656"/>
      <c r="BD1488" s="2656"/>
      <c r="BE1488" s="2656"/>
      <c r="BF1488" s="2656"/>
      <c r="BG1488" s="2656"/>
      <c r="BH1488" s="2656"/>
      <c r="BI1488" s="2656"/>
    </row>
    <row r="1489" spans="1:61" ht="24.75" customHeight="1">
      <c r="A1489" s="3375"/>
      <c r="B1489" s="2646"/>
      <c r="C1489" s="2647"/>
      <c r="D1489" s="2646"/>
      <c r="E1489" s="3013"/>
      <c r="F1489" s="2655"/>
      <c r="G1489" s="2596"/>
      <c r="H1489" s="4138"/>
      <c r="I1489" s="3375"/>
      <c r="J1489" s="2648"/>
      <c r="K1489" s="3147"/>
      <c r="L1489" s="2785"/>
      <c r="M1489" s="2695"/>
      <c r="N1489" s="2649"/>
      <c r="O1489" s="2655"/>
      <c r="P1489" s="2651"/>
      <c r="Q1489" s="3440"/>
      <c r="R1489" s="3553"/>
      <c r="S1489" s="1407"/>
      <c r="T1489" s="3375"/>
      <c r="U1489" s="2648"/>
      <c r="V1489" s="3554"/>
      <c r="W1489" s="3150"/>
      <c r="X1489" s="2656"/>
      <c r="Y1489" s="2656"/>
      <c r="Z1489" s="2656"/>
      <c r="AA1489" s="2656"/>
      <c r="AB1489" s="2656"/>
      <c r="AC1489" s="2656"/>
      <c r="AD1489" s="2656"/>
      <c r="AE1489" s="2656"/>
      <c r="AF1489" s="2656"/>
      <c r="AG1489" s="2656"/>
      <c r="AH1489" s="2656"/>
      <c r="AI1489" s="2656"/>
      <c r="AJ1489" s="2656"/>
      <c r="AK1489" s="2656"/>
      <c r="AL1489" s="2656"/>
      <c r="AM1489" s="2656"/>
      <c r="AN1489" s="2656"/>
      <c r="AO1489" s="2656"/>
      <c r="AP1489" s="2656"/>
      <c r="AQ1489" s="2656"/>
      <c r="AR1489" s="2656"/>
      <c r="AS1489" s="2656"/>
      <c r="AT1489" s="2656"/>
      <c r="AU1489" s="2656"/>
      <c r="AV1489" s="2656"/>
      <c r="AW1489" s="2656"/>
      <c r="AX1489" s="2656"/>
      <c r="AY1489" s="2656"/>
      <c r="AZ1489" s="2656"/>
      <c r="BA1489" s="2656"/>
      <c r="BB1489" s="2656"/>
      <c r="BC1489" s="2656"/>
      <c r="BD1489" s="2656"/>
      <c r="BE1489" s="2656"/>
      <c r="BF1489" s="2656"/>
      <c r="BG1489" s="2656"/>
      <c r="BH1489" s="2656"/>
      <c r="BI1489" s="2656"/>
    </row>
    <row r="1490" spans="1:61" ht="24.75" customHeight="1">
      <c r="A1490" s="3375"/>
      <c r="B1490" s="2646"/>
      <c r="C1490" s="2647"/>
      <c r="D1490" s="2646"/>
      <c r="E1490" s="3013"/>
      <c r="F1490" s="2655"/>
      <c r="G1490" s="2596"/>
      <c r="H1490" s="4138"/>
      <c r="I1490" s="3375"/>
      <c r="J1490" s="2648"/>
      <c r="K1490" s="3147"/>
      <c r="L1490" s="2785"/>
      <c r="M1490" s="2695"/>
      <c r="N1490" s="2649"/>
      <c r="O1490" s="2655"/>
      <c r="P1490" s="2651"/>
      <c r="Q1490" s="3440"/>
      <c r="R1490" s="3553"/>
      <c r="S1490" s="1407"/>
      <c r="T1490" s="3375"/>
      <c r="U1490" s="2648"/>
      <c r="V1490" s="3554"/>
      <c r="W1490" s="3150"/>
      <c r="X1490" s="2656"/>
      <c r="Y1490" s="2656"/>
      <c r="Z1490" s="2656"/>
      <c r="AA1490" s="2656"/>
      <c r="AB1490" s="2656"/>
      <c r="AC1490" s="2656"/>
      <c r="AD1490" s="2656"/>
      <c r="AE1490" s="2656"/>
      <c r="AF1490" s="2656"/>
      <c r="AG1490" s="2656"/>
      <c r="AH1490" s="2656"/>
      <c r="AI1490" s="2656"/>
      <c r="AJ1490" s="2656"/>
      <c r="AK1490" s="2656"/>
      <c r="AL1490" s="2656"/>
      <c r="AM1490" s="2656"/>
      <c r="AN1490" s="2656"/>
      <c r="AO1490" s="2656"/>
      <c r="AP1490" s="2656"/>
      <c r="AQ1490" s="2656"/>
      <c r="AR1490" s="2656"/>
      <c r="AS1490" s="2656"/>
      <c r="AT1490" s="2656"/>
      <c r="AU1490" s="2656"/>
      <c r="AV1490" s="2656"/>
      <c r="AW1490" s="2656"/>
      <c r="AX1490" s="2656"/>
      <c r="AY1490" s="2656"/>
      <c r="AZ1490" s="2656"/>
      <c r="BA1490" s="2656"/>
      <c r="BB1490" s="2656"/>
      <c r="BC1490" s="2656"/>
      <c r="BD1490" s="2656"/>
      <c r="BE1490" s="2656"/>
      <c r="BF1490" s="2656"/>
      <c r="BG1490" s="2656"/>
      <c r="BH1490" s="2656"/>
      <c r="BI1490" s="2656"/>
    </row>
    <row r="1491" spans="1:61" ht="24.75" customHeight="1">
      <c r="A1491" s="3375"/>
      <c r="B1491" s="2646"/>
      <c r="C1491" s="2647"/>
      <c r="D1491" s="2646"/>
      <c r="E1491" s="3013"/>
      <c r="F1491" s="2655"/>
      <c r="G1491" s="2596"/>
      <c r="H1491" s="4138"/>
      <c r="I1491" s="3375"/>
      <c r="J1491" s="2648"/>
      <c r="K1491" s="3147"/>
      <c r="L1491" s="2785"/>
      <c r="M1491" s="2695"/>
      <c r="N1491" s="2649"/>
      <c r="O1491" s="2655"/>
      <c r="P1491" s="2651"/>
      <c r="Q1491" s="3440"/>
      <c r="R1491" s="3553"/>
      <c r="S1491" s="1407"/>
      <c r="T1491" s="3375"/>
      <c r="U1491" s="2648"/>
      <c r="V1491" s="3554"/>
      <c r="W1491" s="3150"/>
      <c r="X1491" s="2656"/>
      <c r="Y1491" s="2656"/>
      <c r="Z1491" s="2656"/>
      <c r="AA1491" s="2656"/>
      <c r="AB1491" s="2656"/>
      <c r="AC1491" s="2656"/>
      <c r="AD1491" s="2656"/>
      <c r="AE1491" s="2656"/>
      <c r="AF1491" s="2656"/>
      <c r="AG1491" s="2656"/>
      <c r="AH1491" s="2656"/>
      <c r="AI1491" s="2656"/>
      <c r="AJ1491" s="2656"/>
      <c r="AK1491" s="2656"/>
      <c r="AL1491" s="2656"/>
      <c r="AM1491" s="2656"/>
      <c r="AN1491" s="2656"/>
      <c r="AO1491" s="2656"/>
      <c r="AP1491" s="2656"/>
      <c r="AQ1491" s="2656"/>
      <c r="AR1491" s="2656"/>
      <c r="AS1491" s="2656"/>
      <c r="AT1491" s="2656"/>
      <c r="AU1491" s="2656"/>
      <c r="AV1491" s="2656"/>
      <c r="AW1491" s="2656"/>
      <c r="AX1491" s="2656"/>
      <c r="AY1491" s="2656"/>
      <c r="AZ1491" s="2656"/>
      <c r="BA1491" s="2656"/>
      <c r="BB1491" s="2656"/>
      <c r="BC1491" s="2656"/>
      <c r="BD1491" s="2656"/>
      <c r="BE1491" s="2656"/>
      <c r="BF1491" s="2656"/>
      <c r="BG1491" s="2656"/>
      <c r="BH1491" s="2656"/>
      <c r="BI1491" s="2656"/>
    </row>
    <row r="1492" spans="1:61" ht="24.75" customHeight="1">
      <c r="A1492" s="3375"/>
      <c r="B1492" s="2646"/>
      <c r="C1492" s="2647"/>
      <c r="D1492" s="2646"/>
      <c r="E1492" s="3013"/>
      <c r="F1492" s="2655"/>
      <c r="G1492" s="2596"/>
      <c r="H1492" s="4138"/>
      <c r="I1492" s="3375"/>
      <c r="J1492" s="2648"/>
      <c r="K1492" s="3147"/>
      <c r="L1492" s="2785"/>
      <c r="M1492" s="2695"/>
      <c r="N1492" s="2649"/>
      <c r="O1492" s="2655"/>
      <c r="P1492" s="2651"/>
      <c r="Q1492" s="3440"/>
      <c r="R1492" s="3553"/>
      <c r="S1492" s="1407"/>
      <c r="T1492" s="3375"/>
      <c r="U1492" s="2648"/>
      <c r="V1492" s="3554"/>
      <c r="W1492" s="3150"/>
      <c r="X1492" s="2656"/>
      <c r="Y1492" s="2656"/>
      <c r="Z1492" s="2656"/>
      <c r="AA1492" s="2656"/>
      <c r="AB1492" s="2656"/>
      <c r="AC1492" s="2656"/>
      <c r="AD1492" s="2656"/>
      <c r="AE1492" s="2656"/>
      <c r="AF1492" s="2656"/>
      <c r="AG1492" s="2656"/>
      <c r="AH1492" s="2656"/>
      <c r="AI1492" s="2656"/>
      <c r="AJ1492" s="2656"/>
      <c r="AK1492" s="2656"/>
      <c r="AL1492" s="2656"/>
      <c r="AM1492" s="2656"/>
      <c r="AN1492" s="2656"/>
      <c r="AO1492" s="2656"/>
      <c r="AP1492" s="2656"/>
      <c r="AQ1492" s="2656"/>
      <c r="AR1492" s="2656"/>
      <c r="AS1492" s="2656"/>
      <c r="AT1492" s="2656"/>
      <c r="AU1492" s="2656"/>
      <c r="AV1492" s="2656"/>
      <c r="AW1492" s="2656"/>
      <c r="AX1492" s="2656"/>
      <c r="AY1492" s="2656"/>
      <c r="AZ1492" s="2656"/>
      <c r="BA1492" s="2656"/>
      <c r="BB1492" s="2656"/>
      <c r="BC1492" s="2656"/>
      <c r="BD1492" s="2656"/>
      <c r="BE1492" s="2656"/>
      <c r="BF1492" s="2656"/>
      <c r="BG1492" s="2656"/>
      <c r="BH1492" s="2656"/>
      <c r="BI1492" s="2656"/>
    </row>
    <row r="1493" spans="1:61" ht="24.75" customHeight="1">
      <c r="A1493" s="3375"/>
      <c r="B1493" s="2646"/>
      <c r="C1493" s="2647"/>
      <c r="D1493" s="2646"/>
      <c r="E1493" s="3013"/>
      <c r="F1493" s="2655"/>
      <c r="G1493" s="2596"/>
      <c r="H1493" s="4138"/>
      <c r="I1493" s="3375"/>
      <c r="J1493" s="2648"/>
      <c r="K1493" s="3147"/>
      <c r="L1493" s="2785"/>
      <c r="M1493" s="2695"/>
      <c r="N1493" s="2649"/>
      <c r="O1493" s="2655"/>
      <c r="P1493" s="2651"/>
      <c r="Q1493" s="3440"/>
      <c r="R1493" s="3553"/>
      <c r="S1493" s="1407"/>
      <c r="T1493" s="3375"/>
      <c r="U1493" s="2648"/>
      <c r="V1493" s="3554"/>
      <c r="W1493" s="3150"/>
      <c r="X1493" s="2656"/>
      <c r="Y1493" s="2656"/>
      <c r="Z1493" s="2656"/>
      <c r="AA1493" s="2656"/>
      <c r="AB1493" s="2656"/>
      <c r="AC1493" s="2656"/>
      <c r="AD1493" s="2656"/>
      <c r="AE1493" s="2656"/>
      <c r="AF1493" s="2656"/>
      <c r="AG1493" s="2656"/>
      <c r="AH1493" s="2656"/>
      <c r="AI1493" s="2656"/>
      <c r="AJ1493" s="2656"/>
      <c r="AK1493" s="2656"/>
      <c r="AL1493" s="2656"/>
      <c r="AM1493" s="2656"/>
      <c r="AN1493" s="2656"/>
      <c r="AO1493" s="2656"/>
      <c r="AP1493" s="2656"/>
      <c r="AQ1493" s="2656"/>
      <c r="AR1493" s="2656"/>
      <c r="AS1493" s="2656"/>
      <c r="AT1493" s="2656"/>
      <c r="AU1493" s="2656"/>
      <c r="AV1493" s="2656"/>
      <c r="AW1493" s="2656"/>
      <c r="AX1493" s="2656"/>
      <c r="AY1493" s="2656"/>
      <c r="AZ1493" s="2656"/>
      <c r="BA1493" s="2656"/>
      <c r="BB1493" s="2656"/>
      <c r="BC1493" s="2656"/>
      <c r="BD1493" s="2656"/>
      <c r="BE1493" s="2656"/>
      <c r="BF1493" s="2656"/>
      <c r="BG1493" s="2656"/>
      <c r="BH1493" s="2656"/>
      <c r="BI1493" s="2656"/>
    </row>
    <row r="1494" spans="1:61" ht="24.75" customHeight="1">
      <c r="A1494" s="3375"/>
      <c r="B1494" s="2646"/>
      <c r="C1494" s="2647"/>
      <c r="D1494" s="2646"/>
      <c r="E1494" s="3013"/>
      <c r="F1494" s="2655"/>
      <c r="G1494" s="2596"/>
      <c r="H1494" s="4138"/>
      <c r="I1494" s="3375"/>
      <c r="J1494" s="2648"/>
      <c r="K1494" s="3147"/>
      <c r="L1494" s="2785"/>
      <c r="M1494" s="2695"/>
      <c r="N1494" s="2649"/>
      <c r="O1494" s="2655"/>
      <c r="P1494" s="2651"/>
      <c r="Q1494" s="3440"/>
      <c r="R1494" s="3553"/>
      <c r="S1494" s="1407"/>
      <c r="T1494" s="3375"/>
      <c r="U1494" s="2648"/>
      <c r="V1494" s="3554"/>
      <c r="W1494" s="3150"/>
      <c r="X1494" s="2656"/>
      <c r="Y1494" s="2656"/>
      <c r="Z1494" s="2656"/>
      <c r="AA1494" s="2656"/>
      <c r="AB1494" s="2656"/>
      <c r="AC1494" s="2656"/>
      <c r="AD1494" s="2656"/>
      <c r="AE1494" s="2656"/>
      <c r="AF1494" s="2656"/>
      <c r="AG1494" s="2656"/>
      <c r="AH1494" s="2656"/>
      <c r="AI1494" s="2656"/>
      <c r="AJ1494" s="2656"/>
      <c r="AK1494" s="2656"/>
      <c r="AL1494" s="2656"/>
      <c r="AM1494" s="2656"/>
      <c r="AN1494" s="2656"/>
      <c r="AO1494" s="2656"/>
      <c r="AP1494" s="2656"/>
      <c r="AQ1494" s="2656"/>
      <c r="AR1494" s="2656"/>
      <c r="AS1494" s="2656"/>
      <c r="AT1494" s="2656"/>
      <c r="AU1494" s="2656"/>
      <c r="AV1494" s="2656"/>
      <c r="AW1494" s="2656"/>
      <c r="AX1494" s="2656"/>
      <c r="AY1494" s="2656"/>
      <c r="AZ1494" s="2656"/>
      <c r="BA1494" s="2656"/>
      <c r="BB1494" s="2656"/>
      <c r="BC1494" s="2656"/>
      <c r="BD1494" s="2656"/>
      <c r="BE1494" s="2656"/>
      <c r="BF1494" s="2656"/>
      <c r="BG1494" s="2656"/>
      <c r="BH1494" s="2656"/>
      <c r="BI1494" s="2656"/>
    </row>
    <row r="1495" spans="1:61" ht="24.75" customHeight="1">
      <c r="A1495" s="3375"/>
      <c r="B1495" s="2646"/>
      <c r="C1495" s="2647"/>
      <c r="D1495" s="2646"/>
      <c r="E1495" s="3013"/>
      <c r="F1495" s="2655"/>
      <c r="G1495" s="2596"/>
      <c r="H1495" s="4138"/>
      <c r="I1495" s="3375"/>
      <c r="J1495" s="2648"/>
      <c r="K1495" s="3147"/>
      <c r="L1495" s="2785"/>
      <c r="M1495" s="2695"/>
      <c r="N1495" s="2649"/>
      <c r="O1495" s="2655"/>
      <c r="P1495" s="2651"/>
      <c r="Q1495" s="3440"/>
      <c r="R1495" s="3553"/>
      <c r="S1495" s="1407"/>
      <c r="T1495" s="3375"/>
      <c r="U1495" s="2648"/>
      <c r="V1495" s="3554"/>
      <c r="W1495" s="3150"/>
      <c r="X1495" s="2656"/>
      <c r="Y1495" s="2656"/>
      <c r="Z1495" s="2656"/>
      <c r="AA1495" s="2656"/>
      <c r="AB1495" s="2656"/>
      <c r="AC1495" s="2656"/>
      <c r="AD1495" s="2656"/>
      <c r="AE1495" s="2656"/>
      <c r="AF1495" s="2656"/>
      <c r="AG1495" s="2656"/>
      <c r="AH1495" s="2656"/>
      <c r="AI1495" s="2656"/>
      <c r="AJ1495" s="2656"/>
      <c r="AK1495" s="2656"/>
      <c r="AL1495" s="2656"/>
      <c r="AM1495" s="2656"/>
      <c r="AN1495" s="2656"/>
      <c r="AO1495" s="2656"/>
      <c r="AP1495" s="2656"/>
      <c r="AQ1495" s="2656"/>
      <c r="AR1495" s="2656"/>
      <c r="AS1495" s="2656"/>
      <c r="AT1495" s="2656"/>
      <c r="AU1495" s="2656"/>
      <c r="AV1495" s="2656"/>
      <c r="AW1495" s="2656"/>
      <c r="AX1495" s="2656"/>
      <c r="AY1495" s="2656"/>
      <c r="AZ1495" s="2656"/>
      <c r="BA1495" s="2656"/>
      <c r="BB1495" s="2656"/>
      <c r="BC1495" s="2656"/>
      <c r="BD1495" s="2656"/>
      <c r="BE1495" s="2656"/>
      <c r="BF1495" s="2656"/>
      <c r="BG1495" s="2656"/>
      <c r="BH1495" s="2656"/>
      <c r="BI1495" s="2656"/>
    </row>
    <row r="1496" spans="1:61" ht="24.75" customHeight="1">
      <c r="A1496" s="3375"/>
      <c r="B1496" s="2646"/>
      <c r="C1496" s="2647"/>
      <c r="D1496" s="2646"/>
      <c r="E1496" s="3013"/>
      <c r="F1496" s="2655"/>
      <c r="G1496" s="2596"/>
      <c r="H1496" s="4138"/>
      <c r="I1496" s="3375"/>
      <c r="J1496" s="2648"/>
      <c r="K1496" s="3147"/>
      <c r="L1496" s="2785"/>
      <c r="M1496" s="2695"/>
      <c r="N1496" s="2649"/>
      <c r="O1496" s="2655"/>
      <c r="P1496" s="2651"/>
      <c r="Q1496" s="3440"/>
      <c r="R1496" s="3553"/>
      <c r="S1496" s="1407"/>
      <c r="T1496" s="3375"/>
      <c r="U1496" s="2648"/>
      <c r="V1496" s="3554"/>
      <c r="W1496" s="3150"/>
      <c r="X1496" s="2656"/>
      <c r="Y1496" s="2656"/>
      <c r="Z1496" s="2656"/>
      <c r="AA1496" s="2656"/>
      <c r="AB1496" s="2656"/>
      <c r="AC1496" s="2656"/>
      <c r="AD1496" s="2656"/>
      <c r="AE1496" s="2656"/>
      <c r="AF1496" s="2656"/>
      <c r="AG1496" s="2656"/>
      <c r="AH1496" s="2656"/>
      <c r="AI1496" s="2656"/>
      <c r="AJ1496" s="2656"/>
      <c r="AK1496" s="2656"/>
      <c r="AL1496" s="2656"/>
      <c r="AM1496" s="2656"/>
      <c r="AN1496" s="2656"/>
      <c r="AO1496" s="2656"/>
      <c r="AP1496" s="2656"/>
      <c r="AQ1496" s="2656"/>
      <c r="AR1496" s="2656"/>
      <c r="AS1496" s="2656"/>
      <c r="AT1496" s="2656"/>
      <c r="AU1496" s="2656"/>
      <c r="AV1496" s="2656"/>
      <c r="AW1496" s="2656"/>
      <c r="AX1496" s="2656"/>
      <c r="AY1496" s="2656"/>
      <c r="AZ1496" s="2656"/>
      <c r="BA1496" s="2656"/>
      <c r="BB1496" s="2656"/>
      <c r="BC1496" s="2656"/>
      <c r="BD1496" s="2656"/>
      <c r="BE1496" s="2656"/>
      <c r="BF1496" s="2656"/>
      <c r="BG1496" s="2656"/>
      <c r="BH1496" s="2656"/>
      <c r="BI1496" s="2656"/>
    </row>
    <row r="1497" spans="1:61" ht="24.75" customHeight="1">
      <c r="A1497" s="3375"/>
      <c r="B1497" s="2646"/>
      <c r="C1497" s="2647"/>
      <c r="D1497" s="2646"/>
      <c r="E1497" s="3013"/>
      <c r="F1497" s="2655"/>
      <c r="G1497" s="2596"/>
      <c r="H1497" s="4138"/>
      <c r="I1497" s="3375"/>
      <c r="J1497" s="2648"/>
      <c r="K1497" s="3147"/>
      <c r="L1497" s="2785"/>
      <c r="M1497" s="2695"/>
      <c r="N1497" s="2649"/>
      <c r="O1497" s="2655"/>
      <c r="P1497" s="2651"/>
      <c r="Q1497" s="3440"/>
      <c r="R1497" s="3553"/>
      <c r="S1497" s="1407"/>
      <c r="T1497" s="3375"/>
      <c r="U1497" s="2648"/>
      <c r="V1497" s="3554"/>
      <c r="W1497" s="3150"/>
      <c r="X1497" s="2656"/>
      <c r="Y1497" s="2656"/>
      <c r="Z1497" s="2656"/>
      <c r="AA1497" s="2656"/>
      <c r="AB1497" s="2656"/>
      <c r="AC1497" s="2656"/>
      <c r="AD1497" s="2656"/>
      <c r="AE1497" s="2656"/>
      <c r="AF1497" s="2656"/>
      <c r="AG1497" s="2656"/>
      <c r="AH1497" s="2656"/>
      <c r="AI1497" s="2656"/>
      <c r="AJ1497" s="2656"/>
      <c r="AK1497" s="2656"/>
      <c r="AL1497" s="2656"/>
      <c r="AM1497" s="2656"/>
      <c r="AN1497" s="2656"/>
      <c r="AO1497" s="2656"/>
      <c r="AP1497" s="2656"/>
      <c r="AQ1497" s="2656"/>
      <c r="AR1497" s="2656"/>
      <c r="AS1497" s="2656"/>
      <c r="AT1497" s="2656"/>
      <c r="AU1497" s="2656"/>
      <c r="AV1497" s="2656"/>
      <c r="AW1497" s="2656"/>
      <c r="AX1497" s="2656"/>
      <c r="AY1497" s="2656"/>
      <c r="AZ1497" s="2656"/>
      <c r="BA1497" s="2656"/>
      <c r="BB1497" s="2656"/>
      <c r="BC1497" s="2656"/>
      <c r="BD1497" s="2656"/>
      <c r="BE1497" s="2656"/>
      <c r="BF1497" s="2656"/>
      <c r="BG1497" s="2656"/>
      <c r="BH1497" s="2656"/>
      <c r="BI1497" s="2656"/>
    </row>
    <row r="1498" spans="1:61" ht="24.75" customHeight="1">
      <c r="A1498" s="3375"/>
      <c r="B1498" s="2646"/>
      <c r="C1498" s="2647"/>
      <c r="D1498" s="2646"/>
      <c r="E1498" s="3013"/>
      <c r="F1498" s="2655"/>
      <c r="G1498" s="2596"/>
      <c r="H1498" s="4138"/>
      <c r="I1498" s="3375"/>
      <c r="J1498" s="2648"/>
      <c r="K1498" s="3147"/>
      <c r="L1498" s="2785"/>
      <c r="M1498" s="2695"/>
      <c r="N1498" s="2649"/>
      <c r="O1498" s="2655"/>
      <c r="P1498" s="2651"/>
      <c r="Q1498" s="3440"/>
      <c r="R1498" s="3553"/>
      <c r="S1498" s="1407"/>
      <c r="T1498" s="3375"/>
      <c r="U1498" s="2648"/>
      <c r="V1498" s="3554"/>
      <c r="W1498" s="3150"/>
      <c r="X1498" s="2656"/>
      <c r="Y1498" s="2656"/>
      <c r="Z1498" s="2656"/>
      <c r="AA1498" s="2656"/>
      <c r="AB1498" s="2656"/>
      <c r="AC1498" s="2656"/>
      <c r="AD1498" s="2656"/>
      <c r="AE1498" s="2656"/>
      <c r="AF1498" s="2656"/>
      <c r="AG1498" s="2656"/>
      <c r="AH1498" s="2656"/>
      <c r="AI1498" s="2656"/>
      <c r="AJ1498" s="2656"/>
      <c r="AK1498" s="2656"/>
      <c r="AL1498" s="2656"/>
      <c r="AM1498" s="2656"/>
      <c r="AN1498" s="2656"/>
      <c r="AO1498" s="2656"/>
      <c r="AP1498" s="2656"/>
      <c r="AQ1498" s="2656"/>
      <c r="AR1498" s="2656"/>
      <c r="AS1498" s="2656"/>
      <c r="AT1498" s="2656"/>
      <c r="AU1498" s="2656"/>
      <c r="AV1498" s="2656"/>
      <c r="AW1498" s="2656"/>
      <c r="AX1498" s="2656"/>
      <c r="AY1498" s="2656"/>
      <c r="AZ1498" s="2656"/>
      <c r="BA1498" s="2656"/>
      <c r="BB1498" s="2656"/>
      <c r="BC1498" s="2656"/>
      <c r="BD1498" s="2656"/>
      <c r="BE1498" s="2656"/>
      <c r="BF1498" s="2656"/>
      <c r="BG1498" s="2656"/>
      <c r="BH1498" s="2656"/>
      <c r="BI1498" s="2656"/>
    </row>
    <row r="1499" spans="1:61" ht="24.75" customHeight="1">
      <c r="A1499" s="3375"/>
      <c r="B1499" s="2646"/>
      <c r="C1499" s="2647"/>
      <c r="D1499" s="2646"/>
      <c r="E1499" s="3013"/>
      <c r="F1499" s="2655"/>
      <c r="G1499" s="2596"/>
      <c r="H1499" s="4138"/>
      <c r="I1499" s="3375"/>
      <c r="J1499" s="2648"/>
      <c r="K1499" s="3147"/>
      <c r="L1499" s="2785"/>
      <c r="M1499" s="2695"/>
      <c r="N1499" s="2649"/>
      <c r="O1499" s="2655"/>
      <c r="P1499" s="2651"/>
      <c r="Q1499" s="3440"/>
      <c r="R1499" s="3553"/>
      <c r="S1499" s="1407"/>
      <c r="T1499" s="3375"/>
      <c r="U1499" s="2648"/>
      <c r="V1499" s="3554"/>
      <c r="W1499" s="3150"/>
      <c r="X1499" s="2656"/>
      <c r="Y1499" s="2656"/>
      <c r="Z1499" s="2656"/>
      <c r="AA1499" s="2656"/>
      <c r="AB1499" s="2656"/>
      <c r="AC1499" s="2656"/>
      <c r="AD1499" s="2656"/>
      <c r="AE1499" s="2656"/>
      <c r="AF1499" s="2656"/>
      <c r="AG1499" s="2656"/>
      <c r="AH1499" s="2656"/>
      <c r="AI1499" s="2656"/>
      <c r="AJ1499" s="2656"/>
      <c r="AK1499" s="2656"/>
      <c r="AL1499" s="2656"/>
      <c r="AM1499" s="2656"/>
      <c r="AN1499" s="2656"/>
      <c r="AO1499" s="2656"/>
      <c r="AP1499" s="2656"/>
      <c r="AQ1499" s="2656"/>
      <c r="AR1499" s="2656"/>
      <c r="AS1499" s="2656"/>
      <c r="AT1499" s="2656"/>
      <c r="AU1499" s="2656"/>
      <c r="AV1499" s="2656"/>
      <c r="AW1499" s="2656"/>
      <c r="AX1499" s="2656"/>
      <c r="AY1499" s="2656"/>
      <c r="AZ1499" s="2656"/>
      <c r="BA1499" s="2656"/>
      <c r="BB1499" s="2656"/>
      <c r="BC1499" s="2656"/>
      <c r="BD1499" s="2656"/>
      <c r="BE1499" s="2656"/>
      <c r="BF1499" s="2656"/>
      <c r="BG1499" s="2656"/>
      <c r="BH1499" s="2656"/>
      <c r="BI1499" s="2656"/>
    </row>
    <row r="1500" spans="1:61" ht="24.75" customHeight="1">
      <c r="A1500" s="3375"/>
      <c r="B1500" s="2646"/>
      <c r="C1500" s="2647"/>
      <c r="D1500" s="2646"/>
      <c r="E1500" s="3013"/>
      <c r="F1500" s="2655"/>
      <c r="G1500" s="2596"/>
      <c r="H1500" s="4138"/>
      <c r="I1500" s="3375"/>
      <c r="J1500" s="2648"/>
      <c r="K1500" s="3147"/>
      <c r="L1500" s="2785"/>
      <c r="M1500" s="2695"/>
      <c r="N1500" s="2649"/>
      <c r="O1500" s="2655"/>
      <c r="P1500" s="2651"/>
      <c r="Q1500" s="3440"/>
      <c r="R1500" s="3553"/>
      <c r="S1500" s="1407"/>
      <c r="T1500" s="3375"/>
      <c r="U1500" s="2648"/>
      <c r="V1500" s="3554"/>
      <c r="W1500" s="3150"/>
      <c r="X1500" s="2656"/>
      <c r="Y1500" s="2656"/>
      <c r="Z1500" s="2656"/>
      <c r="AA1500" s="2656"/>
      <c r="AB1500" s="2656"/>
      <c r="AC1500" s="2656"/>
      <c r="AD1500" s="2656"/>
      <c r="AE1500" s="2656"/>
      <c r="AF1500" s="2656"/>
      <c r="AG1500" s="2656"/>
      <c r="AH1500" s="2656"/>
      <c r="AI1500" s="2656"/>
      <c r="AJ1500" s="2656"/>
      <c r="AK1500" s="2656"/>
      <c r="AL1500" s="2656"/>
      <c r="AM1500" s="2656"/>
      <c r="AN1500" s="2656"/>
      <c r="AO1500" s="2656"/>
      <c r="AP1500" s="2656"/>
      <c r="AQ1500" s="2656"/>
      <c r="AR1500" s="2656"/>
      <c r="AS1500" s="2656"/>
      <c r="AT1500" s="2656"/>
      <c r="AU1500" s="2656"/>
      <c r="AV1500" s="2656"/>
      <c r="AW1500" s="2656"/>
      <c r="AX1500" s="2656"/>
      <c r="AY1500" s="2656"/>
      <c r="AZ1500" s="2656"/>
      <c r="BA1500" s="2656"/>
      <c r="BB1500" s="2656"/>
      <c r="BC1500" s="2656"/>
      <c r="BD1500" s="2656"/>
      <c r="BE1500" s="2656"/>
      <c r="BF1500" s="2656"/>
      <c r="BG1500" s="2656"/>
      <c r="BH1500" s="2656"/>
      <c r="BI1500" s="2656"/>
    </row>
    <row r="1501" spans="1:61" ht="24.75" customHeight="1">
      <c r="A1501" s="3375"/>
      <c r="B1501" s="2646"/>
      <c r="C1501" s="2647"/>
      <c r="D1501" s="2646"/>
      <c r="E1501" s="3013"/>
      <c r="F1501" s="2655"/>
      <c r="G1501" s="2596"/>
      <c r="H1501" s="4138"/>
      <c r="I1501" s="3375"/>
      <c r="J1501" s="2648"/>
      <c r="K1501" s="3147"/>
      <c r="L1501" s="2785"/>
      <c r="M1501" s="2695"/>
      <c r="N1501" s="2649"/>
      <c r="O1501" s="2655"/>
      <c r="P1501" s="2651"/>
      <c r="Q1501" s="3440"/>
      <c r="R1501" s="3553"/>
      <c r="S1501" s="1407"/>
      <c r="T1501" s="3375"/>
      <c r="U1501" s="2648"/>
      <c r="V1501" s="3554"/>
      <c r="W1501" s="3150"/>
      <c r="X1501" s="2656"/>
      <c r="Y1501" s="2656"/>
      <c r="Z1501" s="2656"/>
      <c r="AA1501" s="2656"/>
      <c r="AB1501" s="2656"/>
      <c r="AC1501" s="2656"/>
      <c r="AD1501" s="2656"/>
      <c r="AE1501" s="2656"/>
      <c r="AF1501" s="2656"/>
      <c r="AG1501" s="2656"/>
      <c r="AH1501" s="2656"/>
      <c r="AI1501" s="2656"/>
      <c r="AJ1501" s="2656"/>
      <c r="AK1501" s="2656"/>
      <c r="AL1501" s="2656"/>
      <c r="AM1501" s="2656"/>
      <c r="AN1501" s="2656"/>
      <c r="AO1501" s="2656"/>
      <c r="AP1501" s="2656"/>
      <c r="AQ1501" s="2656"/>
      <c r="AR1501" s="2656"/>
      <c r="AS1501" s="2656"/>
      <c r="AT1501" s="2656"/>
      <c r="AU1501" s="2656"/>
      <c r="AV1501" s="2656"/>
      <c r="AW1501" s="2656"/>
      <c r="AX1501" s="2656"/>
      <c r="AY1501" s="2656"/>
      <c r="AZ1501" s="2656"/>
      <c r="BA1501" s="2656"/>
      <c r="BB1501" s="2656"/>
      <c r="BC1501" s="2656"/>
      <c r="BD1501" s="2656"/>
      <c r="BE1501" s="2656"/>
      <c r="BF1501" s="2656"/>
      <c r="BG1501" s="2656"/>
      <c r="BH1501" s="2656"/>
      <c r="BI1501" s="2656"/>
    </row>
    <row r="1502" spans="1:61" ht="24.75" customHeight="1">
      <c r="A1502" s="3375"/>
      <c r="B1502" s="2646"/>
      <c r="C1502" s="2647"/>
      <c r="D1502" s="2646"/>
      <c r="E1502" s="3013"/>
      <c r="F1502" s="2655"/>
      <c r="G1502" s="2596"/>
      <c r="H1502" s="4138"/>
      <c r="I1502" s="3375"/>
      <c r="J1502" s="2648"/>
      <c r="K1502" s="3147"/>
      <c r="L1502" s="2785"/>
      <c r="M1502" s="2695"/>
      <c r="N1502" s="2649"/>
      <c r="O1502" s="2655"/>
      <c r="P1502" s="2651"/>
      <c r="Q1502" s="3440"/>
      <c r="R1502" s="3553"/>
      <c r="S1502" s="1407"/>
      <c r="T1502" s="3375"/>
      <c r="U1502" s="2648"/>
      <c r="V1502" s="3554"/>
      <c r="W1502" s="3150"/>
      <c r="X1502" s="2656"/>
      <c r="Y1502" s="2656"/>
      <c r="Z1502" s="2656"/>
      <c r="AA1502" s="2656"/>
      <c r="AB1502" s="2656"/>
      <c r="AC1502" s="2656"/>
      <c r="AD1502" s="2656"/>
      <c r="AE1502" s="2656"/>
      <c r="AF1502" s="2656"/>
      <c r="AG1502" s="2656"/>
      <c r="AH1502" s="2656"/>
      <c r="AI1502" s="2656"/>
      <c r="AJ1502" s="2656"/>
      <c r="AK1502" s="2656"/>
      <c r="AL1502" s="2656"/>
      <c r="AM1502" s="2656"/>
      <c r="AN1502" s="2656"/>
      <c r="AO1502" s="2656"/>
      <c r="AP1502" s="2656"/>
      <c r="AQ1502" s="2656"/>
      <c r="AR1502" s="2656"/>
      <c r="AS1502" s="2656"/>
      <c r="AT1502" s="2656"/>
      <c r="AU1502" s="2656"/>
      <c r="AV1502" s="2656"/>
      <c r="AW1502" s="2656"/>
      <c r="AX1502" s="2656"/>
      <c r="AY1502" s="2656"/>
      <c r="AZ1502" s="2656"/>
      <c r="BA1502" s="2656"/>
      <c r="BB1502" s="2656"/>
      <c r="BC1502" s="2656"/>
      <c r="BD1502" s="2656"/>
      <c r="BE1502" s="2656"/>
      <c r="BF1502" s="2656"/>
      <c r="BG1502" s="2656"/>
      <c r="BH1502" s="2656"/>
      <c r="BI1502" s="2656"/>
    </row>
    <row r="1503" spans="1:61" ht="24.75" customHeight="1">
      <c r="A1503" s="3375"/>
      <c r="B1503" s="2646"/>
      <c r="C1503" s="2647"/>
      <c r="D1503" s="2646"/>
      <c r="E1503" s="3013"/>
      <c r="F1503" s="2655"/>
      <c r="G1503" s="2596"/>
      <c r="H1503" s="4138"/>
      <c r="I1503" s="3375"/>
      <c r="J1503" s="2648"/>
      <c r="K1503" s="3147"/>
      <c r="L1503" s="2785"/>
      <c r="M1503" s="2695"/>
      <c r="N1503" s="2649"/>
      <c r="O1503" s="2655"/>
      <c r="P1503" s="2651"/>
      <c r="Q1503" s="3440"/>
      <c r="R1503" s="3553"/>
      <c r="S1503" s="1407"/>
      <c r="T1503" s="3375"/>
      <c r="U1503" s="2648"/>
      <c r="V1503" s="3554"/>
      <c r="W1503" s="3150"/>
      <c r="X1503" s="2656"/>
      <c r="Y1503" s="2656"/>
      <c r="Z1503" s="2656"/>
      <c r="AA1503" s="2656"/>
      <c r="AB1503" s="2656"/>
      <c r="AC1503" s="2656"/>
      <c r="AD1503" s="2656"/>
      <c r="AE1503" s="2656"/>
      <c r="AF1503" s="2656"/>
      <c r="AG1503" s="2656"/>
      <c r="AH1503" s="2656"/>
      <c r="AI1503" s="2656"/>
      <c r="AJ1503" s="2656"/>
      <c r="AK1503" s="2656"/>
      <c r="AL1503" s="2656"/>
      <c r="AM1503" s="2656"/>
      <c r="AN1503" s="2656"/>
      <c r="AO1503" s="2656"/>
      <c r="AP1503" s="2656"/>
      <c r="AQ1503" s="2656"/>
      <c r="AR1503" s="2656"/>
      <c r="AS1503" s="2656"/>
      <c r="AT1503" s="2656"/>
      <c r="AU1503" s="2656"/>
      <c r="AV1503" s="2656"/>
      <c r="AW1503" s="2656"/>
      <c r="AX1503" s="2656"/>
      <c r="AY1503" s="2656"/>
      <c r="AZ1503" s="2656"/>
      <c r="BA1503" s="2656"/>
      <c r="BB1503" s="2656"/>
      <c r="BC1503" s="2656"/>
      <c r="BD1503" s="2656"/>
      <c r="BE1503" s="2656"/>
      <c r="BF1503" s="2656"/>
      <c r="BG1503" s="2656"/>
      <c r="BH1503" s="2656"/>
      <c r="BI1503" s="2656"/>
    </row>
    <row r="1504" spans="1:61" ht="24.75" customHeight="1">
      <c r="A1504" s="3375"/>
      <c r="B1504" s="2646"/>
      <c r="C1504" s="2647"/>
      <c r="D1504" s="2646"/>
      <c r="E1504" s="3013"/>
      <c r="F1504" s="2655"/>
      <c r="G1504" s="2596"/>
      <c r="H1504" s="4138"/>
      <c r="I1504" s="3375"/>
      <c r="J1504" s="2648"/>
      <c r="K1504" s="3147"/>
      <c r="L1504" s="2785"/>
      <c r="M1504" s="2695"/>
      <c r="N1504" s="2649"/>
      <c r="O1504" s="2655"/>
      <c r="P1504" s="2651"/>
      <c r="Q1504" s="3440"/>
      <c r="R1504" s="3553"/>
      <c r="S1504" s="1407"/>
      <c r="T1504" s="3375"/>
      <c r="U1504" s="2648"/>
      <c r="V1504" s="3554"/>
      <c r="W1504" s="3150"/>
      <c r="X1504" s="2656"/>
      <c r="Y1504" s="2656"/>
      <c r="Z1504" s="2656"/>
      <c r="AA1504" s="2656"/>
      <c r="AB1504" s="2656"/>
      <c r="AC1504" s="2656"/>
      <c r="AD1504" s="2656"/>
      <c r="AE1504" s="2656"/>
      <c r="AF1504" s="2656"/>
      <c r="AG1504" s="2656"/>
      <c r="AH1504" s="2656"/>
      <c r="AI1504" s="2656"/>
      <c r="AJ1504" s="2656"/>
      <c r="AK1504" s="2656"/>
      <c r="AL1504" s="2656"/>
      <c r="AM1504" s="2656"/>
      <c r="AN1504" s="2656"/>
      <c r="AO1504" s="2656"/>
      <c r="AP1504" s="2656"/>
      <c r="AQ1504" s="2656"/>
      <c r="AR1504" s="2656"/>
      <c r="AS1504" s="2656"/>
      <c r="AT1504" s="2656"/>
      <c r="AU1504" s="2656"/>
      <c r="AV1504" s="2656"/>
      <c r="AW1504" s="2656"/>
      <c r="AX1504" s="2656"/>
      <c r="AY1504" s="2656"/>
      <c r="AZ1504" s="2656"/>
      <c r="BA1504" s="2656"/>
      <c r="BB1504" s="2656"/>
      <c r="BC1504" s="2656"/>
      <c r="BD1504" s="2656"/>
      <c r="BE1504" s="2656"/>
      <c r="BF1504" s="2656"/>
      <c r="BG1504" s="2656"/>
      <c r="BH1504" s="2656"/>
      <c r="BI1504" s="2656"/>
    </row>
    <row r="1505" spans="1:61" ht="24.75" customHeight="1">
      <c r="A1505" s="3375"/>
      <c r="B1505" s="2646"/>
      <c r="C1505" s="2647"/>
      <c r="D1505" s="2646"/>
      <c r="E1505" s="3013"/>
      <c r="F1505" s="2655"/>
      <c r="G1505" s="2596"/>
      <c r="H1505" s="4138"/>
      <c r="I1505" s="3375"/>
      <c r="J1505" s="2648"/>
      <c r="K1505" s="3147"/>
      <c r="L1505" s="2785"/>
      <c r="M1505" s="2695"/>
      <c r="N1505" s="2649"/>
      <c r="O1505" s="2655"/>
      <c r="P1505" s="2651"/>
      <c r="Q1505" s="3440"/>
      <c r="R1505" s="3553"/>
      <c r="S1505" s="1407"/>
      <c r="T1505" s="3375"/>
      <c r="U1505" s="2648"/>
      <c r="V1505" s="3554"/>
      <c r="W1505" s="3150"/>
      <c r="X1505" s="2656"/>
      <c r="Y1505" s="2656"/>
      <c r="Z1505" s="2656"/>
      <c r="AA1505" s="2656"/>
      <c r="AB1505" s="2656"/>
      <c r="AC1505" s="2656"/>
      <c r="AD1505" s="2656"/>
      <c r="AE1505" s="2656"/>
      <c r="AF1505" s="2656"/>
      <c r="AG1505" s="2656"/>
      <c r="AH1505" s="2656"/>
      <c r="AI1505" s="2656"/>
      <c r="AJ1505" s="2656"/>
      <c r="AK1505" s="2656"/>
      <c r="AL1505" s="2656"/>
      <c r="AM1505" s="2656"/>
      <c r="AN1505" s="2656"/>
      <c r="AO1505" s="2656"/>
      <c r="AP1505" s="2656"/>
      <c r="AQ1505" s="2656"/>
      <c r="AR1505" s="2656"/>
      <c r="AS1505" s="2656"/>
      <c r="AT1505" s="2656"/>
      <c r="AU1505" s="2656"/>
      <c r="AV1505" s="2656"/>
      <c r="AW1505" s="2656"/>
      <c r="AX1505" s="2656"/>
      <c r="AY1505" s="2656"/>
      <c r="AZ1505" s="2656"/>
      <c r="BA1505" s="2656"/>
      <c r="BB1505" s="2656"/>
      <c r="BC1505" s="2656"/>
      <c r="BD1505" s="2656"/>
      <c r="BE1505" s="2656"/>
      <c r="BF1505" s="2656"/>
      <c r="BG1505" s="2656"/>
      <c r="BH1505" s="2656"/>
      <c r="BI1505" s="2656"/>
    </row>
    <row r="1506" spans="1:61" ht="24.75" customHeight="1">
      <c r="A1506" s="3375"/>
      <c r="B1506" s="2646"/>
      <c r="C1506" s="2647"/>
      <c r="D1506" s="2646"/>
      <c r="E1506" s="3013"/>
      <c r="F1506" s="2655"/>
      <c r="G1506" s="2596"/>
      <c r="H1506" s="4138"/>
      <c r="I1506" s="3375"/>
      <c r="J1506" s="2648"/>
      <c r="K1506" s="3147"/>
      <c r="L1506" s="2785"/>
      <c r="M1506" s="2695"/>
      <c r="N1506" s="2649"/>
      <c r="O1506" s="2655"/>
      <c r="P1506" s="2651"/>
      <c r="Q1506" s="3440"/>
      <c r="R1506" s="3553"/>
      <c r="S1506" s="1407"/>
      <c r="T1506" s="3375"/>
      <c r="U1506" s="2648"/>
      <c r="V1506" s="3554"/>
      <c r="W1506" s="3150"/>
      <c r="X1506" s="2656"/>
      <c r="Y1506" s="2656"/>
      <c r="Z1506" s="2656"/>
      <c r="AA1506" s="2656"/>
      <c r="AB1506" s="2656"/>
      <c r="AC1506" s="2656"/>
      <c r="AD1506" s="2656"/>
      <c r="AE1506" s="2656"/>
      <c r="AF1506" s="2656"/>
      <c r="AG1506" s="2656"/>
      <c r="AH1506" s="2656"/>
      <c r="AI1506" s="2656"/>
      <c r="AJ1506" s="2656"/>
      <c r="AK1506" s="2656"/>
      <c r="AL1506" s="2656"/>
      <c r="AM1506" s="2656"/>
      <c r="AN1506" s="2656"/>
      <c r="AO1506" s="2656"/>
      <c r="AP1506" s="2656"/>
      <c r="AQ1506" s="2656"/>
      <c r="AR1506" s="2656"/>
      <c r="AS1506" s="2656"/>
      <c r="AT1506" s="2656"/>
      <c r="AU1506" s="2656"/>
      <c r="AV1506" s="2656"/>
      <c r="AW1506" s="2656"/>
      <c r="AX1506" s="2656"/>
      <c r="AY1506" s="2656"/>
      <c r="AZ1506" s="2656"/>
      <c r="BA1506" s="2656"/>
      <c r="BB1506" s="2656"/>
      <c r="BC1506" s="2656"/>
      <c r="BD1506" s="2656"/>
      <c r="BE1506" s="2656"/>
      <c r="BF1506" s="2656"/>
      <c r="BG1506" s="2656"/>
      <c r="BH1506" s="2656"/>
      <c r="BI1506" s="2656"/>
    </row>
    <row r="1507" spans="1:61" ht="24.75" customHeight="1">
      <c r="A1507" s="3375"/>
      <c r="B1507" s="2646"/>
      <c r="C1507" s="2647"/>
      <c r="D1507" s="2646"/>
      <c r="E1507" s="3013"/>
      <c r="F1507" s="2655"/>
      <c r="G1507" s="2596"/>
      <c r="H1507" s="4138"/>
      <c r="I1507" s="3375"/>
      <c r="J1507" s="2648"/>
      <c r="K1507" s="3147"/>
      <c r="L1507" s="2785"/>
      <c r="M1507" s="2695"/>
      <c r="N1507" s="2649"/>
      <c r="O1507" s="2655"/>
      <c r="P1507" s="2651"/>
      <c r="Q1507" s="3440"/>
      <c r="R1507" s="3553"/>
      <c r="S1507" s="1407"/>
      <c r="T1507" s="3375"/>
      <c r="U1507" s="2648"/>
      <c r="V1507" s="3554"/>
      <c r="W1507" s="3150"/>
      <c r="X1507" s="2656"/>
      <c r="Y1507" s="2656"/>
      <c r="Z1507" s="2656"/>
      <c r="AA1507" s="2656"/>
      <c r="AB1507" s="2656"/>
      <c r="AC1507" s="2656"/>
      <c r="AD1507" s="2656"/>
      <c r="AE1507" s="2656"/>
      <c r="AF1507" s="2656"/>
      <c r="AG1507" s="2656"/>
      <c r="AH1507" s="2656"/>
      <c r="AI1507" s="2656"/>
      <c r="AJ1507" s="2656"/>
      <c r="AK1507" s="2656"/>
      <c r="AL1507" s="2656"/>
      <c r="AM1507" s="2656"/>
      <c r="AN1507" s="2656"/>
      <c r="AO1507" s="2656"/>
      <c r="AP1507" s="2656"/>
      <c r="AQ1507" s="2656"/>
      <c r="AR1507" s="2656"/>
      <c r="AS1507" s="2656"/>
      <c r="AT1507" s="2656"/>
      <c r="AU1507" s="2656"/>
      <c r="AV1507" s="2656"/>
      <c r="AW1507" s="2656"/>
      <c r="AX1507" s="2656"/>
      <c r="AY1507" s="2656"/>
      <c r="AZ1507" s="2656"/>
      <c r="BA1507" s="2656"/>
      <c r="BB1507" s="2656"/>
      <c r="BC1507" s="2656"/>
      <c r="BD1507" s="2656"/>
      <c r="BE1507" s="2656"/>
      <c r="BF1507" s="2656"/>
      <c r="BG1507" s="2656"/>
      <c r="BH1507" s="2656"/>
      <c r="BI1507" s="2656"/>
    </row>
    <row r="1508" spans="1:61" ht="24.75" customHeight="1">
      <c r="A1508" s="3375"/>
      <c r="B1508" s="2646"/>
      <c r="C1508" s="2647"/>
      <c r="D1508" s="2646"/>
      <c r="E1508" s="3013"/>
      <c r="F1508" s="2655"/>
      <c r="G1508" s="2596"/>
      <c r="H1508" s="4138"/>
      <c r="I1508" s="3375"/>
      <c r="J1508" s="2648"/>
      <c r="K1508" s="3147"/>
      <c r="L1508" s="2785"/>
      <c r="M1508" s="2695"/>
      <c r="N1508" s="2649"/>
      <c r="O1508" s="2655"/>
      <c r="P1508" s="2651"/>
      <c r="Q1508" s="3440"/>
      <c r="R1508" s="3553"/>
      <c r="S1508" s="1407"/>
      <c r="T1508" s="3375"/>
      <c r="U1508" s="2648"/>
      <c r="V1508" s="3554"/>
      <c r="W1508" s="3150"/>
      <c r="X1508" s="2656"/>
      <c r="Y1508" s="2656"/>
      <c r="Z1508" s="2656"/>
      <c r="AA1508" s="2656"/>
      <c r="AB1508" s="2656"/>
      <c r="AC1508" s="2656"/>
      <c r="AD1508" s="2656"/>
      <c r="AE1508" s="2656"/>
      <c r="AF1508" s="2656"/>
      <c r="AG1508" s="2656"/>
      <c r="AH1508" s="2656"/>
      <c r="AI1508" s="2656"/>
      <c r="AJ1508" s="2656"/>
      <c r="AK1508" s="2656"/>
      <c r="AL1508" s="2656"/>
      <c r="AM1508" s="2656"/>
      <c r="AN1508" s="2656"/>
      <c r="AO1508" s="2656"/>
      <c r="AP1508" s="2656"/>
      <c r="AQ1508" s="2656"/>
      <c r="AR1508" s="2656"/>
      <c r="AS1508" s="2656"/>
      <c r="AT1508" s="2656"/>
      <c r="AU1508" s="2656"/>
      <c r="AV1508" s="2656"/>
      <c r="AW1508" s="2656"/>
      <c r="AX1508" s="2656"/>
      <c r="AY1508" s="2656"/>
      <c r="AZ1508" s="2656"/>
      <c r="BA1508" s="2656"/>
      <c r="BB1508" s="2656"/>
      <c r="BC1508" s="2656"/>
      <c r="BD1508" s="2656"/>
      <c r="BE1508" s="2656"/>
      <c r="BF1508" s="2656"/>
      <c r="BG1508" s="2656"/>
      <c r="BH1508" s="2656"/>
      <c r="BI1508" s="2656"/>
    </row>
    <row r="1509" spans="1:61" ht="24.75" customHeight="1">
      <c r="A1509" s="3375"/>
      <c r="B1509" s="2646"/>
      <c r="C1509" s="2647"/>
      <c r="D1509" s="2646"/>
      <c r="E1509" s="3013"/>
      <c r="F1509" s="2655"/>
      <c r="G1509" s="2596"/>
      <c r="H1509" s="4138"/>
      <c r="I1509" s="3375"/>
      <c r="J1509" s="2648"/>
      <c r="K1509" s="3147"/>
      <c r="L1509" s="2785"/>
      <c r="M1509" s="2695"/>
      <c r="N1509" s="2649"/>
      <c r="O1509" s="2655"/>
      <c r="P1509" s="2651"/>
      <c r="Q1509" s="3440"/>
      <c r="R1509" s="3553"/>
      <c r="S1509" s="1407"/>
      <c r="T1509" s="3375"/>
      <c r="U1509" s="2648"/>
      <c r="V1509" s="3554"/>
      <c r="W1509" s="3150"/>
      <c r="X1509" s="2656"/>
      <c r="Y1509" s="2656"/>
      <c r="Z1509" s="2656"/>
      <c r="AA1509" s="2656"/>
      <c r="AB1509" s="2656"/>
      <c r="AC1509" s="2656"/>
      <c r="AD1509" s="2656"/>
      <c r="AE1509" s="2656"/>
      <c r="AF1509" s="2656"/>
      <c r="AG1509" s="2656"/>
      <c r="AH1509" s="2656"/>
      <c r="AI1509" s="2656"/>
      <c r="AJ1509" s="2656"/>
      <c r="AK1509" s="2656"/>
      <c r="AL1509" s="2656"/>
      <c r="AM1509" s="2656"/>
      <c r="AN1509" s="2656"/>
      <c r="AO1509" s="2656"/>
      <c r="AP1509" s="2656"/>
      <c r="AQ1509" s="2656"/>
      <c r="AR1509" s="2656"/>
      <c r="AS1509" s="2656"/>
      <c r="AT1509" s="2656"/>
      <c r="AU1509" s="2656"/>
      <c r="AV1509" s="2656"/>
      <c r="AW1509" s="2656"/>
      <c r="AX1509" s="2656"/>
      <c r="AY1509" s="2656"/>
      <c r="AZ1509" s="2656"/>
      <c r="BA1509" s="2656"/>
      <c r="BB1509" s="2656"/>
      <c r="BC1509" s="2656"/>
      <c r="BD1509" s="2656"/>
      <c r="BE1509" s="2656"/>
      <c r="BF1509" s="2656"/>
      <c r="BG1509" s="2656"/>
      <c r="BH1509" s="2656"/>
      <c r="BI1509" s="2656"/>
    </row>
    <row r="1510" spans="1:61" ht="24.75" customHeight="1">
      <c r="A1510" s="3375"/>
      <c r="B1510" s="2646"/>
      <c r="C1510" s="2647"/>
      <c r="D1510" s="2646"/>
      <c r="E1510" s="3013"/>
      <c r="F1510" s="2655"/>
      <c r="G1510" s="2596"/>
      <c r="H1510" s="4138"/>
      <c r="I1510" s="3375"/>
      <c r="J1510" s="2648"/>
      <c r="K1510" s="3147"/>
      <c r="L1510" s="2785"/>
      <c r="M1510" s="2695"/>
      <c r="N1510" s="2649"/>
      <c r="O1510" s="2655"/>
      <c r="P1510" s="2651"/>
      <c r="Q1510" s="3440"/>
      <c r="R1510" s="3553"/>
      <c r="S1510" s="1407"/>
      <c r="T1510" s="3375"/>
      <c r="U1510" s="2648"/>
      <c r="V1510" s="3554"/>
      <c r="W1510" s="3150"/>
      <c r="X1510" s="2656"/>
      <c r="Y1510" s="2656"/>
      <c r="Z1510" s="2656"/>
      <c r="AA1510" s="2656"/>
      <c r="AB1510" s="2656"/>
      <c r="AC1510" s="2656"/>
      <c r="AD1510" s="2656"/>
      <c r="AE1510" s="2656"/>
      <c r="AF1510" s="2656"/>
      <c r="AG1510" s="2656"/>
      <c r="AH1510" s="2656"/>
      <c r="AI1510" s="2656"/>
      <c r="AJ1510" s="2656"/>
      <c r="AK1510" s="2656"/>
      <c r="AL1510" s="2656"/>
      <c r="AM1510" s="2656"/>
      <c r="AN1510" s="2656"/>
      <c r="AO1510" s="2656"/>
      <c r="AP1510" s="2656"/>
      <c r="AQ1510" s="2656"/>
      <c r="AR1510" s="2656"/>
      <c r="AS1510" s="2656"/>
      <c r="AT1510" s="2656"/>
      <c r="AU1510" s="2656"/>
      <c r="AV1510" s="2656"/>
      <c r="AW1510" s="2656"/>
      <c r="AX1510" s="2656"/>
      <c r="AY1510" s="2656"/>
      <c r="AZ1510" s="2656"/>
      <c r="BA1510" s="2656"/>
      <c r="BB1510" s="2656"/>
      <c r="BC1510" s="2656"/>
      <c r="BD1510" s="2656"/>
      <c r="BE1510" s="2656"/>
      <c r="BF1510" s="2656"/>
      <c r="BG1510" s="2656"/>
      <c r="BH1510" s="2656"/>
      <c r="BI1510" s="2656"/>
    </row>
    <row r="1511" spans="1:61" ht="24.75" customHeight="1">
      <c r="A1511" s="3375"/>
      <c r="B1511" s="2646"/>
      <c r="C1511" s="2647"/>
      <c r="D1511" s="2646"/>
      <c r="E1511" s="3013"/>
      <c r="F1511" s="2655"/>
      <c r="G1511" s="2596"/>
      <c r="H1511" s="4138"/>
      <c r="I1511" s="3375"/>
      <c r="J1511" s="2648"/>
      <c r="K1511" s="3147"/>
      <c r="L1511" s="2785"/>
      <c r="M1511" s="2695"/>
      <c r="N1511" s="2649"/>
      <c r="O1511" s="2655"/>
      <c r="P1511" s="2651"/>
      <c r="Q1511" s="3440"/>
      <c r="R1511" s="3553"/>
      <c r="S1511" s="1407"/>
      <c r="T1511" s="3375"/>
      <c r="U1511" s="2648"/>
      <c r="V1511" s="3554"/>
      <c r="W1511" s="3150"/>
      <c r="X1511" s="2656"/>
      <c r="Y1511" s="2656"/>
      <c r="Z1511" s="2656"/>
      <c r="AA1511" s="2656"/>
      <c r="AB1511" s="2656"/>
      <c r="AC1511" s="2656"/>
      <c r="AD1511" s="2656"/>
      <c r="AE1511" s="2656"/>
      <c r="AF1511" s="2656"/>
      <c r="AG1511" s="2656"/>
      <c r="AH1511" s="2656"/>
      <c r="AI1511" s="2656"/>
      <c r="AJ1511" s="2656"/>
      <c r="AK1511" s="2656"/>
      <c r="AL1511" s="2656"/>
      <c r="AM1511" s="2656"/>
      <c r="AN1511" s="2656"/>
      <c r="AO1511" s="2656"/>
      <c r="AP1511" s="2656"/>
      <c r="AQ1511" s="2656"/>
      <c r="AR1511" s="2656"/>
      <c r="AS1511" s="2656"/>
      <c r="AT1511" s="2656"/>
      <c r="AU1511" s="2656"/>
      <c r="AV1511" s="2656"/>
      <c r="AW1511" s="2656"/>
      <c r="AX1511" s="2656"/>
      <c r="AY1511" s="2656"/>
      <c r="AZ1511" s="2656"/>
      <c r="BA1511" s="2656"/>
      <c r="BB1511" s="2656"/>
      <c r="BC1511" s="2656"/>
      <c r="BD1511" s="2656"/>
      <c r="BE1511" s="2656"/>
      <c r="BF1511" s="2656"/>
      <c r="BG1511" s="2656"/>
      <c r="BH1511" s="2656"/>
      <c r="BI1511" s="2656"/>
    </row>
    <row r="1512" spans="1:61" ht="24.75" customHeight="1">
      <c r="A1512" s="3375"/>
      <c r="B1512" s="2646"/>
      <c r="C1512" s="2647"/>
      <c r="D1512" s="2646"/>
      <c r="E1512" s="3013"/>
      <c r="F1512" s="2655"/>
      <c r="G1512" s="2596"/>
      <c r="H1512" s="4138"/>
      <c r="I1512" s="3375"/>
      <c r="J1512" s="2648"/>
      <c r="K1512" s="3147"/>
      <c r="L1512" s="2785"/>
      <c r="M1512" s="2695"/>
      <c r="N1512" s="2649"/>
      <c r="O1512" s="2655"/>
      <c r="P1512" s="2651"/>
      <c r="Q1512" s="3440"/>
      <c r="R1512" s="3553"/>
      <c r="S1512" s="1407"/>
      <c r="T1512" s="3375"/>
      <c r="U1512" s="2648"/>
      <c r="V1512" s="3554"/>
      <c r="W1512" s="3150"/>
      <c r="X1512" s="2656"/>
      <c r="Y1512" s="2656"/>
      <c r="Z1512" s="2656"/>
      <c r="AA1512" s="2656"/>
      <c r="AB1512" s="2656"/>
      <c r="AC1512" s="2656"/>
      <c r="AD1512" s="2656"/>
      <c r="AE1512" s="2656"/>
      <c r="AF1512" s="2656"/>
      <c r="AG1512" s="2656"/>
      <c r="AH1512" s="2656"/>
      <c r="AI1512" s="2656"/>
      <c r="AJ1512" s="2656"/>
      <c r="AK1512" s="2656"/>
      <c r="AL1512" s="2656"/>
      <c r="AM1512" s="2656"/>
      <c r="AN1512" s="2656"/>
      <c r="AO1512" s="2656"/>
      <c r="AP1512" s="2656"/>
      <c r="AQ1512" s="2656"/>
      <c r="AR1512" s="2656"/>
      <c r="AS1512" s="2656"/>
      <c r="AT1512" s="2656"/>
      <c r="AU1512" s="2656"/>
      <c r="AV1512" s="2656"/>
      <c r="AW1512" s="2656"/>
      <c r="AX1512" s="2656"/>
      <c r="AY1512" s="2656"/>
      <c r="AZ1512" s="2656"/>
      <c r="BA1512" s="2656"/>
      <c r="BB1512" s="2656"/>
      <c r="BC1512" s="2656"/>
      <c r="BD1512" s="2656"/>
      <c r="BE1512" s="2656"/>
      <c r="BF1512" s="2656"/>
      <c r="BG1512" s="2656"/>
      <c r="BH1512" s="2656"/>
      <c r="BI1512" s="2656"/>
    </row>
    <row r="1513" spans="1:61" ht="24.75" customHeight="1">
      <c r="A1513" s="3375"/>
      <c r="B1513" s="2646"/>
      <c r="C1513" s="2647"/>
      <c r="D1513" s="2646"/>
      <c r="E1513" s="3013"/>
      <c r="F1513" s="2655"/>
      <c r="G1513" s="2596"/>
      <c r="H1513" s="4138"/>
      <c r="I1513" s="3375"/>
      <c r="J1513" s="2648"/>
      <c r="K1513" s="3147"/>
      <c r="L1513" s="2785"/>
      <c r="M1513" s="2695"/>
      <c r="N1513" s="2649"/>
      <c r="O1513" s="2655"/>
      <c r="P1513" s="2651"/>
      <c r="Q1513" s="3440"/>
      <c r="R1513" s="3553"/>
      <c r="S1513" s="1407"/>
      <c r="T1513" s="3375"/>
      <c r="U1513" s="2648"/>
      <c r="V1513" s="3554"/>
      <c r="W1513" s="3150"/>
      <c r="X1513" s="2656"/>
      <c r="Y1513" s="2656"/>
      <c r="Z1513" s="2656"/>
      <c r="AA1513" s="2656"/>
      <c r="AB1513" s="2656"/>
      <c r="AC1513" s="2656"/>
      <c r="AD1513" s="2656"/>
      <c r="AE1513" s="2656"/>
      <c r="AF1513" s="2656"/>
      <c r="AG1513" s="2656"/>
      <c r="AH1513" s="2656"/>
      <c r="AI1513" s="2656"/>
      <c r="AJ1513" s="2656"/>
      <c r="AK1513" s="2656"/>
      <c r="AL1513" s="2656"/>
      <c r="AM1513" s="2656"/>
      <c r="AN1513" s="2656"/>
      <c r="AO1513" s="2656"/>
      <c r="AP1513" s="2656"/>
      <c r="AQ1513" s="2656"/>
      <c r="AR1513" s="2656"/>
      <c r="AS1513" s="2656"/>
      <c r="AT1513" s="2656"/>
      <c r="AU1513" s="2656"/>
      <c r="AV1513" s="2656"/>
      <c r="AW1513" s="2656"/>
      <c r="AX1513" s="2656"/>
      <c r="AY1513" s="2656"/>
      <c r="AZ1513" s="2656"/>
      <c r="BA1513" s="2656"/>
      <c r="BB1513" s="2656"/>
      <c r="BC1513" s="2656"/>
      <c r="BD1513" s="2656"/>
      <c r="BE1513" s="2656"/>
      <c r="BF1513" s="2656"/>
      <c r="BG1513" s="2656"/>
      <c r="BH1513" s="2656"/>
      <c r="BI1513" s="2656"/>
    </row>
    <row r="1514" spans="1:61" ht="24.75" customHeight="1">
      <c r="A1514" s="3375"/>
      <c r="B1514" s="2646"/>
      <c r="C1514" s="2647"/>
      <c r="D1514" s="2646"/>
      <c r="E1514" s="3013"/>
      <c r="F1514" s="2655"/>
      <c r="G1514" s="2596"/>
      <c r="H1514" s="4138"/>
      <c r="I1514" s="3375"/>
      <c r="J1514" s="2648"/>
      <c r="K1514" s="3147"/>
      <c r="L1514" s="2785"/>
      <c r="M1514" s="2695"/>
      <c r="N1514" s="2649"/>
      <c r="O1514" s="2655"/>
      <c r="P1514" s="2651"/>
      <c r="Q1514" s="3440"/>
      <c r="R1514" s="3553"/>
      <c r="S1514" s="1407"/>
      <c r="T1514" s="3375"/>
      <c r="U1514" s="2648"/>
      <c r="V1514" s="3554"/>
      <c r="W1514" s="3150"/>
      <c r="X1514" s="2656"/>
      <c r="Y1514" s="2656"/>
      <c r="Z1514" s="2656"/>
      <c r="AA1514" s="2656"/>
      <c r="AB1514" s="2656"/>
      <c r="AC1514" s="2656"/>
      <c r="AD1514" s="2656"/>
      <c r="AE1514" s="2656"/>
      <c r="AF1514" s="2656"/>
      <c r="AG1514" s="2656"/>
      <c r="AH1514" s="2656"/>
      <c r="AI1514" s="2656"/>
      <c r="AJ1514" s="2656"/>
      <c r="AK1514" s="2656"/>
      <c r="AL1514" s="2656"/>
      <c r="AM1514" s="2656"/>
      <c r="AN1514" s="2656"/>
      <c r="AO1514" s="2656"/>
      <c r="AP1514" s="2656"/>
      <c r="AQ1514" s="2656"/>
      <c r="AR1514" s="2656"/>
      <c r="AS1514" s="2656"/>
      <c r="AT1514" s="2656"/>
      <c r="AU1514" s="2656"/>
      <c r="AV1514" s="2656"/>
      <c r="AW1514" s="2656"/>
      <c r="AX1514" s="2656"/>
      <c r="AY1514" s="2656"/>
      <c r="AZ1514" s="2656"/>
      <c r="BA1514" s="2656"/>
      <c r="BB1514" s="2656"/>
      <c r="BC1514" s="2656"/>
      <c r="BD1514" s="2656"/>
      <c r="BE1514" s="2656"/>
      <c r="BF1514" s="2656"/>
      <c r="BG1514" s="2656"/>
      <c r="BH1514" s="2656"/>
      <c r="BI1514" s="2656"/>
    </row>
    <row r="1515" spans="1:61" ht="24.75" customHeight="1">
      <c r="A1515" s="3375"/>
      <c r="B1515" s="2646"/>
      <c r="C1515" s="2647"/>
      <c r="D1515" s="2646"/>
      <c r="E1515" s="3013"/>
      <c r="F1515" s="2655"/>
      <c r="G1515" s="2596"/>
      <c r="H1515" s="4138"/>
      <c r="I1515" s="3375"/>
      <c r="J1515" s="2648"/>
      <c r="K1515" s="3147"/>
      <c r="L1515" s="2785"/>
      <c r="M1515" s="2695"/>
      <c r="N1515" s="2649"/>
      <c r="O1515" s="2655"/>
      <c r="P1515" s="2651"/>
      <c r="Q1515" s="3440"/>
      <c r="R1515" s="3553"/>
      <c r="S1515" s="1407"/>
      <c r="T1515" s="3375"/>
      <c r="U1515" s="2648"/>
      <c r="V1515" s="3554"/>
      <c r="W1515" s="3150"/>
      <c r="X1515" s="2656"/>
      <c r="Y1515" s="2656"/>
      <c r="Z1515" s="2656"/>
      <c r="AA1515" s="2656"/>
      <c r="AB1515" s="2656"/>
      <c r="AC1515" s="2656"/>
      <c r="AD1515" s="2656"/>
      <c r="AE1515" s="2656"/>
      <c r="AF1515" s="2656"/>
      <c r="AG1515" s="2656"/>
      <c r="AH1515" s="2656"/>
      <c r="AI1515" s="2656"/>
      <c r="AJ1515" s="2656"/>
      <c r="AK1515" s="2656"/>
      <c r="AL1515" s="2656"/>
      <c r="AM1515" s="2656"/>
      <c r="AN1515" s="2656"/>
      <c r="AO1515" s="2656"/>
      <c r="AP1515" s="2656"/>
      <c r="AQ1515" s="2656"/>
      <c r="AR1515" s="2656"/>
      <c r="AS1515" s="2656"/>
      <c r="AT1515" s="2656"/>
      <c r="AU1515" s="2656"/>
      <c r="AV1515" s="2656"/>
      <c r="AW1515" s="2656"/>
      <c r="AX1515" s="2656"/>
      <c r="AY1515" s="2656"/>
      <c r="AZ1515" s="2656"/>
      <c r="BA1515" s="2656"/>
      <c r="BB1515" s="2656"/>
      <c r="BC1515" s="2656"/>
      <c r="BD1515" s="2656"/>
      <c r="BE1515" s="2656"/>
      <c r="BF1515" s="2656"/>
      <c r="BG1515" s="2656"/>
      <c r="BH1515" s="2656"/>
      <c r="BI1515" s="2656"/>
    </row>
    <row r="1516" spans="1:61" ht="24.75" customHeight="1">
      <c r="A1516" s="3375"/>
      <c r="B1516" s="2646"/>
      <c r="C1516" s="2647"/>
      <c r="D1516" s="2646"/>
      <c r="E1516" s="3013"/>
      <c r="F1516" s="2655"/>
      <c r="G1516" s="2596"/>
      <c r="H1516" s="4138"/>
      <c r="I1516" s="3375"/>
      <c r="J1516" s="2648"/>
      <c r="K1516" s="3147"/>
      <c r="L1516" s="2785"/>
      <c r="M1516" s="2695"/>
      <c r="N1516" s="2649"/>
      <c r="O1516" s="2655"/>
      <c r="P1516" s="2651"/>
      <c r="Q1516" s="3440"/>
      <c r="R1516" s="3553"/>
      <c r="S1516" s="1407"/>
      <c r="T1516" s="3375"/>
      <c r="U1516" s="2648"/>
      <c r="V1516" s="3554"/>
      <c r="W1516" s="3150"/>
      <c r="X1516" s="2656"/>
      <c r="Y1516" s="2656"/>
      <c r="Z1516" s="2656"/>
      <c r="AA1516" s="2656"/>
      <c r="AB1516" s="2656"/>
      <c r="AC1516" s="2656"/>
      <c r="AD1516" s="2656"/>
      <c r="AE1516" s="2656"/>
      <c r="AF1516" s="2656"/>
      <c r="AG1516" s="2656"/>
      <c r="AH1516" s="2656"/>
      <c r="AI1516" s="2656"/>
      <c r="AJ1516" s="2656"/>
      <c r="AK1516" s="2656"/>
      <c r="AL1516" s="2656"/>
      <c r="AM1516" s="2656"/>
      <c r="AN1516" s="2656"/>
      <c r="AO1516" s="2656"/>
      <c r="AP1516" s="2656"/>
      <c r="AQ1516" s="2656"/>
      <c r="AR1516" s="2656"/>
      <c r="AS1516" s="2656"/>
      <c r="AT1516" s="2656"/>
      <c r="AU1516" s="2656"/>
      <c r="AV1516" s="2656"/>
      <c r="AW1516" s="2656"/>
      <c r="AX1516" s="2656"/>
      <c r="AY1516" s="2656"/>
      <c r="AZ1516" s="2656"/>
      <c r="BA1516" s="2656"/>
      <c r="BB1516" s="2656"/>
      <c r="BC1516" s="2656"/>
      <c r="BD1516" s="2656"/>
      <c r="BE1516" s="2656"/>
      <c r="BF1516" s="2656"/>
      <c r="BG1516" s="2656"/>
      <c r="BH1516" s="2656"/>
      <c r="BI1516" s="2656"/>
    </row>
    <row r="1517" spans="1:61" ht="24.75" customHeight="1">
      <c r="A1517" s="3375"/>
      <c r="B1517" s="2646"/>
      <c r="C1517" s="2647"/>
      <c r="D1517" s="2646"/>
      <c r="E1517" s="3013"/>
      <c r="F1517" s="2655"/>
      <c r="G1517" s="2596"/>
      <c r="H1517" s="4138"/>
      <c r="I1517" s="3375"/>
      <c r="J1517" s="2648"/>
      <c r="K1517" s="3147"/>
      <c r="L1517" s="2785"/>
      <c r="M1517" s="2695"/>
      <c r="N1517" s="2649"/>
      <c r="O1517" s="2655"/>
      <c r="P1517" s="2651"/>
      <c r="Q1517" s="3440"/>
      <c r="R1517" s="3553"/>
      <c r="S1517" s="1407"/>
      <c r="T1517" s="3375"/>
      <c r="U1517" s="2648"/>
      <c r="V1517" s="3554"/>
      <c r="W1517" s="3150"/>
      <c r="X1517" s="2656"/>
      <c r="Y1517" s="2656"/>
      <c r="Z1517" s="2656"/>
      <c r="AA1517" s="2656"/>
      <c r="AB1517" s="2656"/>
      <c r="AC1517" s="2656"/>
      <c r="AD1517" s="2656"/>
      <c r="AE1517" s="2656"/>
      <c r="AF1517" s="2656"/>
      <c r="AG1517" s="2656"/>
      <c r="AH1517" s="2656"/>
      <c r="AI1517" s="2656"/>
      <c r="AJ1517" s="2656"/>
      <c r="AK1517" s="2656"/>
      <c r="AL1517" s="2656"/>
      <c r="AM1517" s="2656"/>
      <c r="AN1517" s="2656"/>
      <c r="AO1517" s="2656"/>
      <c r="AP1517" s="2656"/>
      <c r="AQ1517" s="2656"/>
      <c r="AR1517" s="2656"/>
      <c r="AS1517" s="2656"/>
      <c r="AT1517" s="2656"/>
      <c r="AU1517" s="2656"/>
      <c r="AV1517" s="2656"/>
      <c r="AW1517" s="2656"/>
      <c r="AX1517" s="2656"/>
      <c r="AY1517" s="2656"/>
      <c r="AZ1517" s="2656"/>
      <c r="BA1517" s="2656"/>
      <c r="BB1517" s="2656"/>
      <c r="BC1517" s="2656"/>
      <c r="BD1517" s="2656"/>
      <c r="BE1517" s="2656"/>
      <c r="BF1517" s="2656"/>
      <c r="BG1517" s="2656"/>
      <c r="BH1517" s="2656"/>
      <c r="BI1517" s="2656"/>
    </row>
    <row r="1518" spans="1:61" ht="24.75" customHeight="1">
      <c r="A1518" s="3375"/>
      <c r="B1518" s="2646"/>
      <c r="C1518" s="2647"/>
      <c r="D1518" s="2646"/>
      <c r="E1518" s="3013"/>
      <c r="F1518" s="2655"/>
      <c r="G1518" s="2596"/>
      <c r="H1518" s="4138"/>
      <c r="I1518" s="3375"/>
      <c r="J1518" s="2648"/>
      <c r="K1518" s="3147"/>
      <c r="L1518" s="2785"/>
      <c r="M1518" s="2695"/>
      <c r="N1518" s="2649"/>
      <c r="O1518" s="2655"/>
      <c r="P1518" s="2651"/>
      <c r="Q1518" s="3440"/>
      <c r="R1518" s="3553"/>
      <c r="S1518" s="1407"/>
      <c r="T1518" s="3375"/>
      <c r="U1518" s="2648"/>
      <c r="V1518" s="3554"/>
      <c r="W1518" s="3150"/>
      <c r="X1518" s="2656"/>
      <c r="Y1518" s="2656"/>
      <c r="Z1518" s="2656"/>
      <c r="AA1518" s="2656"/>
      <c r="AB1518" s="2656"/>
      <c r="AC1518" s="2656"/>
      <c r="AD1518" s="2656"/>
      <c r="AE1518" s="2656"/>
      <c r="AF1518" s="2656"/>
      <c r="AG1518" s="2656"/>
      <c r="AH1518" s="2656"/>
      <c r="AI1518" s="2656"/>
      <c r="AJ1518" s="2656"/>
      <c r="AK1518" s="2656"/>
      <c r="AL1518" s="2656"/>
      <c r="AM1518" s="2656"/>
      <c r="AN1518" s="2656"/>
      <c r="AO1518" s="2656"/>
      <c r="AP1518" s="2656"/>
      <c r="AQ1518" s="2656"/>
      <c r="AR1518" s="2656"/>
      <c r="AS1518" s="2656"/>
      <c r="AT1518" s="2656"/>
      <c r="AU1518" s="2656"/>
      <c r="AV1518" s="2656"/>
      <c r="AW1518" s="2656"/>
      <c r="AX1518" s="2656"/>
      <c r="AY1518" s="2656"/>
      <c r="AZ1518" s="2656"/>
      <c r="BA1518" s="2656"/>
      <c r="BB1518" s="2656"/>
      <c r="BC1518" s="2656"/>
      <c r="BD1518" s="2656"/>
      <c r="BE1518" s="2656"/>
      <c r="BF1518" s="2656"/>
      <c r="BG1518" s="2656"/>
      <c r="BH1518" s="2656"/>
      <c r="BI1518" s="2656"/>
    </row>
    <row r="1519" spans="1:61" ht="24.75" customHeight="1">
      <c r="A1519" s="3375"/>
      <c r="B1519" s="2646"/>
      <c r="C1519" s="2647"/>
      <c r="D1519" s="2646"/>
      <c r="E1519" s="3013"/>
      <c r="F1519" s="2655"/>
      <c r="G1519" s="2596"/>
      <c r="H1519" s="4138"/>
      <c r="I1519" s="3375"/>
      <c r="J1519" s="2648"/>
      <c r="K1519" s="3147"/>
      <c r="L1519" s="2785"/>
      <c r="M1519" s="2695"/>
      <c r="N1519" s="2649"/>
      <c r="O1519" s="2655"/>
      <c r="P1519" s="2651"/>
      <c r="Q1519" s="3440"/>
      <c r="R1519" s="3553"/>
      <c r="S1519" s="1407"/>
      <c r="T1519" s="3375"/>
      <c r="U1519" s="2648"/>
      <c r="V1519" s="3554"/>
      <c r="W1519" s="3150"/>
      <c r="X1519" s="2656"/>
      <c r="Y1519" s="2656"/>
      <c r="Z1519" s="2656"/>
      <c r="AA1519" s="2656"/>
      <c r="AB1519" s="2656"/>
      <c r="AC1519" s="2656"/>
      <c r="AD1519" s="2656"/>
      <c r="AE1519" s="2656"/>
      <c r="AF1519" s="2656"/>
      <c r="AG1519" s="2656"/>
      <c r="AH1519" s="2656"/>
      <c r="AI1519" s="2656"/>
      <c r="AJ1519" s="2656"/>
      <c r="AK1519" s="2656"/>
      <c r="AL1519" s="2656"/>
      <c r="AM1519" s="2656"/>
      <c r="AN1519" s="2656"/>
      <c r="AO1519" s="2656"/>
      <c r="AP1519" s="2656"/>
      <c r="AQ1519" s="2656"/>
      <c r="AR1519" s="2656"/>
      <c r="AS1519" s="2656"/>
      <c r="AT1519" s="2656"/>
      <c r="AU1519" s="2656"/>
      <c r="AV1519" s="2656"/>
      <c r="AW1519" s="2656"/>
      <c r="AX1519" s="2656"/>
      <c r="AY1519" s="2656"/>
      <c r="AZ1519" s="2656"/>
      <c r="BA1519" s="2656"/>
      <c r="BB1519" s="2656"/>
      <c r="BC1519" s="2656"/>
      <c r="BD1519" s="2656"/>
      <c r="BE1519" s="2656"/>
      <c r="BF1519" s="2656"/>
      <c r="BG1519" s="2656"/>
      <c r="BH1519" s="2656"/>
      <c r="BI1519" s="2656"/>
    </row>
    <row r="1520" spans="1:61" ht="24.75" customHeight="1">
      <c r="A1520" s="3375"/>
      <c r="B1520" s="2646"/>
      <c r="C1520" s="2647"/>
      <c r="D1520" s="2646"/>
      <c r="E1520" s="3013"/>
      <c r="F1520" s="2655"/>
      <c r="G1520" s="2596"/>
      <c r="H1520" s="4138"/>
      <c r="I1520" s="3375"/>
      <c r="J1520" s="2648"/>
      <c r="K1520" s="3147"/>
      <c r="L1520" s="2785"/>
      <c r="M1520" s="2695"/>
      <c r="N1520" s="2649"/>
      <c r="O1520" s="2655"/>
      <c r="P1520" s="2651"/>
      <c r="Q1520" s="3440"/>
      <c r="R1520" s="3553"/>
      <c r="S1520" s="1407"/>
      <c r="T1520" s="3375"/>
      <c r="U1520" s="2648"/>
      <c r="V1520" s="3554"/>
      <c r="W1520" s="3150"/>
      <c r="X1520" s="2656"/>
      <c r="Y1520" s="2656"/>
      <c r="Z1520" s="2656"/>
      <c r="AA1520" s="2656"/>
      <c r="AB1520" s="2656"/>
      <c r="AC1520" s="2656"/>
      <c r="AD1520" s="2656"/>
      <c r="AE1520" s="2656"/>
      <c r="AF1520" s="2656"/>
      <c r="AG1520" s="2656"/>
      <c r="AH1520" s="2656"/>
      <c r="AI1520" s="2656"/>
      <c r="AJ1520" s="2656"/>
      <c r="AK1520" s="2656"/>
      <c r="AL1520" s="2656"/>
      <c r="AM1520" s="2656"/>
      <c r="AN1520" s="2656"/>
      <c r="AO1520" s="2656"/>
      <c r="AP1520" s="2656"/>
      <c r="AQ1520" s="2656"/>
      <c r="AR1520" s="2656"/>
      <c r="AS1520" s="2656"/>
      <c r="AT1520" s="2656"/>
      <c r="AU1520" s="2656"/>
      <c r="AV1520" s="2656"/>
      <c r="AW1520" s="2656"/>
      <c r="AX1520" s="2656"/>
      <c r="AY1520" s="2656"/>
      <c r="AZ1520" s="2656"/>
      <c r="BA1520" s="2656"/>
      <c r="BB1520" s="2656"/>
      <c r="BC1520" s="2656"/>
      <c r="BD1520" s="2656"/>
      <c r="BE1520" s="2656"/>
      <c r="BF1520" s="2656"/>
      <c r="BG1520" s="2656"/>
      <c r="BH1520" s="2656"/>
      <c r="BI1520" s="2656"/>
    </row>
    <row r="1521" spans="1:61" ht="24.75" customHeight="1">
      <c r="A1521" s="3375"/>
      <c r="B1521" s="2646"/>
      <c r="C1521" s="2647"/>
      <c r="D1521" s="2646"/>
      <c r="E1521" s="3013"/>
      <c r="F1521" s="2655"/>
      <c r="G1521" s="2596"/>
      <c r="H1521" s="4138"/>
      <c r="I1521" s="3375"/>
      <c r="J1521" s="2648"/>
      <c r="K1521" s="3147"/>
      <c r="L1521" s="2785"/>
      <c r="M1521" s="2695"/>
      <c r="N1521" s="2649"/>
      <c r="O1521" s="2655"/>
      <c r="P1521" s="2651"/>
      <c r="Q1521" s="3440"/>
      <c r="R1521" s="3553"/>
      <c r="S1521" s="1407"/>
      <c r="T1521" s="3375"/>
      <c r="U1521" s="2648"/>
      <c r="V1521" s="3554"/>
      <c r="W1521" s="3150"/>
      <c r="X1521" s="2656"/>
      <c r="Y1521" s="2656"/>
      <c r="Z1521" s="2656"/>
      <c r="AA1521" s="2656"/>
      <c r="AB1521" s="2656"/>
      <c r="AC1521" s="2656"/>
      <c r="AD1521" s="2656"/>
      <c r="AE1521" s="2656"/>
      <c r="AF1521" s="2656"/>
      <c r="AG1521" s="2656"/>
      <c r="AH1521" s="2656"/>
      <c r="AI1521" s="2656"/>
      <c r="AJ1521" s="2656"/>
      <c r="AK1521" s="2656"/>
      <c r="AL1521" s="2656"/>
      <c r="AM1521" s="2656"/>
      <c r="AN1521" s="2656"/>
      <c r="AO1521" s="2656"/>
      <c r="AP1521" s="2656"/>
      <c r="AQ1521" s="2656"/>
      <c r="AR1521" s="2656"/>
      <c r="AS1521" s="2656"/>
      <c r="AT1521" s="2656"/>
      <c r="AU1521" s="2656"/>
      <c r="AV1521" s="2656"/>
      <c r="AW1521" s="2656"/>
      <c r="AX1521" s="2656"/>
      <c r="AY1521" s="2656"/>
      <c r="AZ1521" s="2656"/>
      <c r="BA1521" s="2656"/>
      <c r="BB1521" s="2656"/>
      <c r="BC1521" s="2656"/>
      <c r="BD1521" s="2656"/>
      <c r="BE1521" s="2656"/>
      <c r="BF1521" s="2656"/>
      <c r="BG1521" s="2656"/>
      <c r="BH1521" s="2656"/>
      <c r="BI1521" s="2656"/>
    </row>
    <row r="1522" spans="1:61" ht="24.75" customHeight="1">
      <c r="A1522" s="3375"/>
      <c r="B1522" s="2646"/>
      <c r="C1522" s="2647"/>
      <c r="D1522" s="2646"/>
      <c r="E1522" s="3013"/>
      <c r="F1522" s="2655"/>
      <c r="G1522" s="2596"/>
      <c r="H1522" s="4138"/>
      <c r="I1522" s="3375"/>
      <c r="J1522" s="2648"/>
      <c r="K1522" s="3147"/>
      <c r="L1522" s="2785"/>
      <c r="M1522" s="2695"/>
      <c r="N1522" s="2649"/>
      <c r="O1522" s="2655"/>
      <c r="P1522" s="2651"/>
      <c r="Q1522" s="3440"/>
      <c r="R1522" s="3553"/>
      <c r="S1522" s="1407"/>
      <c r="T1522" s="3375"/>
      <c r="U1522" s="2648"/>
      <c r="V1522" s="3554"/>
      <c r="W1522" s="3150"/>
      <c r="X1522" s="2656"/>
      <c r="Y1522" s="2656"/>
      <c r="Z1522" s="2656"/>
      <c r="AA1522" s="2656"/>
      <c r="AB1522" s="2656"/>
      <c r="AC1522" s="2656"/>
      <c r="AD1522" s="2656"/>
      <c r="AE1522" s="2656"/>
      <c r="AF1522" s="2656"/>
      <c r="AG1522" s="2656"/>
      <c r="AH1522" s="2656"/>
      <c r="AI1522" s="2656"/>
      <c r="AJ1522" s="2656"/>
      <c r="AK1522" s="2656"/>
      <c r="AL1522" s="2656"/>
      <c r="AM1522" s="2656"/>
      <c r="AN1522" s="2656"/>
      <c r="AO1522" s="2656"/>
      <c r="AP1522" s="2656"/>
      <c r="AQ1522" s="2656"/>
      <c r="AR1522" s="2656"/>
      <c r="AS1522" s="2656"/>
      <c r="AT1522" s="2656"/>
      <c r="AU1522" s="2656"/>
      <c r="AV1522" s="2656"/>
      <c r="AW1522" s="2656"/>
      <c r="AX1522" s="2656"/>
      <c r="AY1522" s="2656"/>
      <c r="AZ1522" s="2656"/>
      <c r="BA1522" s="2656"/>
      <c r="BB1522" s="2656"/>
      <c r="BC1522" s="2656"/>
      <c r="BD1522" s="2656"/>
      <c r="BE1522" s="2656"/>
      <c r="BF1522" s="2656"/>
      <c r="BG1522" s="2656"/>
      <c r="BH1522" s="2656"/>
      <c r="BI1522" s="2656"/>
    </row>
    <row r="1523" spans="1:61" ht="24.75" customHeight="1">
      <c r="A1523" s="3375"/>
      <c r="B1523" s="2646"/>
      <c r="C1523" s="2647"/>
      <c r="D1523" s="2646"/>
      <c r="E1523" s="3013"/>
      <c r="F1523" s="2655"/>
      <c r="G1523" s="2596"/>
      <c r="H1523" s="4138"/>
      <c r="I1523" s="3375"/>
      <c r="J1523" s="2648"/>
      <c r="K1523" s="3147"/>
      <c r="L1523" s="2785"/>
      <c r="M1523" s="2695"/>
      <c r="N1523" s="2649"/>
      <c r="O1523" s="2655"/>
      <c r="P1523" s="2651"/>
      <c r="Q1523" s="3440"/>
      <c r="R1523" s="3553"/>
      <c r="S1523" s="1407"/>
      <c r="T1523" s="3375"/>
      <c r="U1523" s="2648"/>
      <c r="V1523" s="3554"/>
      <c r="W1523" s="3150"/>
      <c r="X1523" s="2656"/>
      <c r="Y1523" s="2656"/>
      <c r="Z1523" s="2656"/>
      <c r="AA1523" s="2656"/>
      <c r="AB1523" s="2656"/>
      <c r="AC1523" s="2656"/>
      <c r="AD1523" s="2656"/>
      <c r="AE1523" s="2656"/>
      <c r="AF1523" s="2656"/>
      <c r="AG1523" s="2656"/>
      <c r="AH1523" s="2656"/>
      <c r="AI1523" s="2656"/>
      <c r="AJ1523" s="2656"/>
      <c r="AK1523" s="2656"/>
      <c r="AL1523" s="2656"/>
      <c r="AM1523" s="2656"/>
      <c r="AN1523" s="2656"/>
      <c r="AO1523" s="2656"/>
      <c r="AP1523" s="2656"/>
      <c r="AQ1523" s="2656"/>
      <c r="AR1523" s="2656"/>
      <c r="AS1523" s="2656"/>
      <c r="AT1523" s="2656"/>
      <c r="AU1523" s="2656"/>
      <c r="AV1523" s="2656"/>
      <c r="AW1523" s="2656"/>
      <c r="AX1523" s="2656"/>
      <c r="AY1523" s="2656"/>
      <c r="AZ1523" s="2656"/>
      <c r="BA1523" s="2656"/>
      <c r="BB1523" s="2656"/>
      <c r="BC1523" s="2656"/>
      <c r="BD1523" s="2656"/>
      <c r="BE1523" s="2656"/>
      <c r="BF1523" s="2656"/>
      <c r="BG1523" s="2656"/>
      <c r="BH1523" s="2656"/>
      <c r="BI1523" s="2656"/>
    </row>
    <row r="1524" spans="1:61" ht="24.75" customHeight="1">
      <c r="A1524" s="3375"/>
      <c r="B1524" s="2646"/>
      <c r="C1524" s="2647"/>
      <c r="D1524" s="2646"/>
      <c r="E1524" s="3013"/>
      <c r="F1524" s="2655"/>
      <c r="G1524" s="2596"/>
      <c r="H1524" s="4138"/>
      <c r="I1524" s="3375"/>
      <c r="J1524" s="2648"/>
      <c r="K1524" s="3147"/>
      <c r="L1524" s="2785"/>
      <c r="M1524" s="2695"/>
      <c r="N1524" s="2649"/>
      <c r="O1524" s="2655"/>
      <c r="P1524" s="2651"/>
      <c r="Q1524" s="3440"/>
      <c r="R1524" s="3553"/>
      <c r="S1524" s="1407"/>
      <c r="T1524" s="3375"/>
      <c r="U1524" s="2648"/>
      <c r="V1524" s="3554"/>
      <c r="W1524" s="3150"/>
      <c r="X1524" s="2656"/>
      <c r="Y1524" s="2656"/>
      <c r="Z1524" s="2656"/>
      <c r="AA1524" s="2656"/>
      <c r="AB1524" s="2656"/>
      <c r="AC1524" s="2656"/>
      <c r="AD1524" s="2656"/>
      <c r="AE1524" s="2656"/>
      <c r="AF1524" s="2656"/>
      <c r="AG1524" s="2656"/>
      <c r="AH1524" s="2656"/>
      <c r="AI1524" s="2656"/>
      <c r="AJ1524" s="2656"/>
      <c r="AK1524" s="2656"/>
      <c r="AL1524" s="2656"/>
      <c r="AM1524" s="2656"/>
      <c r="AN1524" s="2656"/>
      <c r="AO1524" s="2656"/>
      <c r="AP1524" s="2656"/>
      <c r="AQ1524" s="2656"/>
      <c r="AR1524" s="2656"/>
      <c r="AS1524" s="2656"/>
      <c r="AT1524" s="2656"/>
      <c r="AU1524" s="2656"/>
      <c r="AV1524" s="2656"/>
      <c r="AW1524" s="2656"/>
      <c r="AX1524" s="2656"/>
      <c r="AY1524" s="2656"/>
      <c r="AZ1524" s="2656"/>
      <c r="BA1524" s="2656"/>
      <c r="BB1524" s="2656"/>
      <c r="BC1524" s="2656"/>
      <c r="BD1524" s="2656"/>
      <c r="BE1524" s="2656"/>
      <c r="BF1524" s="2656"/>
      <c r="BG1524" s="2656"/>
      <c r="BH1524" s="2656"/>
      <c r="BI1524" s="2656"/>
    </row>
    <row r="1525" spans="1:61" ht="24.75" customHeight="1">
      <c r="A1525" s="3375"/>
      <c r="B1525" s="2646"/>
      <c r="C1525" s="2647"/>
      <c r="D1525" s="2646"/>
      <c r="E1525" s="3013"/>
      <c r="F1525" s="2655"/>
      <c r="G1525" s="2596"/>
      <c r="H1525" s="4138"/>
      <c r="I1525" s="3375"/>
      <c r="J1525" s="2648"/>
      <c r="K1525" s="3147"/>
      <c r="L1525" s="2785"/>
      <c r="M1525" s="2695"/>
      <c r="N1525" s="2649"/>
      <c r="O1525" s="2655"/>
      <c r="P1525" s="2651"/>
      <c r="Q1525" s="3440"/>
      <c r="R1525" s="3553"/>
      <c r="S1525" s="1407"/>
      <c r="T1525" s="3375"/>
      <c r="U1525" s="2648"/>
      <c r="V1525" s="3554"/>
      <c r="W1525" s="3150"/>
      <c r="X1525" s="2656"/>
      <c r="Y1525" s="2656"/>
      <c r="Z1525" s="2656"/>
      <c r="AA1525" s="2656"/>
      <c r="AB1525" s="2656"/>
      <c r="AC1525" s="2656"/>
      <c r="AD1525" s="2656"/>
      <c r="AE1525" s="2656"/>
      <c r="AF1525" s="2656"/>
      <c r="AG1525" s="2656"/>
      <c r="AH1525" s="2656"/>
      <c r="AI1525" s="2656"/>
      <c r="AJ1525" s="2656"/>
      <c r="AK1525" s="2656"/>
      <c r="AL1525" s="2656"/>
      <c r="AM1525" s="2656"/>
      <c r="AN1525" s="2656"/>
      <c r="AO1525" s="2656"/>
      <c r="AP1525" s="2656"/>
      <c r="AQ1525" s="2656"/>
      <c r="AR1525" s="2656"/>
      <c r="AS1525" s="2656"/>
      <c r="AT1525" s="2656"/>
      <c r="AU1525" s="2656"/>
      <c r="AV1525" s="2656"/>
      <c r="AW1525" s="2656"/>
      <c r="AX1525" s="2656"/>
      <c r="AY1525" s="2656"/>
      <c r="AZ1525" s="2656"/>
      <c r="BA1525" s="2656"/>
      <c r="BB1525" s="2656"/>
      <c r="BC1525" s="2656"/>
      <c r="BD1525" s="2656"/>
      <c r="BE1525" s="2656"/>
      <c r="BF1525" s="2656"/>
      <c r="BG1525" s="2656"/>
      <c r="BH1525" s="2656"/>
      <c r="BI1525" s="2656"/>
    </row>
    <row r="1526" spans="1:61" ht="24.75" customHeight="1">
      <c r="A1526" s="3375"/>
      <c r="B1526" s="2646"/>
      <c r="C1526" s="2647"/>
      <c r="D1526" s="2646"/>
      <c r="E1526" s="3013"/>
      <c r="F1526" s="2655"/>
      <c r="G1526" s="2596"/>
      <c r="H1526" s="4138"/>
      <c r="I1526" s="3375"/>
      <c r="J1526" s="2648"/>
      <c r="K1526" s="3147"/>
      <c r="L1526" s="2785"/>
      <c r="M1526" s="2695"/>
      <c r="N1526" s="2649"/>
      <c r="O1526" s="2655"/>
      <c r="P1526" s="2651"/>
      <c r="Q1526" s="3440"/>
      <c r="R1526" s="3553"/>
      <c r="S1526" s="1407"/>
      <c r="T1526" s="3375"/>
      <c r="U1526" s="2648"/>
      <c r="V1526" s="3554"/>
      <c r="W1526" s="3150"/>
      <c r="X1526" s="2656"/>
      <c r="Y1526" s="2656"/>
      <c r="Z1526" s="2656"/>
      <c r="AA1526" s="2656"/>
      <c r="AB1526" s="2656"/>
      <c r="AC1526" s="2656"/>
      <c r="AD1526" s="2656"/>
      <c r="AE1526" s="2656"/>
      <c r="AF1526" s="2656"/>
      <c r="AG1526" s="2656"/>
      <c r="AH1526" s="2656"/>
      <c r="AI1526" s="2656"/>
      <c r="AJ1526" s="2656"/>
      <c r="AK1526" s="2656"/>
      <c r="AL1526" s="2656"/>
      <c r="AM1526" s="2656"/>
      <c r="AN1526" s="2656"/>
      <c r="AO1526" s="2656"/>
      <c r="AP1526" s="2656"/>
      <c r="AQ1526" s="2656"/>
      <c r="AR1526" s="2656"/>
      <c r="AS1526" s="2656"/>
      <c r="AT1526" s="2656"/>
      <c r="AU1526" s="2656"/>
      <c r="AV1526" s="2656"/>
      <c r="AW1526" s="2656"/>
      <c r="AX1526" s="2656"/>
      <c r="AY1526" s="2656"/>
      <c r="AZ1526" s="2656"/>
      <c r="BA1526" s="2656"/>
      <c r="BB1526" s="2656"/>
      <c r="BC1526" s="2656"/>
      <c r="BD1526" s="2656"/>
      <c r="BE1526" s="2656"/>
      <c r="BF1526" s="2656"/>
      <c r="BG1526" s="2656"/>
      <c r="BH1526" s="2656"/>
      <c r="BI1526" s="2656"/>
    </row>
    <row r="1527" spans="1:61" ht="24.75" customHeight="1">
      <c r="A1527" s="3375"/>
      <c r="B1527" s="2646"/>
      <c r="C1527" s="2647"/>
      <c r="D1527" s="2646"/>
      <c r="E1527" s="3013"/>
      <c r="F1527" s="2655"/>
      <c r="G1527" s="2596"/>
      <c r="H1527" s="4138"/>
      <c r="I1527" s="3375"/>
      <c r="J1527" s="2648"/>
      <c r="K1527" s="3147"/>
      <c r="L1527" s="2785"/>
      <c r="M1527" s="2695"/>
      <c r="N1527" s="2649"/>
      <c r="O1527" s="2655"/>
      <c r="P1527" s="2651"/>
      <c r="Q1527" s="3440"/>
      <c r="R1527" s="3553"/>
      <c r="S1527" s="1407"/>
      <c r="T1527" s="3375"/>
      <c r="U1527" s="2648"/>
      <c r="V1527" s="3554"/>
      <c r="W1527" s="3150"/>
      <c r="X1527" s="2656"/>
      <c r="Y1527" s="2656"/>
      <c r="Z1527" s="2656"/>
      <c r="AA1527" s="2656"/>
      <c r="AB1527" s="2656"/>
      <c r="AC1527" s="2656"/>
      <c r="AD1527" s="2656"/>
      <c r="AE1527" s="2656"/>
      <c r="AF1527" s="2656"/>
      <c r="AG1527" s="2656"/>
      <c r="AH1527" s="2656"/>
      <c r="AI1527" s="2656"/>
      <c r="AJ1527" s="2656"/>
      <c r="AK1527" s="2656"/>
      <c r="AL1527" s="2656"/>
      <c r="AM1527" s="2656"/>
      <c r="AN1527" s="2656"/>
      <c r="AO1527" s="2656"/>
      <c r="AP1527" s="2656"/>
      <c r="AQ1527" s="2656"/>
      <c r="AR1527" s="2656"/>
      <c r="AS1527" s="2656"/>
      <c r="AT1527" s="2656"/>
      <c r="AU1527" s="2656"/>
      <c r="AV1527" s="2656"/>
      <c r="AW1527" s="2656"/>
      <c r="AX1527" s="2656"/>
      <c r="AY1527" s="2656"/>
      <c r="AZ1527" s="2656"/>
      <c r="BA1527" s="2656"/>
      <c r="BB1527" s="2656"/>
      <c r="BC1527" s="2656"/>
      <c r="BD1527" s="2656"/>
      <c r="BE1527" s="2656"/>
      <c r="BF1527" s="2656"/>
      <c r="BG1527" s="2656"/>
      <c r="BH1527" s="2656"/>
      <c r="BI1527" s="2656"/>
    </row>
    <row r="1528" spans="1:61" ht="24.75" customHeight="1">
      <c r="A1528" s="3375"/>
      <c r="B1528" s="2646"/>
      <c r="C1528" s="2647"/>
      <c r="D1528" s="2646"/>
      <c r="E1528" s="3013"/>
      <c r="F1528" s="2655"/>
      <c r="G1528" s="2596"/>
      <c r="H1528" s="4138"/>
      <c r="I1528" s="3375"/>
      <c r="J1528" s="2648"/>
      <c r="K1528" s="3147"/>
      <c r="L1528" s="2785"/>
      <c r="M1528" s="2695"/>
      <c r="N1528" s="2649"/>
      <c r="O1528" s="2655"/>
      <c r="P1528" s="2651"/>
      <c r="Q1528" s="3440"/>
      <c r="R1528" s="3553"/>
      <c r="S1528" s="1407"/>
      <c r="T1528" s="3375"/>
      <c r="U1528" s="2648"/>
      <c r="V1528" s="3554"/>
      <c r="W1528" s="3150"/>
      <c r="X1528" s="2656"/>
      <c r="Y1528" s="2656"/>
      <c r="Z1528" s="2656"/>
      <c r="AA1528" s="2656"/>
      <c r="AB1528" s="2656"/>
      <c r="AC1528" s="2656"/>
      <c r="AD1528" s="2656"/>
      <c r="AE1528" s="2656"/>
      <c r="AF1528" s="2656"/>
      <c r="AG1528" s="2656"/>
      <c r="AH1528" s="2656"/>
      <c r="AI1528" s="2656"/>
      <c r="AJ1528" s="2656"/>
      <c r="AK1528" s="2656"/>
      <c r="AL1528" s="2656"/>
      <c r="AM1528" s="2656"/>
      <c r="AN1528" s="2656"/>
      <c r="AO1528" s="2656"/>
      <c r="AP1528" s="2656"/>
      <c r="AQ1528" s="2656"/>
      <c r="AR1528" s="2656"/>
      <c r="AS1528" s="2656"/>
      <c r="AT1528" s="2656"/>
      <c r="AU1528" s="2656"/>
      <c r="AV1528" s="2656"/>
      <c r="AW1528" s="2656"/>
      <c r="AX1528" s="2656"/>
      <c r="AY1528" s="2656"/>
      <c r="AZ1528" s="2656"/>
      <c r="BA1528" s="2656"/>
      <c r="BB1528" s="2656"/>
      <c r="BC1528" s="2656"/>
      <c r="BD1528" s="2656"/>
      <c r="BE1528" s="2656"/>
      <c r="BF1528" s="2656"/>
      <c r="BG1528" s="2656"/>
      <c r="BH1528" s="2656"/>
      <c r="BI1528" s="2656"/>
    </row>
    <row r="1529" spans="1:61" ht="24.75" customHeight="1">
      <c r="A1529" s="3375"/>
      <c r="B1529" s="2646"/>
      <c r="C1529" s="2647"/>
      <c r="D1529" s="2646"/>
      <c r="E1529" s="3013"/>
      <c r="F1529" s="2655"/>
      <c r="G1529" s="2596"/>
      <c r="H1529" s="4138"/>
      <c r="I1529" s="3375"/>
      <c r="J1529" s="2648"/>
      <c r="K1529" s="3147"/>
      <c r="L1529" s="2785"/>
      <c r="M1529" s="2695"/>
      <c r="N1529" s="2649"/>
      <c r="O1529" s="2655"/>
      <c r="P1529" s="2651"/>
      <c r="Q1529" s="3440"/>
      <c r="R1529" s="3553"/>
      <c r="S1529" s="1407"/>
      <c r="T1529" s="3375"/>
      <c r="U1529" s="2648"/>
      <c r="V1529" s="3554"/>
      <c r="W1529" s="3150"/>
      <c r="X1529" s="2656"/>
      <c r="Y1529" s="2656"/>
      <c r="Z1529" s="2656"/>
      <c r="AA1529" s="2656"/>
      <c r="AB1529" s="2656"/>
      <c r="AC1529" s="2656"/>
      <c r="AD1529" s="2656"/>
      <c r="AE1529" s="2656"/>
      <c r="AF1529" s="2656"/>
      <c r="AG1529" s="2656"/>
      <c r="AH1529" s="2656"/>
      <c r="AI1529" s="2656"/>
      <c r="AJ1529" s="2656"/>
      <c r="AK1529" s="2656"/>
      <c r="AL1529" s="2656"/>
      <c r="AM1529" s="2656"/>
      <c r="AN1529" s="2656"/>
      <c r="AO1529" s="2656"/>
      <c r="AP1529" s="2656"/>
      <c r="AQ1529" s="2656"/>
      <c r="AR1529" s="2656"/>
      <c r="AS1529" s="2656"/>
      <c r="AT1529" s="2656"/>
      <c r="AU1529" s="2656"/>
      <c r="AV1529" s="2656"/>
      <c r="AW1529" s="2656"/>
      <c r="AX1529" s="2656"/>
      <c r="AY1529" s="2656"/>
      <c r="AZ1529" s="2656"/>
      <c r="BA1529" s="2656"/>
      <c r="BB1529" s="2656"/>
      <c r="BC1529" s="2656"/>
      <c r="BD1529" s="2656"/>
      <c r="BE1529" s="2656"/>
      <c r="BF1529" s="2656"/>
      <c r="BG1529" s="2656"/>
      <c r="BH1529" s="2656"/>
      <c r="BI1529" s="2656"/>
    </row>
    <row r="1530" spans="1:61" ht="24.75" customHeight="1">
      <c r="A1530" s="3375"/>
      <c r="B1530" s="2646"/>
      <c r="C1530" s="2647"/>
      <c r="D1530" s="2646"/>
      <c r="E1530" s="3013"/>
      <c r="F1530" s="2655"/>
      <c r="G1530" s="2596"/>
      <c r="H1530" s="4138"/>
      <c r="I1530" s="3375"/>
      <c r="J1530" s="2648"/>
      <c r="K1530" s="3147"/>
      <c r="L1530" s="2785"/>
      <c r="M1530" s="2695"/>
      <c r="N1530" s="2649"/>
      <c r="O1530" s="2655"/>
      <c r="P1530" s="2651"/>
      <c r="Q1530" s="3440"/>
      <c r="R1530" s="3553"/>
      <c r="S1530" s="1407"/>
      <c r="T1530" s="3375"/>
      <c r="U1530" s="2648"/>
      <c r="V1530" s="3554"/>
      <c r="W1530" s="3150"/>
      <c r="X1530" s="2656"/>
      <c r="Y1530" s="2656"/>
      <c r="Z1530" s="2656"/>
      <c r="AA1530" s="2656"/>
      <c r="AB1530" s="2656"/>
      <c r="AC1530" s="2656"/>
      <c r="AD1530" s="2656"/>
      <c r="AE1530" s="2656"/>
      <c r="AF1530" s="2656"/>
      <c r="AG1530" s="2656"/>
      <c r="AH1530" s="2656"/>
      <c r="AI1530" s="2656"/>
      <c r="AJ1530" s="2656"/>
      <c r="AK1530" s="2656"/>
      <c r="AL1530" s="2656"/>
      <c r="AM1530" s="2656"/>
      <c r="AN1530" s="2656"/>
      <c r="AO1530" s="2656"/>
      <c r="AP1530" s="2656"/>
      <c r="AQ1530" s="2656"/>
      <c r="AR1530" s="2656"/>
      <c r="AS1530" s="2656"/>
      <c r="AT1530" s="2656"/>
      <c r="AU1530" s="2656"/>
      <c r="AV1530" s="2656"/>
      <c r="AW1530" s="2656"/>
      <c r="AX1530" s="2656"/>
      <c r="AY1530" s="2656"/>
      <c r="AZ1530" s="2656"/>
      <c r="BA1530" s="2656"/>
      <c r="BB1530" s="2656"/>
      <c r="BC1530" s="2656"/>
      <c r="BD1530" s="2656"/>
      <c r="BE1530" s="2656"/>
      <c r="BF1530" s="2656"/>
      <c r="BG1530" s="2656"/>
      <c r="BH1530" s="2656"/>
      <c r="BI1530" s="2656"/>
    </row>
    <row r="1531" spans="1:61" ht="24.75" customHeight="1">
      <c r="A1531" s="3375"/>
      <c r="B1531" s="2646"/>
      <c r="C1531" s="2647"/>
      <c r="D1531" s="2646"/>
      <c r="E1531" s="3013"/>
      <c r="F1531" s="2655"/>
      <c r="G1531" s="2596"/>
      <c r="H1531" s="4138"/>
      <c r="I1531" s="3375"/>
      <c r="J1531" s="2648"/>
      <c r="K1531" s="3147"/>
      <c r="L1531" s="2785"/>
      <c r="M1531" s="2695"/>
      <c r="N1531" s="2649"/>
      <c r="O1531" s="2655"/>
      <c r="P1531" s="2651"/>
      <c r="Q1531" s="3440"/>
      <c r="R1531" s="3553"/>
      <c r="S1531" s="1407"/>
      <c r="T1531" s="3375"/>
      <c r="U1531" s="2648"/>
      <c r="V1531" s="3554"/>
      <c r="W1531" s="3150"/>
      <c r="X1531" s="2656"/>
      <c r="Y1531" s="2656"/>
      <c r="Z1531" s="2656"/>
      <c r="AA1531" s="2656"/>
      <c r="AB1531" s="2656"/>
      <c r="AC1531" s="2656"/>
      <c r="AD1531" s="2656"/>
      <c r="AE1531" s="2656"/>
      <c r="AF1531" s="2656"/>
      <c r="AG1531" s="2656"/>
      <c r="AH1531" s="2656"/>
      <c r="AI1531" s="2656"/>
      <c r="AJ1531" s="2656"/>
      <c r="AK1531" s="2656"/>
      <c r="AL1531" s="2656"/>
      <c r="AM1531" s="2656"/>
      <c r="AN1531" s="2656"/>
      <c r="AO1531" s="2656"/>
      <c r="AP1531" s="2656"/>
      <c r="AQ1531" s="2656"/>
      <c r="AR1531" s="2656"/>
      <c r="AS1531" s="2656"/>
      <c r="AT1531" s="2656"/>
      <c r="AU1531" s="2656"/>
      <c r="AV1531" s="2656"/>
      <c r="AW1531" s="2656"/>
      <c r="AX1531" s="2656"/>
      <c r="AY1531" s="2656"/>
      <c r="AZ1531" s="2656"/>
      <c r="BA1531" s="2656"/>
      <c r="BB1531" s="2656"/>
      <c r="BC1531" s="2656"/>
      <c r="BD1531" s="2656"/>
      <c r="BE1531" s="2656"/>
      <c r="BF1531" s="2656"/>
      <c r="BG1531" s="2656"/>
      <c r="BH1531" s="2656"/>
      <c r="BI1531" s="2656"/>
    </row>
    <row r="1532" spans="1:61" ht="24.75" customHeight="1">
      <c r="A1532" s="3375"/>
      <c r="B1532" s="2646"/>
      <c r="C1532" s="2647"/>
      <c r="D1532" s="2646"/>
      <c r="E1532" s="3013"/>
      <c r="F1532" s="2655"/>
      <c r="G1532" s="2596"/>
      <c r="H1532" s="4138"/>
      <c r="I1532" s="3375"/>
      <c r="J1532" s="2648"/>
      <c r="K1532" s="3147"/>
      <c r="L1532" s="2785"/>
      <c r="M1532" s="2695"/>
      <c r="N1532" s="2649"/>
      <c r="O1532" s="2655"/>
      <c r="P1532" s="2651"/>
      <c r="Q1532" s="3440"/>
      <c r="R1532" s="3553"/>
      <c r="S1532" s="1407"/>
      <c r="T1532" s="3375"/>
      <c r="U1532" s="2648"/>
      <c r="V1532" s="3554"/>
      <c r="W1532" s="3150"/>
      <c r="X1532" s="2656"/>
      <c r="Y1532" s="2656"/>
      <c r="Z1532" s="2656"/>
      <c r="AA1532" s="2656"/>
      <c r="AB1532" s="2656"/>
      <c r="AC1532" s="2656"/>
      <c r="AD1532" s="2656"/>
      <c r="AE1532" s="2656"/>
      <c r="AF1532" s="2656"/>
      <c r="AG1532" s="2656"/>
      <c r="AH1532" s="2656"/>
      <c r="AI1532" s="2656"/>
      <c r="AJ1532" s="2656"/>
      <c r="AK1532" s="2656"/>
      <c r="AL1532" s="2656"/>
      <c r="AM1532" s="2656"/>
      <c r="AN1532" s="2656"/>
      <c r="AO1532" s="2656"/>
      <c r="AP1532" s="2656"/>
      <c r="AQ1532" s="2656"/>
      <c r="AR1532" s="2656"/>
      <c r="AS1532" s="2656"/>
      <c r="AT1532" s="2656"/>
      <c r="AU1532" s="2656"/>
      <c r="AV1532" s="2656"/>
      <c r="AW1532" s="2656"/>
      <c r="AX1532" s="2656"/>
      <c r="AY1532" s="2656"/>
      <c r="AZ1532" s="2656"/>
      <c r="BA1532" s="2656"/>
      <c r="BB1532" s="2656"/>
      <c r="BC1532" s="2656"/>
      <c r="BD1532" s="2656"/>
      <c r="BE1532" s="2656"/>
      <c r="BF1532" s="2656"/>
      <c r="BG1532" s="2656"/>
      <c r="BH1532" s="2656"/>
      <c r="BI1532" s="2656"/>
    </row>
    <row r="1533" spans="1:61" ht="24.75" customHeight="1">
      <c r="A1533" s="3375"/>
      <c r="B1533" s="2646"/>
      <c r="C1533" s="2647"/>
      <c r="D1533" s="2646"/>
      <c r="E1533" s="3013"/>
      <c r="F1533" s="2655"/>
      <c r="G1533" s="2596"/>
      <c r="H1533" s="4138"/>
      <c r="I1533" s="3375"/>
      <c r="J1533" s="2648"/>
      <c r="K1533" s="3147"/>
      <c r="L1533" s="2785"/>
      <c r="M1533" s="2695"/>
      <c r="N1533" s="2649"/>
      <c r="O1533" s="2655"/>
      <c r="P1533" s="2651"/>
      <c r="Q1533" s="3440"/>
      <c r="R1533" s="3553"/>
      <c r="S1533" s="1407"/>
      <c r="T1533" s="3375"/>
      <c r="U1533" s="2648"/>
      <c r="V1533" s="3554"/>
      <c r="W1533" s="3150"/>
      <c r="X1533" s="2656"/>
      <c r="Y1533" s="2656"/>
      <c r="Z1533" s="2656"/>
      <c r="AA1533" s="2656"/>
      <c r="AB1533" s="2656"/>
      <c r="AC1533" s="2656"/>
      <c r="AD1533" s="2656"/>
      <c r="AE1533" s="2656"/>
      <c r="AF1533" s="2656"/>
      <c r="AG1533" s="2656"/>
      <c r="AH1533" s="2656"/>
      <c r="AI1533" s="2656"/>
      <c r="AJ1533" s="2656"/>
      <c r="AK1533" s="2656"/>
      <c r="AL1533" s="2656"/>
      <c r="AM1533" s="2656"/>
      <c r="AN1533" s="2656"/>
      <c r="AO1533" s="2656"/>
      <c r="AP1533" s="2656"/>
      <c r="AQ1533" s="2656"/>
      <c r="AR1533" s="2656"/>
      <c r="AS1533" s="2656"/>
      <c r="AT1533" s="2656"/>
      <c r="AU1533" s="2656"/>
      <c r="AV1533" s="2656"/>
      <c r="AW1533" s="2656"/>
      <c r="AX1533" s="2656"/>
      <c r="AY1533" s="2656"/>
      <c r="AZ1533" s="2656"/>
      <c r="BA1533" s="2656"/>
      <c r="BB1533" s="2656"/>
      <c r="BC1533" s="2656"/>
      <c r="BD1533" s="2656"/>
      <c r="BE1533" s="2656"/>
      <c r="BF1533" s="2656"/>
      <c r="BG1533" s="2656"/>
      <c r="BH1533" s="2656"/>
      <c r="BI1533" s="2656"/>
    </row>
    <row r="1534" spans="1:61" ht="24.75" customHeight="1">
      <c r="A1534" s="3375"/>
      <c r="B1534" s="2646"/>
      <c r="C1534" s="2647"/>
      <c r="D1534" s="2646"/>
      <c r="E1534" s="3013"/>
      <c r="F1534" s="2655"/>
      <c r="G1534" s="2596"/>
      <c r="H1534" s="4138"/>
      <c r="I1534" s="3375"/>
      <c r="J1534" s="2648"/>
      <c r="K1534" s="3147"/>
      <c r="L1534" s="2785"/>
      <c r="M1534" s="2695"/>
      <c r="N1534" s="2649"/>
      <c r="O1534" s="2655"/>
      <c r="P1534" s="2651"/>
      <c r="Q1534" s="3440"/>
      <c r="R1534" s="3553"/>
      <c r="S1534" s="1407"/>
      <c r="T1534" s="3375"/>
      <c r="U1534" s="2648"/>
      <c r="V1534" s="3554"/>
      <c r="W1534" s="3150"/>
      <c r="X1534" s="2656"/>
      <c r="Y1534" s="2656"/>
      <c r="Z1534" s="2656"/>
      <c r="AA1534" s="2656"/>
      <c r="AB1534" s="2656"/>
      <c r="AC1534" s="2656"/>
      <c r="AD1534" s="2656"/>
      <c r="AE1534" s="2656"/>
      <c r="AF1534" s="2656"/>
      <c r="AG1534" s="2656"/>
      <c r="AH1534" s="2656"/>
      <c r="AI1534" s="2656"/>
      <c r="AJ1534" s="2656"/>
      <c r="AK1534" s="2656"/>
      <c r="AL1534" s="2656"/>
      <c r="AM1534" s="2656"/>
      <c r="AN1534" s="2656"/>
      <c r="AO1534" s="2656"/>
      <c r="AP1534" s="2656"/>
      <c r="AQ1534" s="2656"/>
      <c r="AR1534" s="2656"/>
      <c r="AS1534" s="2656"/>
      <c r="AT1534" s="2656"/>
      <c r="AU1534" s="2656"/>
      <c r="AV1534" s="2656"/>
      <c r="AW1534" s="2656"/>
      <c r="AX1534" s="2656"/>
      <c r="AY1534" s="2656"/>
      <c r="AZ1534" s="2656"/>
      <c r="BA1534" s="2656"/>
      <c r="BB1534" s="2656"/>
      <c r="BC1534" s="2656"/>
      <c r="BD1534" s="2656"/>
      <c r="BE1534" s="2656"/>
      <c r="BF1534" s="2656"/>
      <c r="BG1534" s="2656"/>
      <c r="BH1534" s="2656"/>
      <c r="BI1534" s="2656"/>
    </row>
    <row r="1535" spans="1:61" ht="24.75" customHeight="1">
      <c r="A1535" s="3375"/>
      <c r="B1535" s="2646"/>
      <c r="C1535" s="2647"/>
      <c r="D1535" s="2646"/>
      <c r="E1535" s="3013"/>
      <c r="F1535" s="2655"/>
      <c r="G1535" s="2596"/>
      <c r="H1535" s="4138"/>
      <c r="I1535" s="3375"/>
      <c r="J1535" s="2648"/>
      <c r="K1535" s="3147"/>
      <c r="L1535" s="2785"/>
      <c r="M1535" s="2695"/>
      <c r="N1535" s="2649"/>
      <c r="O1535" s="2655"/>
      <c r="P1535" s="2651"/>
      <c r="Q1535" s="3440"/>
      <c r="R1535" s="3553"/>
      <c r="S1535" s="1407"/>
      <c r="T1535" s="3375"/>
      <c r="U1535" s="2648"/>
      <c r="V1535" s="3554"/>
      <c r="W1535" s="3150"/>
      <c r="X1535" s="2656"/>
      <c r="Y1535" s="2656"/>
      <c r="Z1535" s="2656"/>
      <c r="AA1535" s="2656"/>
      <c r="AB1535" s="2656"/>
      <c r="AC1535" s="2656"/>
      <c r="AD1535" s="2656"/>
      <c r="AE1535" s="2656"/>
      <c r="AF1535" s="2656"/>
      <c r="AG1535" s="2656"/>
      <c r="AH1535" s="2656"/>
      <c r="AI1535" s="2656"/>
      <c r="AJ1535" s="2656"/>
      <c r="AK1535" s="2656"/>
      <c r="AL1535" s="2656"/>
      <c r="AM1535" s="2656"/>
      <c r="AN1535" s="2656"/>
      <c r="AO1535" s="2656"/>
      <c r="AP1535" s="2656"/>
      <c r="AQ1535" s="2656"/>
      <c r="AR1535" s="2656"/>
      <c r="AS1535" s="2656"/>
      <c r="AT1535" s="2656"/>
      <c r="AU1535" s="2656"/>
      <c r="AV1535" s="2656"/>
      <c r="AW1535" s="2656"/>
      <c r="AX1535" s="2656"/>
      <c r="AY1535" s="2656"/>
      <c r="AZ1535" s="2656"/>
      <c r="BA1535" s="2656"/>
      <c r="BB1535" s="2656"/>
      <c r="BC1535" s="2656"/>
      <c r="BD1535" s="2656"/>
      <c r="BE1535" s="2656"/>
      <c r="BF1535" s="2656"/>
      <c r="BG1535" s="2656"/>
      <c r="BH1535" s="2656"/>
      <c r="BI1535" s="2656"/>
    </row>
    <row r="1536" spans="1:61" ht="24.75" customHeight="1">
      <c r="A1536" s="3375"/>
      <c r="B1536" s="2646"/>
      <c r="C1536" s="2647"/>
      <c r="D1536" s="2646"/>
      <c r="E1536" s="3013"/>
      <c r="F1536" s="2655"/>
      <c r="G1536" s="2596"/>
      <c r="H1536" s="4138"/>
      <c r="I1536" s="3375"/>
      <c r="J1536" s="2648"/>
      <c r="K1536" s="3147"/>
      <c r="L1536" s="2785"/>
      <c r="M1536" s="2695"/>
      <c r="N1536" s="2649"/>
      <c r="O1536" s="2655"/>
      <c r="P1536" s="2651"/>
      <c r="Q1536" s="3440"/>
      <c r="R1536" s="3553"/>
      <c r="S1536" s="1407"/>
      <c r="T1536" s="3375"/>
      <c r="U1536" s="2648"/>
      <c r="V1536" s="3554"/>
      <c r="W1536" s="3150"/>
      <c r="X1536" s="2656"/>
      <c r="Y1536" s="2656"/>
      <c r="Z1536" s="2656"/>
      <c r="AA1536" s="2656"/>
      <c r="AB1536" s="2656"/>
      <c r="AC1536" s="2656"/>
      <c r="AD1536" s="2656"/>
      <c r="AE1536" s="2656"/>
      <c r="AF1536" s="2656"/>
      <c r="AG1536" s="2656"/>
      <c r="AH1536" s="2656"/>
      <c r="AI1536" s="2656"/>
      <c r="AJ1536" s="2656"/>
      <c r="AK1536" s="2656"/>
      <c r="AL1536" s="2656"/>
      <c r="AM1536" s="2656"/>
      <c r="AN1536" s="2656"/>
      <c r="AO1536" s="2656"/>
      <c r="AP1536" s="2656"/>
      <c r="AQ1536" s="2656"/>
      <c r="AR1536" s="2656"/>
      <c r="AS1536" s="2656"/>
      <c r="AT1536" s="2656"/>
      <c r="AU1536" s="2656"/>
      <c r="AV1536" s="2656"/>
      <c r="AW1536" s="2656"/>
      <c r="AX1536" s="2656"/>
      <c r="AY1536" s="2656"/>
      <c r="AZ1536" s="2656"/>
      <c r="BA1536" s="2656"/>
      <c r="BB1536" s="2656"/>
      <c r="BC1536" s="2656"/>
      <c r="BD1536" s="2656"/>
      <c r="BE1536" s="2656"/>
      <c r="BF1536" s="2656"/>
      <c r="BG1536" s="2656"/>
      <c r="BH1536" s="2656"/>
      <c r="BI1536" s="2656"/>
    </row>
    <row r="1537" spans="1:61" ht="24.75" customHeight="1">
      <c r="A1537" s="3375"/>
      <c r="B1537" s="2646"/>
      <c r="C1537" s="2647"/>
      <c r="D1537" s="2646"/>
      <c r="E1537" s="3013"/>
      <c r="F1537" s="2655"/>
      <c r="G1537" s="2596"/>
      <c r="H1537" s="4138"/>
      <c r="I1537" s="3375"/>
      <c r="J1537" s="2648"/>
      <c r="K1537" s="3147"/>
      <c r="L1537" s="2785"/>
      <c r="M1537" s="2695"/>
      <c r="N1537" s="2649"/>
      <c r="O1537" s="2655"/>
      <c r="P1537" s="2651"/>
      <c r="Q1537" s="3440"/>
      <c r="R1537" s="3553"/>
      <c r="S1537" s="1407"/>
      <c r="T1537" s="3375"/>
      <c r="U1537" s="2648"/>
      <c r="V1537" s="3554"/>
      <c r="W1537" s="3150"/>
      <c r="X1537" s="2656"/>
      <c r="Y1537" s="2656"/>
      <c r="Z1537" s="2656"/>
      <c r="AA1537" s="2656"/>
      <c r="AB1537" s="2656"/>
      <c r="AC1537" s="2656"/>
      <c r="AD1537" s="2656"/>
      <c r="AE1537" s="2656"/>
      <c r="AF1537" s="2656"/>
      <c r="AG1537" s="2656"/>
      <c r="AH1537" s="2656"/>
      <c r="AI1537" s="2656"/>
      <c r="AJ1537" s="2656"/>
      <c r="AK1537" s="2656"/>
      <c r="AL1537" s="2656"/>
      <c r="AM1537" s="2656"/>
      <c r="AN1537" s="2656"/>
      <c r="AO1537" s="2656"/>
      <c r="AP1537" s="2656"/>
      <c r="AQ1537" s="2656"/>
      <c r="AR1537" s="2656"/>
      <c r="AS1537" s="2656"/>
      <c r="AT1537" s="2656"/>
      <c r="AU1537" s="2656"/>
      <c r="AV1537" s="2656"/>
      <c r="AW1537" s="2656"/>
      <c r="AX1537" s="2656"/>
      <c r="AY1537" s="2656"/>
      <c r="AZ1537" s="2656"/>
      <c r="BA1537" s="2656"/>
      <c r="BB1537" s="2656"/>
      <c r="BC1537" s="2656"/>
      <c r="BD1537" s="2656"/>
      <c r="BE1537" s="2656"/>
      <c r="BF1537" s="2656"/>
      <c r="BG1537" s="2656"/>
      <c r="BH1537" s="2656"/>
      <c r="BI1537" s="2656"/>
    </row>
    <row r="1538" spans="1:61" ht="24.75" customHeight="1">
      <c r="A1538" s="3375"/>
      <c r="B1538" s="2646"/>
      <c r="C1538" s="2647"/>
      <c r="D1538" s="2646"/>
      <c r="E1538" s="3013"/>
      <c r="F1538" s="2655"/>
      <c r="G1538" s="2596"/>
      <c r="H1538" s="4138"/>
      <c r="I1538" s="3375"/>
      <c r="J1538" s="2648"/>
      <c r="K1538" s="3147"/>
      <c r="L1538" s="2785"/>
      <c r="M1538" s="2695"/>
      <c r="N1538" s="2649"/>
      <c r="O1538" s="2655"/>
      <c r="P1538" s="2651"/>
      <c r="Q1538" s="3440"/>
      <c r="R1538" s="3553"/>
      <c r="S1538" s="1407"/>
      <c r="T1538" s="3375"/>
      <c r="U1538" s="2648"/>
      <c r="V1538" s="3554"/>
      <c r="W1538" s="3150"/>
      <c r="X1538" s="2656"/>
      <c r="Y1538" s="2656"/>
      <c r="Z1538" s="2656"/>
      <c r="AA1538" s="2656"/>
      <c r="AB1538" s="2656"/>
      <c r="AC1538" s="2656"/>
      <c r="AD1538" s="2656"/>
      <c r="AE1538" s="2656"/>
      <c r="AF1538" s="2656"/>
      <c r="AG1538" s="2656"/>
      <c r="AH1538" s="2656"/>
      <c r="AI1538" s="2656"/>
      <c r="AJ1538" s="2656"/>
      <c r="AK1538" s="2656"/>
      <c r="AL1538" s="2656"/>
      <c r="AM1538" s="2656"/>
      <c r="AN1538" s="2656"/>
      <c r="AO1538" s="2656"/>
      <c r="AP1538" s="2656"/>
      <c r="AQ1538" s="2656"/>
      <c r="AR1538" s="2656"/>
      <c r="AS1538" s="2656"/>
      <c r="AT1538" s="2656"/>
      <c r="AU1538" s="2656"/>
      <c r="AV1538" s="2656"/>
      <c r="AW1538" s="2656"/>
      <c r="AX1538" s="2656"/>
      <c r="AY1538" s="2656"/>
      <c r="AZ1538" s="2656"/>
      <c r="BA1538" s="2656"/>
      <c r="BB1538" s="2656"/>
      <c r="BC1538" s="2656"/>
      <c r="BD1538" s="2656"/>
      <c r="BE1538" s="2656"/>
      <c r="BF1538" s="2656"/>
      <c r="BG1538" s="2656"/>
      <c r="BH1538" s="2656"/>
      <c r="BI1538" s="2656"/>
    </row>
    <row r="1539" spans="1:61" ht="24.75" customHeight="1">
      <c r="A1539" s="3375"/>
      <c r="B1539" s="2646"/>
      <c r="C1539" s="2647"/>
      <c r="D1539" s="2646"/>
      <c r="E1539" s="3013"/>
      <c r="F1539" s="2655"/>
      <c r="G1539" s="2596"/>
      <c r="H1539" s="4138"/>
      <c r="I1539" s="3375"/>
      <c r="J1539" s="2648"/>
      <c r="K1539" s="3147"/>
      <c r="L1539" s="2785"/>
      <c r="M1539" s="2695"/>
      <c r="N1539" s="2649"/>
      <c r="O1539" s="2655"/>
      <c r="P1539" s="2651"/>
      <c r="Q1539" s="3440"/>
      <c r="R1539" s="3553"/>
      <c r="S1539" s="1407"/>
      <c r="T1539" s="3375"/>
      <c r="U1539" s="2648"/>
      <c r="V1539" s="3554"/>
      <c r="W1539" s="3150"/>
      <c r="X1539" s="2656"/>
      <c r="Y1539" s="2656"/>
      <c r="Z1539" s="2656"/>
      <c r="AA1539" s="2656"/>
      <c r="AB1539" s="2656"/>
      <c r="AC1539" s="2656"/>
      <c r="AD1539" s="2656"/>
      <c r="AE1539" s="2656"/>
      <c r="AF1539" s="2656"/>
      <c r="AG1539" s="2656"/>
      <c r="AH1539" s="2656"/>
      <c r="AI1539" s="2656"/>
      <c r="AJ1539" s="2656"/>
      <c r="AK1539" s="2656"/>
      <c r="AL1539" s="2656"/>
      <c r="AM1539" s="2656"/>
      <c r="AN1539" s="2656"/>
      <c r="AO1539" s="2656"/>
      <c r="AP1539" s="2656"/>
      <c r="AQ1539" s="2656"/>
      <c r="AR1539" s="2656"/>
      <c r="AS1539" s="2656"/>
      <c r="AT1539" s="2656"/>
      <c r="AU1539" s="2656"/>
      <c r="AV1539" s="2656"/>
      <c r="AW1539" s="2656"/>
      <c r="AX1539" s="2656"/>
      <c r="AY1539" s="2656"/>
      <c r="AZ1539" s="2656"/>
      <c r="BA1539" s="2656"/>
      <c r="BB1539" s="2656"/>
      <c r="BC1539" s="2656"/>
      <c r="BD1539" s="2656"/>
      <c r="BE1539" s="2656"/>
      <c r="BF1539" s="2656"/>
      <c r="BG1539" s="2656"/>
      <c r="BH1539" s="2656"/>
      <c r="BI1539" s="2656"/>
    </row>
    <row r="1540" spans="1:61" ht="24.75" customHeight="1">
      <c r="A1540" s="3375"/>
      <c r="B1540" s="2646"/>
      <c r="C1540" s="2647"/>
      <c r="D1540" s="2646"/>
      <c r="E1540" s="3013"/>
      <c r="F1540" s="2655"/>
      <c r="G1540" s="2596"/>
      <c r="H1540" s="4138"/>
      <c r="I1540" s="3375"/>
      <c r="J1540" s="2648"/>
      <c r="K1540" s="3147"/>
      <c r="L1540" s="2785"/>
      <c r="M1540" s="2695"/>
      <c r="N1540" s="2649"/>
      <c r="O1540" s="2655"/>
      <c r="P1540" s="2651"/>
      <c r="Q1540" s="3440"/>
      <c r="R1540" s="3553"/>
      <c r="S1540" s="1407"/>
      <c r="T1540" s="3375"/>
      <c r="U1540" s="2648"/>
      <c r="V1540" s="3554"/>
      <c r="W1540" s="3150"/>
      <c r="X1540" s="2656"/>
      <c r="Y1540" s="2656"/>
      <c r="Z1540" s="2656"/>
      <c r="AA1540" s="2656"/>
      <c r="AB1540" s="2656"/>
      <c r="AC1540" s="2656"/>
      <c r="AD1540" s="2656"/>
      <c r="AE1540" s="2656"/>
      <c r="AF1540" s="2656"/>
      <c r="AG1540" s="2656"/>
      <c r="AH1540" s="2656"/>
      <c r="AI1540" s="2656"/>
      <c r="AJ1540" s="2656"/>
      <c r="AK1540" s="2656"/>
      <c r="AL1540" s="2656"/>
      <c r="AM1540" s="2656"/>
      <c r="AN1540" s="2656"/>
      <c r="AO1540" s="2656"/>
      <c r="AP1540" s="2656"/>
      <c r="AQ1540" s="2656"/>
      <c r="AR1540" s="2656"/>
      <c r="AS1540" s="2656"/>
      <c r="AT1540" s="2656"/>
      <c r="AU1540" s="2656"/>
      <c r="AV1540" s="2656"/>
      <c r="AW1540" s="2656"/>
      <c r="AX1540" s="2656"/>
      <c r="AY1540" s="2656"/>
      <c r="AZ1540" s="2656"/>
      <c r="BA1540" s="2656"/>
      <c r="BB1540" s="2656"/>
      <c r="BC1540" s="2656"/>
      <c r="BD1540" s="2656"/>
      <c r="BE1540" s="2656"/>
      <c r="BF1540" s="2656"/>
      <c r="BG1540" s="2656"/>
      <c r="BH1540" s="2656"/>
      <c r="BI1540" s="2656"/>
    </row>
    <row r="1541" spans="1:61" ht="24.75" customHeight="1">
      <c r="A1541" s="3375"/>
      <c r="B1541" s="2646"/>
      <c r="C1541" s="2647"/>
      <c r="D1541" s="2646"/>
      <c r="E1541" s="3013"/>
      <c r="F1541" s="2655"/>
      <c r="G1541" s="2596"/>
      <c r="H1541" s="4138"/>
      <c r="I1541" s="3375"/>
      <c r="J1541" s="2648"/>
      <c r="K1541" s="3147"/>
      <c r="L1541" s="2785"/>
      <c r="M1541" s="2695"/>
      <c r="N1541" s="2649"/>
      <c r="O1541" s="2655"/>
      <c r="P1541" s="2651"/>
      <c r="Q1541" s="3440"/>
      <c r="R1541" s="3553"/>
      <c r="S1541" s="1407"/>
      <c r="T1541" s="3375"/>
      <c r="U1541" s="2648"/>
      <c r="V1541" s="3554"/>
      <c r="W1541" s="3150"/>
      <c r="X1541" s="2656"/>
      <c r="Y1541" s="2656"/>
      <c r="Z1541" s="2656"/>
      <c r="AA1541" s="2656"/>
      <c r="AB1541" s="2656"/>
      <c r="AC1541" s="2656"/>
      <c r="AD1541" s="2656"/>
      <c r="AE1541" s="2656"/>
      <c r="AF1541" s="2656"/>
      <c r="AG1541" s="2656"/>
      <c r="AH1541" s="2656"/>
      <c r="AI1541" s="2656"/>
      <c r="AJ1541" s="2656"/>
      <c r="AK1541" s="2656"/>
      <c r="AL1541" s="2656"/>
      <c r="AM1541" s="2656"/>
      <c r="AN1541" s="2656"/>
      <c r="AO1541" s="2656"/>
      <c r="AP1541" s="2656"/>
      <c r="AQ1541" s="2656"/>
      <c r="AR1541" s="2656"/>
      <c r="AS1541" s="2656"/>
      <c r="AT1541" s="2656"/>
      <c r="AU1541" s="2656"/>
      <c r="AV1541" s="2656"/>
      <c r="AW1541" s="2656"/>
      <c r="AX1541" s="2656"/>
      <c r="AY1541" s="2656"/>
      <c r="AZ1541" s="2656"/>
      <c r="BA1541" s="2656"/>
      <c r="BB1541" s="2656"/>
      <c r="BC1541" s="2656"/>
      <c r="BD1541" s="2656"/>
      <c r="BE1541" s="2656"/>
      <c r="BF1541" s="2656"/>
      <c r="BG1541" s="2656"/>
      <c r="BH1541" s="2656"/>
      <c r="BI1541" s="2656"/>
    </row>
    <row r="1542" spans="1:61" ht="24.75" customHeight="1">
      <c r="A1542" s="3375"/>
      <c r="B1542" s="2646"/>
      <c r="C1542" s="2647"/>
      <c r="D1542" s="2646"/>
      <c r="E1542" s="3013"/>
      <c r="F1542" s="2655"/>
      <c r="G1542" s="2596"/>
      <c r="H1542" s="4138"/>
      <c r="I1542" s="3375"/>
      <c r="J1542" s="2648"/>
      <c r="K1542" s="3147"/>
      <c r="L1542" s="2785"/>
      <c r="M1542" s="2695"/>
      <c r="N1542" s="2649"/>
      <c r="O1542" s="2655"/>
      <c r="P1542" s="2651"/>
      <c r="Q1542" s="3440"/>
      <c r="R1542" s="3553"/>
      <c r="S1542" s="1407"/>
      <c r="T1542" s="3375"/>
      <c r="U1542" s="2648"/>
      <c r="V1542" s="3554"/>
      <c r="W1542" s="3150"/>
      <c r="X1542" s="2656"/>
      <c r="Y1542" s="2656"/>
      <c r="Z1542" s="2656"/>
      <c r="AA1542" s="2656"/>
      <c r="AB1542" s="2656"/>
      <c r="AC1542" s="2656"/>
      <c r="AD1542" s="2656"/>
      <c r="AE1542" s="2656"/>
      <c r="AF1542" s="2656"/>
      <c r="AG1542" s="2656"/>
      <c r="AH1542" s="2656"/>
      <c r="AI1542" s="2656"/>
      <c r="AJ1542" s="2656"/>
      <c r="AK1542" s="2656"/>
      <c r="AL1542" s="2656"/>
      <c r="AM1542" s="2656"/>
      <c r="AN1542" s="2656"/>
      <c r="AO1542" s="2656"/>
      <c r="AP1542" s="2656"/>
      <c r="AQ1542" s="2656"/>
      <c r="AR1542" s="2656"/>
      <c r="AS1542" s="2656"/>
      <c r="AT1542" s="2656"/>
      <c r="AU1542" s="2656"/>
      <c r="AV1542" s="2656"/>
      <c r="AW1542" s="2656"/>
      <c r="AX1542" s="2656"/>
      <c r="AY1542" s="2656"/>
      <c r="AZ1542" s="2656"/>
      <c r="BA1542" s="2656"/>
      <c r="BB1542" s="2656"/>
      <c r="BC1542" s="2656"/>
      <c r="BD1542" s="2656"/>
      <c r="BE1542" s="2656"/>
      <c r="BF1542" s="2656"/>
      <c r="BG1542" s="2656"/>
      <c r="BH1542" s="2656"/>
      <c r="BI1542" s="2656"/>
    </row>
    <row r="1543" spans="1:61" ht="24.75" customHeight="1">
      <c r="A1543" s="3375"/>
      <c r="B1543" s="2646"/>
      <c r="C1543" s="2647"/>
      <c r="D1543" s="2646"/>
      <c r="E1543" s="3013"/>
      <c r="F1543" s="2655"/>
      <c r="G1543" s="2596"/>
      <c r="H1543" s="4138"/>
      <c r="I1543" s="3375"/>
      <c r="J1543" s="2648"/>
      <c r="K1543" s="3147"/>
      <c r="L1543" s="2785"/>
      <c r="M1543" s="2695"/>
      <c r="N1543" s="2649"/>
      <c r="O1543" s="2655"/>
      <c r="P1543" s="2651"/>
      <c r="Q1543" s="3440"/>
      <c r="R1543" s="3553"/>
      <c r="S1543" s="1407"/>
      <c r="T1543" s="3375"/>
      <c r="U1543" s="2648"/>
      <c r="V1543" s="3554"/>
      <c r="W1543" s="3150"/>
      <c r="X1543" s="2656"/>
      <c r="Y1543" s="2656"/>
      <c r="Z1543" s="2656"/>
      <c r="AA1543" s="2656"/>
      <c r="AB1543" s="2656"/>
      <c r="AC1543" s="2656"/>
      <c r="AD1543" s="2656"/>
      <c r="AE1543" s="2656"/>
      <c r="AF1543" s="2656"/>
      <c r="AG1543" s="2656"/>
      <c r="AH1543" s="2656"/>
      <c r="AI1543" s="2656"/>
      <c r="AJ1543" s="2656"/>
      <c r="AK1543" s="2656"/>
      <c r="AL1543" s="2656"/>
      <c r="AM1543" s="2656"/>
      <c r="AN1543" s="2656"/>
      <c r="AO1543" s="2656"/>
      <c r="AP1543" s="2656"/>
      <c r="AQ1543" s="2656"/>
      <c r="AR1543" s="2656"/>
      <c r="AS1543" s="2656"/>
      <c r="AT1543" s="2656"/>
      <c r="AU1543" s="2656"/>
      <c r="AV1543" s="2656"/>
      <c r="AW1543" s="2656"/>
      <c r="AX1543" s="2656"/>
      <c r="AY1543" s="2656"/>
      <c r="AZ1543" s="2656"/>
      <c r="BA1543" s="2656"/>
      <c r="BB1543" s="2656"/>
      <c r="BC1543" s="2656"/>
      <c r="BD1543" s="2656"/>
      <c r="BE1543" s="2656"/>
      <c r="BF1543" s="2656"/>
      <c r="BG1543" s="2656"/>
      <c r="BH1543" s="2656"/>
      <c r="BI1543" s="2656"/>
    </row>
    <row r="1544" spans="1:61" ht="24.75" customHeight="1">
      <c r="A1544" s="3375"/>
      <c r="B1544" s="2646"/>
      <c r="C1544" s="2647"/>
      <c r="D1544" s="2646"/>
      <c r="E1544" s="3013"/>
      <c r="F1544" s="2655"/>
      <c r="G1544" s="2596"/>
      <c r="H1544" s="4138"/>
      <c r="I1544" s="3375"/>
      <c r="J1544" s="2648"/>
      <c r="K1544" s="3147"/>
      <c r="L1544" s="2785"/>
      <c r="M1544" s="2695"/>
      <c r="N1544" s="2649"/>
      <c r="O1544" s="2655"/>
      <c r="P1544" s="2651"/>
      <c r="Q1544" s="3440"/>
      <c r="R1544" s="3553"/>
      <c r="S1544" s="1407"/>
      <c r="T1544" s="3375"/>
      <c r="U1544" s="2648"/>
      <c r="V1544" s="3554"/>
      <c r="W1544" s="3150"/>
      <c r="X1544" s="2656"/>
      <c r="Y1544" s="2656"/>
      <c r="Z1544" s="2656"/>
      <c r="AA1544" s="2656"/>
      <c r="AB1544" s="2656"/>
      <c r="AC1544" s="2656"/>
      <c r="AD1544" s="2656"/>
      <c r="AE1544" s="2656"/>
      <c r="AF1544" s="2656"/>
      <c r="AG1544" s="2656"/>
      <c r="AH1544" s="2656"/>
      <c r="AI1544" s="2656"/>
      <c r="AJ1544" s="2656"/>
      <c r="AK1544" s="2656"/>
      <c r="AL1544" s="2656"/>
      <c r="AM1544" s="2656"/>
      <c r="AN1544" s="2656"/>
      <c r="AO1544" s="2656"/>
      <c r="AP1544" s="2656"/>
      <c r="AQ1544" s="2656"/>
      <c r="AR1544" s="2656"/>
      <c r="AS1544" s="2656"/>
      <c r="AT1544" s="2656"/>
      <c r="AU1544" s="2656"/>
      <c r="AV1544" s="2656"/>
      <c r="AW1544" s="2656"/>
      <c r="AX1544" s="2656"/>
      <c r="AY1544" s="2656"/>
      <c r="AZ1544" s="2656"/>
      <c r="BA1544" s="2656"/>
      <c r="BB1544" s="2656"/>
      <c r="BC1544" s="2656"/>
      <c r="BD1544" s="2656"/>
      <c r="BE1544" s="2656"/>
      <c r="BF1544" s="2656"/>
      <c r="BG1544" s="2656"/>
      <c r="BH1544" s="2656"/>
      <c r="BI1544" s="2656"/>
    </row>
    <row r="1545" spans="1:61" ht="24.75" customHeight="1">
      <c r="A1545" s="3375"/>
      <c r="B1545" s="2646"/>
      <c r="C1545" s="2647"/>
      <c r="D1545" s="2646"/>
      <c r="E1545" s="3013"/>
      <c r="F1545" s="2655"/>
      <c r="G1545" s="2596"/>
      <c r="H1545" s="4138"/>
      <c r="I1545" s="3375"/>
      <c r="J1545" s="2648"/>
      <c r="K1545" s="3147"/>
      <c r="L1545" s="2785"/>
      <c r="M1545" s="2695"/>
      <c r="N1545" s="2649"/>
      <c r="O1545" s="2655"/>
      <c r="P1545" s="2651"/>
      <c r="Q1545" s="3440"/>
      <c r="R1545" s="3553"/>
      <c r="S1545" s="1407"/>
      <c r="T1545" s="3375"/>
      <c r="U1545" s="2648"/>
      <c r="V1545" s="3554"/>
      <c r="W1545" s="3150"/>
      <c r="X1545" s="2656"/>
      <c r="Y1545" s="2656"/>
      <c r="Z1545" s="2656"/>
      <c r="AA1545" s="2656"/>
      <c r="AB1545" s="2656"/>
      <c r="AC1545" s="2656"/>
      <c r="AD1545" s="2656"/>
      <c r="AE1545" s="2656"/>
      <c r="AF1545" s="2656"/>
      <c r="AG1545" s="2656"/>
      <c r="AH1545" s="2656"/>
      <c r="AI1545" s="2656"/>
      <c r="AJ1545" s="2656"/>
      <c r="AK1545" s="2656"/>
      <c r="AL1545" s="2656"/>
      <c r="AM1545" s="2656"/>
      <c r="AN1545" s="2656"/>
      <c r="AO1545" s="2656"/>
      <c r="AP1545" s="2656"/>
      <c r="AQ1545" s="2656"/>
      <c r="AR1545" s="2656"/>
      <c r="AS1545" s="2656"/>
      <c r="AT1545" s="2656"/>
      <c r="AU1545" s="2656"/>
      <c r="AV1545" s="2656"/>
      <c r="AW1545" s="2656"/>
      <c r="AX1545" s="2656"/>
      <c r="AY1545" s="2656"/>
      <c r="AZ1545" s="2656"/>
      <c r="BA1545" s="2656"/>
      <c r="BB1545" s="2656"/>
      <c r="BC1545" s="2656"/>
      <c r="BD1545" s="2656"/>
      <c r="BE1545" s="2656"/>
      <c r="BF1545" s="2656"/>
      <c r="BG1545" s="2656"/>
      <c r="BH1545" s="2656"/>
      <c r="BI1545" s="2656"/>
    </row>
    <row r="1546" spans="1:61" ht="24.75" customHeight="1">
      <c r="A1546" s="3375"/>
      <c r="B1546" s="2646"/>
      <c r="C1546" s="2647"/>
      <c r="D1546" s="2646"/>
      <c r="E1546" s="3013"/>
      <c r="F1546" s="2655"/>
      <c r="G1546" s="2596"/>
      <c r="H1546" s="4138"/>
      <c r="I1546" s="3375"/>
      <c r="J1546" s="2648"/>
      <c r="K1546" s="3147"/>
      <c r="L1546" s="2785"/>
      <c r="M1546" s="2695"/>
      <c r="N1546" s="2649"/>
      <c r="O1546" s="2655"/>
      <c r="P1546" s="2651"/>
      <c r="Q1546" s="3440"/>
      <c r="R1546" s="3553"/>
      <c r="S1546" s="1407"/>
      <c r="T1546" s="3375"/>
      <c r="U1546" s="2648"/>
      <c r="V1546" s="3554"/>
      <c r="W1546" s="3150"/>
      <c r="X1546" s="2656"/>
      <c r="Y1546" s="2656"/>
      <c r="Z1546" s="2656"/>
      <c r="AA1546" s="2656"/>
      <c r="AB1546" s="2656"/>
      <c r="AC1546" s="2656"/>
      <c r="AD1546" s="2656"/>
      <c r="AE1546" s="2656"/>
      <c r="AF1546" s="2656"/>
      <c r="AG1546" s="2656"/>
      <c r="AH1546" s="2656"/>
      <c r="AI1546" s="2656"/>
      <c r="AJ1546" s="2656"/>
      <c r="AK1546" s="2656"/>
      <c r="AL1546" s="2656"/>
      <c r="AM1546" s="2656"/>
      <c r="AN1546" s="2656"/>
      <c r="AO1546" s="2656"/>
      <c r="AP1546" s="2656"/>
      <c r="AQ1546" s="2656"/>
      <c r="AR1546" s="2656"/>
      <c r="AS1546" s="2656"/>
      <c r="AT1546" s="2656"/>
      <c r="AU1546" s="2656"/>
      <c r="AV1546" s="2656"/>
      <c r="AW1546" s="2656"/>
      <c r="AX1546" s="2656"/>
      <c r="AY1546" s="2656"/>
      <c r="AZ1546" s="2656"/>
      <c r="BA1546" s="2656"/>
      <c r="BB1546" s="2656"/>
      <c r="BC1546" s="2656"/>
      <c r="BD1546" s="2656"/>
      <c r="BE1546" s="2656"/>
      <c r="BF1546" s="2656"/>
      <c r="BG1546" s="2656"/>
      <c r="BH1546" s="2656"/>
      <c r="BI1546" s="2656"/>
    </row>
    <row r="1547" spans="1:61" ht="24.75" customHeight="1">
      <c r="A1547" s="3375"/>
      <c r="B1547" s="2646"/>
      <c r="C1547" s="2647"/>
      <c r="D1547" s="2646"/>
      <c r="E1547" s="3013"/>
      <c r="F1547" s="2655"/>
      <c r="G1547" s="2596"/>
      <c r="H1547" s="4138"/>
      <c r="I1547" s="3375"/>
      <c r="J1547" s="2648"/>
      <c r="K1547" s="3147"/>
      <c r="L1547" s="2785"/>
      <c r="M1547" s="2695"/>
      <c r="N1547" s="2649"/>
      <c r="O1547" s="2655"/>
      <c r="P1547" s="2651"/>
      <c r="Q1547" s="3440"/>
      <c r="R1547" s="3553"/>
      <c r="S1547" s="1407"/>
      <c r="T1547" s="3375"/>
      <c r="U1547" s="2648"/>
      <c r="V1547" s="3554"/>
      <c r="W1547" s="3150"/>
      <c r="X1547" s="2656"/>
      <c r="Y1547" s="2656"/>
      <c r="Z1547" s="2656"/>
      <c r="AA1547" s="2656"/>
      <c r="AB1547" s="2656"/>
      <c r="AC1547" s="2656"/>
      <c r="AD1547" s="2656"/>
      <c r="AE1547" s="2656"/>
      <c r="AF1547" s="2656"/>
      <c r="AG1547" s="2656"/>
      <c r="AH1547" s="2656"/>
      <c r="AI1547" s="2656"/>
      <c r="AJ1547" s="2656"/>
      <c r="AK1547" s="2656"/>
      <c r="AL1547" s="2656"/>
      <c r="AM1547" s="2656"/>
      <c r="AN1547" s="2656"/>
      <c r="AO1547" s="2656"/>
      <c r="AP1547" s="2656"/>
      <c r="AQ1547" s="2656"/>
      <c r="AR1547" s="2656"/>
      <c r="AS1547" s="2656"/>
      <c r="AT1547" s="2656"/>
      <c r="AU1547" s="2656"/>
      <c r="AV1547" s="2656"/>
      <c r="AW1547" s="2656"/>
      <c r="AX1547" s="2656"/>
      <c r="AY1547" s="2656"/>
      <c r="AZ1547" s="2656"/>
      <c r="BA1547" s="2656"/>
      <c r="BB1547" s="2656"/>
      <c r="BC1547" s="2656"/>
      <c r="BD1547" s="2656"/>
      <c r="BE1547" s="2656"/>
      <c r="BF1547" s="2656"/>
      <c r="BG1547" s="2656"/>
      <c r="BH1547" s="2656"/>
      <c r="BI1547" s="2656"/>
    </row>
    <row r="1548" spans="1:61" ht="24.75" customHeight="1">
      <c r="A1548" s="3375"/>
      <c r="B1548" s="2646"/>
      <c r="C1548" s="2647"/>
      <c r="D1548" s="2646"/>
      <c r="E1548" s="3013"/>
      <c r="F1548" s="2655"/>
      <c r="G1548" s="2596"/>
      <c r="H1548" s="4138"/>
      <c r="I1548" s="3375"/>
      <c r="J1548" s="2648"/>
      <c r="K1548" s="3147"/>
      <c r="L1548" s="2785"/>
      <c r="M1548" s="2695"/>
      <c r="N1548" s="2649"/>
      <c r="O1548" s="2655"/>
      <c r="P1548" s="2651"/>
      <c r="Q1548" s="3440"/>
      <c r="R1548" s="3553"/>
      <c r="S1548" s="1407"/>
      <c r="T1548" s="3375"/>
      <c r="U1548" s="2648"/>
      <c r="V1548" s="3554"/>
      <c r="W1548" s="3150"/>
      <c r="X1548" s="2656"/>
      <c r="Y1548" s="2656"/>
      <c r="Z1548" s="2656"/>
      <c r="AA1548" s="2656"/>
      <c r="AB1548" s="2656"/>
      <c r="AC1548" s="2656"/>
      <c r="AD1548" s="2656"/>
      <c r="AE1548" s="2656"/>
      <c r="AF1548" s="2656"/>
      <c r="AG1548" s="2656"/>
      <c r="AH1548" s="2656"/>
      <c r="AI1548" s="2656"/>
      <c r="AJ1548" s="2656"/>
      <c r="AK1548" s="2656"/>
      <c r="AL1548" s="2656"/>
      <c r="AM1548" s="2656"/>
      <c r="AN1548" s="2656"/>
      <c r="AO1548" s="2656"/>
      <c r="AP1548" s="2656"/>
      <c r="AQ1548" s="2656"/>
      <c r="AR1548" s="2656"/>
      <c r="AS1548" s="2656"/>
      <c r="AT1548" s="2656"/>
      <c r="AU1548" s="2656"/>
      <c r="AV1548" s="2656"/>
      <c r="AW1548" s="2656"/>
      <c r="AX1548" s="2656"/>
      <c r="AY1548" s="2656"/>
      <c r="AZ1548" s="2656"/>
      <c r="BA1548" s="2656"/>
      <c r="BB1548" s="2656"/>
      <c r="BC1548" s="2656"/>
      <c r="BD1548" s="2656"/>
      <c r="BE1548" s="2656"/>
      <c r="BF1548" s="2656"/>
      <c r="BG1548" s="2656"/>
      <c r="BH1548" s="2656"/>
      <c r="BI1548" s="2656"/>
    </row>
    <row r="1549" spans="1:61" ht="24.75" customHeight="1">
      <c r="A1549" s="3375"/>
      <c r="B1549" s="2646"/>
      <c r="C1549" s="2647"/>
      <c r="D1549" s="2646"/>
      <c r="E1549" s="3013"/>
      <c r="F1549" s="2655"/>
      <c r="G1549" s="2596"/>
      <c r="H1549" s="4138"/>
      <c r="I1549" s="3375"/>
      <c r="J1549" s="2648"/>
      <c r="K1549" s="3147"/>
      <c r="L1549" s="2785"/>
      <c r="M1549" s="2695"/>
      <c r="N1549" s="2649"/>
      <c r="O1549" s="2655"/>
      <c r="P1549" s="2651"/>
      <c r="Q1549" s="3440"/>
      <c r="R1549" s="3553"/>
      <c r="S1549" s="1407"/>
      <c r="T1549" s="3375"/>
      <c r="U1549" s="2648"/>
      <c r="V1549" s="3554"/>
      <c r="W1549" s="3150"/>
      <c r="X1549" s="2656"/>
      <c r="Y1549" s="2656"/>
      <c r="Z1549" s="2656"/>
      <c r="AA1549" s="2656"/>
      <c r="AB1549" s="2656"/>
      <c r="AC1549" s="2656"/>
      <c r="AD1549" s="2656"/>
      <c r="AE1549" s="2656"/>
      <c r="AF1549" s="2656"/>
      <c r="AG1549" s="2656"/>
      <c r="AH1549" s="2656"/>
      <c r="AI1549" s="2656"/>
      <c r="AJ1549" s="2656"/>
      <c r="AK1549" s="2656"/>
      <c r="AL1549" s="2656"/>
      <c r="AM1549" s="2656"/>
      <c r="AN1549" s="2656"/>
      <c r="AO1549" s="2656"/>
      <c r="AP1549" s="2656"/>
      <c r="AQ1549" s="2656"/>
      <c r="AR1549" s="2656"/>
      <c r="AS1549" s="2656"/>
      <c r="AT1549" s="2656"/>
      <c r="AU1549" s="2656"/>
      <c r="AV1549" s="2656"/>
      <c r="AW1549" s="2656"/>
      <c r="AX1549" s="2656"/>
      <c r="AY1549" s="2656"/>
      <c r="AZ1549" s="2656"/>
      <c r="BA1549" s="2656"/>
      <c r="BB1549" s="2656"/>
      <c r="BC1549" s="2656"/>
      <c r="BD1549" s="2656"/>
      <c r="BE1549" s="2656"/>
      <c r="BF1549" s="2656"/>
      <c r="BG1549" s="2656"/>
      <c r="BH1549" s="2656"/>
      <c r="BI1549" s="2656"/>
    </row>
    <row r="1550" spans="1:61" ht="24.75" customHeight="1">
      <c r="A1550" s="3375"/>
      <c r="B1550" s="2646"/>
      <c r="C1550" s="2647"/>
      <c r="D1550" s="2646"/>
      <c r="E1550" s="3013"/>
      <c r="F1550" s="2655"/>
      <c r="G1550" s="2596"/>
      <c r="H1550" s="4138"/>
      <c r="I1550" s="3375"/>
      <c r="J1550" s="2648"/>
      <c r="K1550" s="3147"/>
      <c r="L1550" s="2785"/>
      <c r="M1550" s="2695"/>
      <c r="N1550" s="2649"/>
      <c r="O1550" s="2655"/>
      <c r="P1550" s="2651"/>
      <c r="Q1550" s="3440"/>
      <c r="R1550" s="3553"/>
      <c r="S1550" s="1407"/>
      <c r="T1550" s="3375"/>
      <c r="U1550" s="2648"/>
      <c r="V1550" s="3554"/>
      <c r="W1550" s="3150"/>
      <c r="X1550" s="2656"/>
      <c r="Y1550" s="2656"/>
      <c r="Z1550" s="2656"/>
      <c r="AA1550" s="2656"/>
      <c r="AB1550" s="2656"/>
      <c r="AC1550" s="2656"/>
      <c r="AD1550" s="2656"/>
      <c r="AE1550" s="2656"/>
      <c r="AF1550" s="2656"/>
      <c r="AG1550" s="2656"/>
      <c r="AH1550" s="2656"/>
      <c r="AI1550" s="2656"/>
      <c r="AJ1550" s="2656"/>
      <c r="AK1550" s="2656"/>
      <c r="AL1550" s="2656"/>
      <c r="AM1550" s="2656"/>
      <c r="AN1550" s="2656"/>
      <c r="AO1550" s="2656"/>
      <c r="AP1550" s="2656"/>
      <c r="AQ1550" s="2656"/>
      <c r="AR1550" s="2656"/>
      <c r="AS1550" s="2656"/>
      <c r="AT1550" s="2656"/>
      <c r="AU1550" s="2656"/>
      <c r="AV1550" s="2656"/>
      <c r="AW1550" s="2656"/>
      <c r="AX1550" s="2656"/>
      <c r="AY1550" s="2656"/>
      <c r="AZ1550" s="2656"/>
      <c r="BA1550" s="2656"/>
      <c r="BB1550" s="2656"/>
      <c r="BC1550" s="2656"/>
      <c r="BD1550" s="2656"/>
      <c r="BE1550" s="2656"/>
      <c r="BF1550" s="2656"/>
      <c r="BG1550" s="2656"/>
      <c r="BH1550" s="2656"/>
      <c r="BI1550" s="2656"/>
    </row>
    <row r="1551" spans="1:61" ht="24.75" customHeight="1">
      <c r="A1551" s="3375"/>
      <c r="B1551" s="2646"/>
      <c r="C1551" s="2647"/>
      <c r="D1551" s="2646"/>
      <c r="E1551" s="3013"/>
      <c r="F1551" s="2655"/>
      <c r="G1551" s="2596"/>
      <c r="H1551" s="4138"/>
      <c r="I1551" s="3375"/>
      <c r="J1551" s="2648"/>
      <c r="K1551" s="3147"/>
      <c r="L1551" s="2785"/>
      <c r="M1551" s="2695"/>
      <c r="N1551" s="2649"/>
      <c r="O1551" s="2655"/>
      <c r="P1551" s="2651"/>
      <c r="Q1551" s="3440"/>
      <c r="R1551" s="3553"/>
      <c r="S1551" s="1407"/>
      <c r="T1551" s="3375"/>
      <c r="U1551" s="2648"/>
      <c r="V1551" s="3554"/>
      <c r="W1551" s="3150"/>
      <c r="X1551" s="2656"/>
      <c r="Y1551" s="2656"/>
      <c r="Z1551" s="2656"/>
      <c r="AA1551" s="2656"/>
      <c r="AB1551" s="2656"/>
      <c r="AC1551" s="2656"/>
      <c r="AD1551" s="2656"/>
      <c r="AE1551" s="2656"/>
      <c r="AF1551" s="2656"/>
      <c r="AG1551" s="2656"/>
      <c r="AH1551" s="2656"/>
      <c r="AI1551" s="2656"/>
      <c r="AJ1551" s="2656"/>
      <c r="AK1551" s="2656"/>
      <c r="AL1551" s="2656"/>
      <c r="AM1551" s="2656"/>
      <c r="AN1551" s="2656"/>
      <c r="AO1551" s="2656"/>
      <c r="AP1551" s="2656"/>
      <c r="AQ1551" s="2656"/>
      <c r="AR1551" s="2656"/>
      <c r="AS1551" s="2656"/>
      <c r="AT1551" s="2656"/>
      <c r="AU1551" s="2656"/>
      <c r="AV1551" s="2656"/>
      <c r="AW1551" s="2656"/>
      <c r="AX1551" s="2656"/>
      <c r="AY1551" s="2656"/>
      <c r="AZ1551" s="2656"/>
      <c r="BA1551" s="2656"/>
      <c r="BB1551" s="2656"/>
      <c r="BC1551" s="2656"/>
      <c r="BD1551" s="2656"/>
      <c r="BE1551" s="2656"/>
      <c r="BF1551" s="2656"/>
      <c r="BG1551" s="2656"/>
      <c r="BH1551" s="2656"/>
      <c r="BI1551" s="2656"/>
    </row>
    <row r="1552" spans="1:61" ht="24.75" customHeight="1">
      <c r="A1552" s="3375"/>
      <c r="B1552" s="2646"/>
      <c r="C1552" s="2647"/>
      <c r="D1552" s="2646"/>
      <c r="E1552" s="3013"/>
      <c r="F1552" s="2655"/>
      <c r="G1552" s="2596"/>
      <c r="H1552" s="4138"/>
      <c r="I1552" s="3375"/>
      <c r="J1552" s="2648"/>
      <c r="K1552" s="3147"/>
      <c r="L1552" s="2785"/>
      <c r="M1552" s="2695"/>
      <c r="N1552" s="2649"/>
      <c r="O1552" s="2655"/>
      <c r="P1552" s="2651"/>
      <c r="Q1552" s="3440"/>
      <c r="R1552" s="3553"/>
      <c r="S1552" s="1407"/>
      <c r="T1552" s="3375"/>
      <c r="U1552" s="2648"/>
      <c r="V1552" s="3554"/>
      <c r="W1552" s="3150"/>
      <c r="X1552" s="2656"/>
      <c r="Y1552" s="2656"/>
      <c r="Z1552" s="2656"/>
      <c r="AA1552" s="2656"/>
      <c r="AB1552" s="2656"/>
      <c r="AC1552" s="2656"/>
      <c r="AD1552" s="2656"/>
      <c r="AE1552" s="2656"/>
      <c r="AF1552" s="2656"/>
      <c r="AG1552" s="2656"/>
      <c r="AH1552" s="2656"/>
      <c r="AI1552" s="2656"/>
      <c r="AJ1552" s="2656"/>
      <c r="AK1552" s="2656"/>
      <c r="AL1552" s="2656"/>
      <c r="AM1552" s="2656"/>
      <c r="AN1552" s="2656"/>
      <c r="AO1552" s="2656"/>
      <c r="AP1552" s="2656"/>
      <c r="AQ1552" s="2656"/>
      <c r="AR1552" s="2656"/>
      <c r="AS1552" s="2656"/>
      <c r="AT1552" s="2656"/>
      <c r="AU1552" s="2656"/>
      <c r="AV1552" s="2656"/>
      <c r="AW1552" s="2656"/>
      <c r="AX1552" s="2656"/>
      <c r="AY1552" s="2656"/>
      <c r="AZ1552" s="2656"/>
      <c r="BA1552" s="2656"/>
      <c r="BB1552" s="2656"/>
      <c r="BC1552" s="2656"/>
      <c r="BD1552" s="2656"/>
      <c r="BE1552" s="2656"/>
      <c r="BF1552" s="2656"/>
      <c r="BG1552" s="2656"/>
      <c r="BH1552" s="2656"/>
      <c r="BI1552" s="2656"/>
    </row>
    <row r="1553" spans="1:61" ht="24.75" customHeight="1">
      <c r="A1553" s="3375"/>
      <c r="B1553" s="2646"/>
      <c r="C1553" s="2647"/>
      <c r="D1553" s="2646"/>
      <c r="E1553" s="3013"/>
      <c r="F1553" s="2655"/>
      <c r="G1553" s="2596"/>
      <c r="H1553" s="4138"/>
      <c r="I1553" s="3375"/>
      <c r="J1553" s="2648"/>
      <c r="K1553" s="3147"/>
      <c r="L1553" s="2785"/>
      <c r="M1553" s="2695"/>
      <c r="N1553" s="2649"/>
      <c r="O1553" s="2655"/>
      <c r="P1553" s="2651"/>
      <c r="Q1553" s="3440"/>
      <c r="R1553" s="3553"/>
      <c r="S1553" s="1407"/>
      <c r="T1553" s="3375"/>
      <c r="U1553" s="2648"/>
      <c r="V1553" s="3554"/>
      <c r="W1553" s="3150"/>
      <c r="X1553" s="2656"/>
      <c r="Y1553" s="2656"/>
      <c r="Z1553" s="2656"/>
      <c r="AA1553" s="2656"/>
      <c r="AB1553" s="2656"/>
      <c r="AC1553" s="2656"/>
      <c r="AD1553" s="2656"/>
      <c r="AE1553" s="2656"/>
      <c r="AF1553" s="2656"/>
      <c r="AG1553" s="2656"/>
      <c r="AH1553" s="2656"/>
      <c r="AI1553" s="2656"/>
      <c r="AJ1553" s="2656"/>
      <c r="AK1553" s="2656"/>
      <c r="AL1553" s="2656"/>
      <c r="AM1553" s="2656"/>
      <c r="AN1553" s="2656"/>
      <c r="AO1553" s="2656"/>
      <c r="AP1553" s="2656"/>
      <c r="AQ1553" s="2656"/>
      <c r="AR1553" s="2656"/>
      <c r="AS1553" s="2656"/>
      <c r="AT1553" s="2656"/>
      <c r="AU1553" s="2656"/>
      <c r="AV1553" s="2656"/>
      <c r="AW1553" s="2656"/>
      <c r="AX1553" s="2656"/>
      <c r="AY1553" s="2656"/>
      <c r="AZ1553" s="2656"/>
      <c r="BA1553" s="2656"/>
      <c r="BB1553" s="2656"/>
      <c r="BC1553" s="2656"/>
      <c r="BD1553" s="2656"/>
      <c r="BE1553" s="2656"/>
      <c r="BF1553" s="2656"/>
      <c r="BG1553" s="2656"/>
      <c r="BH1553" s="2656"/>
      <c r="BI1553" s="2656"/>
    </row>
    <row r="1554" spans="1:61" ht="24.75" customHeight="1">
      <c r="A1554" s="3375"/>
      <c r="B1554" s="2646"/>
      <c r="C1554" s="2647"/>
      <c r="D1554" s="2646"/>
      <c r="E1554" s="3013"/>
      <c r="F1554" s="2655"/>
      <c r="G1554" s="2596"/>
      <c r="H1554" s="4138"/>
      <c r="I1554" s="3375"/>
      <c r="J1554" s="2648"/>
      <c r="K1554" s="3147"/>
      <c r="L1554" s="2785"/>
      <c r="M1554" s="2695"/>
      <c r="N1554" s="2649"/>
      <c r="O1554" s="2655"/>
      <c r="P1554" s="2651"/>
      <c r="Q1554" s="3440"/>
      <c r="R1554" s="3553"/>
      <c r="S1554" s="1407"/>
      <c r="T1554" s="3375"/>
      <c r="U1554" s="2648"/>
      <c r="V1554" s="3554"/>
      <c r="W1554" s="3150"/>
      <c r="X1554" s="2656"/>
      <c r="Y1554" s="2656"/>
      <c r="Z1554" s="2656"/>
      <c r="AA1554" s="2656"/>
      <c r="AB1554" s="2656"/>
      <c r="AC1554" s="2656"/>
      <c r="AD1554" s="2656"/>
      <c r="AE1554" s="2656"/>
      <c r="AF1554" s="2656"/>
      <c r="AG1554" s="2656"/>
      <c r="AH1554" s="2656"/>
      <c r="AI1554" s="2656"/>
      <c r="AJ1554" s="2656"/>
      <c r="AK1554" s="2656"/>
      <c r="AL1554" s="2656"/>
      <c r="AM1554" s="2656"/>
      <c r="AN1554" s="2656"/>
      <c r="AO1554" s="2656"/>
      <c r="AP1554" s="2656"/>
      <c r="AQ1554" s="2656"/>
      <c r="AR1554" s="2656"/>
      <c r="AS1554" s="2656"/>
      <c r="AT1554" s="2656"/>
      <c r="AU1554" s="2656"/>
      <c r="AV1554" s="2656"/>
      <c r="AW1554" s="2656"/>
      <c r="AX1554" s="2656"/>
      <c r="AY1554" s="2656"/>
      <c r="AZ1554" s="2656"/>
      <c r="BA1554" s="2656"/>
      <c r="BB1554" s="2656"/>
      <c r="BC1554" s="2656"/>
      <c r="BD1554" s="2656"/>
      <c r="BE1554" s="2656"/>
      <c r="BF1554" s="2656"/>
      <c r="BG1554" s="2656"/>
      <c r="BH1554" s="2656"/>
      <c r="BI1554" s="2656"/>
    </row>
    <row r="1555" spans="1:61" ht="24.75" customHeight="1">
      <c r="A1555" s="3375"/>
      <c r="B1555" s="2646"/>
      <c r="C1555" s="2647"/>
      <c r="D1555" s="2646"/>
      <c r="E1555" s="3013"/>
      <c r="F1555" s="2655"/>
      <c r="G1555" s="2596"/>
      <c r="H1555" s="4138"/>
      <c r="I1555" s="3375"/>
      <c r="J1555" s="2648"/>
      <c r="K1555" s="3147"/>
      <c r="L1555" s="2785"/>
      <c r="M1555" s="2695"/>
      <c r="N1555" s="2649"/>
      <c r="O1555" s="2655"/>
      <c r="P1555" s="2651"/>
      <c r="Q1555" s="3440"/>
      <c r="R1555" s="3553"/>
      <c r="S1555" s="1407"/>
      <c r="T1555" s="3375"/>
      <c r="U1555" s="2648"/>
      <c r="V1555" s="3554"/>
      <c r="W1555" s="3150"/>
      <c r="X1555" s="2656"/>
      <c r="Y1555" s="2656"/>
      <c r="Z1555" s="2656"/>
      <c r="AA1555" s="2656"/>
      <c r="AB1555" s="2656"/>
      <c r="AC1555" s="2656"/>
      <c r="AD1555" s="2656"/>
      <c r="AE1555" s="2656"/>
      <c r="AF1555" s="2656"/>
      <c r="AG1555" s="2656"/>
      <c r="AH1555" s="2656"/>
      <c r="AI1555" s="2656"/>
      <c r="AJ1555" s="2656"/>
      <c r="AK1555" s="2656"/>
      <c r="AL1555" s="2656"/>
      <c r="AM1555" s="2656"/>
      <c r="AN1555" s="2656"/>
      <c r="AO1555" s="2656"/>
      <c r="AP1555" s="2656"/>
      <c r="AQ1555" s="2656"/>
      <c r="AR1555" s="2656"/>
      <c r="AS1555" s="2656"/>
      <c r="AT1555" s="2656"/>
      <c r="AU1555" s="2656"/>
      <c r="AV1555" s="2656"/>
      <c r="AW1555" s="2656"/>
      <c r="AX1555" s="2656"/>
      <c r="AY1555" s="2656"/>
      <c r="AZ1555" s="2656"/>
      <c r="BA1555" s="2656"/>
      <c r="BB1555" s="2656"/>
      <c r="BC1555" s="2656"/>
      <c r="BD1555" s="2656"/>
      <c r="BE1555" s="2656"/>
      <c r="BF1555" s="2656"/>
      <c r="BG1555" s="2656"/>
      <c r="BH1555" s="2656"/>
      <c r="BI1555" s="2656"/>
    </row>
    <row r="1556" spans="1:61" ht="24.75" customHeight="1">
      <c r="A1556" s="3375"/>
      <c r="B1556" s="2646"/>
      <c r="C1556" s="2647"/>
      <c r="D1556" s="2646"/>
      <c r="E1556" s="3013"/>
      <c r="F1556" s="2655"/>
      <c r="G1556" s="2596"/>
      <c r="H1556" s="4138"/>
      <c r="I1556" s="3375"/>
      <c r="J1556" s="2648"/>
      <c r="K1556" s="3147"/>
      <c r="L1556" s="2785"/>
      <c r="M1556" s="2695"/>
      <c r="N1556" s="2649"/>
      <c r="O1556" s="2655"/>
      <c r="P1556" s="2651"/>
      <c r="Q1556" s="3440"/>
      <c r="R1556" s="3553"/>
      <c r="S1556" s="1407"/>
      <c r="T1556" s="3375"/>
      <c r="U1556" s="2648"/>
      <c r="V1556" s="3554"/>
      <c r="W1556" s="3150"/>
      <c r="X1556" s="2656"/>
      <c r="Y1556" s="2656"/>
      <c r="Z1556" s="2656"/>
      <c r="AA1556" s="2656"/>
      <c r="AB1556" s="2656"/>
      <c r="AC1556" s="2656"/>
      <c r="AD1556" s="2656"/>
      <c r="AE1556" s="2656"/>
      <c r="AF1556" s="2656"/>
      <c r="AG1556" s="2656"/>
      <c r="AH1556" s="2656"/>
      <c r="AI1556" s="2656"/>
      <c r="AJ1556" s="2656"/>
      <c r="AK1556" s="2656"/>
      <c r="AL1556" s="2656"/>
      <c r="AM1556" s="2656"/>
      <c r="AN1556" s="2656"/>
      <c r="AO1556" s="2656"/>
      <c r="AP1556" s="2656"/>
      <c r="AQ1556" s="2656"/>
      <c r="AR1556" s="2656"/>
      <c r="AS1556" s="2656"/>
      <c r="AT1556" s="2656"/>
      <c r="AU1556" s="2656"/>
      <c r="AV1556" s="2656"/>
      <c r="AW1556" s="2656"/>
      <c r="AX1556" s="2656"/>
      <c r="AY1556" s="2656"/>
      <c r="AZ1556" s="2656"/>
      <c r="BA1556" s="2656"/>
      <c r="BB1556" s="2656"/>
      <c r="BC1556" s="2656"/>
      <c r="BD1556" s="2656"/>
      <c r="BE1556" s="2656"/>
      <c r="BF1556" s="2656"/>
      <c r="BG1556" s="2656"/>
      <c r="BH1556" s="2656"/>
      <c r="BI1556" s="2656"/>
    </row>
    <row r="1557" spans="1:61" ht="24.75" customHeight="1">
      <c r="A1557" s="3375"/>
      <c r="B1557" s="2646"/>
      <c r="C1557" s="2647"/>
      <c r="D1557" s="2646"/>
      <c r="E1557" s="3013"/>
      <c r="F1557" s="2655"/>
      <c r="G1557" s="2596"/>
      <c r="H1557" s="4138"/>
      <c r="I1557" s="3375"/>
      <c r="J1557" s="2648"/>
      <c r="K1557" s="3147"/>
      <c r="L1557" s="2785"/>
      <c r="M1557" s="2695"/>
      <c r="N1557" s="2649"/>
      <c r="O1557" s="2655"/>
      <c r="P1557" s="2651"/>
      <c r="Q1557" s="3440"/>
      <c r="R1557" s="3553"/>
      <c r="S1557" s="1407"/>
      <c r="T1557" s="3375"/>
      <c r="U1557" s="2648"/>
      <c r="V1557" s="3554"/>
      <c r="W1557" s="3150"/>
      <c r="X1557" s="2656"/>
      <c r="Y1557" s="2656"/>
      <c r="Z1557" s="2656"/>
      <c r="AA1557" s="2656"/>
      <c r="AB1557" s="2656"/>
      <c r="AC1557" s="2656"/>
      <c r="AD1557" s="2656"/>
      <c r="AE1557" s="2656"/>
      <c r="AF1557" s="2656"/>
      <c r="AG1557" s="2656"/>
      <c r="AH1557" s="2656"/>
      <c r="AI1557" s="2656"/>
      <c r="AJ1557" s="2656"/>
      <c r="AK1557" s="2656"/>
      <c r="AL1557" s="2656"/>
      <c r="AM1557" s="2656"/>
      <c r="AN1557" s="2656"/>
      <c r="AO1557" s="2656"/>
      <c r="AP1557" s="2656"/>
      <c r="AQ1557" s="2656"/>
      <c r="AR1557" s="2656"/>
      <c r="AS1557" s="2656"/>
      <c r="AT1557" s="2656"/>
      <c r="AU1557" s="2656"/>
      <c r="AV1557" s="2656"/>
      <c r="AW1557" s="2656"/>
      <c r="AX1557" s="2656"/>
      <c r="AY1557" s="2656"/>
      <c r="AZ1557" s="2656"/>
      <c r="BA1557" s="2656"/>
      <c r="BB1557" s="2656"/>
      <c r="BC1557" s="2656"/>
      <c r="BD1557" s="2656"/>
      <c r="BE1557" s="2656"/>
      <c r="BF1557" s="2656"/>
      <c r="BG1557" s="2656"/>
      <c r="BH1557" s="2656"/>
      <c r="BI1557" s="2656"/>
    </row>
    <row r="1558" spans="1:61" ht="24.75" customHeight="1">
      <c r="A1558" s="3375"/>
      <c r="B1558" s="2646"/>
      <c r="C1558" s="2647"/>
      <c r="D1558" s="2646"/>
      <c r="E1558" s="3013"/>
      <c r="F1558" s="2655"/>
      <c r="G1558" s="2596"/>
      <c r="H1558" s="4138"/>
      <c r="I1558" s="3375"/>
      <c r="J1558" s="2648"/>
      <c r="K1558" s="3147"/>
      <c r="L1558" s="2785"/>
      <c r="M1558" s="2695"/>
      <c r="N1558" s="2649"/>
      <c r="O1558" s="2655"/>
      <c r="P1558" s="2651"/>
      <c r="Q1558" s="3440"/>
      <c r="R1558" s="3553"/>
      <c r="S1558" s="1407"/>
      <c r="T1558" s="3375"/>
      <c r="U1558" s="2648"/>
      <c r="V1558" s="3554"/>
      <c r="W1558" s="3150"/>
      <c r="X1558" s="2656"/>
      <c r="Y1558" s="2656"/>
      <c r="Z1558" s="2656"/>
      <c r="AA1558" s="2656"/>
      <c r="AB1558" s="2656"/>
      <c r="AC1558" s="2656"/>
      <c r="AD1558" s="2656"/>
      <c r="AE1558" s="2656"/>
      <c r="AF1558" s="2656"/>
      <c r="AG1558" s="2656"/>
      <c r="AH1558" s="2656"/>
      <c r="AI1558" s="2656"/>
      <c r="AJ1558" s="2656"/>
      <c r="AK1558" s="2656"/>
      <c r="AL1558" s="2656"/>
      <c r="AM1558" s="2656"/>
      <c r="AN1558" s="2656"/>
      <c r="AO1558" s="2656"/>
      <c r="AP1558" s="2656"/>
      <c r="AQ1558" s="2656"/>
      <c r="AR1558" s="2656"/>
      <c r="AS1558" s="2656"/>
      <c r="AT1558" s="2656"/>
      <c r="AU1558" s="2656"/>
      <c r="AV1558" s="2656"/>
      <c r="AW1558" s="2656"/>
      <c r="AX1558" s="2656"/>
      <c r="AY1558" s="2656"/>
      <c r="AZ1558" s="2656"/>
      <c r="BA1558" s="2656"/>
      <c r="BB1558" s="2656"/>
      <c r="BC1558" s="2656"/>
      <c r="BD1558" s="2656"/>
      <c r="BE1558" s="2656"/>
      <c r="BF1558" s="2656"/>
      <c r="BG1558" s="2656"/>
      <c r="BH1558" s="2656"/>
      <c r="BI1558" s="2656"/>
    </row>
    <row r="1559" spans="1:61" ht="24.75" customHeight="1">
      <c r="A1559" s="3375"/>
      <c r="B1559" s="2646"/>
      <c r="C1559" s="2647"/>
      <c r="D1559" s="2646"/>
      <c r="E1559" s="3013"/>
      <c r="F1559" s="2655"/>
      <c r="G1559" s="2596"/>
      <c r="H1559" s="4138"/>
      <c r="I1559" s="3375"/>
      <c r="J1559" s="2648"/>
      <c r="K1559" s="3147"/>
      <c r="L1559" s="2785"/>
      <c r="M1559" s="2695"/>
      <c r="N1559" s="2649"/>
      <c r="O1559" s="2655"/>
      <c r="P1559" s="2651"/>
      <c r="Q1559" s="3440"/>
      <c r="R1559" s="3553"/>
      <c r="S1559" s="1407"/>
      <c r="T1559" s="3375"/>
      <c r="U1559" s="2648"/>
      <c r="V1559" s="3554"/>
      <c r="W1559" s="3150"/>
      <c r="X1559" s="2656"/>
      <c r="Y1559" s="2656"/>
      <c r="Z1559" s="2656"/>
      <c r="AA1559" s="2656"/>
      <c r="AB1559" s="2656"/>
      <c r="AC1559" s="2656"/>
      <c r="AD1559" s="2656"/>
      <c r="AE1559" s="2656"/>
      <c r="AF1559" s="2656"/>
      <c r="AG1559" s="2656"/>
      <c r="AH1559" s="2656"/>
      <c r="AI1559" s="2656"/>
      <c r="AJ1559" s="2656"/>
      <c r="AK1559" s="2656"/>
      <c r="AL1559" s="2656"/>
      <c r="AM1559" s="2656"/>
      <c r="AN1559" s="2656"/>
      <c r="AO1559" s="2656"/>
      <c r="AP1559" s="2656"/>
      <c r="AQ1559" s="2656"/>
      <c r="AR1559" s="2656"/>
      <c r="AS1559" s="2656"/>
      <c r="AT1559" s="2656"/>
      <c r="AU1559" s="2656"/>
      <c r="AV1559" s="2656"/>
      <c r="AW1559" s="2656"/>
      <c r="AX1559" s="2656"/>
      <c r="AY1559" s="2656"/>
      <c r="AZ1559" s="2656"/>
      <c r="BA1559" s="2656"/>
      <c r="BB1559" s="2656"/>
      <c r="BC1559" s="2656"/>
      <c r="BD1559" s="2656"/>
      <c r="BE1559" s="2656"/>
      <c r="BF1559" s="2656"/>
      <c r="BG1559" s="2656"/>
      <c r="BH1559" s="2656"/>
      <c r="BI1559" s="2656"/>
    </row>
    <row r="1560" spans="1:61" ht="24.75" customHeight="1">
      <c r="A1560" s="3375"/>
      <c r="B1560" s="2646"/>
      <c r="C1560" s="2647"/>
      <c r="D1560" s="2646"/>
      <c r="E1560" s="3013"/>
      <c r="F1560" s="2655"/>
      <c r="G1560" s="2596"/>
      <c r="H1560" s="4138"/>
      <c r="I1560" s="3375"/>
      <c r="J1560" s="2648"/>
      <c r="K1560" s="3147"/>
      <c r="L1560" s="2785"/>
      <c r="M1560" s="2695"/>
      <c r="N1560" s="2649"/>
      <c r="O1560" s="2655"/>
      <c r="P1560" s="2651"/>
      <c r="Q1560" s="3440"/>
      <c r="R1560" s="3553"/>
      <c r="S1560" s="1407"/>
      <c r="T1560" s="3375"/>
      <c r="U1560" s="2648"/>
      <c r="V1560" s="3554"/>
      <c r="W1560" s="3150"/>
      <c r="X1560" s="2656"/>
      <c r="Y1560" s="2656"/>
      <c r="Z1560" s="2656"/>
      <c r="AA1560" s="2656"/>
      <c r="AB1560" s="2656"/>
      <c r="AC1560" s="2656"/>
      <c r="AD1560" s="2656"/>
      <c r="AE1560" s="2656"/>
      <c r="AF1560" s="2656"/>
      <c r="AG1560" s="2656"/>
      <c r="AH1560" s="2656"/>
      <c r="AI1560" s="2656"/>
      <c r="AJ1560" s="2656"/>
      <c r="AK1560" s="2656"/>
      <c r="AL1560" s="2656"/>
      <c r="AM1560" s="2656"/>
      <c r="AN1560" s="2656"/>
      <c r="AO1560" s="2656"/>
      <c r="AP1560" s="2656"/>
      <c r="AQ1560" s="2656"/>
      <c r="AR1560" s="2656"/>
      <c r="AS1560" s="2656"/>
      <c r="AT1560" s="2656"/>
      <c r="AU1560" s="2656"/>
      <c r="AV1560" s="2656"/>
      <c r="AW1560" s="2656"/>
      <c r="AX1560" s="2656"/>
      <c r="AY1560" s="2656"/>
      <c r="AZ1560" s="2656"/>
      <c r="BA1560" s="2656"/>
      <c r="BB1560" s="2656"/>
      <c r="BC1560" s="2656"/>
      <c r="BD1560" s="2656"/>
      <c r="BE1560" s="2656"/>
      <c r="BF1560" s="2656"/>
      <c r="BG1560" s="2656"/>
      <c r="BH1560" s="2656"/>
      <c r="BI1560" s="2656"/>
    </row>
    <row r="1561" spans="1:61" ht="24.75" customHeight="1">
      <c r="A1561" s="3375"/>
      <c r="B1561" s="2646"/>
      <c r="C1561" s="2647"/>
      <c r="D1561" s="2646"/>
      <c r="E1561" s="3013"/>
      <c r="F1561" s="2655"/>
      <c r="G1561" s="2596"/>
      <c r="H1561" s="4138"/>
      <c r="I1561" s="3375"/>
      <c r="J1561" s="2648"/>
      <c r="K1561" s="3147"/>
      <c r="L1561" s="2785"/>
      <c r="M1561" s="2695"/>
      <c r="N1561" s="2649"/>
      <c r="O1561" s="2655"/>
      <c r="P1561" s="2651"/>
      <c r="Q1561" s="3440"/>
      <c r="R1561" s="3553"/>
      <c r="S1561" s="1407"/>
      <c r="T1561" s="3375"/>
      <c r="U1561" s="2648"/>
      <c r="V1561" s="3554"/>
      <c r="W1561" s="3150"/>
      <c r="X1561" s="2656"/>
      <c r="Y1561" s="2656"/>
      <c r="Z1561" s="2656"/>
      <c r="AA1561" s="2656"/>
      <c r="AB1561" s="2656"/>
      <c r="AC1561" s="2656"/>
      <c r="AD1561" s="2656"/>
      <c r="AE1561" s="2656"/>
      <c r="AF1561" s="2656"/>
      <c r="AG1561" s="2656"/>
      <c r="AH1561" s="2656"/>
      <c r="AI1561" s="2656"/>
      <c r="AJ1561" s="2656"/>
      <c r="AK1561" s="2656"/>
      <c r="AL1561" s="2656"/>
      <c r="AM1561" s="2656"/>
      <c r="AN1561" s="2656"/>
      <c r="AO1561" s="2656"/>
      <c r="AP1561" s="2656"/>
      <c r="AQ1561" s="2656"/>
      <c r="AR1561" s="2656"/>
      <c r="AS1561" s="2656"/>
      <c r="AT1561" s="2656"/>
      <c r="AU1561" s="2656"/>
      <c r="AV1561" s="2656"/>
      <c r="AW1561" s="2656"/>
      <c r="AX1561" s="2656"/>
      <c r="AY1561" s="2656"/>
      <c r="AZ1561" s="2656"/>
      <c r="BA1561" s="2656"/>
      <c r="BB1561" s="2656"/>
      <c r="BC1561" s="2656"/>
      <c r="BD1561" s="2656"/>
      <c r="BE1561" s="2656"/>
      <c r="BF1561" s="2656"/>
      <c r="BG1561" s="2656"/>
      <c r="BH1561" s="2656"/>
      <c r="BI1561" s="2656"/>
    </row>
    <row r="1562" spans="1:61" ht="24.75" customHeight="1">
      <c r="A1562" s="3375"/>
      <c r="B1562" s="2646"/>
      <c r="C1562" s="2647"/>
      <c r="D1562" s="2646"/>
      <c r="E1562" s="3013"/>
      <c r="F1562" s="2655"/>
      <c r="G1562" s="2596"/>
      <c r="H1562" s="4138"/>
      <c r="I1562" s="3375"/>
      <c r="J1562" s="2648"/>
      <c r="K1562" s="3147"/>
      <c r="L1562" s="2785"/>
      <c r="M1562" s="2695"/>
      <c r="N1562" s="2649"/>
      <c r="O1562" s="2655"/>
      <c r="P1562" s="2651"/>
      <c r="Q1562" s="3440"/>
      <c r="R1562" s="3553"/>
      <c r="S1562" s="1407"/>
      <c r="T1562" s="3375"/>
      <c r="U1562" s="2648"/>
      <c r="V1562" s="3554"/>
      <c r="W1562" s="3150"/>
      <c r="X1562" s="2656"/>
      <c r="Y1562" s="2656"/>
      <c r="Z1562" s="2656"/>
      <c r="AA1562" s="2656"/>
      <c r="AB1562" s="2656"/>
      <c r="AC1562" s="2656"/>
      <c r="AD1562" s="2656"/>
      <c r="AE1562" s="2656"/>
      <c r="AF1562" s="2656"/>
      <c r="AG1562" s="2656"/>
      <c r="AH1562" s="2656"/>
      <c r="AI1562" s="2656"/>
      <c r="AJ1562" s="2656"/>
      <c r="AK1562" s="2656"/>
      <c r="AL1562" s="2656"/>
      <c r="AM1562" s="2656"/>
      <c r="AN1562" s="2656"/>
      <c r="AO1562" s="2656"/>
      <c r="AP1562" s="2656"/>
      <c r="AQ1562" s="2656"/>
      <c r="AR1562" s="2656"/>
      <c r="AS1562" s="2656"/>
      <c r="AT1562" s="2656"/>
      <c r="AU1562" s="2656"/>
      <c r="AV1562" s="2656"/>
      <c r="AW1562" s="2656"/>
      <c r="AX1562" s="2656"/>
      <c r="AY1562" s="2656"/>
      <c r="AZ1562" s="2656"/>
      <c r="BA1562" s="2656"/>
      <c r="BB1562" s="2656"/>
      <c r="BC1562" s="2656"/>
      <c r="BD1562" s="2656"/>
      <c r="BE1562" s="2656"/>
      <c r="BF1562" s="2656"/>
      <c r="BG1562" s="2656"/>
      <c r="BH1562" s="2656"/>
      <c r="BI1562" s="2656"/>
    </row>
    <row r="1563" spans="1:61" ht="24.75" customHeight="1">
      <c r="A1563" s="3375"/>
      <c r="B1563" s="2646"/>
      <c r="C1563" s="2647"/>
      <c r="D1563" s="2646"/>
      <c r="E1563" s="3013"/>
      <c r="F1563" s="2655"/>
      <c r="G1563" s="2596"/>
      <c r="H1563" s="4138"/>
      <c r="I1563" s="3375"/>
      <c r="J1563" s="2648"/>
      <c r="K1563" s="3147"/>
      <c r="L1563" s="2785"/>
      <c r="M1563" s="2695"/>
      <c r="N1563" s="2649"/>
      <c r="O1563" s="2655"/>
      <c r="P1563" s="2651"/>
      <c r="Q1563" s="3440"/>
      <c r="R1563" s="3553"/>
      <c r="S1563" s="1407"/>
      <c r="T1563" s="3375"/>
      <c r="U1563" s="2648"/>
      <c r="V1563" s="3554"/>
      <c r="W1563" s="3150"/>
      <c r="X1563" s="2656"/>
      <c r="Y1563" s="2656"/>
      <c r="Z1563" s="2656"/>
      <c r="AA1563" s="2656"/>
      <c r="AB1563" s="2656"/>
      <c r="AC1563" s="2656"/>
      <c r="AD1563" s="2656"/>
      <c r="AE1563" s="2656"/>
      <c r="AF1563" s="2656"/>
      <c r="AG1563" s="2656"/>
      <c r="AH1563" s="2656"/>
      <c r="AI1563" s="2656"/>
      <c r="AJ1563" s="2656"/>
      <c r="AK1563" s="2656"/>
      <c r="AL1563" s="2656"/>
      <c r="AM1563" s="2656"/>
      <c r="AN1563" s="2656"/>
      <c r="AO1563" s="2656"/>
      <c r="AP1563" s="2656"/>
      <c r="AQ1563" s="2656"/>
      <c r="AR1563" s="2656"/>
      <c r="AS1563" s="2656"/>
      <c r="AT1563" s="2656"/>
      <c r="AU1563" s="2656"/>
      <c r="AV1563" s="2656"/>
      <c r="AW1563" s="2656"/>
      <c r="AX1563" s="2656"/>
      <c r="AY1563" s="2656"/>
      <c r="AZ1563" s="2656"/>
      <c r="BA1563" s="2656"/>
      <c r="BB1563" s="2656"/>
      <c r="BC1563" s="2656"/>
      <c r="BD1563" s="2656"/>
      <c r="BE1563" s="2656"/>
      <c r="BF1563" s="2656"/>
      <c r="BG1563" s="2656"/>
      <c r="BH1563" s="2656"/>
      <c r="BI1563" s="2656"/>
    </row>
    <row r="1564" spans="1:61" ht="24.75" customHeight="1">
      <c r="A1564" s="3375"/>
      <c r="B1564" s="2646"/>
      <c r="C1564" s="2647"/>
      <c r="D1564" s="2646"/>
      <c r="E1564" s="3013"/>
      <c r="F1564" s="2655"/>
      <c r="G1564" s="2596"/>
      <c r="H1564" s="4138"/>
      <c r="I1564" s="3375"/>
      <c r="J1564" s="2648"/>
      <c r="K1564" s="3147"/>
      <c r="L1564" s="2785"/>
      <c r="M1564" s="2695"/>
      <c r="N1564" s="2649"/>
      <c r="O1564" s="2655"/>
      <c r="P1564" s="2651"/>
      <c r="Q1564" s="3440"/>
      <c r="R1564" s="3553"/>
      <c r="S1564" s="1407"/>
      <c r="T1564" s="3375"/>
      <c r="U1564" s="2648"/>
      <c r="V1564" s="3554"/>
      <c r="W1564" s="3150"/>
      <c r="X1564" s="2656"/>
      <c r="Y1564" s="2656"/>
      <c r="Z1564" s="2656"/>
      <c r="AA1564" s="2656"/>
      <c r="AB1564" s="2656"/>
      <c r="AC1564" s="2656"/>
      <c r="AD1564" s="2656"/>
      <c r="AE1564" s="2656"/>
      <c r="AF1564" s="2656"/>
      <c r="AG1564" s="2656"/>
      <c r="AH1564" s="2656"/>
      <c r="AI1564" s="2656"/>
      <c r="AJ1564" s="2656"/>
      <c r="AK1564" s="2656"/>
      <c r="AL1564" s="2656"/>
      <c r="AM1564" s="2656"/>
      <c r="AN1564" s="2656"/>
      <c r="AO1564" s="2656"/>
      <c r="AP1564" s="2656"/>
      <c r="AQ1564" s="2656"/>
      <c r="AR1564" s="2656"/>
      <c r="AS1564" s="2656"/>
      <c r="AT1564" s="2656"/>
      <c r="AU1564" s="2656"/>
      <c r="AV1564" s="2656"/>
      <c r="AW1564" s="2656"/>
      <c r="AX1564" s="2656"/>
      <c r="AY1564" s="2656"/>
      <c r="AZ1564" s="2656"/>
      <c r="BA1564" s="2656"/>
      <c r="BB1564" s="2656"/>
      <c r="BC1564" s="2656"/>
      <c r="BD1564" s="2656"/>
      <c r="BE1564" s="2656"/>
      <c r="BF1564" s="2656"/>
      <c r="BG1564" s="2656"/>
      <c r="BH1564" s="2656"/>
      <c r="BI1564" s="2656"/>
    </row>
    <row r="1565" spans="1:61" ht="24.75" customHeight="1">
      <c r="A1565" s="3375"/>
      <c r="B1565" s="2646"/>
      <c r="C1565" s="2647"/>
      <c r="D1565" s="2646"/>
      <c r="E1565" s="3013"/>
      <c r="F1565" s="2655"/>
      <c r="G1565" s="2596"/>
      <c r="H1565" s="4138"/>
      <c r="I1565" s="3375"/>
      <c r="J1565" s="2648"/>
      <c r="K1565" s="3147"/>
      <c r="L1565" s="2785"/>
      <c r="M1565" s="2695"/>
      <c r="N1565" s="2649"/>
      <c r="O1565" s="2655"/>
      <c r="P1565" s="2651"/>
      <c r="Q1565" s="3440"/>
      <c r="R1565" s="3553"/>
      <c r="S1565" s="1407"/>
      <c r="T1565" s="3375"/>
      <c r="U1565" s="2648"/>
      <c r="V1565" s="3554"/>
      <c r="W1565" s="3150"/>
      <c r="X1565" s="2656"/>
      <c r="Y1565" s="2656"/>
      <c r="Z1565" s="2656"/>
      <c r="AA1565" s="2656"/>
      <c r="AB1565" s="2656"/>
      <c r="AC1565" s="2656"/>
      <c r="AD1565" s="2656"/>
      <c r="AE1565" s="2656"/>
      <c r="AF1565" s="2656"/>
      <c r="AG1565" s="2656"/>
      <c r="AH1565" s="2656"/>
      <c r="AI1565" s="2656"/>
      <c r="AJ1565" s="2656"/>
      <c r="AK1565" s="2656"/>
      <c r="AL1565" s="2656"/>
      <c r="AM1565" s="2656"/>
      <c r="AN1565" s="2656"/>
      <c r="AO1565" s="2656"/>
      <c r="AP1565" s="2656"/>
      <c r="AQ1565" s="2656"/>
      <c r="AR1565" s="2656"/>
      <c r="AS1565" s="2656"/>
      <c r="AT1565" s="2656"/>
      <c r="AU1565" s="2656"/>
      <c r="AV1565" s="2656"/>
      <c r="AW1565" s="2656"/>
      <c r="AX1565" s="2656"/>
      <c r="AY1565" s="2656"/>
      <c r="AZ1565" s="2656"/>
      <c r="BA1565" s="2656"/>
      <c r="BB1565" s="2656"/>
      <c r="BC1565" s="2656"/>
      <c r="BD1565" s="2656"/>
      <c r="BE1565" s="2656"/>
      <c r="BF1565" s="2656"/>
      <c r="BG1565" s="2656"/>
      <c r="BH1565" s="2656"/>
      <c r="BI1565" s="2656"/>
    </row>
    <row r="1566" spans="1:61" ht="24.75" customHeight="1">
      <c r="A1566" s="3375"/>
      <c r="B1566" s="2646"/>
      <c r="C1566" s="2647"/>
      <c r="D1566" s="2646"/>
      <c r="E1566" s="3013"/>
      <c r="F1566" s="2655"/>
      <c r="G1566" s="2596"/>
      <c r="H1566" s="4138"/>
      <c r="I1566" s="3375"/>
      <c r="J1566" s="2648"/>
      <c r="K1566" s="3147"/>
      <c r="L1566" s="2785"/>
      <c r="M1566" s="2695"/>
      <c r="N1566" s="2649"/>
      <c r="O1566" s="2655"/>
      <c r="P1566" s="2651"/>
      <c r="Q1566" s="3440"/>
      <c r="R1566" s="3553"/>
      <c r="S1566" s="1407"/>
      <c r="T1566" s="3375"/>
      <c r="U1566" s="2648"/>
      <c r="V1566" s="3554"/>
      <c r="W1566" s="3150"/>
      <c r="X1566" s="2656"/>
      <c r="Y1566" s="2656"/>
      <c r="Z1566" s="2656"/>
      <c r="AA1566" s="2656"/>
      <c r="AB1566" s="2656"/>
      <c r="AC1566" s="2656"/>
      <c r="AD1566" s="2656"/>
      <c r="AE1566" s="2656"/>
      <c r="AF1566" s="2656"/>
      <c r="AG1566" s="2656"/>
      <c r="AH1566" s="2656"/>
      <c r="AI1566" s="2656"/>
      <c r="AJ1566" s="2656"/>
      <c r="AK1566" s="2656"/>
      <c r="AL1566" s="2656"/>
      <c r="AM1566" s="2656"/>
      <c r="AN1566" s="2656"/>
      <c r="AO1566" s="2656"/>
      <c r="AP1566" s="2656"/>
      <c r="AQ1566" s="2656"/>
      <c r="AR1566" s="2656"/>
      <c r="AS1566" s="2656"/>
      <c r="AT1566" s="2656"/>
      <c r="AU1566" s="2656"/>
      <c r="AV1566" s="2656"/>
      <c r="AW1566" s="2656"/>
      <c r="AX1566" s="2656"/>
      <c r="AY1566" s="2656"/>
      <c r="AZ1566" s="2656"/>
      <c r="BA1566" s="2656"/>
      <c r="BB1566" s="2656"/>
      <c r="BC1566" s="2656"/>
      <c r="BD1566" s="2656"/>
      <c r="BE1566" s="2656"/>
      <c r="BF1566" s="2656"/>
      <c r="BG1566" s="2656"/>
      <c r="BH1566" s="2656"/>
      <c r="BI1566" s="2656"/>
    </row>
    <row r="1567" spans="1:61" ht="24.75" customHeight="1">
      <c r="A1567" s="3375"/>
      <c r="B1567" s="2646"/>
      <c r="C1567" s="2647"/>
      <c r="D1567" s="2646"/>
      <c r="E1567" s="3013"/>
      <c r="F1567" s="2655"/>
      <c r="G1567" s="2596"/>
      <c r="H1567" s="4138"/>
      <c r="I1567" s="3375"/>
      <c r="J1567" s="2648"/>
      <c r="K1567" s="3147"/>
      <c r="L1567" s="2785"/>
      <c r="M1567" s="2695"/>
      <c r="N1567" s="2649"/>
      <c r="O1567" s="2655"/>
      <c r="P1567" s="2651"/>
      <c r="Q1567" s="3440"/>
      <c r="R1567" s="3553"/>
      <c r="S1567" s="1407"/>
      <c r="T1567" s="3375"/>
      <c r="U1567" s="2648"/>
      <c r="V1567" s="3554"/>
      <c r="W1567" s="3150"/>
      <c r="X1567" s="2656"/>
      <c r="Y1567" s="2656"/>
      <c r="Z1567" s="2656"/>
      <c r="AA1567" s="2656"/>
      <c r="AB1567" s="2656"/>
      <c r="AC1567" s="2656"/>
      <c r="AD1567" s="2656"/>
      <c r="AE1567" s="2656"/>
      <c r="AF1567" s="2656"/>
      <c r="AG1567" s="2656"/>
      <c r="AH1567" s="2656"/>
      <c r="AI1567" s="2656"/>
      <c r="AJ1567" s="2656"/>
      <c r="AK1567" s="2656"/>
      <c r="AL1567" s="2656"/>
      <c r="AM1567" s="2656"/>
      <c r="AN1567" s="2656"/>
      <c r="AO1567" s="2656"/>
      <c r="AP1567" s="2656"/>
      <c r="AQ1567" s="2656"/>
      <c r="AR1567" s="2656"/>
      <c r="AS1567" s="2656"/>
      <c r="AT1567" s="2656"/>
      <c r="AU1567" s="2656"/>
      <c r="AV1567" s="2656"/>
      <c r="AW1567" s="2656"/>
      <c r="AX1567" s="2656"/>
      <c r="AY1567" s="2656"/>
      <c r="AZ1567" s="2656"/>
      <c r="BA1567" s="2656"/>
      <c r="BB1567" s="2656"/>
      <c r="BC1567" s="2656"/>
      <c r="BD1567" s="2656"/>
      <c r="BE1567" s="2656"/>
      <c r="BF1567" s="2656"/>
      <c r="BG1567" s="2656"/>
      <c r="BH1567" s="2656"/>
      <c r="BI1567" s="2656"/>
    </row>
    <row r="1568" spans="1:61" ht="24.75" customHeight="1">
      <c r="A1568" s="3375"/>
      <c r="B1568" s="2646"/>
      <c r="C1568" s="2647"/>
      <c r="D1568" s="2646"/>
      <c r="E1568" s="3013"/>
      <c r="F1568" s="2655"/>
      <c r="G1568" s="2596"/>
      <c r="H1568" s="4138"/>
      <c r="I1568" s="3375"/>
      <c r="J1568" s="2648"/>
      <c r="K1568" s="3147"/>
      <c r="L1568" s="2785"/>
      <c r="M1568" s="2695"/>
      <c r="N1568" s="2649"/>
      <c r="O1568" s="2655"/>
      <c r="P1568" s="2651"/>
      <c r="Q1568" s="3440"/>
      <c r="R1568" s="3553"/>
      <c r="S1568" s="1407"/>
      <c r="T1568" s="3375"/>
      <c r="U1568" s="2648"/>
      <c r="V1568" s="3554"/>
      <c r="W1568" s="3150"/>
      <c r="X1568" s="2656"/>
      <c r="Y1568" s="2656"/>
      <c r="Z1568" s="2656"/>
      <c r="AA1568" s="2656"/>
      <c r="AB1568" s="2656"/>
      <c r="AC1568" s="2656"/>
      <c r="AD1568" s="2656"/>
      <c r="AE1568" s="2656"/>
      <c r="AF1568" s="2656"/>
      <c r="AG1568" s="2656"/>
      <c r="AH1568" s="2656"/>
      <c r="AI1568" s="2656"/>
      <c r="AJ1568" s="2656"/>
      <c r="AK1568" s="2656"/>
      <c r="AL1568" s="2656"/>
      <c r="AM1568" s="2656"/>
      <c r="AN1568" s="2656"/>
      <c r="AO1568" s="2656"/>
      <c r="AP1568" s="2656"/>
      <c r="AQ1568" s="2656"/>
      <c r="AR1568" s="2656"/>
      <c r="AS1568" s="2656"/>
      <c r="AT1568" s="2656"/>
      <c r="AU1568" s="2656"/>
      <c r="AV1568" s="2656"/>
      <c r="AW1568" s="2656"/>
      <c r="AX1568" s="2656"/>
      <c r="AY1568" s="2656"/>
      <c r="AZ1568" s="2656"/>
      <c r="BA1568" s="2656"/>
      <c r="BB1568" s="2656"/>
      <c r="BC1568" s="2656"/>
      <c r="BD1568" s="2656"/>
      <c r="BE1568" s="2656"/>
      <c r="BF1568" s="2656"/>
      <c r="BG1568" s="2656"/>
      <c r="BH1568" s="2656"/>
      <c r="BI1568" s="2656"/>
    </row>
    <row r="1569" spans="1:61" ht="24.75" customHeight="1">
      <c r="A1569" s="3375"/>
      <c r="B1569" s="2646"/>
      <c r="C1569" s="2647"/>
      <c r="D1569" s="2646"/>
      <c r="E1569" s="3013"/>
      <c r="F1569" s="2655"/>
      <c r="G1569" s="2596"/>
      <c r="H1569" s="4138"/>
      <c r="I1569" s="3375"/>
      <c r="J1569" s="2648"/>
      <c r="K1569" s="3147"/>
      <c r="L1569" s="2785"/>
      <c r="M1569" s="2695"/>
      <c r="N1569" s="2649"/>
      <c r="O1569" s="2655"/>
      <c r="P1569" s="2651"/>
      <c r="Q1569" s="3440"/>
      <c r="R1569" s="3553"/>
      <c r="S1569" s="1407"/>
      <c r="T1569" s="3375"/>
      <c r="U1569" s="2648"/>
      <c r="V1569" s="3554"/>
      <c r="W1569" s="3150"/>
      <c r="X1569" s="2656"/>
      <c r="Y1569" s="2656"/>
      <c r="Z1569" s="2656"/>
      <c r="AA1569" s="2656"/>
      <c r="AB1569" s="2656"/>
      <c r="AC1569" s="2656"/>
      <c r="AD1569" s="2656"/>
      <c r="AE1569" s="2656"/>
      <c r="AF1569" s="2656"/>
      <c r="AG1569" s="2656"/>
      <c r="AH1569" s="2656"/>
      <c r="AI1569" s="2656"/>
      <c r="AJ1569" s="2656"/>
      <c r="AK1569" s="2656"/>
      <c r="AL1569" s="2656"/>
      <c r="AM1569" s="2656"/>
      <c r="AN1569" s="2656"/>
      <c r="AO1569" s="2656"/>
      <c r="AP1569" s="2656"/>
      <c r="AQ1569" s="2656"/>
      <c r="AR1569" s="2656"/>
      <c r="AS1569" s="2656"/>
      <c r="AT1569" s="2656"/>
      <c r="AU1569" s="2656"/>
      <c r="AV1569" s="2656"/>
      <c r="AW1569" s="2656"/>
      <c r="AX1569" s="2656"/>
      <c r="AY1569" s="2656"/>
      <c r="AZ1569" s="2656"/>
      <c r="BA1569" s="2656"/>
      <c r="BB1569" s="2656"/>
      <c r="BC1569" s="2656"/>
      <c r="BD1569" s="2656"/>
      <c r="BE1569" s="2656"/>
      <c r="BF1569" s="2656"/>
      <c r="BG1569" s="2656"/>
      <c r="BH1569" s="2656"/>
      <c r="BI1569" s="2656"/>
    </row>
    <row r="1570" spans="1:61" ht="24.75" customHeight="1">
      <c r="A1570" s="3375"/>
      <c r="B1570" s="2646"/>
      <c r="C1570" s="2647"/>
      <c r="D1570" s="2646"/>
      <c r="E1570" s="3013"/>
      <c r="F1570" s="2655"/>
      <c r="G1570" s="2596"/>
      <c r="H1570" s="4138"/>
      <c r="I1570" s="3375"/>
      <c r="J1570" s="2648"/>
      <c r="K1570" s="3147"/>
      <c r="L1570" s="2785"/>
      <c r="M1570" s="2695"/>
      <c r="N1570" s="2649"/>
      <c r="O1570" s="2655"/>
      <c r="P1570" s="2651"/>
      <c r="Q1570" s="3440"/>
      <c r="R1570" s="3553"/>
      <c r="S1570" s="1407"/>
      <c r="T1570" s="3375"/>
      <c r="U1570" s="2648"/>
      <c r="V1570" s="3554"/>
      <c r="W1570" s="3150"/>
      <c r="X1570" s="2656"/>
      <c r="Y1570" s="2656"/>
      <c r="Z1570" s="2656"/>
      <c r="AA1570" s="2656"/>
      <c r="AB1570" s="2656"/>
      <c r="AC1570" s="2656"/>
      <c r="AD1570" s="2656"/>
      <c r="AE1570" s="2656"/>
      <c r="AF1570" s="2656"/>
      <c r="AG1570" s="2656"/>
      <c r="AH1570" s="2656"/>
      <c r="AI1570" s="2656"/>
      <c r="AJ1570" s="2656"/>
      <c r="AK1570" s="2656"/>
      <c r="AL1570" s="2656"/>
      <c r="AM1570" s="2656"/>
      <c r="AN1570" s="2656"/>
      <c r="AO1570" s="2656"/>
      <c r="AP1570" s="2656"/>
      <c r="AQ1570" s="2656"/>
      <c r="AR1570" s="2656"/>
      <c r="AS1570" s="2656"/>
      <c r="AT1570" s="2656"/>
      <c r="AU1570" s="2656"/>
      <c r="AV1570" s="2656"/>
      <c r="AW1570" s="2656"/>
      <c r="AX1570" s="2656"/>
      <c r="AY1570" s="2656"/>
      <c r="AZ1570" s="2656"/>
      <c r="BA1570" s="2656"/>
      <c r="BB1570" s="2656"/>
      <c r="BC1570" s="2656"/>
      <c r="BD1570" s="2656"/>
      <c r="BE1570" s="2656"/>
      <c r="BF1570" s="2656"/>
      <c r="BG1570" s="2656"/>
      <c r="BH1570" s="2656"/>
      <c r="BI1570" s="2656"/>
    </row>
    <row r="1571" spans="1:61" ht="24.75" customHeight="1">
      <c r="A1571" s="3375"/>
      <c r="B1571" s="2646"/>
      <c r="C1571" s="2647"/>
      <c r="D1571" s="2646"/>
      <c r="E1571" s="3013"/>
      <c r="F1571" s="2655"/>
      <c r="G1571" s="2596"/>
      <c r="H1571" s="4138"/>
      <c r="I1571" s="3375"/>
      <c r="J1571" s="2648"/>
      <c r="K1571" s="3147"/>
      <c r="L1571" s="2785"/>
      <c r="M1571" s="2695"/>
      <c r="N1571" s="2649"/>
      <c r="O1571" s="2655"/>
      <c r="P1571" s="2651"/>
      <c r="Q1571" s="3440"/>
      <c r="R1571" s="3553"/>
      <c r="S1571" s="1407"/>
      <c r="T1571" s="3375"/>
      <c r="U1571" s="2648"/>
      <c r="V1571" s="3554"/>
      <c r="W1571" s="3150"/>
      <c r="X1571" s="2656"/>
      <c r="Y1571" s="2656"/>
      <c r="Z1571" s="2656"/>
      <c r="AA1571" s="2656"/>
      <c r="AB1571" s="2656"/>
      <c r="AC1571" s="2656"/>
      <c r="AD1571" s="2656"/>
      <c r="AE1571" s="2656"/>
      <c r="AF1571" s="2656"/>
      <c r="AG1571" s="2656"/>
      <c r="AH1571" s="2656"/>
      <c r="AI1571" s="2656"/>
      <c r="AJ1571" s="2656"/>
      <c r="AK1571" s="2656"/>
      <c r="AL1571" s="2656"/>
      <c r="AM1571" s="2656"/>
      <c r="AN1571" s="2656"/>
      <c r="AO1571" s="2656"/>
      <c r="AP1571" s="2656"/>
      <c r="AQ1571" s="2656"/>
      <c r="AR1571" s="2656"/>
      <c r="AS1571" s="2656"/>
      <c r="AT1571" s="2656"/>
      <c r="AU1571" s="2656"/>
      <c r="AV1571" s="2656"/>
      <c r="AW1571" s="2656"/>
      <c r="AX1571" s="2656"/>
      <c r="AY1571" s="2656"/>
      <c r="AZ1571" s="2656"/>
      <c r="BA1571" s="2656"/>
      <c r="BB1571" s="2656"/>
      <c r="BC1571" s="2656"/>
      <c r="BD1571" s="2656"/>
      <c r="BE1571" s="2656"/>
      <c r="BF1571" s="2656"/>
      <c r="BG1571" s="2656"/>
      <c r="BH1571" s="2656"/>
      <c r="BI1571" s="2656"/>
    </row>
    <row r="1572" spans="1:61" ht="24.75" customHeight="1">
      <c r="A1572" s="3375"/>
      <c r="B1572" s="2646"/>
      <c r="C1572" s="2647"/>
      <c r="D1572" s="2646"/>
      <c r="E1572" s="3013"/>
      <c r="F1572" s="2655"/>
      <c r="G1572" s="2596"/>
      <c r="H1572" s="4138"/>
      <c r="I1572" s="3375"/>
      <c r="J1572" s="2648"/>
      <c r="K1572" s="3147"/>
      <c r="L1572" s="2785"/>
      <c r="M1572" s="2695"/>
      <c r="N1572" s="2649"/>
      <c r="O1572" s="2655"/>
      <c r="P1572" s="2651"/>
      <c r="Q1572" s="3440"/>
      <c r="R1572" s="3553"/>
      <c r="S1572" s="1407"/>
      <c r="T1572" s="3375"/>
      <c r="U1572" s="2648"/>
      <c r="V1572" s="3554"/>
      <c r="W1572" s="3150"/>
      <c r="X1572" s="2656"/>
      <c r="Y1572" s="2656"/>
      <c r="Z1572" s="2656"/>
      <c r="AA1572" s="2656"/>
      <c r="AB1572" s="2656"/>
      <c r="AC1572" s="2656"/>
      <c r="AD1572" s="2656"/>
      <c r="AE1572" s="2656"/>
      <c r="AF1572" s="2656"/>
      <c r="AG1572" s="2656"/>
      <c r="AH1572" s="2656"/>
      <c r="AI1572" s="2656"/>
      <c r="AJ1572" s="2656"/>
      <c r="AK1572" s="2656"/>
      <c r="AL1572" s="2656"/>
      <c r="AM1572" s="2656"/>
      <c r="AN1572" s="2656"/>
      <c r="AO1572" s="2656"/>
      <c r="AP1572" s="2656"/>
      <c r="AQ1572" s="2656"/>
      <c r="AR1572" s="2656"/>
      <c r="AS1572" s="2656"/>
      <c r="AT1572" s="2656"/>
      <c r="AU1572" s="2656"/>
      <c r="AV1572" s="2656"/>
      <c r="AW1572" s="2656"/>
      <c r="AX1572" s="2656"/>
      <c r="AY1572" s="2656"/>
      <c r="AZ1572" s="2656"/>
      <c r="BA1572" s="2656"/>
      <c r="BB1572" s="2656"/>
      <c r="BC1572" s="2656"/>
      <c r="BD1572" s="2656"/>
      <c r="BE1572" s="2656"/>
      <c r="BF1572" s="2656"/>
      <c r="BG1572" s="2656"/>
      <c r="BH1572" s="2656"/>
      <c r="BI1572" s="2656"/>
    </row>
    <row r="1573" spans="1:61" ht="24.75" customHeight="1">
      <c r="A1573" s="3375"/>
      <c r="B1573" s="2646"/>
      <c r="C1573" s="2647"/>
      <c r="D1573" s="2646"/>
      <c r="E1573" s="3013"/>
      <c r="F1573" s="2655"/>
      <c r="G1573" s="2596"/>
      <c r="H1573" s="4138"/>
      <c r="I1573" s="3375"/>
      <c r="J1573" s="2648"/>
      <c r="K1573" s="3147"/>
      <c r="L1573" s="2785"/>
      <c r="M1573" s="2695"/>
      <c r="N1573" s="2649"/>
      <c r="O1573" s="2655"/>
      <c r="P1573" s="2651"/>
      <c r="Q1573" s="3440"/>
      <c r="R1573" s="3553"/>
      <c r="S1573" s="1407"/>
      <c r="T1573" s="3375"/>
      <c r="U1573" s="2648"/>
      <c r="V1573" s="3554"/>
      <c r="W1573" s="3150"/>
      <c r="X1573" s="2656"/>
      <c r="Y1573" s="2656"/>
      <c r="Z1573" s="2656"/>
      <c r="AA1573" s="2656"/>
      <c r="AB1573" s="2656"/>
      <c r="AC1573" s="2656"/>
      <c r="AD1573" s="2656"/>
      <c r="AE1573" s="2656"/>
      <c r="AF1573" s="2656"/>
      <c r="AG1573" s="2656"/>
      <c r="AH1573" s="2656"/>
      <c r="AI1573" s="2656"/>
      <c r="AJ1573" s="2656"/>
      <c r="AK1573" s="2656"/>
      <c r="AL1573" s="2656"/>
      <c r="AM1573" s="2656"/>
      <c r="AN1573" s="2656"/>
      <c r="AO1573" s="2656"/>
      <c r="AP1573" s="2656"/>
      <c r="AQ1573" s="2656"/>
      <c r="AR1573" s="2656"/>
      <c r="AS1573" s="2656"/>
      <c r="AT1573" s="2656"/>
      <c r="AU1573" s="2656"/>
      <c r="AV1573" s="2656"/>
      <c r="AW1573" s="2656"/>
      <c r="AX1573" s="2656"/>
      <c r="AY1573" s="2656"/>
      <c r="AZ1573" s="2656"/>
      <c r="BA1573" s="2656"/>
      <c r="BB1573" s="2656"/>
      <c r="BC1573" s="2656"/>
      <c r="BD1573" s="2656"/>
      <c r="BE1573" s="2656"/>
      <c r="BF1573" s="2656"/>
      <c r="BG1573" s="2656"/>
      <c r="BH1573" s="2656"/>
      <c r="BI1573" s="2656"/>
    </row>
    <row r="1574" spans="1:61" ht="24.75" customHeight="1">
      <c r="A1574" s="3375"/>
      <c r="B1574" s="2646"/>
      <c r="C1574" s="2647"/>
      <c r="D1574" s="2646"/>
      <c r="E1574" s="3013"/>
      <c r="F1574" s="2655"/>
      <c r="G1574" s="2596"/>
      <c r="H1574" s="4138"/>
      <c r="I1574" s="3375"/>
      <c r="J1574" s="2648"/>
      <c r="K1574" s="3147"/>
      <c r="L1574" s="2785"/>
      <c r="M1574" s="2695"/>
      <c r="N1574" s="2649"/>
      <c r="O1574" s="2655"/>
      <c r="P1574" s="2651"/>
      <c r="Q1574" s="3440"/>
      <c r="R1574" s="3553"/>
      <c r="S1574" s="1407"/>
      <c r="T1574" s="3375"/>
      <c r="U1574" s="2648"/>
      <c r="V1574" s="3554"/>
      <c r="W1574" s="3150"/>
      <c r="X1574" s="2656"/>
      <c r="Y1574" s="2656"/>
      <c r="Z1574" s="2656"/>
      <c r="AA1574" s="2656"/>
      <c r="AB1574" s="2656"/>
      <c r="AC1574" s="2656"/>
      <c r="AD1574" s="2656"/>
      <c r="AE1574" s="2656"/>
      <c r="AF1574" s="2656"/>
      <c r="AG1574" s="2656"/>
      <c r="AH1574" s="2656"/>
      <c r="AI1574" s="2656"/>
      <c r="AJ1574" s="2656"/>
      <c r="AK1574" s="2656"/>
      <c r="AL1574" s="2656"/>
      <c r="AM1574" s="2656"/>
      <c r="AN1574" s="2656"/>
      <c r="AO1574" s="2656"/>
      <c r="AP1574" s="2656"/>
      <c r="AQ1574" s="2656"/>
      <c r="AR1574" s="2656"/>
      <c r="AS1574" s="2656"/>
      <c r="AT1574" s="2656"/>
      <c r="AU1574" s="2656"/>
      <c r="AV1574" s="2656"/>
      <c r="AW1574" s="2656"/>
      <c r="AX1574" s="2656"/>
      <c r="AY1574" s="2656"/>
      <c r="AZ1574" s="2656"/>
      <c r="BA1574" s="2656"/>
      <c r="BB1574" s="2656"/>
      <c r="BC1574" s="2656"/>
      <c r="BD1574" s="2656"/>
      <c r="BE1574" s="2656"/>
      <c r="BF1574" s="2656"/>
      <c r="BG1574" s="2656"/>
      <c r="BH1574" s="2656"/>
      <c r="BI1574" s="2656"/>
    </row>
    <row r="1575" spans="1:61" ht="24.75" customHeight="1">
      <c r="A1575" s="3375"/>
      <c r="B1575" s="2646"/>
      <c r="C1575" s="2647"/>
      <c r="D1575" s="2646"/>
      <c r="E1575" s="3013"/>
      <c r="F1575" s="2655"/>
      <c r="G1575" s="2596"/>
      <c r="H1575" s="4138"/>
      <c r="I1575" s="3375"/>
      <c r="J1575" s="2648"/>
      <c r="K1575" s="3147"/>
      <c r="L1575" s="2785"/>
      <c r="M1575" s="2695"/>
      <c r="N1575" s="2649"/>
      <c r="O1575" s="2655"/>
      <c r="P1575" s="2651"/>
      <c r="Q1575" s="3440"/>
      <c r="R1575" s="3553"/>
      <c r="S1575" s="1407"/>
      <c r="T1575" s="3375"/>
      <c r="U1575" s="2648"/>
      <c r="V1575" s="3554"/>
      <c r="W1575" s="3150"/>
      <c r="X1575" s="2656"/>
      <c r="Y1575" s="2656"/>
      <c r="Z1575" s="2656"/>
      <c r="AA1575" s="2656"/>
      <c r="AB1575" s="2656"/>
      <c r="AC1575" s="2656"/>
      <c r="AD1575" s="2656"/>
      <c r="AE1575" s="2656"/>
      <c r="AF1575" s="2656"/>
      <c r="AG1575" s="2656"/>
      <c r="AH1575" s="2656"/>
      <c r="AI1575" s="2656"/>
      <c r="AJ1575" s="2656"/>
      <c r="AK1575" s="2656"/>
      <c r="AL1575" s="2656"/>
      <c r="AM1575" s="2656"/>
      <c r="AN1575" s="2656"/>
      <c r="AO1575" s="2656"/>
      <c r="AP1575" s="2656"/>
      <c r="AQ1575" s="2656"/>
      <c r="AR1575" s="2656"/>
      <c r="AS1575" s="2656"/>
      <c r="AT1575" s="2656"/>
      <c r="AU1575" s="2656"/>
      <c r="AV1575" s="2656"/>
      <c r="AW1575" s="2656"/>
      <c r="AX1575" s="2656"/>
      <c r="AY1575" s="2656"/>
      <c r="AZ1575" s="2656"/>
      <c r="BA1575" s="2656"/>
      <c r="BB1575" s="2656"/>
      <c r="BC1575" s="2656"/>
      <c r="BD1575" s="2656"/>
      <c r="BE1575" s="2656"/>
      <c r="BF1575" s="2656"/>
      <c r="BG1575" s="2656"/>
      <c r="BH1575" s="2656"/>
      <c r="BI1575" s="2656"/>
    </row>
    <row r="1576" spans="1:61" ht="24.75" customHeight="1">
      <c r="A1576" s="3375"/>
      <c r="B1576" s="2646"/>
      <c r="C1576" s="2647"/>
      <c r="D1576" s="2646"/>
      <c r="E1576" s="3013"/>
      <c r="F1576" s="2655"/>
      <c r="G1576" s="2596"/>
      <c r="H1576" s="4138"/>
      <c r="I1576" s="3375"/>
      <c r="J1576" s="2648"/>
      <c r="K1576" s="3147"/>
      <c r="L1576" s="2785"/>
      <c r="M1576" s="2695"/>
      <c r="N1576" s="2649"/>
      <c r="O1576" s="2655"/>
      <c r="P1576" s="2651"/>
      <c r="Q1576" s="3440"/>
      <c r="R1576" s="3553"/>
      <c r="S1576" s="1407"/>
      <c r="T1576" s="3375"/>
      <c r="U1576" s="2648"/>
      <c r="V1576" s="3554"/>
      <c r="W1576" s="3150"/>
      <c r="X1576" s="2656"/>
      <c r="Y1576" s="2656"/>
      <c r="Z1576" s="2656"/>
      <c r="AA1576" s="2656"/>
      <c r="AB1576" s="2656"/>
      <c r="AC1576" s="2656"/>
      <c r="AD1576" s="2656"/>
      <c r="AE1576" s="2656"/>
      <c r="AF1576" s="2656"/>
      <c r="AG1576" s="2656"/>
      <c r="AH1576" s="2656"/>
      <c r="AI1576" s="2656"/>
      <c r="AJ1576" s="2656"/>
      <c r="AK1576" s="2656"/>
      <c r="AL1576" s="2656"/>
      <c r="AM1576" s="2656"/>
      <c r="AN1576" s="2656"/>
      <c r="AO1576" s="2656"/>
      <c r="AP1576" s="2656"/>
      <c r="AQ1576" s="2656"/>
      <c r="AR1576" s="2656"/>
      <c r="AS1576" s="2656"/>
      <c r="AT1576" s="2656"/>
      <c r="AU1576" s="2656"/>
      <c r="AV1576" s="2656"/>
      <c r="AW1576" s="2656"/>
      <c r="AX1576" s="2656"/>
      <c r="AY1576" s="2656"/>
      <c r="AZ1576" s="2656"/>
      <c r="BA1576" s="2656"/>
      <c r="BB1576" s="2656"/>
      <c r="BC1576" s="2656"/>
      <c r="BD1576" s="2656"/>
      <c r="BE1576" s="2656"/>
      <c r="BF1576" s="2656"/>
      <c r="BG1576" s="2656"/>
      <c r="BH1576" s="2656"/>
      <c r="BI1576" s="2656"/>
    </row>
    <row r="1577" spans="1:61" ht="24.75" customHeight="1">
      <c r="A1577" s="3375"/>
      <c r="B1577" s="2646"/>
      <c r="C1577" s="2647"/>
      <c r="D1577" s="2646"/>
      <c r="E1577" s="3013"/>
      <c r="F1577" s="2655"/>
      <c r="G1577" s="2596"/>
      <c r="H1577" s="4138"/>
      <c r="I1577" s="3375"/>
      <c r="J1577" s="2648"/>
      <c r="K1577" s="3147"/>
      <c r="L1577" s="2785"/>
      <c r="M1577" s="2695"/>
      <c r="N1577" s="2649"/>
      <c r="O1577" s="2655"/>
      <c r="P1577" s="2651"/>
      <c r="Q1577" s="3440"/>
      <c r="R1577" s="3553"/>
      <c r="S1577" s="1407"/>
      <c r="T1577" s="3375"/>
      <c r="U1577" s="2648"/>
      <c r="V1577" s="3554"/>
      <c r="W1577" s="3150"/>
      <c r="X1577" s="2656"/>
      <c r="Y1577" s="2656"/>
      <c r="Z1577" s="2656"/>
      <c r="AA1577" s="2656"/>
      <c r="AB1577" s="2656"/>
      <c r="AC1577" s="2656"/>
      <c r="AD1577" s="2656"/>
      <c r="AE1577" s="2656"/>
      <c r="AF1577" s="2656"/>
      <c r="AG1577" s="2656"/>
      <c r="AH1577" s="2656"/>
      <c r="AI1577" s="2656"/>
      <c r="AJ1577" s="2656"/>
      <c r="AK1577" s="2656"/>
      <c r="AL1577" s="2656"/>
      <c r="AM1577" s="2656"/>
      <c r="AN1577" s="2656"/>
      <c r="AO1577" s="2656"/>
      <c r="AP1577" s="2656"/>
      <c r="AQ1577" s="2656"/>
      <c r="AR1577" s="2656"/>
      <c r="AS1577" s="2656"/>
      <c r="AT1577" s="2656"/>
      <c r="AU1577" s="2656"/>
      <c r="AV1577" s="2656"/>
      <c r="AW1577" s="2656"/>
      <c r="AX1577" s="2656"/>
      <c r="AY1577" s="2656"/>
      <c r="AZ1577" s="2656"/>
      <c r="BA1577" s="2656"/>
      <c r="BB1577" s="2656"/>
      <c r="BC1577" s="2656"/>
      <c r="BD1577" s="2656"/>
      <c r="BE1577" s="2656"/>
      <c r="BF1577" s="2656"/>
      <c r="BG1577" s="2656"/>
      <c r="BH1577" s="2656"/>
      <c r="BI1577" s="2656"/>
    </row>
    <row r="1578" spans="1:61" ht="24.75" customHeight="1">
      <c r="A1578" s="3375"/>
      <c r="B1578" s="2646"/>
      <c r="C1578" s="2647"/>
      <c r="D1578" s="2646"/>
      <c r="E1578" s="3013"/>
      <c r="F1578" s="2655"/>
      <c r="G1578" s="2596"/>
      <c r="H1578" s="4138"/>
      <c r="I1578" s="3375"/>
      <c r="J1578" s="2648"/>
      <c r="K1578" s="3147"/>
      <c r="L1578" s="2785"/>
      <c r="M1578" s="2695"/>
      <c r="N1578" s="2649"/>
      <c r="O1578" s="2655"/>
      <c r="P1578" s="2651"/>
      <c r="Q1578" s="3440"/>
      <c r="R1578" s="3553"/>
      <c r="S1578" s="1407"/>
      <c r="T1578" s="3375"/>
      <c r="U1578" s="2648"/>
      <c r="V1578" s="3554"/>
      <c r="W1578" s="3150"/>
      <c r="X1578" s="2656"/>
      <c r="Y1578" s="2656"/>
      <c r="Z1578" s="2656"/>
      <c r="AA1578" s="2656"/>
      <c r="AB1578" s="2656"/>
      <c r="AC1578" s="2656"/>
      <c r="AD1578" s="2656"/>
      <c r="AE1578" s="2656"/>
      <c r="AF1578" s="2656"/>
      <c r="AG1578" s="2656"/>
      <c r="AH1578" s="2656"/>
      <c r="AI1578" s="2656"/>
      <c r="AJ1578" s="2656"/>
      <c r="AK1578" s="2656"/>
      <c r="AL1578" s="2656"/>
      <c r="AM1578" s="2656"/>
      <c r="AN1578" s="2656"/>
      <c r="AO1578" s="2656"/>
      <c r="AP1578" s="2656"/>
      <c r="AQ1578" s="2656"/>
      <c r="AR1578" s="2656"/>
      <c r="AS1578" s="2656"/>
      <c r="AT1578" s="2656"/>
      <c r="AU1578" s="2656"/>
      <c r="AV1578" s="2656"/>
      <c r="AW1578" s="2656"/>
      <c r="AX1578" s="2656"/>
      <c r="AY1578" s="2656"/>
      <c r="AZ1578" s="2656"/>
      <c r="BA1578" s="2656"/>
      <c r="BB1578" s="2656"/>
      <c r="BC1578" s="2656"/>
      <c r="BD1578" s="2656"/>
      <c r="BE1578" s="2656"/>
      <c r="BF1578" s="2656"/>
      <c r="BG1578" s="2656"/>
      <c r="BH1578" s="2656"/>
      <c r="BI1578" s="2656"/>
    </row>
    <row r="1579" spans="1:61" ht="24.75" customHeight="1">
      <c r="A1579" s="3375"/>
      <c r="B1579" s="2646"/>
      <c r="C1579" s="2647"/>
      <c r="D1579" s="2646"/>
      <c r="E1579" s="3013"/>
      <c r="F1579" s="2655"/>
      <c r="G1579" s="2596"/>
      <c r="H1579" s="4138"/>
      <c r="I1579" s="3375"/>
      <c r="J1579" s="2648"/>
      <c r="K1579" s="3147"/>
      <c r="L1579" s="2785"/>
      <c r="M1579" s="2695"/>
      <c r="N1579" s="2649"/>
      <c r="O1579" s="2655"/>
      <c r="P1579" s="2651"/>
      <c r="Q1579" s="3440"/>
      <c r="R1579" s="3553"/>
      <c r="S1579" s="1407"/>
      <c r="T1579" s="3375"/>
      <c r="U1579" s="2648"/>
      <c r="V1579" s="3554"/>
      <c r="W1579" s="3150"/>
      <c r="X1579" s="2656"/>
      <c r="Y1579" s="2656"/>
      <c r="Z1579" s="2656"/>
      <c r="AA1579" s="2656"/>
      <c r="AB1579" s="2656"/>
      <c r="AC1579" s="2656"/>
      <c r="AD1579" s="2656"/>
      <c r="AE1579" s="2656"/>
      <c r="AF1579" s="2656"/>
      <c r="AG1579" s="2656"/>
      <c r="AH1579" s="2656"/>
      <c r="AI1579" s="2656"/>
      <c r="AJ1579" s="2656"/>
      <c r="AK1579" s="2656"/>
      <c r="AL1579" s="2656"/>
      <c r="AM1579" s="2656"/>
      <c r="AN1579" s="2656"/>
      <c r="AO1579" s="2656"/>
      <c r="AP1579" s="2656"/>
      <c r="AQ1579" s="2656"/>
      <c r="AR1579" s="2656"/>
      <c r="AS1579" s="2656"/>
      <c r="AT1579" s="2656"/>
      <c r="AU1579" s="2656"/>
      <c r="AV1579" s="2656"/>
      <c r="AW1579" s="2656"/>
      <c r="AX1579" s="2656"/>
      <c r="AY1579" s="2656"/>
      <c r="AZ1579" s="2656"/>
      <c r="BA1579" s="2656"/>
      <c r="BB1579" s="2656"/>
      <c r="BC1579" s="2656"/>
      <c r="BD1579" s="2656"/>
      <c r="BE1579" s="2656"/>
      <c r="BF1579" s="2656"/>
      <c r="BG1579" s="2656"/>
      <c r="BH1579" s="2656"/>
      <c r="BI1579" s="2656"/>
    </row>
    <row r="1580" spans="1:61" ht="24.75" customHeight="1">
      <c r="A1580" s="3375"/>
      <c r="B1580" s="2646"/>
      <c r="C1580" s="2647"/>
      <c r="D1580" s="2646"/>
      <c r="E1580" s="3013"/>
      <c r="F1580" s="2655"/>
      <c r="G1580" s="2596"/>
      <c r="H1580" s="4138"/>
      <c r="I1580" s="3375"/>
      <c r="J1580" s="2648"/>
      <c r="K1580" s="3147"/>
      <c r="L1580" s="2785"/>
      <c r="M1580" s="2695"/>
      <c r="N1580" s="2649"/>
      <c r="O1580" s="2655"/>
      <c r="P1580" s="2651"/>
      <c r="Q1580" s="3440"/>
      <c r="R1580" s="3553"/>
      <c r="S1580" s="1407"/>
      <c r="T1580" s="3375"/>
      <c r="U1580" s="2648"/>
      <c r="V1580" s="3554"/>
      <c r="W1580" s="3150"/>
      <c r="X1580" s="2656"/>
      <c r="Y1580" s="2656"/>
      <c r="Z1580" s="2656"/>
      <c r="AA1580" s="2656"/>
      <c r="AB1580" s="2656"/>
      <c r="AC1580" s="2656"/>
      <c r="AD1580" s="2656"/>
      <c r="AE1580" s="2656"/>
      <c r="AF1580" s="2656"/>
      <c r="AG1580" s="2656"/>
      <c r="AH1580" s="2656"/>
      <c r="AI1580" s="2656"/>
      <c r="AJ1580" s="2656"/>
      <c r="AK1580" s="2656"/>
      <c r="AL1580" s="2656"/>
      <c r="AM1580" s="2656"/>
      <c r="AN1580" s="2656"/>
      <c r="AO1580" s="2656"/>
      <c r="AP1580" s="2656"/>
      <c r="AQ1580" s="2656"/>
      <c r="AR1580" s="2656"/>
      <c r="AS1580" s="2656"/>
      <c r="AT1580" s="2656"/>
      <c r="AU1580" s="2656"/>
      <c r="AV1580" s="2656"/>
      <c r="AW1580" s="2656"/>
      <c r="AX1580" s="2656"/>
      <c r="AY1580" s="2656"/>
      <c r="AZ1580" s="2656"/>
      <c r="BA1580" s="2656"/>
      <c r="BB1580" s="2656"/>
      <c r="BC1580" s="2656"/>
      <c r="BD1580" s="2656"/>
      <c r="BE1580" s="2656"/>
      <c r="BF1580" s="2656"/>
      <c r="BG1580" s="2656"/>
      <c r="BH1580" s="2656"/>
      <c r="BI1580" s="2656"/>
    </row>
    <row r="1581" spans="1:61" ht="24.75" customHeight="1">
      <c r="A1581" s="3375"/>
      <c r="B1581" s="2646"/>
      <c r="C1581" s="2647"/>
      <c r="D1581" s="2646"/>
      <c r="E1581" s="3013"/>
      <c r="F1581" s="2655"/>
      <c r="G1581" s="2596"/>
      <c r="H1581" s="4138"/>
      <c r="I1581" s="3375"/>
      <c r="J1581" s="2648"/>
      <c r="K1581" s="3147"/>
      <c r="L1581" s="2785"/>
      <c r="M1581" s="2695"/>
      <c r="N1581" s="2649"/>
      <c r="O1581" s="2655"/>
      <c r="P1581" s="2651"/>
      <c r="Q1581" s="3440"/>
      <c r="R1581" s="3553"/>
      <c r="S1581" s="1407"/>
      <c r="T1581" s="3375"/>
      <c r="U1581" s="2648"/>
      <c r="V1581" s="3554"/>
      <c r="W1581" s="3150"/>
      <c r="X1581" s="2656"/>
      <c r="Y1581" s="2656"/>
      <c r="Z1581" s="2656"/>
      <c r="AA1581" s="2656"/>
      <c r="AB1581" s="2656"/>
      <c r="AC1581" s="2656"/>
      <c r="AD1581" s="2656"/>
      <c r="AE1581" s="2656"/>
      <c r="AF1581" s="2656"/>
      <c r="AG1581" s="2656"/>
      <c r="AH1581" s="2656"/>
      <c r="AI1581" s="2656"/>
      <c r="AJ1581" s="2656"/>
      <c r="AK1581" s="2656"/>
      <c r="AL1581" s="2656"/>
      <c r="AM1581" s="2656"/>
      <c r="AN1581" s="2656"/>
      <c r="AO1581" s="2656"/>
      <c r="AP1581" s="2656"/>
      <c r="AQ1581" s="2656"/>
      <c r="AR1581" s="2656"/>
      <c r="AS1581" s="2656"/>
      <c r="AT1581" s="2656"/>
      <c r="AU1581" s="2656"/>
      <c r="AV1581" s="2656"/>
      <c r="AW1581" s="2656"/>
      <c r="AX1581" s="2656"/>
      <c r="AY1581" s="2656"/>
      <c r="AZ1581" s="2656"/>
      <c r="BA1581" s="2656"/>
      <c r="BB1581" s="2656"/>
      <c r="BC1581" s="2656"/>
      <c r="BD1581" s="2656"/>
      <c r="BE1581" s="2656"/>
      <c r="BF1581" s="2656"/>
      <c r="BG1581" s="2656"/>
      <c r="BH1581" s="2656"/>
      <c r="BI1581" s="2656"/>
    </row>
    <row r="1582" spans="1:61" ht="24.75" customHeight="1">
      <c r="A1582" s="3375"/>
      <c r="B1582" s="2646"/>
      <c r="C1582" s="2647"/>
      <c r="D1582" s="2646"/>
      <c r="E1582" s="3013"/>
      <c r="F1582" s="2655"/>
      <c r="G1582" s="2596"/>
      <c r="H1582" s="4138"/>
      <c r="I1582" s="3375"/>
      <c r="J1582" s="2648"/>
      <c r="K1582" s="3147"/>
      <c r="L1582" s="2785"/>
      <c r="M1582" s="2695"/>
      <c r="N1582" s="2649"/>
      <c r="O1582" s="2655"/>
      <c r="P1582" s="2651"/>
      <c r="Q1582" s="3440"/>
      <c r="R1582" s="3553"/>
      <c r="S1582" s="1407"/>
      <c r="T1582" s="3375"/>
      <c r="U1582" s="2648"/>
      <c r="V1582" s="3554"/>
      <c r="W1582" s="3150"/>
      <c r="X1582" s="2656"/>
      <c r="Y1582" s="2656"/>
      <c r="Z1582" s="2656"/>
      <c r="AA1582" s="2656"/>
      <c r="AB1582" s="2656"/>
      <c r="AC1582" s="2656"/>
      <c r="AD1582" s="2656"/>
      <c r="AE1582" s="2656"/>
      <c r="AF1582" s="2656"/>
      <c r="AG1582" s="2656"/>
      <c r="AH1582" s="2656"/>
      <c r="AI1582" s="2656"/>
      <c r="AJ1582" s="2656"/>
      <c r="AK1582" s="2656"/>
      <c r="AL1582" s="2656"/>
      <c r="AM1582" s="2656"/>
      <c r="AN1582" s="2656"/>
      <c r="AO1582" s="2656"/>
      <c r="AP1582" s="2656"/>
      <c r="AQ1582" s="2656"/>
      <c r="AR1582" s="2656"/>
      <c r="AS1582" s="2656"/>
      <c r="AT1582" s="2656"/>
      <c r="AU1582" s="2656"/>
      <c r="AV1582" s="2656"/>
      <c r="AW1582" s="2656"/>
      <c r="AX1582" s="2656"/>
      <c r="AY1582" s="2656"/>
      <c r="AZ1582" s="2656"/>
      <c r="BA1582" s="2656"/>
      <c r="BB1582" s="2656"/>
      <c r="BC1582" s="2656"/>
      <c r="BD1582" s="2656"/>
      <c r="BE1582" s="2656"/>
      <c r="BF1582" s="2656"/>
      <c r="BG1582" s="2656"/>
      <c r="BH1582" s="2656"/>
      <c r="BI1582" s="2656"/>
    </row>
    <row r="1583" spans="1:61" ht="24.75" customHeight="1">
      <c r="A1583" s="3375"/>
      <c r="B1583" s="2646"/>
      <c r="C1583" s="2647"/>
      <c r="D1583" s="2646"/>
      <c r="E1583" s="3013"/>
      <c r="F1583" s="2655"/>
      <c r="G1583" s="2596"/>
      <c r="H1583" s="4138"/>
      <c r="I1583" s="3375"/>
      <c r="J1583" s="2648"/>
      <c r="K1583" s="3147"/>
      <c r="L1583" s="2785"/>
      <c r="M1583" s="2695"/>
      <c r="N1583" s="2649"/>
      <c r="O1583" s="2655"/>
      <c r="P1583" s="2651"/>
      <c r="Q1583" s="3440"/>
      <c r="R1583" s="3553"/>
      <c r="S1583" s="1407"/>
      <c r="T1583" s="3375"/>
      <c r="U1583" s="2648"/>
      <c r="V1583" s="3554"/>
      <c r="W1583" s="3150"/>
      <c r="X1583" s="2656"/>
      <c r="Y1583" s="2656"/>
      <c r="Z1583" s="2656"/>
      <c r="AA1583" s="2656"/>
      <c r="AB1583" s="2656"/>
      <c r="AC1583" s="2656"/>
      <c r="AD1583" s="2656"/>
      <c r="AE1583" s="2656"/>
      <c r="AF1583" s="2656"/>
      <c r="AG1583" s="2656"/>
      <c r="AH1583" s="2656"/>
      <c r="AI1583" s="2656"/>
      <c r="AJ1583" s="2656"/>
      <c r="AK1583" s="2656"/>
      <c r="AL1583" s="2656"/>
      <c r="AM1583" s="2656"/>
      <c r="AN1583" s="2656"/>
      <c r="AO1583" s="2656"/>
      <c r="AP1583" s="2656"/>
      <c r="AQ1583" s="2656"/>
      <c r="AR1583" s="2656"/>
      <c r="AS1583" s="2656"/>
      <c r="AT1583" s="2656"/>
      <c r="AU1583" s="2656"/>
      <c r="AV1583" s="2656"/>
      <c r="AW1583" s="2656"/>
      <c r="AX1583" s="2656"/>
      <c r="AY1583" s="2656"/>
      <c r="AZ1583" s="2656"/>
      <c r="BA1583" s="2656"/>
      <c r="BB1583" s="2656"/>
      <c r="BC1583" s="2656"/>
      <c r="BD1583" s="2656"/>
      <c r="BE1583" s="2656"/>
      <c r="BF1583" s="2656"/>
      <c r="BG1583" s="2656"/>
      <c r="BH1583" s="2656"/>
      <c r="BI1583" s="2656"/>
    </row>
    <row r="1584" spans="1:61" ht="24.75" customHeight="1">
      <c r="A1584" s="3375"/>
      <c r="B1584" s="2646"/>
      <c r="C1584" s="2647"/>
      <c r="D1584" s="2646"/>
      <c r="E1584" s="3013"/>
      <c r="F1584" s="2655"/>
      <c r="G1584" s="2596"/>
      <c r="H1584" s="4138"/>
      <c r="I1584" s="3375"/>
      <c r="J1584" s="2648"/>
      <c r="K1584" s="3147"/>
      <c r="L1584" s="2785"/>
      <c r="M1584" s="2695"/>
      <c r="N1584" s="2649"/>
      <c r="O1584" s="2655"/>
      <c r="P1584" s="2651"/>
      <c r="Q1584" s="3440"/>
      <c r="R1584" s="3553"/>
      <c r="S1584" s="1407"/>
      <c r="T1584" s="3375"/>
      <c r="U1584" s="2648"/>
      <c r="V1584" s="3554"/>
      <c r="W1584" s="3150"/>
      <c r="X1584" s="2656"/>
      <c r="Y1584" s="2656"/>
      <c r="Z1584" s="2656"/>
      <c r="AA1584" s="2656"/>
      <c r="AB1584" s="2656"/>
      <c r="AC1584" s="2656"/>
      <c r="AD1584" s="2656"/>
      <c r="AE1584" s="2656"/>
      <c r="AF1584" s="2656"/>
      <c r="AG1584" s="2656"/>
      <c r="AH1584" s="2656"/>
      <c r="AI1584" s="2656"/>
      <c r="AJ1584" s="2656"/>
      <c r="AK1584" s="2656"/>
      <c r="AL1584" s="2656"/>
      <c r="AM1584" s="2656"/>
      <c r="AN1584" s="2656"/>
      <c r="AO1584" s="2656"/>
      <c r="AP1584" s="2656"/>
      <c r="AQ1584" s="2656"/>
      <c r="AR1584" s="2656"/>
      <c r="AS1584" s="2656"/>
      <c r="AT1584" s="2656"/>
      <c r="AU1584" s="2656"/>
      <c r="AV1584" s="2656"/>
      <c r="AW1584" s="2656"/>
      <c r="AX1584" s="2656"/>
      <c r="AY1584" s="2656"/>
      <c r="AZ1584" s="2656"/>
      <c r="BA1584" s="2656"/>
      <c r="BB1584" s="2656"/>
      <c r="BC1584" s="2656"/>
      <c r="BD1584" s="2656"/>
      <c r="BE1584" s="2656"/>
      <c r="BF1584" s="2656"/>
      <c r="BG1584" s="2656"/>
      <c r="BH1584" s="2656"/>
      <c r="BI1584" s="2656"/>
    </row>
    <row r="1585" spans="1:61" ht="24.75" customHeight="1">
      <c r="A1585" s="3375"/>
      <c r="B1585" s="2646"/>
      <c r="C1585" s="2647"/>
      <c r="D1585" s="2646"/>
      <c r="E1585" s="3013"/>
      <c r="F1585" s="2655"/>
      <c r="G1585" s="2596"/>
      <c r="H1585" s="4138"/>
      <c r="I1585" s="3375"/>
      <c r="J1585" s="2648"/>
      <c r="K1585" s="3147"/>
      <c r="L1585" s="2785"/>
      <c r="M1585" s="2695"/>
      <c r="N1585" s="2649"/>
      <c r="O1585" s="2655"/>
      <c r="P1585" s="2651"/>
      <c r="Q1585" s="3440"/>
      <c r="R1585" s="3553"/>
      <c r="S1585" s="1407"/>
      <c r="T1585" s="3375"/>
      <c r="U1585" s="2648"/>
      <c r="V1585" s="3554"/>
      <c r="W1585" s="3150"/>
      <c r="X1585" s="2656"/>
      <c r="Y1585" s="2656"/>
      <c r="Z1585" s="2656"/>
      <c r="AA1585" s="2656"/>
      <c r="AB1585" s="2656"/>
      <c r="AC1585" s="2656"/>
      <c r="AD1585" s="2656"/>
      <c r="AE1585" s="2656"/>
      <c r="AF1585" s="2656"/>
      <c r="AG1585" s="2656"/>
      <c r="AH1585" s="2656"/>
      <c r="AI1585" s="2656"/>
      <c r="AJ1585" s="2656"/>
      <c r="AK1585" s="2656"/>
      <c r="AL1585" s="2656"/>
      <c r="AM1585" s="2656"/>
      <c r="AN1585" s="2656"/>
      <c r="AO1585" s="2656"/>
      <c r="AP1585" s="2656"/>
      <c r="AQ1585" s="2656"/>
      <c r="AR1585" s="2656"/>
      <c r="AS1585" s="2656"/>
      <c r="AT1585" s="2656"/>
      <c r="AU1585" s="2656"/>
      <c r="AV1585" s="2656"/>
      <c r="AW1585" s="2656"/>
      <c r="AX1585" s="2656"/>
      <c r="AY1585" s="2656"/>
      <c r="AZ1585" s="2656"/>
      <c r="BA1585" s="2656"/>
      <c r="BB1585" s="2656"/>
      <c r="BC1585" s="2656"/>
      <c r="BD1585" s="2656"/>
      <c r="BE1585" s="2656"/>
      <c r="BF1585" s="2656"/>
      <c r="BG1585" s="2656"/>
      <c r="BH1585" s="2656"/>
      <c r="BI1585" s="2656"/>
    </row>
    <row r="1586" spans="1:61" ht="24.75" customHeight="1">
      <c r="A1586" s="3375"/>
      <c r="B1586" s="2646"/>
      <c r="C1586" s="2647"/>
      <c r="D1586" s="2646"/>
      <c r="E1586" s="3013"/>
      <c r="F1586" s="2655"/>
      <c r="G1586" s="2596"/>
      <c r="H1586" s="4138"/>
      <c r="I1586" s="3375"/>
      <c r="J1586" s="2648"/>
      <c r="K1586" s="3147"/>
      <c r="L1586" s="2785"/>
      <c r="M1586" s="2695"/>
      <c r="N1586" s="2649"/>
      <c r="O1586" s="2655"/>
      <c r="P1586" s="2651"/>
      <c r="Q1586" s="3440"/>
      <c r="R1586" s="3553"/>
      <c r="S1586" s="1407"/>
      <c r="T1586" s="3375"/>
      <c r="U1586" s="2648"/>
      <c r="V1586" s="3554"/>
      <c r="W1586" s="3150"/>
      <c r="X1586" s="2656"/>
      <c r="Y1586" s="2656"/>
      <c r="Z1586" s="2656"/>
      <c r="AA1586" s="2656"/>
      <c r="AB1586" s="2656"/>
      <c r="AC1586" s="2656"/>
      <c r="AD1586" s="2656"/>
      <c r="AE1586" s="2656"/>
      <c r="AF1586" s="2656"/>
      <c r="AG1586" s="2656"/>
      <c r="AH1586" s="2656"/>
      <c r="AI1586" s="2656"/>
      <c r="AJ1586" s="2656"/>
      <c r="AK1586" s="2656"/>
      <c r="AL1586" s="2656"/>
      <c r="AM1586" s="2656"/>
      <c r="AN1586" s="2656"/>
      <c r="AO1586" s="2656"/>
      <c r="AP1586" s="2656"/>
      <c r="AQ1586" s="2656"/>
      <c r="AR1586" s="2656"/>
      <c r="AS1586" s="2656"/>
      <c r="AT1586" s="2656"/>
      <c r="AU1586" s="2656"/>
      <c r="AV1586" s="2656"/>
      <c r="AW1586" s="2656"/>
      <c r="AX1586" s="2656"/>
      <c r="AY1586" s="2656"/>
      <c r="AZ1586" s="2656"/>
      <c r="BA1586" s="2656"/>
      <c r="BB1586" s="2656"/>
      <c r="BC1586" s="2656"/>
      <c r="BD1586" s="2656"/>
      <c r="BE1586" s="2656"/>
      <c r="BF1586" s="2656"/>
      <c r="BG1586" s="2656"/>
      <c r="BH1586" s="2656"/>
      <c r="BI1586" s="2656"/>
    </row>
    <row r="1587" spans="1:61" ht="24.75" customHeight="1">
      <c r="A1587" s="3375"/>
      <c r="B1587" s="2646"/>
      <c r="C1587" s="2647"/>
      <c r="D1587" s="2646"/>
      <c r="E1587" s="3013"/>
      <c r="F1587" s="2655"/>
      <c r="G1587" s="2596"/>
      <c r="H1587" s="4138"/>
      <c r="I1587" s="3375"/>
      <c r="J1587" s="2648"/>
      <c r="K1587" s="3147"/>
      <c r="L1587" s="2785"/>
      <c r="M1587" s="2695"/>
      <c r="N1587" s="2649"/>
      <c r="O1587" s="2655"/>
      <c r="P1587" s="2651"/>
      <c r="Q1587" s="3440"/>
      <c r="R1587" s="3553"/>
      <c r="S1587" s="1407"/>
      <c r="T1587" s="3375"/>
      <c r="U1587" s="2648"/>
      <c r="V1587" s="3554"/>
      <c r="W1587" s="3150"/>
      <c r="X1587" s="2656"/>
      <c r="Y1587" s="2656"/>
      <c r="Z1587" s="2656"/>
      <c r="AA1587" s="2656"/>
      <c r="AB1587" s="2656"/>
      <c r="AC1587" s="2656"/>
      <c r="AD1587" s="2656"/>
      <c r="AE1587" s="2656"/>
      <c r="AF1587" s="2656"/>
      <c r="AG1587" s="2656"/>
      <c r="AH1587" s="2656"/>
      <c r="AI1587" s="2656"/>
      <c r="AJ1587" s="2656"/>
      <c r="AK1587" s="2656"/>
      <c r="AL1587" s="2656"/>
      <c r="AM1587" s="2656"/>
      <c r="AN1587" s="2656"/>
      <c r="AO1587" s="2656"/>
      <c r="AP1587" s="2656"/>
      <c r="AQ1587" s="2656"/>
      <c r="AR1587" s="2656"/>
      <c r="AS1587" s="2656"/>
      <c r="AT1587" s="2656"/>
      <c r="AU1587" s="2656"/>
      <c r="AV1587" s="2656"/>
      <c r="AW1587" s="2656"/>
      <c r="AX1587" s="2656"/>
      <c r="AY1587" s="2656"/>
      <c r="AZ1587" s="2656"/>
      <c r="BA1587" s="2656"/>
      <c r="BB1587" s="2656"/>
      <c r="BC1587" s="2656"/>
      <c r="BD1587" s="2656"/>
      <c r="BE1587" s="2656"/>
      <c r="BF1587" s="2656"/>
      <c r="BG1587" s="2656"/>
      <c r="BH1587" s="2656"/>
      <c r="BI1587" s="2656"/>
    </row>
    <row r="1588" spans="1:61" ht="24.75" customHeight="1">
      <c r="A1588" s="3375"/>
      <c r="B1588" s="2646"/>
      <c r="C1588" s="2647"/>
      <c r="D1588" s="2646"/>
      <c r="E1588" s="3013"/>
      <c r="F1588" s="2655"/>
      <c r="G1588" s="2596"/>
      <c r="H1588" s="4138"/>
      <c r="I1588" s="3375"/>
      <c r="J1588" s="2648"/>
      <c r="K1588" s="3147"/>
      <c r="L1588" s="2785"/>
      <c r="M1588" s="2695"/>
      <c r="N1588" s="2649"/>
      <c r="O1588" s="2655"/>
      <c r="P1588" s="2651"/>
      <c r="Q1588" s="3440"/>
      <c r="R1588" s="3553"/>
      <c r="S1588" s="1407"/>
      <c r="T1588" s="3375"/>
      <c r="U1588" s="2648"/>
      <c r="V1588" s="3554"/>
      <c r="W1588" s="3150"/>
      <c r="X1588" s="2656"/>
      <c r="Y1588" s="2656"/>
      <c r="Z1588" s="2656"/>
      <c r="AA1588" s="2656"/>
      <c r="AB1588" s="2656"/>
      <c r="AC1588" s="2656"/>
      <c r="AD1588" s="2656"/>
      <c r="AE1588" s="2656"/>
      <c r="AF1588" s="2656"/>
      <c r="AG1588" s="2656"/>
      <c r="AH1588" s="2656"/>
      <c r="AI1588" s="2656"/>
      <c r="AJ1588" s="2656"/>
      <c r="AK1588" s="2656"/>
      <c r="AL1588" s="2656"/>
      <c r="AM1588" s="2656"/>
      <c r="AN1588" s="2656"/>
      <c r="AO1588" s="2656"/>
      <c r="AP1588" s="2656"/>
      <c r="AQ1588" s="2656"/>
      <c r="AR1588" s="2656"/>
      <c r="AS1588" s="2656"/>
      <c r="AT1588" s="2656"/>
      <c r="AU1588" s="2656"/>
      <c r="AV1588" s="2656"/>
      <c r="AW1588" s="2656"/>
      <c r="AX1588" s="2656"/>
      <c r="AY1588" s="2656"/>
      <c r="AZ1588" s="2656"/>
      <c r="BA1588" s="2656"/>
      <c r="BB1588" s="2656"/>
      <c r="BC1588" s="2656"/>
      <c r="BD1588" s="2656"/>
      <c r="BE1588" s="2656"/>
      <c r="BF1588" s="2656"/>
      <c r="BG1588" s="2656"/>
      <c r="BH1588" s="2656"/>
      <c r="BI1588" s="2656"/>
    </row>
    <row r="1589" spans="1:61" ht="24.75" customHeight="1">
      <c r="A1589" s="3375"/>
      <c r="B1589" s="2646"/>
      <c r="C1589" s="2647"/>
      <c r="D1589" s="2646"/>
      <c r="E1589" s="3013"/>
      <c r="F1589" s="2655"/>
      <c r="G1589" s="2596"/>
      <c r="H1589" s="4138"/>
      <c r="I1589" s="3375"/>
      <c r="J1589" s="2648"/>
      <c r="K1589" s="3147"/>
      <c r="L1589" s="2785"/>
      <c r="M1589" s="2695"/>
      <c r="N1589" s="2649"/>
      <c r="O1589" s="2655"/>
      <c r="P1589" s="2651"/>
      <c r="Q1589" s="3440"/>
      <c r="R1589" s="3553"/>
      <c r="S1589" s="1407"/>
      <c r="T1589" s="3375"/>
      <c r="U1589" s="2648"/>
      <c r="V1589" s="3554"/>
      <c r="W1589" s="3150"/>
      <c r="X1589" s="2656"/>
      <c r="Y1589" s="2656"/>
      <c r="Z1589" s="2656"/>
      <c r="AA1589" s="2656"/>
      <c r="AB1589" s="2656"/>
      <c r="AC1589" s="2656"/>
      <c r="AD1589" s="2656"/>
      <c r="AE1589" s="2656"/>
      <c r="AF1589" s="2656"/>
      <c r="AG1589" s="2656"/>
      <c r="AH1589" s="2656"/>
      <c r="AI1589" s="2656"/>
      <c r="AJ1589" s="2656"/>
      <c r="AK1589" s="2656"/>
      <c r="AL1589" s="2656"/>
      <c r="AM1589" s="2656"/>
      <c r="AN1589" s="2656"/>
      <c r="AO1589" s="2656"/>
      <c r="AP1589" s="2656"/>
      <c r="AQ1589" s="2656"/>
      <c r="AR1589" s="2656"/>
      <c r="AS1589" s="2656"/>
      <c r="AT1589" s="2656"/>
      <c r="AU1589" s="2656"/>
      <c r="AV1589" s="2656"/>
      <c r="AW1589" s="2656"/>
      <c r="AX1589" s="2656"/>
      <c r="AY1589" s="2656"/>
      <c r="AZ1589" s="2656"/>
      <c r="BA1589" s="2656"/>
      <c r="BB1589" s="2656"/>
      <c r="BC1589" s="2656"/>
      <c r="BD1589" s="2656"/>
      <c r="BE1589" s="2656"/>
      <c r="BF1589" s="2656"/>
      <c r="BG1589" s="2656"/>
      <c r="BH1589" s="2656"/>
      <c r="BI1589" s="2656"/>
    </row>
    <row r="1590" spans="1:61" ht="24.75" customHeight="1">
      <c r="A1590" s="3375"/>
      <c r="B1590" s="2646"/>
      <c r="C1590" s="2647"/>
      <c r="D1590" s="2646"/>
      <c r="E1590" s="3013"/>
      <c r="F1590" s="2655"/>
      <c r="G1590" s="2596"/>
      <c r="H1590" s="4138"/>
      <c r="I1590" s="3375"/>
      <c r="J1590" s="2648"/>
      <c r="K1590" s="3147"/>
      <c r="L1590" s="2785"/>
      <c r="M1590" s="2695"/>
      <c r="N1590" s="2649"/>
      <c r="O1590" s="2655"/>
      <c r="P1590" s="2651"/>
      <c r="Q1590" s="3440"/>
      <c r="R1590" s="3553"/>
      <c r="S1590" s="1407"/>
      <c r="T1590" s="3375"/>
      <c r="U1590" s="2648"/>
      <c r="V1590" s="3554"/>
      <c r="W1590" s="3150"/>
      <c r="X1590" s="2656"/>
      <c r="Y1590" s="2656"/>
      <c r="Z1590" s="2656"/>
      <c r="AA1590" s="2656"/>
      <c r="AB1590" s="2656"/>
      <c r="AC1590" s="2656"/>
      <c r="AD1590" s="2656"/>
      <c r="AE1590" s="2656"/>
      <c r="AF1590" s="2656"/>
      <c r="AG1590" s="2656"/>
      <c r="AH1590" s="2656"/>
      <c r="AI1590" s="2656"/>
      <c r="AJ1590" s="2656"/>
      <c r="AK1590" s="2656"/>
      <c r="AL1590" s="2656"/>
      <c r="AM1590" s="2656"/>
      <c r="AN1590" s="2656"/>
      <c r="AO1590" s="2656"/>
      <c r="AP1590" s="2656"/>
      <c r="AQ1590" s="2656"/>
      <c r="AR1590" s="2656"/>
      <c r="AS1590" s="2656"/>
      <c r="AT1590" s="2656"/>
      <c r="AU1590" s="2656"/>
      <c r="AV1590" s="2656"/>
      <c r="AW1590" s="2656"/>
      <c r="AX1590" s="2656"/>
      <c r="AY1590" s="2656"/>
      <c r="AZ1590" s="2656"/>
      <c r="BA1590" s="2656"/>
      <c r="BB1590" s="2656"/>
      <c r="BC1590" s="2656"/>
      <c r="BD1590" s="2656"/>
      <c r="BE1590" s="2656"/>
      <c r="BF1590" s="2656"/>
      <c r="BG1590" s="2656"/>
      <c r="BH1590" s="2656"/>
      <c r="BI1590" s="2656"/>
    </row>
    <row r="1591" spans="1:61" ht="24.75" customHeight="1">
      <c r="A1591" s="3375"/>
      <c r="B1591" s="2646"/>
      <c r="C1591" s="2647"/>
      <c r="D1591" s="2646"/>
      <c r="E1591" s="3013"/>
      <c r="F1591" s="2655"/>
      <c r="G1591" s="2596"/>
      <c r="H1591" s="4138"/>
      <c r="I1591" s="3375"/>
      <c r="J1591" s="2648"/>
      <c r="K1591" s="3147"/>
      <c r="L1591" s="2785"/>
      <c r="M1591" s="2695"/>
      <c r="N1591" s="2649"/>
      <c r="O1591" s="2655"/>
      <c r="P1591" s="2651"/>
      <c r="Q1591" s="3440"/>
      <c r="R1591" s="3553"/>
      <c r="S1591" s="1407"/>
      <c r="T1591" s="3375"/>
      <c r="U1591" s="2648"/>
      <c r="V1591" s="3554"/>
      <c r="W1591" s="3150"/>
      <c r="X1591" s="2656"/>
      <c r="Y1591" s="2656"/>
      <c r="Z1591" s="2656"/>
      <c r="AA1591" s="2656"/>
      <c r="AB1591" s="2656"/>
      <c r="AC1591" s="2656"/>
      <c r="AD1591" s="2656"/>
      <c r="AE1591" s="2656"/>
      <c r="AF1591" s="2656"/>
      <c r="AG1591" s="2656"/>
      <c r="AH1591" s="2656"/>
      <c r="AI1591" s="2656"/>
      <c r="AJ1591" s="2656"/>
      <c r="AK1591" s="2656"/>
      <c r="AL1591" s="2656"/>
      <c r="AM1591" s="2656"/>
      <c r="AN1591" s="2656"/>
      <c r="AO1591" s="2656"/>
      <c r="AP1591" s="2656"/>
      <c r="AQ1591" s="2656"/>
      <c r="AR1591" s="2656"/>
      <c r="AS1591" s="2656"/>
      <c r="AT1591" s="2656"/>
      <c r="AU1591" s="2656"/>
      <c r="AV1591" s="2656"/>
      <c r="AW1591" s="2656"/>
      <c r="AX1591" s="2656"/>
      <c r="AY1591" s="2656"/>
      <c r="AZ1591" s="2656"/>
      <c r="BA1591" s="2656"/>
      <c r="BB1591" s="2656"/>
      <c r="BC1591" s="2656"/>
      <c r="BD1591" s="2656"/>
      <c r="BE1591" s="2656"/>
      <c r="BF1591" s="2656"/>
      <c r="BG1591" s="2656"/>
      <c r="BH1591" s="2656"/>
      <c r="BI1591" s="2656"/>
    </row>
    <row r="1592" spans="1:61" ht="24.75" customHeight="1">
      <c r="A1592" s="3375"/>
      <c r="B1592" s="2646"/>
      <c r="C1592" s="2647"/>
      <c r="D1592" s="2646"/>
      <c r="E1592" s="3013"/>
      <c r="F1592" s="2655"/>
      <c r="G1592" s="2596"/>
      <c r="H1592" s="4138"/>
      <c r="I1592" s="3375"/>
      <c r="J1592" s="2648"/>
      <c r="K1592" s="3147"/>
      <c r="L1592" s="2785"/>
      <c r="M1592" s="2695"/>
      <c r="N1592" s="2649"/>
      <c r="O1592" s="2655"/>
      <c r="P1592" s="2651"/>
      <c r="Q1592" s="3440"/>
      <c r="R1592" s="3553"/>
      <c r="S1592" s="1407"/>
      <c r="T1592" s="3375"/>
      <c r="U1592" s="2648"/>
      <c r="V1592" s="3554"/>
      <c r="W1592" s="3150"/>
      <c r="X1592" s="2656"/>
      <c r="Y1592" s="2656"/>
      <c r="Z1592" s="2656"/>
      <c r="AA1592" s="2656"/>
      <c r="AB1592" s="2656"/>
      <c r="AC1592" s="2656"/>
      <c r="AD1592" s="2656"/>
      <c r="AE1592" s="2656"/>
      <c r="AF1592" s="2656"/>
      <c r="AG1592" s="2656"/>
      <c r="AH1592" s="2656"/>
      <c r="AI1592" s="2656"/>
      <c r="AJ1592" s="2656"/>
      <c r="AK1592" s="2656"/>
      <c r="AL1592" s="2656"/>
      <c r="AM1592" s="2656"/>
      <c r="AN1592" s="2656"/>
      <c r="AO1592" s="2656"/>
      <c r="AP1592" s="2656"/>
      <c r="AQ1592" s="2656"/>
      <c r="AR1592" s="2656"/>
      <c r="AS1592" s="2656"/>
      <c r="AT1592" s="2656"/>
      <c r="AU1592" s="2656"/>
      <c r="AV1592" s="2656"/>
      <c r="AW1592" s="2656"/>
      <c r="AX1592" s="2656"/>
      <c r="AY1592" s="2656"/>
      <c r="AZ1592" s="2656"/>
      <c r="BA1592" s="2656"/>
      <c r="BB1592" s="2656"/>
      <c r="BC1592" s="2656"/>
      <c r="BD1592" s="2656"/>
      <c r="BE1592" s="2656"/>
      <c r="BF1592" s="2656"/>
      <c r="BG1592" s="2656"/>
      <c r="BH1592" s="2656"/>
      <c r="BI1592" s="2656"/>
    </row>
    <row r="1593" spans="1:61" ht="24.75" customHeight="1">
      <c r="A1593" s="3375"/>
      <c r="B1593" s="2646"/>
      <c r="C1593" s="2647"/>
      <c r="D1593" s="2646"/>
      <c r="E1593" s="3013"/>
      <c r="F1593" s="2655"/>
      <c r="G1593" s="2596"/>
      <c r="H1593" s="4138"/>
      <c r="I1593" s="3375"/>
      <c r="J1593" s="2648"/>
      <c r="K1593" s="3147"/>
      <c r="L1593" s="2785"/>
      <c r="M1593" s="2695"/>
      <c r="N1593" s="2649"/>
      <c r="O1593" s="2655"/>
      <c r="P1593" s="2651"/>
      <c r="Q1593" s="3440"/>
      <c r="R1593" s="3553"/>
      <c r="S1593" s="1407"/>
      <c r="T1593" s="3375"/>
      <c r="U1593" s="2648"/>
      <c r="V1593" s="3554"/>
      <c r="W1593" s="3150"/>
      <c r="X1593" s="2656"/>
      <c r="Y1593" s="2656"/>
      <c r="Z1593" s="2656"/>
      <c r="AA1593" s="2656"/>
      <c r="AB1593" s="2656"/>
      <c r="AC1593" s="2656"/>
      <c r="AD1593" s="2656"/>
      <c r="AE1593" s="2656"/>
      <c r="AF1593" s="2656"/>
      <c r="AG1593" s="2656"/>
      <c r="AH1593" s="2656"/>
      <c r="AI1593" s="2656"/>
      <c r="AJ1593" s="2656"/>
      <c r="AK1593" s="2656"/>
      <c r="AL1593" s="2656"/>
      <c r="AM1593" s="2656"/>
      <c r="AN1593" s="2656"/>
      <c r="AO1593" s="2656"/>
      <c r="AP1593" s="2656"/>
      <c r="AQ1593" s="2656"/>
      <c r="AR1593" s="2656"/>
      <c r="AS1593" s="2656"/>
      <c r="AT1593" s="2656"/>
      <c r="AU1593" s="2656"/>
      <c r="AV1593" s="2656"/>
      <c r="AW1593" s="2656"/>
      <c r="AX1593" s="2656"/>
      <c r="AY1593" s="2656"/>
      <c r="AZ1593" s="2656"/>
      <c r="BA1593" s="2656"/>
      <c r="BB1593" s="2656"/>
      <c r="BC1593" s="2656"/>
      <c r="BD1593" s="2656"/>
      <c r="BE1593" s="2656"/>
      <c r="BF1593" s="2656"/>
      <c r="BG1593" s="2656"/>
      <c r="BH1593" s="2656"/>
      <c r="BI1593" s="2656"/>
    </row>
    <row r="1594" spans="1:61" ht="24.75" customHeight="1">
      <c r="A1594" s="3375"/>
      <c r="B1594" s="2646"/>
      <c r="C1594" s="2647"/>
      <c r="D1594" s="2646"/>
      <c r="E1594" s="3013"/>
      <c r="F1594" s="2655"/>
      <c r="G1594" s="2596"/>
      <c r="H1594" s="4138"/>
      <c r="I1594" s="3375"/>
      <c r="J1594" s="2648"/>
      <c r="K1594" s="3147"/>
      <c r="L1594" s="2785"/>
      <c r="M1594" s="2695"/>
      <c r="N1594" s="2649"/>
      <c r="O1594" s="2655"/>
      <c r="P1594" s="2651"/>
      <c r="Q1594" s="3440"/>
      <c r="R1594" s="3553"/>
      <c r="S1594" s="1407"/>
      <c r="T1594" s="3375"/>
      <c r="U1594" s="2648"/>
      <c r="V1594" s="3554"/>
      <c r="W1594" s="3150"/>
      <c r="X1594" s="2656"/>
      <c r="Y1594" s="2656"/>
      <c r="Z1594" s="2656"/>
      <c r="AA1594" s="2656"/>
      <c r="AB1594" s="2656"/>
      <c r="AC1594" s="2656"/>
      <c r="AD1594" s="2656"/>
      <c r="AE1594" s="2656"/>
      <c r="AF1594" s="2656"/>
      <c r="AG1594" s="2656"/>
      <c r="AH1594" s="2656"/>
      <c r="AI1594" s="2656"/>
      <c r="AJ1594" s="2656"/>
      <c r="AK1594" s="2656"/>
      <c r="AL1594" s="2656"/>
      <c r="AM1594" s="2656"/>
      <c r="AN1594" s="2656"/>
      <c r="AO1594" s="2656"/>
      <c r="AP1594" s="2656"/>
      <c r="AQ1594" s="2656"/>
      <c r="AR1594" s="2656"/>
      <c r="AS1594" s="2656"/>
      <c r="AT1594" s="2656"/>
      <c r="AU1594" s="2656"/>
      <c r="AV1594" s="2656"/>
      <c r="AW1594" s="2656"/>
      <c r="AX1594" s="2656"/>
      <c r="AY1594" s="2656"/>
      <c r="AZ1594" s="2656"/>
      <c r="BA1594" s="2656"/>
      <c r="BB1594" s="2656"/>
      <c r="BC1594" s="2656"/>
      <c r="BD1594" s="2656"/>
      <c r="BE1594" s="2656"/>
      <c r="BF1594" s="2656"/>
      <c r="BG1594" s="2656"/>
      <c r="BH1594" s="2656"/>
      <c r="BI1594" s="2656"/>
    </row>
    <row r="1595" spans="1:61" ht="24.75" customHeight="1">
      <c r="A1595" s="3375"/>
      <c r="B1595" s="2646"/>
      <c r="C1595" s="2647"/>
      <c r="D1595" s="2646"/>
      <c r="E1595" s="3013"/>
      <c r="F1595" s="2655"/>
      <c r="G1595" s="2596"/>
      <c r="H1595" s="4138"/>
      <c r="I1595" s="3375"/>
      <c r="J1595" s="2648"/>
      <c r="K1595" s="3147"/>
      <c r="L1595" s="2785"/>
      <c r="M1595" s="2695"/>
      <c r="N1595" s="2649"/>
      <c r="O1595" s="2655"/>
      <c r="P1595" s="2651"/>
      <c r="Q1595" s="3440"/>
      <c r="R1595" s="3553"/>
      <c r="S1595" s="1407"/>
      <c r="T1595" s="3375"/>
      <c r="U1595" s="2648"/>
      <c r="V1595" s="3554"/>
      <c r="W1595" s="3150"/>
      <c r="X1595" s="2656"/>
      <c r="Y1595" s="2656"/>
      <c r="Z1595" s="2656"/>
      <c r="AA1595" s="2656"/>
      <c r="AB1595" s="2656"/>
      <c r="AC1595" s="2656"/>
      <c r="AD1595" s="2656"/>
      <c r="AE1595" s="2656"/>
      <c r="AF1595" s="2656"/>
      <c r="AG1595" s="2656"/>
      <c r="AH1595" s="2656"/>
      <c r="AI1595" s="2656"/>
      <c r="AJ1595" s="2656"/>
      <c r="AK1595" s="2656"/>
      <c r="AL1595" s="2656"/>
      <c r="AM1595" s="2656"/>
      <c r="AN1595" s="2656"/>
      <c r="AO1595" s="2656"/>
      <c r="AP1595" s="2656"/>
      <c r="AQ1595" s="2656"/>
      <c r="AR1595" s="2656"/>
      <c r="AS1595" s="2656"/>
      <c r="AT1595" s="2656"/>
      <c r="AU1595" s="2656"/>
      <c r="AV1595" s="2656"/>
      <c r="AW1595" s="2656"/>
      <c r="AX1595" s="2656"/>
      <c r="AY1595" s="2656"/>
      <c r="AZ1595" s="2656"/>
      <c r="BA1595" s="2656"/>
      <c r="BB1595" s="2656"/>
      <c r="BC1595" s="2656"/>
      <c r="BD1595" s="2656"/>
      <c r="BE1595" s="2656"/>
      <c r="BF1595" s="2656"/>
      <c r="BG1595" s="2656"/>
      <c r="BH1595" s="2656"/>
      <c r="BI1595" s="2656"/>
    </row>
    <row r="1596" spans="1:61" ht="24.75" customHeight="1">
      <c r="A1596" s="3375"/>
      <c r="B1596" s="2646"/>
      <c r="C1596" s="2647"/>
      <c r="D1596" s="2646"/>
      <c r="E1596" s="3013"/>
      <c r="F1596" s="2655"/>
      <c r="G1596" s="2596"/>
      <c r="H1596" s="4138"/>
      <c r="I1596" s="3375"/>
      <c r="J1596" s="2648"/>
      <c r="K1596" s="3147"/>
      <c r="L1596" s="2785"/>
      <c r="M1596" s="2695"/>
      <c r="N1596" s="2649"/>
      <c r="O1596" s="2655"/>
      <c r="P1596" s="2651"/>
      <c r="Q1596" s="3440"/>
      <c r="R1596" s="3553"/>
      <c r="S1596" s="1407"/>
      <c r="T1596" s="3375"/>
      <c r="U1596" s="2648"/>
      <c r="V1596" s="3554"/>
      <c r="W1596" s="3150"/>
      <c r="X1596" s="2656"/>
      <c r="Y1596" s="2656"/>
      <c r="Z1596" s="2656"/>
      <c r="AA1596" s="2656"/>
      <c r="AB1596" s="2656"/>
      <c r="AC1596" s="2656"/>
      <c r="AD1596" s="2656"/>
      <c r="AE1596" s="2656"/>
      <c r="AF1596" s="2656"/>
      <c r="AG1596" s="2656"/>
      <c r="AH1596" s="2656"/>
      <c r="AI1596" s="2656"/>
      <c r="AJ1596" s="2656"/>
      <c r="AK1596" s="2656"/>
      <c r="AL1596" s="2656"/>
      <c r="AM1596" s="2656"/>
      <c r="AN1596" s="2656"/>
      <c r="AO1596" s="2656"/>
      <c r="AP1596" s="2656"/>
      <c r="AQ1596" s="2656"/>
      <c r="AR1596" s="2656"/>
      <c r="AS1596" s="2656"/>
      <c r="AT1596" s="2656"/>
      <c r="AU1596" s="2656"/>
      <c r="AV1596" s="2656"/>
      <c r="AW1596" s="2656"/>
      <c r="AX1596" s="2656"/>
      <c r="AY1596" s="2656"/>
      <c r="AZ1596" s="2656"/>
      <c r="BA1596" s="2656"/>
      <c r="BB1596" s="2656"/>
      <c r="BC1596" s="2656"/>
      <c r="BD1596" s="2656"/>
      <c r="BE1596" s="2656"/>
      <c r="BF1596" s="2656"/>
      <c r="BG1596" s="2656"/>
      <c r="BH1596" s="2656"/>
      <c r="BI1596" s="2656"/>
    </row>
    <row r="1597" spans="1:61" ht="24.75" customHeight="1">
      <c r="A1597" s="3375"/>
      <c r="B1597" s="2646"/>
      <c r="C1597" s="2647"/>
      <c r="D1597" s="2646"/>
      <c r="E1597" s="3013"/>
      <c r="F1597" s="2655"/>
      <c r="G1597" s="2596"/>
      <c r="H1597" s="4138"/>
      <c r="I1597" s="3375"/>
      <c r="J1597" s="2648"/>
      <c r="K1597" s="3147"/>
      <c r="L1597" s="2785"/>
      <c r="M1597" s="2695"/>
      <c r="N1597" s="2649"/>
      <c r="O1597" s="2655"/>
      <c r="P1597" s="2651"/>
      <c r="Q1597" s="3440"/>
      <c r="R1597" s="3553"/>
      <c r="S1597" s="1407"/>
      <c r="T1597" s="3375"/>
      <c r="U1597" s="2648"/>
      <c r="V1597" s="3554"/>
      <c r="W1597" s="3150"/>
      <c r="X1597" s="2656"/>
      <c r="Y1597" s="2656"/>
      <c r="Z1597" s="2656"/>
      <c r="AA1597" s="2656"/>
      <c r="AB1597" s="2656"/>
      <c r="AC1597" s="2656"/>
      <c r="AD1597" s="2656"/>
      <c r="AE1597" s="2656"/>
      <c r="AF1597" s="2656"/>
      <c r="AG1597" s="2656"/>
      <c r="AH1597" s="2656"/>
      <c r="AI1597" s="2656"/>
      <c r="AJ1597" s="2656"/>
      <c r="AK1597" s="2656"/>
      <c r="AL1597" s="2656"/>
      <c r="AM1597" s="2656"/>
      <c r="AN1597" s="2656"/>
      <c r="AO1597" s="2656"/>
      <c r="AP1597" s="2656"/>
      <c r="AQ1597" s="2656"/>
      <c r="AR1597" s="2656"/>
      <c r="AS1597" s="2656"/>
      <c r="AT1597" s="2656"/>
      <c r="AU1597" s="2656"/>
      <c r="AV1597" s="2656"/>
      <c r="AW1597" s="2656"/>
      <c r="AX1597" s="2656"/>
      <c r="AY1597" s="2656"/>
      <c r="AZ1597" s="2656"/>
      <c r="BA1597" s="2656"/>
      <c r="BB1597" s="2656"/>
      <c r="BC1597" s="2656"/>
      <c r="BD1597" s="2656"/>
      <c r="BE1597" s="2656"/>
      <c r="BF1597" s="2656"/>
      <c r="BG1597" s="2656"/>
      <c r="BH1597" s="2656"/>
      <c r="BI1597" s="2656"/>
    </row>
    <row r="1598" spans="1:61" ht="24.75" customHeight="1">
      <c r="A1598" s="3375"/>
      <c r="B1598" s="2646"/>
      <c r="C1598" s="2647"/>
      <c r="D1598" s="2646"/>
      <c r="E1598" s="3013"/>
      <c r="F1598" s="2655"/>
      <c r="G1598" s="2596"/>
      <c r="H1598" s="4138"/>
      <c r="I1598" s="3375"/>
      <c r="J1598" s="2648"/>
      <c r="K1598" s="3147"/>
      <c r="L1598" s="2785"/>
      <c r="M1598" s="2695"/>
      <c r="N1598" s="2649"/>
      <c r="O1598" s="2655"/>
      <c r="P1598" s="2651"/>
      <c r="Q1598" s="3440"/>
      <c r="R1598" s="3553"/>
      <c r="S1598" s="1407"/>
      <c r="T1598" s="3375"/>
      <c r="U1598" s="2648"/>
      <c r="V1598" s="3554"/>
      <c r="W1598" s="3150"/>
      <c r="X1598" s="2656"/>
      <c r="Y1598" s="2656"/>
      <c r="Z1598" s="2656"/>
      <c r="AA1598" s="2656"/>
      <c r="AB1598" s="2656"/>
      <c r="AC1598" s="2656"/>
      <c r="AD1598" s="2656"/>
      <c r="AE1598" s="2656"/>
      <c r="AF1598" s="2656"/>
      <c r="AG1598" s="2656"/>
      <c r="AH1598" s="2656"/>
      <c r="AI1598" s="2656"/>
      <c r="AJ1598" s="2656"/>
      <c r="AK1598" s="2656"/>
      <c r="AL1598" s="2656"/>
      <c r="AM1598" s="2656"/>
      <c r="AN1598" s="2656"/>
      <c r="AO1598" s="2656"/>
      <c r="AP1598" s="2656"/>
      <c r="AQ1598" s="2656"/>
      <c r="AR1598" s="2656"/>
      <c r="AS1598" s="2656"/>
      <c r="AT1598" s="2656"/>
      <c r="AU1598" s="2656"/>
      <c r="AV1598" s="2656"/>
      <c r="AW1598" s="2656"/>
      <c r="AX1598" s="2656"/>
      <c r="AY1598" s="2656"/>
      <c r="AZ1598" s="2656"/>
      <c r="BA1598" s="2656"/>
      <c r="BB1598" s="2656"/>
      <c r="BC1598" s="2656"/>
      <c r="BD1598" s="2656"/>
      <c r="BE1598" s="2656"/>
      <c r="BF1598" s="2656"/>
      <c r="BG1598" s="2656"/>
      <c r="BH1598" s="2656"/>
      <c r="BI1598" s="2656"/>
    </row>
    <row r="1599" spans="1:61" ht="24.75" customHeight="1">
      <c r="A1599" s="3375"/>
      <c r="B1599" s="2646"/>
      <c r="C1599" s="2647"/>
      <c r="D1599" s="2646"/>
      <c r="E1599" s="3013"/>
      <c r="F1599" s="2655"/>
      <c r="G1599" s="2596"/>
      <c r="H1599" s="4138"/>
      <c r="I1599" s="3375"/>
      <c r="J1599" s="2648"/>
      <c r="K1599" s="3147"/>
      <c r="L1599" s="2785"/>
      <c r="M1599" s="2695"/>
      <c r="N1599" s="2649"/>
      <c r="O1599" s="2655"/>
      <c r="P1599" s="2651"/>
      <c r="Q1599" s="3440"/>
      <c r="R1599" s="3553"/>
      <c r="S1599" s="1407"/>
      <c r="T1599" s="3375"/>
      <c r="U1599" s="2648"/>
      <c r="V1599" s="3554"/>
      <c r="W1599" s="3150"/>
      <c r="X1599" s="2656"/>
      <c r="Y1599" s="2656"/>
      <c r="Z1599" s="2656"/>
      <c r="AA1599" s="2656"/>
      <c r="AB1599" s="2656"/>
      <c r="AC1599" s="2656"/>
      <c r="AD1599" s="2656"/>
      <c r="AE1599" s="2656"/>
      <c r="AF1599" s="2656"/>
      <c r="AG1599" s="2656"/>
      <c r="AH1599" s="2656"/>
      <c r="AI1599" s="2656"/>
      <c r="AJ1599" s="2656"/>
      <c r="AK1599" s="2656"/>
      <c r="AL1599" s="2656"/>
      <c r="AM1599" s="2656"/>
      <c r="AN1599" s="2656"/>
      <c r="AO1599" s="2656"/>
      <c r="AP1599" s="2656"/>
      <c r="AQ1599" s="2656"/>
      <c r="AR1599" s="2656"/>
      <c r="AS1599" s="2656"/>
      <c r="AT1599" s="2656"/>
      <c r="AU1599" s="2656"/>
      <c r="AV1599" s="2656"/>
      <c r="AW1599" s="2656"/>
      <c r="AX1599" s="2656"/>
      <c r="AY1599" s="2656"/>
      <c r="AZ1599" s="2656"/>
      <c r="BA1599" s="2656"/>
      <c r="BB1599" s="2656"/>
      <c r="BC1599" s="2656"/>
      <c r="BD1599" s="2656"/>
      <c r="BE1599" s="2656"/>
      <c r="BF1599" s="2656"/>
      <c r="BG1599" s="2656"/>
      <c r="BH1599" s="2656"/>
      <c r="BI1599" s="2656"/>
    </row>
    <row r="1600" spans="1:61" ht="24.75" customHeight="1">
      <c r="A1600" s="3375"/>
      <c r="B1600" s="2646"/>
      <c r="C1600" s="2647"/>
      <c r="D1600" s="2646"/>
      <c r="E1600" s="3013"/>
      <c r="F1600" s="2655"/>
      <c r="G1600" s="2596"/>
      <c r="H1600" s="4138"/>
      <c r="I1600" s="3375"/>
      <c r="J1600" s="2648"/>
      <c r="K1600" s="3147"/>
      <c r="L1600" s="2785"/>
      <c r="M1600" s="2695"/>
      <c r="N1600" s="2649"/>
      <c r="O1600" s="2655"/>
      <c r="P1600" s="2651"/>
      <c r="Q1600" s="3440"/>
      <c r="R1600" s="3553"/>
      <c r="S1600" s="1407"/>
      <c r="T1600" s="3375"/>
      <c r="U1600" s="2648"/>
      <c r="V1600" s="3554"/>
      <c r="W1600" s="3150"/>
      <c r="X1600" s="2656"/>
      <c r="Y1600" s="2656"/>
      <c r="Z1600" s="2656"/>
      <c r="AA1600" s="2656"/>
      <c r="AB1600" s="2656"/>
      <c r="AC1600" s="2656"/>
      <c r="AD1600" s="2656"/>
      <c r="AE1600" s="2656"/>
      <c r="AF1600" s="2656"/>
      <c r="AG1600" s="2656"/>
      <c r="AH1600" s="2656"/>
      <c r="AI1600" s="2656"/>
      <c r="AJ1600" s="2656"/>
      <c r="AK1600" s="2656"/>
      <c r="AL1600" s="2656"/>
      <c r="AM1600" s="2656"/>
      <c r="AN1600" s="2656"/>
      <c r="AO1600" s="2656"/>
      <c r="AP1600" s="2656"/>
      <c r="AQ1600" s="2656"/>
      <c r="AR1600" s="2656"/>
      <c r="AS1600" s="2656"/>
      <c r="AT1600" s="2656"/>
      <c r="AU1600" s="2656"/>
      <c r="AV1600" s="2656"/>
      <c r="AW1600" s="2656"/>
      <c r="AX1600" s="2656"/>
      <c r="AY1600" s="2656"/>
      <c r="AZ1600" s="2656"/>
      <c r="BA1600" s="2656"/>
      <c r="BB1600" s="2656"/>
      <c r="BC1600" s="2656"/>
      <c r="BD1600" s="2656"/>
      <c r="BE1600" s="2656"/>
      <c r="BF1600" s="2656"/>
      <c r="BG1600" s="2656"/>
      <c r="BH1600" s="2656"/>
      <c r="BI1600" s="2656"/>
    </row>
    <row r="1601" spans="1:61" ht="24.75" customHeight="1">
      <c r="A1601" s="3375"/>
      <c r="B1601" s="2646"/>
      <c r="C1601" s="2647"/>
      <c r="D1601" s="2646"/>
      <c r="E1601" s="3013"/>
      <c r="F1601" s="2655"/>
      <c r="G1601" s="2596"/>
      <c r="H1601" s="4138"/>
      <c r="I1601" s="3375"/>
      <c r="J1601" s="2648"/>
      <c r="K1601" s="3147"/>
      <c r="L1601" s="2785"/>
      <c r="M1601" s="2695"/>
      <c r="N1601" s="2649"/>
      <c r="O1601" s="2655"/>
      <c r="P1601" s="2651"/>
      <c r="Q1601" s="3440"/>
      <c r="R1601" s="3553"/>
      <c r="S1601" s="1407"/>
      <c r="T1601" s="3375"/>
      <c r="U1601" s="2648"/>
      <c r="V1601" s="3554"/>
      <c r="W1601" s="3150"/>
      <c r="X1601" s="2656"/>
      <c r="Y1601" s="2656"/>
      <c r="Z1601" s="2656"/>
      <c r="AA1601" s="2656"/>
      <c r="AB1601" s="2656"/>
      <c r="AC1601" s="2656"/>
      <c r="AD1601" s="2656"/>
      <c r="AE1601" s="2656"/>
      <c r="AF1601" s="2656"/>
      <c r="AG1601" s="2656"/>
      <c r="AH1601" s="2656"/>
      <c r="AI1601" s="2656"/>
      <c r="AJ1601" s="2656"/>
      <c r="AK1601" s="2656"/>
      <c r="AL1601" s="2656"/>
      <c r="AM1601" s="2656"/>
      <c r="AN1601" s="2656"/>
      <c r="AO1601" s="2656"/>
      <c r="AP1601" s="2656"/>
      <c r="AQ1601" s="2656"/>
      <c r="AR1601" s="2656"/>
      <c r="AS1601" s="2656"/>
      <c r="AT1601" s="2656"/>
      <c r="AU1601" s="2656"/>
      <c r="AV1601" s="2656"/>
      <c r="AW1601" s="2656"/>
      <c r="AX1601" s="2656"/>
      <c r="AY1601" s="2656"/>
      <c r="AZ1601" s="2656"/>
      <c r="BA1601" s="2656"/>
      <c r="BB1601" s="2656"/>
      <c r="BC1601" s="2656"/>
      <c r="BD1601" s="2656"/>
      <c r="BE1601" s="2656"/>
      <c r="BF1601" s="2656"/>
      <c r="BG1601" s="2656"/>
      <c r="BH1601" s="2656"/>
      <c r="BI1601" s="2656"/>
    </row>
    <row r="1602" spans="1:61" ht="24.75" customHeight="1">
      <c r="A1602" s="3375"/>
      <c r="B1602" s="2646"/>
      <c r="C1602" s="2647"/>
      <c r="D1602" s="2646"/>
      <c r="E1602" s="3013"/>
      <c r="F1602" s="2655"/>
      <c r="G1602" s="2596"/>
      <c r="H1602" s="4138"/>
      <c r="I1602" s="3375"/>
      <c r="J1602" s="2648"/>
      <c r="K1602" s="3147"/>
      <c r="L1602" s="2785"/>
      <c r="M1602" s="2695"/>
      <c r="N1602" s="2649"/>
      <c r="O1602" s="2655"/>
      <c r="P1602" s="2651"/>
      <c r="Q1602" s="3440"/>
      <c r="R1602" s="3553"/>
      <c r="S1602" s="1407"/>
      <c r="T1602" s="3375"/>
      <c r="U1602" s="2648"/>
      <c r="V1602" s="3554"/>
      <c r="W1602" s="3150"/>
      <c r="X1602" s="2656"/>
      <c r="Y1602" s="2656"/>
      <c r="Z1602" s="2656"/>
      <c r="AA1602" s="2656"/>
      <c r="AB1602" s="2656"/>
      <c r="AC1602" s="2656"/>
      <c r="AD1602" s="2656"/>
      <c r="AE1602" s="2656"/>
      <c r="AF1602" s="2656"/>
      <c r="AG1602" s="2656"/>
      <c r="AH1602" s="2656"/>
      <c r="AI1602" s="2656"/>
      <c r="AJ1602" s="2656"/>
      <c r="AK1602" s="2656"/>
      <c r="AL1602" s="2656"/>
      <c r="AM1602" s="2656"/>
      <c r="AN1602" s="2656"/>
      <c r="AO1602" s="2656"/>
      <c r="AP1602" s="2656"/>
      <c r="AQ1602" s="2656"/>
      <c r="AR1602" s="2656"/>
      <c r="AS1602" s="2656"/>
      <c r="AT1602" s="2656"/>
      <c r="AU1602" s="2656"/>
      <c r="AV1602" s="2656"/>
      <c r="AW1602" s="2656"/>
      <c r="AX1602" s="2656"/>
      <c r="AY1602" s="2656"/>
      <c r="AZ1602" s="2656"/>
      <c r="BA1602" s="2656"/>
      <c r="BB1602" s="2656"/>
      <c r="BC1602" s="2656"/>
      <c r="BD1602" s="2656"/>
      <c r="BE1602" s="2656"/>
      <c r="BF1602" s="2656"/>
      <c r="BG1602" s="2656"/>
      <c r="BH1602" s="2656"/>
      <c r="BI1602" s="2656"/>
    </row>
    <row r="1603" spans="1:61" ht="24.75" customHeight="1">
      <c r="A1603" s="3375"/>
      <c r="B1603" s="2646"/>
      <c r="C1603" s="2647"/>
      <c r="D1603" s="2646"/>
      <c r="E1603" s="3013"/>
      <c r="F1603" s="2655"/>
      <c r="G1603" s="2596"/>
      <c r="H1603" s="4138"/>
      <c r="I1603" s="3375"/>
      <c r="J1603" s="2648"/>
      <c r="K1603" s="3147"/>
      <c r="L1603" s="2785"/>
      <c r="M1603" s="2695"/>
      <c r="N1603" s="2649"/>
      <c r="O1603" s="2655"/>
      <c r="P1603" s="2651"/>
      <c r="Q1603" s="3440"/>
      <c r="R1603" s="3553"/>
      <c r="S1603" s="1407"/>
      <c r="T1603" s="3375"/>
      <c r="U1603" s="2648"/>
      <c r="V1603" s="3554"/>
      <c r="W1603" s="3150"/>
      <c r="X1603" s="2656"/>
      <c r="Y1603" s="2656"/>
      <c r="Z1603" s="2656"/>
      <c r="AA1603" s="2656"/>
      <c r="AB1603" s="2656"/>
      <c r="AC1603" s="2656"/>
      <c r="AD1603" s="2656"/>
      <c r="AE1603" s="2656"/>
      <c r="AF1603" s="2656"/>
      <c r="AG1603" s="2656"/>
      <c r="AH1603" s="2656"/>
      <c r="AI1603" s="2656"/>
      <c r="AJ1603" s="2656"/>
      <c r="AK1603" s="2656"/>
      <c r="AL1603" s="2656"/>
      <c r="AM1603" s="2656"/>
      <c r="AN1603" s="2656"/>
      <c r="AO1603" s="2656"/>
      <c r="AP1603" s="2656"/>
      <c r="AQ1603" s="2656"/>
      <c r="AR1603" s="2656"/>
      <c r="AS1603" s="2656"/>
      <c r="AT1603" s="2656"/>
      <c r="AU1603" s="2656"/>
      <c r="AV1603" s="2656"/>
      <c r="AW1603" s="2656"/>
      <c r="AX1603" s="2656"/>
      <c r="AY1603" s="2656"/>
      <c r="AZ1603" s="2656"/>
      <c r="BA1603" s="2656"/>
      <c r="BB1603" s="2656"/>
      <c r="BC1603" s="2656"/>
      <c r="BD1603" s="2656"/>
      <c r="BE1603" s="2656"/>
      <c r="BF1603" s="2656"/>
      <c r="BG1603" s="2656"/>
      <c r="BH1603" s="2656"/>
      <c r="BI1603" s="2656"/>
    </row>
    <row r="1604" spans="1:61" ht="24.75" customHeight="1">
      <c r="A1604" s="3375"/>
      <c r="B1604" s="2646"/>
      <c r="C1604" s="2647"/>
      <c r="D1604" s="2646"/>
      <c r="E1604" s="3013"/>
      <c r="F1604" s="2655"/>
      <c r="G1604" s="2596"/>
      <c r="H1604" s="4138"/>
      <c r="I1604" s="3375"/>
      <c r="J1604" s="2648"/>
      <c r="K1604" s="3147"/>
      <c r="L1604" s="2785"/>
      <c r="M1604" s="2695"/>
      <c r="N1604" s="2649"/>
      <c r="O1604" s="2655"/>
      <c r="P1604" s="2651"/>
      <c r="Q1604" s="3440"/>
      <c r="R1604" s="3553"/>
      <c r="S1604" s="1407"/>
      <c r="T1604" s="3375"/>
      <c r="U1604" s="2648"/>
      <c r="V1604" s="3554"/>
      <c r="W1604" s="3150"/>
      <c r="X1604" s="2656"/>
      <c r="Y1604" s="2656"/>
      <c r="Z1604" s="2656"/>
      <c r="AA1604" s="2656"/>
      <c r="AB1604" s="2656"/>
      <c r="AC1604" s="2656"/>
      <c r="AD1604" s="2656"/>
      <c r="AE1604" s="2656"/>
      <c r="AF1604" s="2656"/>
      <c r="AG1604" s="2656"/>
      <c r="AH1604" s="2656"/>
      <c r="AI1604" s="2656"/>
      <c r="AJ1604" s="2656"/>
      <c r="AK1604" s="2656"/>
      <c r="AL1604" s="2656"/>
      <c r="AM1604" s="2656"/>
      <c r="AN1604" s="2656"/>
      <c r="AO1604" s="2656"/>
      <c r="AP1604" s="2656"/>
      <c r="AQ1604" s="2656"/>
      <c r="AR1604" s="2656"/>
      <c r="AS1604" s="2656"/>
      <c r="AT1604" s="2656"/>
      <c r="AU1604" s="2656"/>
      <c r="AV1604" s="2656"/>
      <c r="AW1604" s="2656"/>
      <c r="AX1604" s="2656"/>
      <c r="AY1604" s="2656"/>
      <c r="AZ1604" s="2656"/>
      <c r="BA1604" s="2656"/>
      <c r="BB1604" s="2656"/>
      <c r="BC1604" s="2656"/>
      <c r="BD1604" s="2656"/>
      <c r="BE1604" s="2656"/>
      <c r="BF1604" s="2656"/>
      <c r="BG1604" s="2656"/>
      <c r="BH1604" s="2656"/>
      <c r="BI1604" s="2656"/>
    </row>
    <row r="1605" spans="1:61" ht="24.75" customHeight="1">
      <c r="A1605" s="3375"/>
      <c r="B1605" s="2646"/>
      <c r="C1605" s="2647"/>
      <c r="D1605" s="2646"/>
      <c r="E1605" s="3013"/>
      <c r="F1605" s="2655"/>
      <c r="G1605" s="2596"/>
      <c r="H1605" s="4138"/>
      <c r="I1605" s="3375"/>
      <c r="J1605" s="2648"/>
      <c r="K1605" s="3147"/>
      <c r="L1605" s="2785"/>
      <c r="M1605" s="2695"/>
      <c r="N1605" s="2649"/>
      <c r="O1605" s="2655"/>
      <c r="P1605" s="2651"/>
      <c r="Q1605" s="3440"/>
      <c r="R1605" s="3553"/>
      <c r="S1605" s="1407"/>
      <c r="T1605" s="3375"/>
      <c r="U1605" s="2648"/>
      <c r="V1605" s="3554"/>
      <c r="W1605" s="3150"/>
      <c r="X1605" s="2656"/>
      <c r="Y1605" s="2656"/>
      <c r="Z1605" s="2656"/>
      <c r="AA1605" s="2656"/>
      <c r="AB1605" s="2656"/>
      <c r="AC1605" s="2656"/>
      <c r="AD1605" s="2656"/>
      <c r="AE1605" s="2656"/>
      <c r="AF1605" s="2656"/>
      <c r="AG1605" s="2656"/>
      <c r="AH1605" s="2656"/>
      <c r="AI1605" s="2656"/>
      <c r="AJ1605" s="2656"/>
      <c r="AK1605" s="2656"/>
      <c r="AL1605" s="2656"/>
      <c r="AM1605" s="2656"/>
      <c r="AN1605" s="2656"/>
      <c r="AO1605" s="2656"/>
      <c r="AP1605" s="2656"/>
      <c r="AQ1605" s="2656"/>
      <c r="AR1605" s="2656"/>
      <c r="AS1605" s="2656"/>
      <c r="AT1605" s="2656"/>
      <c r="AU1605" s="2656"/>
      <c r="AV1605" s="2656"/>
      <c r="AW1605" s="2656"/>
      <c r="AX1605" s="2656"/>
      <c r="AY1605" s="2656"/>
      <c r="AZ1605" s="2656"/>
      <c r="BA1605" s="2656"/>
      <c r="BB1605" s="2656"/>
      <c r="BC1605" s="2656"/>
      <c r="BD1605" s="2656"/>
      <c r="BE1605" s="2656"/>
      <c r="BF1605" s="2656"/>
      <c r="BG1605" s="2656"/>
      <c r="BH1605" s="2656"/>
      <c r="BI1605" s="2656"/>
    </row>
    <row r="1606" spans="1:61" ht="24.75" customHeight="1">
      <c r="A1606" s="3375"/>
      <c r="B1606" s="2646"/>
      <c r="C1606" s="2647"/>
      <c r="D1606" s="2646"/>
      <c r="E1606" s="3013"/>
      <c r="F1606" s="2655"/>
      <c r="G1606" s="2596"/>
      <c r="H1606" s="4138"/>
      <c r="I1606" s="3375"/>
      <c r="J1606" s="2648"/>
      <c r="K1606" s="3147"/>
      <c r="L1606" s="2785"/>
      <c r="M1606" s="2695"/>
      <c r="N1606" s="2649"/>
      <c r="O1606" s="2655"/>
      <c r="P1606" s="2651"/>
      <c r="Q1606" s="3440"/>
      <c r="R1606" s="3553"/>
      <c r="S1606" s="1407"/>
      <c r="T1606" s="3375"/>
      <c r="U1606" s="2648"/>
      <c r="V1606" s="3554"/>
      <c r="W1606" s="3150"/>
      <c r="X1606" s="2656"/>
      <c r="Y1606" s="2656"/>
      <c r="Z1606" s="2656"/>
      <c r="AA1606" s="2656"/>
      <c r="AB1606" s="2656"/>
      <c r="AC1606" s="2656"/>
      <c r="AD1606" s="2656"/>
      <c r="AE1606" s="2656"/>
      <c r="AF1606" s="2656"/>
      <c r="AG1606" s="2656"/>
      <c r="AH1606" s="2656"/>
      <c r="AI1606" s="2656"/>
      <c r="AJ1606" s="2656"/>
      <c r="AK1606" s="2656"/>
      <c r="AL1606" s="2656"/>
      <c r="AM1606" s="2656"/>
      <c r="AN1606" s="2656"/>
      <c r="AO1606" s="2656"/>
      <c r="AP1606" s="2656"/>
      <c r="AQ1606" s="2656"/>
      <c r="AR1606" s="2656"/>
      <c r="AS1606" s="2656"/>
      <c r="AT1606" s="2656"/>
      <c r="AU1606" s="2656"/>
      <c r="AV1606" s="2656"/>
      <c r="AW1606" s="2656"/>
      <c r="AX1606" s="2656"/>
      <c r="AY1606" s="2656"/>
      <c r="AZ1606" s="2656"/>
      <c r="BA1606" s="2656"/>
      <c r="BB1606" s="2656"/>
      <c r="BC1606" s="2656"/>
      <c r="BD1606" s="2656"/>
      <c r="BE1606" s="2656"/>
      <c r="BF1606" s="2656"/>
      <c r="BG1606" s="2656"/>
      <c r="BH1606" s="2656"/>
      <c r="BI1606" s="2656"/>
    </row>
    <row r="1607" spans="1:61" ht="24.75" customHeight="1">
      <c r="A1607" s="3375"/>
      <c r="B1607" s="2646"/>
      <c r="C1607" s="2647"/>
      <c r="D1607" s="2646"/>
      <c r="E1607" s="3013"/>
      <c r="F1607" s="2655"/>
      <c r="G1607" s="2596"/>
      <c r="H1607" s="4138"/>
      <c r="I1607" s="3375"/>
      <c r="J1607" s="2648"/>
      <c r="K1607" s="3147"/>
      <c r="L1607" s="2785"/>
      <c r="M1607" s="2695"/>
      <c r="N1607" s="2649"/>
      <c r="O1607" s="2655"/>
      <c r="P1607" s="2651"/>
      <c r="Q1607" s="3440"/>
      <c r="R1607" s="3553"/>
      <c r="S1607" s="1407"/>
      <c r="T1607" s="3375"/>
      <c r="U1607" s="2648"/>
      <c r="V1607" s="3554"/>
      <c r="W1607" s="3150"/>
      <c r="X1607" s="2656"/>
      <c r="Y1607" s="2656"/>
      <c r="Z1607" s="2656"/>
      <c r="AA1607" s="2656"/>
      <c r="AB1607" s="2656"/>
      <c r="AC1607" s="2656"/>
      <c r="AD1607" s="2656"/>
      <c r="AE1607" s="2656"/>
      <c r="AF1607" s="2656"/>
      <c r="AG1607" s="2656"/>
      <c r="AH1607" s="2656"/>
      <c r="AI1607" s="2656"/>
      <c r="AJ1607" s="2656"/>
      <c r="AK1607" s="2656"/>
      <c r="AL1607" s="2656"/>
      <c r="AM1607" s="2656"/>
      <c r="AN1607" s="2656"/>
      <c r="AO1607" s="2656"/>
      <c r="AP1607" s="2656"/>
      <c r="AQ1607" s="2656"/>
      <c r="AR1607" s="2656"/>
      <c r="AS1607" s="2656"/>
      <c r="AT1607" s="2656"/>
      <c r="AU1607" s="2656"/>
      <c r="AV1607" s="2656"/>
      <c r="AW1607" s="2656"/>
      <c r="AX1607" s="2656"/>
      <c r="AY1607" s="2656"/>
      <c r="AZ1607" s="2656"/>
      <c r="BA1607" s="2656"/>
      <c r="BB1607" s="2656"/>
      <c r="BC1607" s="2656"/>
      <c r="BD1607" s="2656"/>
      <c r="BE1607" s="2656"/>
      <c r="BF1607" s="2656"/>
      <c r="BG1607" s="2656"/>
      <c r="BH1607" s="2656"/>
      <c r="BI1607" s="2656"/>
    </row>
    <row r="1608" spans="1:61" ht="24.75" customHeight="1">
      <c r="A1608" s="3375"/>
      <c r="B1608" s="2646"/>
      <c r="C1608" s="2647"/>
      <c r="D1608" s="2646"/>
      <c r="E1608" s="3013"/>
      <c r="F1608" s="2655"/>
      <c r="G1608" s="2596"/>
      <c r="H1608" s="4138"/>
      <c r="I1608" s="3375"/>
      <c r="J1608" s="2648"/>
      <c r="K1608" s="3147"/>
      <c r="L1608" s="2785"/>
      <c r="M1608" s="2695"/>
      <c r="N1608" s="2649"/>
      <c r="O1608" s="2655"/>
      <c r="P1608" s="2651"/>
      <c r="Q1608" s="3440"/>
      <c r="R1608" s="3553"/>
      <c r="S1608" s="1407"/>
      <c r="T1608" s="3375"/>
      <c r="U1608" s="2648"/>
      <c r="V1608" s="3554"/>
      <c r="W1608" s="3150"/>
      <c r="X1608" s="2656"/>
      <c r="Y1608" s="2656"/>
      <c r="Z1608" s="2656"/>
      <c r="AA1608" s="2656"/>
      <c r="AB1608" s="2656"/>
      <c r="AC1608" s="2656"/>
      <c r="AD1608" s="2656"/>
      <c r="AE1608" s="2656"/>
      <c r="AF1608" s="2656"/>
      <c r="AG1608" s="2656"/>
      <c r="AH1608" s="2656"/>
      <c r="AI1608" s="2656"/>
      <c r="AJ1608" s="2656"/>
      <c r="AK1608" s="2656"/>
      <c r="AL1608" s="2656"/>
      <c r="AM1608" s="2656"/>
      <c r="AN1608" s="2656"/>
      <c r="AO1608" s="2656"/>
      <c r="AP1608" s="2656"/>
      <c r="AQ1608" s="2656"/>
      <c r="AR1608" s="2656"/>
      <c r="AS1608" s="2656"/>
      <c r="AT1608" s="2656"/>
      <c r="AU1608" s="2656"/>
      <c r="AV1608" s="2656"/>
      <c r="AW1608" s="2656"/>
      <c r="AX1608" s="2656"/>
      <c r="AY1608" s="2656"/>
      <c r="AZ1608" s="2656"/>
      <c r="BA1608" s="2656"/>
      <c r="BB1608" s="2656"/>
      <c r="BC1608" s="2656"/>
      <c r="BD1608" s="2656"/>
      <c r="BE1608" s="2656"/>
      <c r="BF1608" s="2656"/>
      <c r="BG1608" s="2656"/>
      <c r="BH1608" s="2656"/>
      <c r="BI1608" s="2656"/>
    </row>
    <row r="1609" spans="1:61" ht="24.75" customHeight="1">
      <c r="A1609" s="3375"/>
      <c r="B1609" s="2646"/>
      <c r="C1609" s="2647"/>
      <c r="D1609" s="2646"/>
      <c r="E1609" s="3013"/>
      <c r="F1609" s="2655"/>
      <c r="G1609" s="2596"/>
      <c r="H1609" s="4138"/>
      <c r="I1609" s="3375"/>
      <c r="J1609" s="2648"/>
      <c r="K1609" s="3147"/>
      <c r="L1609" s="2785"/>
      <c r="M1609" s="2695"/>
      <c r="N1609" s="2649"/>
      <c r="O1609" s="2655"/>
      <c r="P1609" s="2651"/>
      <c r="Q1609" s="3440"/>
      <c r="R1609" s="3553"/>
      <c r="S1609" s="1407"/>
      <c r="T1609" s="3375"/>
      <c r="U1609" s="2648"/>
      <c r="V1609" s="3554"/>
      <c r="W1609" s="3150"/>
      <c r="X1609" s="2656"/>
      <c r="Y1609" s="2656"/>
      <c r="Z1609" s="2656"/>
      <c r="AA1609" s="2656"/>
      <c r="AB1609" s="2656"/>
      <c r="AC1609" s="2656"/>
      <c r="AD1609" s="2656"/>
      <c r="AE1609" s="2656"/>
      <c r="AF1609" s="2656"/>
      <c r="AG1609" s="2656"/>
      <c r="AH1609" s="2656"/>
      <c r="AI1609" s="2656"/>
      <c r="AJ1609" s="2656"/>
      <c r="AK1609" s="2656"/>
      <c r="AL1609" s="2656"/>
      <c r="AM1609" s="2656"/>
      <c r="AN1609" s="2656"/>
      <c r="AO1609" s="2656"/>
      <c r="AP1609" s="2656"/>
      <c r="AQ1609" s="2656"/>
      <c r="AR1609" s="2656"/>
      <c r="AS1609" s="2656"/>
      <c r="AT1609" s="2656"/>
      <c r="AU1609" s="2656"/>
      <c r="AV1609" s="2656"/>
      <c r="AW1609" s="2656"/>
      <c r="AX1609" s="2656"/>
      <c r="AY1609" s="2656"/>
      <c r="AZ1609" s="2656"/>
      <c r="BA1609" s="2656"/>
      <c r="BB1609" s="2656"/>
      <c r="BC1609" s="2656"/>
      <c r="BD1609" s="2656"/>
      <c r="BE1609" s="2656"/>
      <c r="BF1609" s="2656"/>
      <c r="BG1609" s="2656"/>
      <c r="BH1609" s="2656"/>
      <c r="BI1609" s="2656"/>
    </row>
    <row r="1610" spans="1:61" ht="24.75" customHeight="1">
      <c r="A1610" s="3375"/>
      <c r="B1610" s="2646"/>
      <c r="C1610" s="2647"/>
      <c r="D1610" s="2646"/>
      <c r="E1610" s="3013"/>
      <c r="F1610" s="2655"/>
      <c r="G1610" s="2596"/>
      <c r="H1610" s="4138"/>
      <c r="I1610" s="3375"/>
      <c r="J1610" s="2648"/>
      <c r="K1610" s="3147"/>
      <c r="L1610" s="2785"/>
      <c r="M1610" s="2695"/>
      <c r="N1610" s="2649"/>
      <c r="O1610" s="2655"/>
      <c r="P1610" s="2651"/>
      <c r="Q1610" s="3440"/>
      <c r="R1610" s="3553"/>
      <c r="S1610" s="1407"/>
      <c r="T1610" s="3375"/>
      <c r="U1610" s="2648"/>
      <c r="V1610" s="3554"/>
      <c r="W1610" s="3150"/>
      <c r="X1610" s="2656"/>
      <c r="Y1610" s="2656"/>
      <c r="Z1610" s="2656"/>
      <c r="AA1610" s="2656"/>
      <c r="AB1610" s="2656"/>
      <c r="AC1610" s="2656"/>
      <c r="AD1610" s="2656"/>
      <c r="AE1610" s="2656"/>
      <c r="AF1610" s="2656"/>
      <c r="AG1610" s="2656"/>
      <c r="AH1610" s="2656"/>
      <c r="AI1610" s="2656"/>
      <c r="AJ1610" s="2656"/>
      <c r="AK1610" s="2656"/>
      <c r="AL1610" s="2656"/>
      <c r="AM1610" s="2656"/>
      <c r="AN1610" s="2656"/>
      <c r="AO1610" s="2656"/>
      <c r="AP1610" s="2656"/>
      <c r="AQ1610" s="2656"/>
      <c r="AR1610" s="2656"/>
      <c r="AS1610" s="2656"/>
      <c r="AT1610" s="2656"/>
      <c r="AU1610" s="2656"/>
      <c r="AV1610" s="2656"/>
      <c r="AW1610" s="2656"/>
      <c r="AX1610" s="2656"/>
      <c r="AY1610" s="2656"/>
      <c r="AZ1610" s="2656"/>
      <c r="BA1610" s="2656"/>
      <c r="BB1610" s="2656"/>
      <c r="BC1610" s="2656"/>
      <c r="BD1610" s="2656"/>
      <c r="BE1610" s="2656"/>
      <c r="BF1610" s="2656"/>
      <c r="BG1610" s="2656"/>
      <c r="BH1610" s="2656"/>
      <c r="BI1610" s="2656"/>
    </row>
    <row r="1611" spans="1:61" ht="24.75" customHeight="1">
      <c r="A1611" s="3375"/>
      <c r="B1611" s="2646"/>
      <c r="C1611" s="2647"/>
      <c r="D1611" s="2646"/>
      <c r="E1611" s="3013"/>
      <c r="F1611" s="2655"/>
      <c r="G1611" s="2596"/>
      <c r="H1611" s="4138"/>
      <c r="I1611" s="3375"/>
      <c r="J1611" s="2648"/>
      <c r="K1611" s="3147"/>
      <c r="L1611" s="2785"/>
      <c r="M1611" s="2695"/>
      <c r="N1611" s="2649"/>
      <c r="O1611" s="2655"/>
      <c r="P1611" s="2651"/>
      <c r="Q1611" s="3440"/>
      <c r="R1611" s="3553"/>
      <c r="S1611" s="1407"/>
      <c r="T1611" s="3375"/>
      <c r="U1611" s="2648"/>
      <c r="V1611" s="3554"/>
      <c r="W1611" s="3150"/>
      <c r="X1611" s="2656"/>
      <c r="Y1611" s="2656"/>
      <c r="Z1611" s="2656"/>
      <c r="AA1611" s="2656"/>
      <c r="AB1611" s="2656"/>
      <c r="AC1611" s="2656"/>
      <c r="AD1611" s="2656"/>
      <c r="AE1611" s="2656"/>
      <c r="AF1611" s="2656"/>
      <c r="AG1611" s="2656"/>
      <c r="AH1611" s="2656"/>
      <c r="AI1611" s="2656"/>
      <c r="AJ1611" s="2656"/>
      <c r="AK1611" s="2656"/>
      <c r="AL1611" s="2656"/>
      <c r="AM1611" s="2656"/>
      <c r="AN1611" s="2656"/>
      <c r="AO1611" s="2656"/>
      <c r="AP1611" s="2656"/>
      <c r="AQ1611" s="2656"/>
      <c r="AR1611" s="2656"/>
      <c r="AS1611" s="2656"/>
      <c r="AT1611" s="2656"/>
      <c r="AU1611" s="2656"/>
      <c r="AV1611" s="2656"/>
      <c r="AW1611" s="2656"/>
      <c r="AX1611" s="2656"/>
      <c r="AY1611" s="2656"/>
      <c r="AZ1611" s="2656"/>
      <c r="BA1611" s="2656"/>
      <c r="BB1611" s="2656"/>
      <c r="BC1611" s="2656"/>
      <c r="BD1611" s="2656"/>
      <c r="BE1611" s="2656"/>
      <c r="BF1611" s="2656"/>
      <c r="BG1611" s="2656"/>
      <c r="BH1611" s="2656"/>
      <c r="BI1611" s="2656"/>
    </row>
    <row r="1612" spans="1:61" ht="24.75" customHeight="1">
      <c r="A1612" s="3375"/>
      <c r="B1612" s="2646"/>
      <c r="C1612" s="2647"/>
      <c r="D1612" s="2646"/>
      <c r="E1612" s="3013"/>
      <c r="F1612" s="2655"/>
      <c r="G1612" s="2596"/>
      <c r="H1612" s="4138"/>
      <c r="I1612" s="3375"/>
      <c r="J1612" s="2648"/>
      <c r="K1612" s="3147"/>
      <c r="L1612" s="2785"/>
      <c r="M1612" s="2695"/>
      <c r="N1612" s="2649"/>
      <c r="O1612" s="2655"/>
      <c r="P1612" s="2651"/>
      <c r="Q1612" s="3440"/>
      <c r="R1612" s="3553"/>
      <c r="S1612" s="1407"/>
      <c r="T1612" s="3375"/>
      <c r="U1612" s="2648"/>
      <c r="V1612" s="3554"/>
      <c r="W1612" s="3150"/>
      <c r="X1612" s="2656"/>
      <c r="Y1612" s="2656"/>
      <c r="Z1612" s="2656"/>
      <c r="AA1612" s="2656"/>
      <c r="AB1612" s="2656"/>
      <c r="AC1612" s="2656"/>
      <c r="AD1612" s="2656"/>
      <c r="AE1612" s="2656"/>
      <c r="AF1612" s="2656"/>
      <c r="AG1612" s="2656"/>
      <c r="AH1612" s="2656"/>
      <c r="AI1612" s="2656"/>
      <c r="AJ1612" s="2656"/>
      <c r="AK1612" s="2656"/>
      <c r="AL1612" s="2656"/>
      <c r="AM1612" s="2656"/>
      <c r="AN1612" s="2656"/>
      <c r="AO1612" s="2656"/>
      <c r="AP1612" s="2656"/>
      <c r="AQ1612" s="2656"/>
      <c r="AR1612" s="2656"/>
      <c r="AS1612" s="2656"/>
      <c r="AT1612" s="2656"/>
      <c r="AU1612" s="2656"/>
      <c r="AV1612" s="2656"/>
      <c r="AW1612" s="2656"/>
      <c r="AX1612" s="2656"/>
      <c r="AY1612" s="2656"/>
      <c r="AZ1612" s="2656"/>
      <c r="BA1612" s="2656"/>
      <c r="BB1612" s="2656"/>
      <c r="BC1612" s="2656"/>
      <c r="BD1612" s="2656"/>
      <c r="BE1612" s="2656"/>
      <c r="BF1612" s="2656"/>
      <c r="BG1612" s="2656"/>
      <c r="BH1612" s="2656"/>
      <c r="BI1612" s="2656"/>
    </row>
    <row r="1613" spans="1:61" ht="24.75" customHeight="1">
      <c r="A1613" s="3375"/>
      <c r="B1613" s="2646"/>
      <c r="C1613" s="2647"/>
      <c r="D1613" s="2646"/>
      <c r="E1613" s="3013"/>
      <c r="F1613" s="2655"/>
      <c r="G1613" s="2596"/>
      <c r="H1613" s="4138"/>
      <c r="I1613" s="3375"/>
      <c r="J1613" s="2648"/>
      <c r="K1613" s="3147"/>
      <c r="L1613" s="2785"/>
      <c r="M1613" s="2695"/>
      <c r="N1613" s="2649"/>
      <c r="O1613" s="2655"/>
      <c r="P1613" s="2651"/>
      <c r="Q1613" s="3440"/>
      <c r="R1613" s="3553"/>
      <c r="S1613" s="1407"/>
      <c r="T1613" s="3375"/>
      <c r="U1613" s="2648"/>
      <c r="V1613" s="3554"/>
      <c r="W1613" s="3150"/>
      <c r="X1613" s="2656"/>
      <c r="Y1613" s="2656"/>
      <c r="Z1613" s="2656"/>
      <c r="AA1613" s="2656"/>
      <c r="AB1613" s="2656"/>
      <c r="AC1613" s="2656"/>
      <c r="AD1613" s="2656"/>
      <c r="AE1613" s="2656"/>
      <c r="AF1613" s="2656"/>
      <c r="AG1613" s="2656"/>
      <c r="AH1613" s="2656"/>
      <c r="AI1613" s="2656"/>
      <c r="AJ1613" s="2656"/>
      <c r="AK1613" s="2656"/>
      <c r="AL1613" s="2656"/>
      <c r="AM1613" s="2656"/>
      <c r="AN1613" s="2656"/>
      <c r="AO1613" s="2656"/>
      <c r="AP1613" s="2656"/>
      <c r="AQ1613" s="2656"/>
      <c r="AR1613" s="2656"/>
      <c r="AS1613" s="2656"/>
      <c r="AT1613" s="2656"/>
      <c r="AU1613" s="2656"/>
      <c r="AV1613" s="2656"/>
      <c r="AW1613" s="2656"/>
      <c r="AX1613" s="2656"/>
      <c r="AY1613" s="2656"/>
      <c r="AZ1613" s="2656"/>
      <c r="BA1613" s="2656"/>
      <c r="BB1613" s="2656"/>
      <c r="BC1613" s="2656"/>
      <c r="BD1613" s="2656"/>
      <c r="BE1613" s="2656"/>
      <c r="BF1613" s="2656"/>
      <c r="BG1613" s="2656"/>
      <c r="BH1613" s="2656"/>
      <c r="BI1613" s="2656"/>
    </row>
    <row r="1614" spans="1:61" ht="24.75" customHeight="1">
      <c r="A1614" s="3375"/>
      <c r="B1614" s="2646"/>
      <c r="C1614" s="2647"/>
      <c r="D1614" s="2646"/>
      <c r="E1614" s="3013"/>
      <c r="F1614" s="2655"/>
      <c r="G1614" s="2596"/>
      <c r="H1614" s="4138"/>
      <c r="I1614" s="3375"/>
      <c r="J1614" s="2648"/>
      <c r="K1614" s="3147"/>
      <c r="L1614" s="2785"/>
      <c r="M1614" s="2695"/>
      <c r="N1614" s="2649"/>
      <c r="O1614" s="2655"/>
      <c r="P1614" s="2651"/>
      <c r="Q1614" s="3440"/>
      <c r="R1614" s="3553"/>
      <c r="S1614" s="1407"/>
      <c r="T1614" s="3375"/>
      <c r="U1614" s="2648"/>
      <c r="V1614" s="3554"/>
      <c r="W1614" s="3150"/>
      <c r="X1614" s="2656"/>
      <c r="Y1614" s="2656"/>
      <c r="Z1614" s="2656"/>
      <c r="AA1614" s="2656"/>
      <c r="AB1614" s="2656"/>
      <c r="AC1614" s="2656"/>
      <c r="AD1614" s="2656"/>
      <c r="AE1614" s="2656"/>
      <c r="AF1614" s="2656"/>
      <c r="AG1614" s="2656"/>
      <c r="AH1614" s="2656"/>
      <c r="AI1614" s="2656"/>
      <c r="AJ1614" s="2656"/>
      <c r="AK1614" s="2656"/>
      <c r="AL1614" s="2656"/>
      <c r="AM1614" s="2656"/>
      <c r="AN1614" s="2656"/>
      <c r="AO1614" s="2656"/>
      <c r="AP1614" s="2656"/>
      <c r="AQ1614" s="2656"/>
      <c r="AR1614" s="2656"/>
      <c r="AS1614" s="2656"/>
      <c r="AT1614" s="2656"/>
      <c r="AU1614" s="2656"/>
      <c r="AV1614" s="2656"/>
      <c r="AW1614" s="2656"/>
      <c r="AX1614" s="2656"/>
      <c r="AY1614" s="2656"/>
      <c r="AZ1614" s="2656"/>
      <c r="BA1614" s="2656"/>
      <c r="BB1614" s="2656"/>
      <c r="BC1614" s="2656"/>
      <c r="BD1614" s="2656"/>
      <c r="BE1614" s="2656"/>
      <c r="BF1614" s="2656"/>
      <c r="BG1614" s="2656"/>
      <c r="BH1614" s="2656"/>
      <c r="BI1614" s="2656"/>
    </row>
    <row r="1615" spans="1:61" ht="24.75" customHeight="1">
      <c r="A1615" s="3375"/>
      <c r="B1615" s="2646"/>
      <c r="C1615" s="2647"/>
      <c r="D1615" s="2646"/>
      <c r="E1615" s="3013"/>
      <c r="F1615" s="2655"/>
      <c r="G1615" s="2596"/>
      <c r="H1615" s="4138"/>
      <c r="I1615" s="3375"/>
      <c r="J1615" s="2648"/>
      <c r="K1615" s="3147"/>
      <c r="L1615" s="2785"/>
      <c r="M1615" s="2695"/>
      <c r="N1615" s="2649"/>
      <c r="O1615" s="2655"/>
      <c r="P1615" s="2651"/>
      <c r="Q1615" s="3440"/>
      <c r="R1615" s="3553"/>
      <c r="S1615" s="1407"/>
      <c r="T1615" s="3375"/>
      <c r="U1615" s="2648"/>
      <c r="V1615" s="3554"/>
      <c r="W1615" s="3150"/>
      <c r="X1615" s="2656"/>
      <c r="Y1615" s="2656"/>
      <c r="Z1615" s="2656"/>
      <c r="AA1615" s="2656"/>
      <c r="AB1615" s="2656"/>
      <c r="AC1615" s="2656"/>
      <c r="AD1615" s="2656"/>
      <c r="AE1615" s="2656"/>
      <c r="AF1615" s="2656"/>
      <c r="AG1615" s="2656"/>
      <c r="AH1615" s="2656"/>
      <c r="AI1615" s="2656"/>
      <c r="AJ1615" s="2656"/>
      <c r="AK1615" s="2656"/>
      <c r="AL1615" s="2656"/>
      <c r="AM1615" s="2656"/>
      <c r="AN1615" s="2656"/>
      <c r="AO1615" s="2656"/>
      <c r="AP1615" s="2656"/>
      <c r="AQ1615" s="2656"/>
      <c r="AR1615" s="2656"/>
      <c r="AS1615" s="2656"/>
      <c r="AT1615" s="2656"/>
      <c r="AU1615" s="2656"/>
      <c r="AV1615" s="2656"/>
      <c r="AW1615" s="2656"/>
      <c r="AX1615" s="2656"/>
      <c r="AY1615" s="2656"/>
      <c r="AZ1615" s="2656"/>
      <c r="BA1615" s="2656"/>
      <c r="BB1615" s="2656"/>
      <c r="BC1615" s="2656"/>
      <c r="BD1615" s="2656"/>
      <c r="BE1615" s="2656"/>
      <c r="BF1615" s="2656"/>
      <c r="BG1615" s="2656"/>
      <c r="BH1615" s="2656"/>
      <c r="BI1615" s="2656"/>
    </row>
    <row r="1616" spans="1:61" ht="24.75" customHeight="1">
      <c r="A1616" s="3375"/>
      <c r="B1616" s="2646"/>
      <c r="C1616" s="2647"/>
      <c r="D1616" s="2646"/>
      <c r="E1616" s="3013"/>
      <c r="F1616" s="2655"/>
      <c r="G1616" s="2596"/>
      <c r="H1616" s="4138"/>
      <c r="I1616" s="3375"/>
      <c r="J1616" s="2648"/>
      <c r="K1616" s="3147"/>
      <c r="L1616" s="2785"/>
      <c r="M1616" s="2695"/>
      <c r="N1616" s="2649"/>
      <c r="O1616" s="2655"/>
      <c r="P1616" s="2651"/>
      <c r="Q1616" s="3440"/>
      <c r="R1616" s="3553"/>
      <c r="S1616" s="1407"/>
      <c r="T1616" s="3375"/>
      <c r="U1616" s="2648"/>
      <c r="V1616" s="3554"/>
      <c r="W1616" s="3150"/>
      <c r="X1616" s="2656"/>
      <c r="Y1616" s="2656"/>
      <c r="Z1616" s="2656"/>
      <c r="AA1616" s="2656"/>
      <c r="AB1616" s="2656"/>
      <c r="AC1616" s="2656"/>
      <c r="AD1616" s="2656"/>
      <c r="AE1616" s="2656"/>
      <c r="AF1616" s="2656"/>
      <c r="AG1616" s="2656"/>
      <c r="AH1616" s="2656"/>
      <c r="AI1616" s="2656"/>
      <c r="AJ1616" s="2656"/>
      <c r="AK1616" s="2656"/>
      <c r="AL1616" s="2656"/>
      <c r="AM1616" s="2656"/>
      <c r="AN1616" s="2656"/>
      <c r="AO1616" s="2656"/>
      <c r="AP1616" s="2656"/>
      <c r="AQ1616" s="2656"/>
      <c r="AR1616" s="2656"/>
      <c r="AS1616" s="2656"/>
      <c r="AT1616" s="2656"/>
      <c r="AU1616" s="2656"/>
      <c r="AV1616" s="2656"/>
      <c r="AW1616" s="2656"/>
      <c r="AX1616" s="2656"/>
      <c r="AY1616" s="2656"/>
      <c r="AZ1616" s="2656"/>
      <c r="BA1616" s="2656"/>
      <c r="BB1616" s="2656"/>
      <c r="BC1616" s="2656"/>
      <c r="BD1616" s="2656"/>
      <c r="BE1616" s="2656"/>
      <c r="BF1616" s="2656"/>
      <c r="BG1616" s="2656"/>
      <c r="BH1616" s="2656"/>
      <c r="BI1616" s="2656"/>
    </row>
    <row r="1617" spans="1:61" ht="24.75" customHeight="1">
      <c r="A1617" s="3375"/>
      <c r="B1617" s="2646"/>
      <c r="C1617" s="2647"/>
      <c r="D1617" s="2646"/>
      <c r="E1617" s="3013"/>
      <c r="F1617" s="2655"/>
      <c r="G1617" s="2596"/>
      <c r="H1617" s="4138"/>
      <c r="I1617" s="3375"/>
      <c r="J1617" s="2648"/>
      <c r="K1617" s="3147"/>
      <c r="L1617" s="2785"/>
      <c r="M1617" s="2695"/>
      <c r="N1617" s="2649"/>
      <c r="O1617" s="2655"/>
      <c r="P1617" s="2651"/>
      <c r="Q1617" s="3440"/>
      <c r="R1617" s="3553"/>
      <c r="S1617" s="1407"/>
      <c r="T1617" s="3375"/>
      <c r="U1617" s="2648"/>
      <c r="V1617" s="3554"/>
      <c r="W1617" s="3150"/>
      <c r="X1617" s="2656"/>
      <c r="Y1617" s="2656"/>
      <c r="Z1617" s="2656"/>
      <c r="AA1617" s="2656"/>
      <c r="AB1617" s="2656"/>
      <c r="AC1617" s="2656"/>
      <c r="AD1617" s="2656"/>
      <c r="AE1617" s="2656"/>
      <c r="AF1617" s="2656"/>
      <c r="AG1617" s="2656"/>
      <c r="AH1617" s="2656"/>
      <c r="AI1617" s="2656"/>
      <c r="AJ1617" s="2656"/>
      <c r="AK1617" s="2656"/>
      <c r="AL1617" s="2656"/>
      <c r="AM1617" s="2656"/>
      <c r="AN1617" s="2656"/>
      <c r="AO1617" s="2656"/>
      <c r="AP1617" s="2656"/>
      <c r="AQ1617" s="2656"/>
      <c r="AR1617" s="2656"/>
      <c r="AS1617" s="2656"/>
      <c r="AT1617" s="2656"/>
      <c r="AU1617" s="2656"/>
      <c r="AV1617" s="2656"/>
      <c r="AW1617" s="2656"/>
      <c r="AX1617" s="2656"/>
      <c r="AY1617" s="2656"/>
      <c r="AZ1617" s="2656"/>
      <c r="BA1617" s="2656"/>
      <c r="BB1617" s="2656"/>
      <c r="BC1617" s="2656"/>
      <c r="BD1617" s="2656"/>
      <c r="BE1617" s="2656"/>
      <c r="BF1617" s="2656"/>
      <c r="BG1617" s="2656"/>
      <c r="BH1617" s="2656"/>
      <c r="BI1617" s="2656"/>
    </row>
    <row r="1618" spans="1:61" ht="24.75" customHeight="1">
      <c r="A1618" s="3375"/>
      <c r="B1618" s="2646"/>
      <c r="C1618" s="2647"/>
      <c r="D1618" s="2646"/>
      <c r="E1618" s="3013"/>
      <c r="F1618" s="2655"/>
      <c r="G1618" s="2596"/>
      <c r="H1618" s="4138"/>
      <c r="I1618" s="3375"/>
      <c r="J1618" s="2648"/>
      <c r="K1618" s="3147"/>
      <c r="L1618" s="2785"/>
      <c r="M1618" s="2695"/>
      <c r="N1618" s="2649"/>
      <c r="O1618" s="2655"/>
      <c r="P1618" s="2651"/>
      <c r="Q1618" s="3440"/>
      <c r="R1618" s="3553"/>
      <c r="S1618" s="1407"/>
      <c r="T1618" s="3375"/>
      <c r="U1618" s="2648"/>
      <c r="V1618" s="3554"/>
      <c r="W1618" s="3150"/>
      <c r="X1618" s="2656"/>
      <c r="Y1618" s="2656"/>
      <c r="Z1618" s="2656"/>
      <c r="AA1618" s="2656"/>
      <c r="AB1618" s="2656"/>
      <c r="AC1618" s="2656"/>
      <c r="AD1618" s="2656"/>
      <c r="AE1618" s="2656"/>
      <c r="AF1618" s="2656"/>
      <c r="AG1618" s="2656"/>
      <c r="AH1618" s="2656"/>
      <c r="AI1618" s="2656"/>
      <c r="AJ1618" s="2656"/>
      <c r="AK1618" s="2656"/>
      <c r="AL1618" s="2656"/>
      <c r="AM1618" s="2656"/>
      <c r="AN1618" s="2656"/>
      <c r="AO1618" s="2656"/>
      <c r="AP1618" s="2656"/>
      <c r="AQ1618" s="2656"/>
      <c r="AR1618" s="2656"/>
      <c r="AS1618" s="2656"/>
      <c r="AT1618" s="2656"/>
      <c r="AU1618" s="2656"/>
      <c r="AV1618" s="2656"/>
      <c r="AW1618" s="2656"/>
      <c r="AX1618" s="2656"/>
      <c r="AY1618" s="2656"/>
      <c r="AZ1618" s="2656"/>
      <c r="BA1618" s="2656"/>
      <c r="BB1618" s="2656"/>
      <c r="BC1618" s="2656"/>
      <c r="BD1618" s="2656"/>
      <c r="BE1618" s="2656"/>
      <c r="BF1618" s="2656"/>
      <c r="BG1618" s="2656"/>
      <c r="BH1618" s="2656"/>
      <c r="BI1618" s="2656"/>
    </row>
    <row r="1619" spans="1:61" ht="24.75" customHeight="1">
      <c r="A1619" s="3375"/>
      <c r="B1619" s="2646"/>
      <c r="C1619" s="2647"/>
      <c r="D1619" s="2646"/>
      <c r="E1619" s="3013"/>
      <c r="F1619" s="2655"/>
      <c r="G1619" s="2596"/>
      <c r="H1619" s="4138"/>
      <c r="I1619" s="3375"/>
      <c r="J1619" s="2648"/>
      <c r="K1619" s="3147"/>
      <c r="L1619" s="2785"/>
      <c r="M1619" s="2695"/>
      <c r="N1619" s="2649"/>
      <c r="O1619" s="2655"/>
      <c r="P1619" s="2651"/>
      <c r="Q1619" s="3440"/>
      <c r="R1619" s="3553"/>
      <c r="S1619" s="1407"/>
      <c r="T1619" s="3375"/>
      <c r="U1619" s="2648"/>
      <c r="V1619" s="3554"/>
      <c r="W1619" s="3150"/>
      <c r="X1619" s="2656"/>
      <c r="Y1619" s="2656"/>
      <c r="Z1619" s="2656"/>
      <c r="AA1619" s="2656"/>
      <c r="AB1619" s="2656"/>
      <c r="AC1619" s="2656"/>
      <c r="AD1619" s="2656"/>
      <c r="AE1619" s="2656"/>
      <c r="AF1619" s="2656"/>
      <c r="AG1619" s="2656"/>
      <c r="AH1619" s="2656"/>
      <c r="AI1619" s="2656"/>
      <c r="AJ1619" s="2656"/>
      <c r="AK1619" s="2656"/>
      <c r="AL1619" s="2656"/>
      <c r="AM1619" s="2656"/>
      <c r="AN1619" s="2656"/>
      <c r="AO1619" s="2656"/>
      <c r="AP1619" s="2656"/>
      <c r="AQ1619" s="2656"/>
      <c r="AR1619" s="2656"/>
      <c r="AS1619" s="2656"/>
      <c r="AT1619" s="2656"/>
      <c r="AU1619" s="2656"/>
      <c r="AV1619" s="2656"/>
      <c r="AW1619" s="2656"/>
      <c r="AX1619" s="2656"/>
      <c r="AY1619" s="2656"/>
      <c r="AZ1619" s="2656"/>
      <c r="BA1619" s="2656"/>
      <c r="BB1619" s="2656"/>
      <c r="BC1619" s="2656"/>
      <c r="BD1619" s="2656"/>
      <c r="BE1619" s="2656"/>
      <c r="BF1619" s="2656"/>
      <c r="BG1619" s="2656"/>
      <c r="BH1619" s="2656"/>
      <c r="BI1619" s="2656"/>
    </row>
    <row r="1620" spans="1:61" ht="24.75" customHeight="1">
      <c r="A1620" s="3375"/>
      <c r="B1620" s="2646"/>
      <c r="C1620" s="2647"/>
      <c r="D1620" s="2646"/>
      <c r="E1620" s="3013"/>
      <c r="F1620" s="2655"/>
      <c r="G1620" s="2596"/>
      <c r="H1620" s="4138"/>
      <c r="I1620" s="3375"/>
      <c r="J1620" s="2648"/>
      <c r="K1620" s="3147"/>
      <c r="L1620" s="2785"/>
      <c r="M1620" s="2695"/>
      <c r="N1620" s="2649"/>
      <c r="O1620" s="2655"/>
      <c r="P1620" s="2651"/>
      <c r="Q1620" s="3440"/>
      <c r="R1620" s="3553"/>
      <c r="S1620" s="1407"/>
      <c r="T1620" s="3375"/>
      <c r="U1620" s="2648"/>
      <c r="V1620" s="3554"/>
      <c r="W1620" s="3150"/>
      <c r="X1620" s="2656"/>
      <c r="Y1620" s="2656"/>
      <c r="Z1620" s="2656"/>
      <c r="AA1620" s="2656"/>
      <c r="AB1620" s="2656"/>
      <c r="AC1620" s="2656"/>
      <c r="AD1620" s="2656"/>
      <c r="AE1620" s="2656"/>
      <c r="AF1620" s="2656"/>
      <c r="AG1620" s="2656"/>
      <c r="AH1620" s="2656"/>
      <c r="AI1620" s="2656"/>
      <c r="AJ1620" s="2656"/>
      <c r="AK1620" s="2656"/>
      <c r="AL1620" s="2656"/>
      <c r="AM1620" s="2656"/>
      <c r="AN1620" s="2656"/>
      <c r="AO1620" s="2656"/>
      <c r="AP1620" s="2656"/>
      <c r="AQ1620" s="2656"/>
      <c r="AR1620" s="2656"/>
      <c r="AS1620" s="2656"/>
      <c r="AT1620" s="2656"/>
      <c r="AU1620" s="2656"/>
      <c r="AV1620" s="2656"/>
      <c r="AW1620" s="2656"/>
      <c r="AX1620" s="2656"/>
      <c r="AY1620" s="2656"/>
      <c r="AZ1620" s="2656"/>
      <c r="BA1620" s="2656"/>
      <c r="BB1620" s="2656"/>
      <c r="BC1620" s="2656"/>
      <c r="BD1620" s="2656"/>
      <c r="BE1620" s="2656"/>
      <c r="BF1620" s="2656"/>
      <c r="BG1620" s="2656"/>
      <c r="BH1620" s="2656"/>
      <c r="BI1620" s="2656"/>
    </row>
    <row r="1621" spans="1:61" ht="24.75" customHeight="1">
      <c r="A1621" s="3375"/>
      <c r="B1621" s="2646"/>
      <c r="C1621" s="2647"/>
      <c r="D1621" s="2646"/>
      <c r="E1621" s="3013"/>
      <c r="F1621" s="2655"/>
      <c r="G1621" s="2596"/>
      <c r="H1621" s="4138"/>
      <c r="I1621" s="3375"/>
      <c r="J1621" s="2648"/>
      <c r="K1621" s="3147"/>
      <c r="L1621" s="2785"/>
      <c r="M1621" s="2695"/>
      <c r="N1621" s="2649"/>
      <c r="O1621" s="2655"/>
      <c r="P1621" s="2651"/>
      <c r="Q1621" s="3440"/>
      <c r="R1621" s="3553"/>
      <c r="S1621" s="1407"/>
      <c r="T1621" s="3375"/>
      <c r="U1621" s="2648"/>
      <c r="V1621" s="3554"/>
      <c r="W1621" s="3150"/>
      <c r="X1621" s="2656"/>
      <c r="Y1621" s="2656"/>
      <c r="Z1621" s="2656"/>
      <c r="AA1621" s="2656"/>
      <c r="AB1621" s="2656"/>
      <c r="AC1621" s="2656"/>
      <c r="AD1621" s="2656"/>
      <c r="AE1621" s="2656"/>
      <c r="AF1621" s="2656"/>
      <c r="AG1621" s="2656"/>
      <c r="AH1621" s="2656"/>
      <c r="AI1621" s="2656"/>
      <c r="AJ1621" s="2656"/>
      <c r="AK1621" s="2656"/>
      <c r="AL1621" s="2656"/>
      <c r="AM1621" s="2656"/>
      <c r="AN1621" s="2656"/>
      <c r="AO1621" s="2656"/>
      <c r="AP1621" s="2656"/>
      <c r="AQ1621" s="2656"/>
      <c r="AR1621" s="2656"/>
      <c r="AS1621" s="2656"/>
      <c r="AT1621" s="2656"/>
      <c r="AU1621" s="2656"/>
      <c r="AV1621" s="2656"/>
      <c r="AW1621" s="2656"/>
      <c r="AX1621" s="2656"/>
      <c r="AY1621" s="2656"/>
      <c r="AZ1621" s="2656"/>
      <c r="BA1621" s="2656"/>
      <c r="BB1621" s="2656"/>
      <c r="BC1621" s="2656"/>
      <c r="BD1621" s="2656"/>
      <c r="BE1621" s="2656"/>
      <c r="BF1621" s="2656"/>
      <c r="BG1621" s="2656"/>
      <c r="BH1621" s="2656"/>
      <c r="BI1621" s="2656"/>
    </row>
    <row r="1622" spans="1:61" ht="24.75" customHeight="1">
      <c r="A1622" s="3375"/>
      <c r="B1622" s="2646"/>
      <c r="C1622" s="2647"/>
      <c r="D1622" s="2646"/>
      <c r="E1622" s="3013"/>
      <c r="F1622" s="2655"/>
      <c r="G1622" s="2596"/>
      <c r="H1622" s="4138"/>
      <c r="I1622" s="3375"/>
      <c r="J1622" s="2648"/>
      <c r="K1622" s="3147"/>
      <c r="L1622" s="2785"/>
      <c r="M1622" s="2695"/>
      <c r="N1622" s="2649"/>
      <c r="O1622" s="2655"/>
      <c r="P1622" s="2651"/>
      <c r="Q1622" s="3440"/>
      <c r="R1622" s="3553"/>
      <c r="S1622" s="1407"/>
      <c r="T1622" s="3375"/>
      <c r="U1622" s="2648"/>
      <c r="V1622" s="3554"/>
      <c r="W1622" s="3150"/>
      <c r="X1622" s="2656"/>
      <c r="Y1622" s="2656"/>
      <c r="Z1622" s="2656"/>
      <c r="AA1622" s="2656"/>
      <c r="AB1622" s="2656"/>
      <c r="AC1622" s="2656"/>
      <c r="AD1622" s="2656"/>
      <c r="AE1622" s="2656"/>
      <c r="AF1622" s="2656"/>
      <c r="AG1622" s="2656"/>
      <c r="AH1622" s="2656"/>
      <c r="AI1622" s="2656"/>
      <c r="AJ1622" s="2656"/>
      <c r="AK1622" s="2656"/>
      <c r="AL1622" s="2656"/>
      <c r="AM1622" s="2656"/>
      <c r="AN1622" s="2656"/>
      <c r="AO1622" s="2656"/>
      <c r="AP1622" s="2656"/>
      <c r="AQ1622" s="2656"/>
      <c r="AR1622" s="2656"/>
      <c r="AS1622" s="2656"/>
      <c r="AT1622" s="2656"/>
      <c r="AU1622" s="2656"/>
      <c r="AV1622" s="2656"/>
      <c r="AW1622" s="2656"/>
      <c r="AX1622" s="2656"/>
      <c r="AY1622" s="2656"/>
      <c r="AZ1622" s="2656"/>
      <c r="BA1622" s="2656"/>
      <c r="BB1622" s="2656"/>
      <c r="BC1622" s="2656"/>
      <c r="BD1622" s="2656"/>
      <c r="BE1622" s="2656"/>
      <c r="BF1622" s="2656"/>
      <c r="BG1622" s="2656"/>
      <c r="BH1622" s="2656"/>
      <c r="BI1622" s="2656"/>
    </row>
    <row r="1623" spans="1:61" ht="24.75" customHeight="1">
      <c r="A1623" s="3375"/>
      <c r="B1623" s="2646"/>
      <c r="C1623" s="2647"/>
      <c r="D1623" s="2646"/>
      <c r="E1623" s="3013"/>
      <c r="F1623" s="2655"/>
      <c r="G1623" s="2596"/>
      <c r="H1623" s="4138"/>
      <c r="I1623" s="3375"/>
      <c r="J1623" s="2648"/>
      <c r="K1623" s="3147"/>
      <c r="L1623" s="2785"/>
      <c r="M1623" s="2695"/>
      <c r="N1623" s="2649"/>
      <c r="O1623" s="2655"/>
      <c r="P1623" s="2651"/>
      <c r="Q1623" s="3440"/>
      <c r="R1623" s="3553"/>
      <c r="S1623" s="1407"/>
      <c r="T1623" s="3375"/>
      <c r="U1623" s="2648"/>
      <c r="V1623" s="3554"/>
      <c r="W1623" s="3150"/>
      <c r="X1623" s="2656"/>
      <c r="Y1623" s="2656"/>
      <c r="Z1623" s="2656"/>
      <c r="AA1623" s="2656"/>
      <c r="AB1623" s="2656"/>
      <c r="AC1623" s="2656"/>
      <c r="AD1623" s="2656"/>
      <c r="AE1623" s="2656"/>
      <c r="AF1623" s="2656"/>
      <c r="AG1623" s="2656"/>
      <c r="AH1623" s="2656"/>
      <c r="AI1623" s="2656"/>
      <c r="AJ1623" s="2656"/>
      <c r="AK1623" s="2656"/>
      <c r="AL1623" s="2656"/>
      <c r="AM1623" s="2656"/>
      <c r="AN1623" s="2656"/>
      <c r="AO1623" s="2656"/>
      <c r="AP1623" s="2656"/>
      <c r="AQ1623" s="2656"/>
      <c r="AR1623" s="2656"/>
      <c r="AS1623" s="2656"/>
      <c r="AT1623" s="2656"/>
      <c r="AU1623" s="2656"/>
      <c r="AV1623" s="2656"/>
      <c r="AW1623" s="2656"/>
      <c r="AX1623" s="2656"/>
      <c r="AY1623" s="2656"/>
      <c r="AZ1623" s="2656"/>
      <c r="BA1623" s="2656"/>
      <c r="BB1623" s="2656"/>
      <c r="BC1623" s="2656"/>
      <c r="BD1623" s="2656"/>
      <c r="BE1623" s="2656"/>
      <c r="BF1623" s="2656"/>
      <c r="BG1623" s="2656"/>
      <c r="BH1623" s="2656"/>
      <c r="BI1623" s="2656"/>
    </row>
    <row r="1624" spans="1:61" ht="24.75" customHeight="1">
      <c r="A1624" s="3375"/>
      <c r="B1624" s="2646"/>
      <c r="C1624" s="2647"/>
      <c r="D1624" s="2646"/>
      <c r="E1624" s="3013"/>
      <c r="F1624" s="2655"/>
      <c r="G1624" s="2596"/>
      <c r="H1624" s="4138"/>
      <c r="I1624" s="3375"/>
      <c r="J1624" s="2648"/>
      <c r="K1624" s="3147"/>
      <c r="L1624" s="2785"/>
      <c r="M1624" s="2695"/>
      <c r="N1624" s="2649"/>
      <c r="O1624" s="2655"/>
      <c r="P1624" s="2651"/>
      <c r="Q1624" s="3440"/>
      <c r="R1624" s="3553"/>
      <c r="S1624" s="1407"/>
      <c r="T1624" s="3375"/>
      <c r="U1624" s="2648"/>
      <c r="V1624" s="3554"/>
      <c r="W1624" s="3150"/>
      <c r="X1624" s="2656"/>
      <c r="Y1624" s="2656"/>
      <c r="Z1624" s="2656"/>
      <c r="AA1624" s="2656"/>
      <c r="AB1624" s="2656"/>
      <c r="AC1624" s="2656"/>
      <c r="AD1624" s="2656"/>
      <c r="AE1624" s="2656"/>
      <c r="AF1624" s="2656"/>
      <c r="AG1624" s="2656"/>
      <c r="AH1624" s="2656"/>
      <c r="AI1624" s="2656"/>
      <c r="AJ1624" s="2656"/>
      <c r="AK1624" s="2656"/>
      <c r="AL1624" s="2656"/>
      <c r="AM1624" s="2656"/>
      <c r="AN1624" s="2656"/>
      <c r="AO1624" s="2656"/>
      <c r="AP1624" s="2656"/>
      <c r="AQ1624" s="2656"/>
      <c r="AR1624" s="2656"/>
      <c r="AS1624" s="2656"/>
      <c r="AT1624" s="2656"/>
      <c r="AU1624" s="2656"/>
      <c r="AV1624" s="2656"/>
      <c r="AW1624" s="2656"/>
      <c r="AX1624" s="2656"/>
      <c r="AY1624" s="2656"/>
      <c r="AZ1624" s="2656"/>
      <c r="BA1624" s="2656"/>
      <c r="BB1624" s="2656"/>
      <c r="BC1624" s="2656"/>
      <c r="BD1624" s="2656"/>
      <c r="BE1624" s="2656"/>
      <c r="BF1624" s="2656"/>
      <c r="BG1624" s="2656"/>
      <c r="BH1624" s="2656"/>
      <c r="BI1624" s="2656"/>
    </row>
    <row r="1625" spans="1:61" ht="24.75" customHeight="1">
      <c r="A1625" s="3375"/>
      <c r="B1625" s="2646"/>
      <c r="C1625" s="2647"/>
      <c r="D1625" s="2646"/>
      <c r="E1625" s="3013"/>
      <c r="F1625" s="2655"/>
      <c r="G1625" s="2596"/>
      <c r="H1625" s="4138"/>
      <c r="I1625" s="3375"/>
      <c r="J1625" s="2648"/>
      <c r="K1625" s="3147"/>
      <c r="L1625" s="2785"/>
      <c r="M1625" s="2695"/>
      <c r="N1625" s="2649"/>
      <c r="O1625" s="2655"/>
      <c r="P1625" s="2651"/>
      <c r="Q1625" s="3440"/>
      <c r="R1625" s="3553"/>
      <c r="S1625" s="1407"/>
      <c r="T1625" s="3375"/>
      <c r="U1625" s="2648"/>
      <c r="V1625" s="3554"/>
      <c r="W1625" s="3150"/>
      <c r="X1625" s="2656"/>
      <c r="Y1625" s="2656"/>
      <c r="Z1625" s="2656"/>
      <c r="AA1625" s="2656"/>
      <c r="AB1625" s="2656"/>
      <c r="AC1625" s="2656"/>
      <c r="AD1625" s="2656"/>
      <c r="AE1625" s="2656"/>
      <c r="AF1625" s="2656"/>
      <c r="AG1625" s="2656"/>
      <c r="AH1625" s="2656"/>
      <c r="AI1625" s="2656"/>
      <c r="AJ1625" s="2656"/>
      <c r="AK1625" s="2656"/>
      <c r="AL1625" s="2656"/>
      <c r="AM1625" s="2656"/>
      <c r="AN1625" s="2656"/>
      <c r="AO1625" s="2656"/>
      <c r="AP1625" s="2656"/>
      <c r="AQ1625" s="2656"/>
      <c r="AR1625" s="2656"/>
      <c r="AS1625" s="2656"/>
      <c r="AT1625" s="2656"/>
      <c r="AU1625" s="2656"/>
      <c r="AV1625" s="2656"/>
      <c r="AW1625" s="2656"/>
      <c r="AX1625" s="2656"/>
      <c r="AY1625" s="2656"/>
      <c r="AZ1625" s="2656"/>
      <c r="BA1625" s="2656"/>
      <c r="BB1625" s="2656"/>
      <c r="BC1625" s="2656"/>
      <c r="BD1625" s="2656"/>
      <c r="BE1625" s="2656"/>
      <c r="BF1625" s="2656"/>
      <c r="BG1625" s="2656"/>
      <c r="BH1625" s="2656"/>
      <c r="BI1625" s="2656"/>
    </row>
    <row r="1626" spans="1:61" ht="24.75" customHeight="1">
      <c r="A1626" s="3375"/>
      <c r="B1626" s="2646"/>
      <c r="C1626" s="2647"/>
      <c r="D1626" s="2646"/>
      <c r="E1626" s="3013"/>
      <c r="F1626" s="2655"/>
      <c r="G1626" s="2596"/>
      <c r="H1626" s="4138"/>
      <c r="I1626" s="3375"/>
      <c r="J1626" s="2648"/>
      <c r="K1626" s="3147"/>
      <c r="L1626" s="2785"/>
      <c r="M1626" s="2695"/>
      <c r="N1626" s="2649"/>
      <c r="O1626" s="2655"/>
      <c r="P1626" s="2651"/>
      <c r="Q1626" s="3440"/>
      <c r="R1626" s="3553"/>
      <c r="S1626" s="1407"/>
      <c r="T1626" s="3375"/>
      <c r="U1626" s="2648"/>
      <c r="V1626" s="3554"/>
      <c r="W1626" s="3150"/>
      <c r="X1626" s="2656"/>
      <c r="Y1626" s="2656"/>
      <c r="Z1626" s="2656"/>
      <c r="AA1626" s="2656"/>
      <c r="AB1626" s="2656"/>
      <c r="AC1626" s="2656"/>
      <c r="AD1626" s="2656"/>
      <c r="AE1626" s="2656"/>
      <c r="AF1626" s="2656"/>
      <c r="AG1626" s="2656"/>
      <c r="AH1626" s="2656"/>
      <c r="AI1626" s="2656"/>
      <c r="AJ1626" s="2656"/>
      <c r="AK1626" s="2656"/>
      <c r="AL1626" s="2656"/>
      <c r="AM1626" s="2656"/>
      <c r="AN1626" s="2656"/>
      <c r="AO1626" s="2656"/>
      <c r="AP1626" s="2656"/>
      <c r="AQ1626" s="2656"/>
      <c r="AR1626" s="2656"/>
      <c r="AS1626" s="2656"/>
      <c r="AT1626" s="2656"/>
      <c r="AU1626" s="2656"/>
      <c r="AV1626" s="2656"/>
      <c r="AW1626" s="2656"/>
      <c r="AX1626" s="2656"/>
      <c r="AY1626" s="2656"/>
      <c r="AZ1626" s="2656"/>
      <c r="BA1626" s="2656"/>
      <c r="BB1626" s="2656"/>
      <c r="BC1626" s="2656"/>
      <c r="BD1626" s="2656"/>
      <c r="BE1626" s="2656"/>
      <c r="BF1626" s="2656"/>
      <c r="BG1626" s="2656"/>
      <c r="BH1626" s="2656"/>
      <c r="BI1626" s="2656"/>
    </row>
    <row r="1627" spans="1:61" ht="24.75" customHeight="1">
      <c r="A1627" s="3375"/>
      <c r="B1627" s="2646"/>
      <c r="C1627" s="2647"/>
      <c r="D1627" s="2646"/>
      <c r="E1627" s="3013"/>
      <c r="F1627" s="2655"/>
      <c r="G1627" s="2596"/>
      <c r="H1627" s="4138"/>
      <c r="I1627" s="3375"/>
      <c r="J1627" s="2648"/>
      <c r="K1627" s="3147"/>
      <c r="L1627" s="2785"/>
      <c r="M1627" s="2695"/>
      <c r="N1627" s="2649"/>
      <c r="O1627" s="2655"/>
      <c r="P1627" s="2651"/>
      <c r="Q1627" s="3440"/>
      <c r="R1627" s="3553"/>
      <c r="S1627" s="1407"/>
      <c r="T1627" s="3375"/>
      <c r="U1627" s="2648"/>
      <c r="V1627" s="3554"/>
      <c r="W1627" s="3150"/>
      <c r="X1627" s="2656"/>
      <c r="Y1627" s="2656"/>
      <c r="Z1627" s="2656"/>
      <c r="AA1627" s="2656"/>
      <c r="AB1627" s="2656"/>
      <c r="AC1627" s="2656"/>
      <c r="AD1627" s="2656"/>
      <c r="AE1627" s="2656"/>
      <c r="AF1627" s="2656"/>
      <c r="AG1627" s="2656"/>
      <c r="AH1627" s="2656"/>
      <c r="AI1627" s="2656"/>
      <c r="AJ1627" s="2656"/>
      <c r="AK1627" s="2656"/>
      <c r="AL1627" s="2656"/>
      <c r="AM1627" s="2656"/>
      <c r="AN1627" s="2656"/>
      <c r="AO1627" s="2656"/>
      <c r="AP1627" s="2656"/>
      <c r="AQ1627" s="2656"/>
      <c r="AR1627" s="2656"/>
      <c r="AS1627" s="2656"/>
      <c r="AT1627" s="2656"/>
      <c r="AU1627" s="2656"/>
      <c r="AV1627" s="2656"/>
      <c r="AW1627" s="2656"/>
      <c r="AX1627" s="2656"/>
      <c r="AY1627" s="2656"/>
      <c r="AZ1627" s="2656"/>
      <c r="BA1627" s="2656"/>
      <c r="BB1627" s="2656"/>
      <c r="BC1627" s="2656"/>
      <c r="BD1627" s="2656"/>
      <c r="BE1627" s="2656"/>
      <c r="BF1627" s="2656"/>
      <c r="BG1627" s="2656"/>
      <c r="BH1627" s="2656"/>
      <c r="BI1627" s="2656"/>
    </row>
    <row r="1628" spans="1:61" ht="24.75" customHeight="1">
      <c r="A1628" s="3375"/>
      <c r="B1628" s="2646"/>
      <c r="C1628" s="2647"/>
      <c r="D1628" s="2646"/>
      <c r="E1628" s="3013"/>
      <c r="F1628" s="2655"/>
      <c r="G1628" s="2596"/>
      <c r="H1628" s="4138"/>
      <c r="I1628" s="3375"/>
      <c r="J1628" s="2648"/>
      <c r="K1628" s="3147"/>
      <c r="L1628" s="2785"/>
      <c r="M1628" s="2695"/>
      <c r="N1628" s="2649"/>
      <c r="O1628" s="2655"/>
      <c r="P1628" s="2651"/>
      <c r="Q1628" s="3440"/>
      <c r="R1628" s="3553"/>
      <c r="S1628" s="1407"/>
      <c r="T1628" s="3375"/>
      <c r="U1628" s="2648"/>
      <c r="V1628" s="3554"/>
      <c r="W1628" s="3150"/>
      <c r="X1628" s="2656"/>
      <c r="Y1628" s="2656"/>
      <c r="Z1628" s="2656"/>
      <c r="AA1628" s="2656"/>
      <c r="AB1628" s="2656"/>
      <c r="AC1628" s="2656"/>
      <c r="AD1628" s="2656"/>
      <c r="AE1628" s="2656"/>
      <c r="AF1628" s="2656"/>
      <c r="AG1628" s="2656"/>
      <c r="AH1628" s="2656"/>
      <c r="AI1628" s="2656"/>
      <c r="AJ1628" s="2656"/>
      <c r="AK1628" s="2656"/>
      <c r="AL1628" s="2656"/>
      <c r="AM1628" s="2656"/>
      <c r="AN1628" s="2656"/>
      <c r="AO1628" s="2656"/>
      <c r="AP1628" s="2656"/>
      <c r="AQ1628" s="2656"/>
      <c r="AR1628" s="2656"/>
      <c r="AS1628" s="2656"/>
      <c r="AT1628" s="2656"/>
      <c r="AU1628" s="2656"/>
      <c r="AV1628" s="2656"/>
      <c r="AW1628" s="2656"/>
      <c r="AX1628" s="2656"/>
      <c r="AY1628" s="2656"/>
      <c r="AZ1628" s="2656"/>
      <c r="BA1628" s="2656"/>
      <c r="BB1628" s="2656"/>
      <c r="BC1628" s="2656"/>
      <c r="BD1628" s="2656"/>
      <c r="BE1628" s="2656"/>
      <c r="BF1628" s="2656"/>
      <c r="BG1628" s="2656"/>
      <c r="BH1628" s="2656"/>
      <c r="BI1628" s="2656"/>
    </row>
    <row r="1629" spans="1:61" ht="24.75" customHeight="1">
      <c r="A1629" s="3375"/>
      <c r="B1629" s="2646"/>
      <c r="C1629" s="2647"/>
      <c r="D1629" s="2646"/>
      <c r="E1629" s="3013"/>
      <c r="F1629" s="2655"/>
      <c r="G1629" s="2596"/>
      <c r="H1629" s="4138"/>
      <c r="I1629" s="3375"/>
      <c r="J1629" s="2648"/>
      <c r="K1629" s="3147"/>
      <c r="L1629" s="2785"/>
      <c r="M1629" s="2695"/>
      <c r="N1629" s="2649"/>
      <c r="O1629" s="2655"/>
      <c r="P1629" s="2651"/>
      <c r="Q1629" s="3440"/>
      <c r="R1629" s="3553"/>
      <c r="S1629" s="1407"/>
      <c r="T1629" s="3375"/>
      <c r="U1629" s="2648"/>
      <c r="V1629" s="3554"/>
      <c r="W1629" s="3150"/>
      <c r="X1629" s="2656"/>
      <c r="Y1629" s="2656"/>
      <c r="Z1629" s="2656"/>
      <c r="AA1629" s="2656"/>
      <c r="AB1629" s="2656"/>
      <c r="AC1629" s="2656"/>
      <c r="AD1629" s="2656"/>
      <c r="AE1629" s="2656"/>
      <c r="AF1629" s="2656"/>
      <c r="AG1629" s="2656"/>
      <c r="AH1629" s="2656"/>
      <c r="AI1629" s="2656"/>
      <c r="AJ1629" s="2656"/>
      <c r="AK1629" s="2656"/>
      <c r="AL1629" s="2656"/>
      <c r="AM1629" s="2656"/>
      <c r="AN1629" s="2656"/>
      <c r="AO1629" s="2656"/>
      <c r="AP1629" s="2656"/>
      <c r="AQ1629" s="2656"/>
      <c r="AR1629" s="2656"/>
      <c r="AS1629" s="2656"/>
      <c r="AT1629" s="2656"/>
      <c r="AU1629" s="2656"/>
      <c r="AV1629" s="2656"/>
      <c r="AW1629" s="2656"/>
      <c r="AX1629" s="2656"/>
      <c r="AY1629" s="2656"/>
      <c r="AZ1629" s="2656"/>
      <c r="BA1629" s="2656"/>
      <c r="BB1629" s="2656"/>
      <c r="BC1629" s="2656"/>
      <c r="BD1629" s="2656"/>
      <c r="BE1629" s="2656"/>
      <c r="BF1629" s="2656"/>
      <c r="BG1629" s="2656"/>
      <c r="BH1629" s="2656"/>
      <c r="BI1629" s="2656"/>
    </row>
    <row r="1630" spans="1:61" ht="24.75" customHeight="1">
      <c r="A1630" s="3375"/>
      <c r="B1630" s="2646"/>
      <c r="C1630" s="2647"/>
      <c r="D1630" s="2646"/>
      <c r="E1630" s="3013"/>
      <c r="F1630" s="2655"/>
      <c r="G1630" s="2596"/>
      <c r="H1630" s="4138"/>
      <c r="I1630" s="3375"/>
      <c r="J1630" s="2648"/>
      <c r="K1630" s="3147"/>
      <c r="L1630" s="2785"/>
      <c r="M1630" s="2695"/>
      <c r="N1630" s="2649"/>
      <c r="O1630" s="2655"/>
      <c r="P1630" s="2651"/>
      <c r="Q1630" s="3440"/>
      <c r="R1630" s="3553"/>
      <c r="S1630" s="1407"/>
      <c r="T1630" s="3375"/>
      <c r="U1630" s="2648"/>
      <c r="V1630" s="3554"/>
      <c r="W1630" s="3150"/>
      <c r="X1630" s="2656"/>
      <c r="Y1630" s="2656"/>
      <c r="Z1630" s="2656"/>
      <c r="AA1630" s="2656"/>
      <c r="AB1630" s="2656"/>
      <c r="AC1630" s="2656"/>
      <c r="AD1630" s="2656"/>
      <c r="AE1630" s="2656"/>
      <c r="AF1630" s="2656"/>
      <c r="AG1630" s="2656"/>
      <c r="AH1630" s="2656"/>
      <c r="AI1630" s="2656"/>
      <c r="AJ1630" s="2656"/>
      <c r="AK1630" s="2656"/>
      <c r="AL1630" s="2656"/>
      <c r="AM1630" s="2656"/>
      <c r="AN1630" s="2656"/>
      <c r="AO1630" s="2656"/>
      <c r="AP1630" s="2656"/>
      <c r="AQ1630" s="2656"/>
      <c r="AR1630" s="2656"/>
      <c r="AS1630" s="2656"/>
      <c r="AT1630" s="2656"/>
      <c r="AU1630" s="2656"/>
      <c r="AV1630" s="2656"/>
      <c r="AW1630" s="2656"/>
      <c r="AX1630" s="2656"/>
      <c r="AY1630" s="2656"/>
      <c r="AZ1630" s="2656"/>
      <c r="BA1630" s="2656"/>
      <c r="BB1630" s="2656"/>
      <c r="BC1630" s="2656"/>
      <c r="BD1630" s="2656"/>
      <c r="BE1630" s="2656"/>
      <c r="BF1630" s="2656"/>
      <c r="BG1630" s="2656"/>
      <c r="BH1630" s="2656"/>
      <c r="BI1630" s="2656"/>
    </row>
    <row r="1631" spans="1:61" ht="24.75" customHeight="1">
      <c r="A1631" s="3375"/>
      <c r="B1631" s="2646"/>
      <c r="C1631" s="2647"/>
      <c r="D1631" s="2646"/>
      <c r="E1631" s="3013"/>
      <c r="F1631" s="2655"/>
      <c r="G1631" s="2596"/>
      <c r="H1631" s="4138"/>
      <c r="I1631" s="3375"/>
      <c r="J1631" s="2648"/>
      <c r="K1631" s="3147"/>
      <c r="L1631" s="2785"/>
      <c r="M1631" s="2695"/>
      <c r="N1631" s="2649"/>
      <c r="O1631" s="2655"/>
      <c r="P1631" s="2651"/>
      <c r="Q1631" s="3440"/>
      <c r="R1631" s="3553"/>
      <c r="S1631" s="1407"/>
      <c r="T1631" s="3375"/>
      <c r="U1631" s="2648"/>
      <c r="V1631" s="3554"/>
      <c r="W1631" s="3150"/>
      <c r="X1631" s="2656"/>
      <c r="Y1631" s="2656"/>
      <c r="Z1631" s="2656"/>
      <c r="AA1631" s="2656"/>
      <c r="AB1631" s="2656"/>
      <c r="AC1631" s="2656"/>
      <c r="AD1631" s="2656"/>
      <c r="AE1631" s="2656"/>
      <c r="AF1631" s="2656"/>
      <c r="AG1631" s="2656"/>
      <c r="AH1631" s="2656"/>
      <c r="AI1631" s="2656"/>
      <c r="AJ1631" s="2656"/>
      <c r="AK1631" s="2656"/>
      <c r="AL1631" s="2656"/>
      <c r="AM1631" s="2656"/>
      <c r="AN1631" s="2656"/>
      <c r="AO1631" s="2656"/>
      <c r="AP1631" s="2656"/>
      <c r="AQ1631" s="2656"/>
      <c r="AR1631" s="2656"/>
      <c r="AS1631" s="2656"/>
      <c r="AT1631" s="2656"/>
      <c r="AU1631" s="2656"/>
      <c r="AV1631" s="2656"/>
      <c r="AW1631" s="2656"/>
      <c r="AX1631" s="2656"/>
      <c r="AY1631" s="2656"/>
      <c r="AZ1631" s="2656"/>
      <c r="BA1631" s="2656"/>
      <c r="BB1631" s="2656"/>
      <c r="BC1631" s="2656"/>
      <c r="BD1631" s="2656"/>
      <c r="BE1631" s="2656"/>
      <c r="BF1631" s="2656"/>
      <c r="BG1631" s="2656"/>
      <c r="BH1631" s="2656"/>
      <c r="BI1631" s="2656"/>
    </row>
    <row r="1632" spans="1:61" ht="24.75" customHeight="1">
      <c r="A1632" s="3375"/>
      <c r="B1632" s="2646"/>
      <c r="C1632" s="2647"/>
      <c r="D1632" s="2646"/>
      <c r="E1632" s="3013"/>
      <c r="F1632" s="2655"/>
      <c r="G1632" s="2596"/>
      <c r="H1632" s="4138"/>
      <c r="I1632" s="3375"/>
      <c r="J1632" s="2648"/>
      <c r="K1632" s="3147"/>
      <c r="L1632" s="2785"/>
      <c r="M1632" s="2695"/>
      <c r="N1632" s="2649"/>
      <c r="O1632" s="2655"/>
      <c r="P1632" s="2651"/>
      <c r="Q1632" s="3440"/>
      <c r="R1632" s="3553"/>
      <c r="S1632" s="1407"/>
      <c r="T1632" s="3375"/>
      <c r="U1632" s="2648"/>
      <c r="V1632" s="3554"/>
      <c r="W1632" s="3150"/>
      <c r="X1632" s="2656"/>
      <c r="Y1632" s="2656"/>
      <c r="Z1632" s="2656"/>
      <c r="AA1632" s="2656"/>
      <c r="AB1632" s="2656"/>
      <c r="AC1632" s="2656"/>
      <c r="AD1632" s="2656"/>
      <c r="AE1632" s="2656"/>
      <c r="AF1632" s="2656"/>
      <c r="AG1632" s="2656"/>
      <c r="AH1632" s="2656"/>
      <c r="AI1632" s="2656"/>
      <c r="AJ1632" s="2656"/>
      <c r="AK1632" s="2656"/>
      <c r="AL1632" s="2656"/>
      <c r="AM1632" s="2656"/>
      <c r="AN1632" s="2656"/>
      <c r="AO1632" s="2656"/>
      <c r="AP1632" s="2656"/>
      <c r="AQ1632" s="2656"/>
      <c r="AR1632" s="2656"/>
      <c r="AS1632" s="2656"/>
      <c r="AT1632" s="2656"/>
      <c r="AU1632" s="2656"/>
      <c r="AV1632" s="2656"/>
      <c r="AW1632" s="2656"/>
      <c r="AX1632" s="2656"/>
      <c r="AY1632" s="2656"/>
      <c r="AZ1632" s="2656"/>
      <c r="BA1632" s="2656"/>
      <c r="BB1632" s="2656"/>
      <c r="BC1632" s="2656"/>
      <c r="BD1632" s="2656"/>
      <c r="BE1632" s="2656"/>
      <c r="BF1632" s="2656"/>
      <c r="BG1632" s="2656"/>
      <c r="BH1632" s="2656"/>
      <c r="BI1632" s="2656"/>
    </row>
    <row r="1633" spans="1:61" ht="24.75" customHeight="1">
      <c r="A1633" s="3375"/>
      <c r="B1633" s="2646"/>
      <c r="C1633" s="2647"/>
      <c r="D1633" s="2646"/>
      <c r="E1633" s="3013"/>
      <c r="F1633" s="2655"/>
      <c r="G1633" s="2596"/>
      <c r="H1633" s="4138"/>
      <c r="I1633" s="3375"/>
      <c r="J1633" s="2648"/>
      <c r="K1633" s="3147"/>
      <c r="L1633" s="2785"/>
      <c r="M1633" s="2695"/>
      <c r="N1633" s="2649"/>
      <c r="O1633" s="2655"/>
      <c r="P1633" s="2651"/>
      <c r="Q1633" s="3440"/>
      <c r="R1633" s="3553"/>
      <c r="S1633" s="1407"/>
      <c r="T1633" s="3375"/>
      <c r="U1633" s="2648"/>
      <c r="V1633" s="3554"/>
      <c r="W1633" s="3150"/>
      <c r="X1633" s="2656"/>
      <c r="Y1633" s="2656"/>
      <c r="Z1633" s="2656"/>
      <c r="AA1633" s="2656"/>
      <c r="AB1633" s="2656"/>
      <c r="AC1633" s="2656"/>
      <c r="AD1633" s="2656"/>
      <c r="AE1633" s="2656"/>
      <c r="AF1633" s="2656"/>
      <c r="AG1633" s="2656"/>
      <c r="AH1633" s="2656"/>
      <c r="AI1633" s="2656"/>
      <c r="AJ1633" s="2656"/>
      <c r="AK1633" s="2656"/>
      <c r="AL1633" s="2656"/>
      <c r="AM1633" s="2656"/>
      <c r="AN1633" s="2656"/>
      <c r="AO1633" s="2656"/>
      <c r="AP1633" s="2656"/>
      <c r="AQ1633" s="2656"/>
      <c r="AR1633" s="2656"/>
      <c r="AS1633" s="2656"/>
      <c r="AT1633" s="2656"/>
      <c r="AU1633" s="2656"/>
      <c r="AV1633" s="2656"/>
      <c r="AW1633" s="2656"/>
      <c r="AX1633" s="2656"/>
      <c r="AY1633" s="2656"/>
      <c r="AZ1633" s="2656"/>
      <c r="BA1633" s="2656"/>
      <c r="BB1633" s="2656"/>
      <c r="BC1633" s="2656"/>
      <c r="BD1633" s="2656"/>
      <c r="BE1633" s="2656"/>
      <c r="BF1633" s="2656"/>
      <c r="BG1633" s="2656"/>
      <c r="BH1633" s="2656"/>
      <c r="BI1633" s="2656"/>
    </row>
    <row r="1634" spans="1:61" ht="24.75" customHeight="1">
      <c r="A1634" s="3375"/>
      <c r="B1634" s="2646"/>
      <c r="C1634" s="2647"/>
      <c r="D1634" s="2646"/>
      <c r="E1634" s="3013"/>
      <c r="F1634" s="2655"/>
      <c r="G1634" s="2596"/>
      <c r="H1634" s="4138"/>
      <c r="I1634" s="3375"/>
      <c r="J1634" s="2648"/>
      <c r="K1634" s="3147"/>
      <c r="L1634" s="2785"/>
      <c r="M1634" s="2695"/>
      <c r="N1634" s="2649"/>
      <c r="O1634" s="2655"/>
      <c r="P1634" s="2651"/>
      <c r="Q1634" s="3440"/>
      <c r="R1634" s="3553"/>
      <c r="S1634" s="1407"/>
      <c r="T1634" s="3375"/>
      <c r="U1634" s="2648"/>
      <c r="V1634" s="3554"/>
      <c r="W1634" s="3150"/>
      <c r="X1634" s="2656"/>
      <c r="Y1634" s="2656"/>
      <c r="Z1634" s="2656"/>
      <c r="AA1634" s="2656"/>
      <c r="AB1634" s="2656"/>
      <c r="AC1634" s="2656"/>
      <c r="AD1634" s="2656"/>
      <c r="AE1634" s="2656"/>
      <c r="AF1634" s="2656"/>
      <c r="AG1634" s="2656"/>
      <c r="AH1634" s="2656"/>
      <c r="AI1634" s="2656"/>
      <c r="AJ1634" s="2656"/>
      <c r="AK1634" s="2656"/>
      <c r="AL1634" s="2656"/>
      <c r="AM1634" s="2656"/>
      <c r="AN1634" s="2656"/>
      <c r="AO1634" s="2656"/>
      <c r="AP1634" s="2656"/>
      <c r="AQ1634" s="2656"/>
      <c r="AR1634" s="2656"/>
      <c r="AS1634" s="2656"/>
      <c r="AT1634" s="2656"/>
      <c r="AU1634" s="2656"/>
      <c r="AV1634" s="2656"/>
      <c r="AW1634" s="2656"/>
      <c r="AX1634" s="2656"/>
      <c r="AY1634" s="2656"/>
      <c r="AZ1634" s="2656"/>
      <c r="BA1634" s="2656"/>
      <c r="BB1634" s="2656"/>
      <c r="BC1634" s="2656"/>
      <c r="BD1634" s="2656"/>
      <c r="BE1634" s="2656"/>
      <c r="BF1634" s="2656"/>
      <c r="BG1634" s="2656"/>
      <c r="BH1634" s="2656"/>
      <c r="BI1634" s="2656"/>
    </row>
    <row r="1635" spans="1:61" ht="24.75" customHeight="1">
      <c r="A1635" s="3375"/>
      <c r="B1635" s="2646"/>
      <c r="C1635" s="2647"/>
      <c r="D1635" s="2646"/>
      <c r="E1635" s="3013"/>
      <c r="F1635" s="2655"/>
      <c r="G1635" s="2596"/>
      <c r="H1635" s="4138"/>
      <c r="I1635" s="3375"/>
      <c r="J1635" s="2648"/>
      <c r="K1635" s="3147"/>
      <c r="L1635" s="2785"/>
      <c r="M1635" s="2695"/>
      <c r="N1635" s="2649"/>
      <c r="O1635" s="2655"/>
      <c r="P1635" s="2651"/>
      <c r="Q1635" s="3440"/>
      <c r="R1635" s="3553"/>
      <c r="S1635" s="1407"/>
      <c r="T1635" s="3375"/>
      <c r="U1635" s="2648"/>
      <c r="V1635" s="3554"/>
      <c r="W1635" s="3150"/>
      <c r="X1635" s="2656"/>
      <c r="Y1635" s="2656"/>
      <c r="Z1635" s="2656"/>
      <c r="AA1635" s="2656"/>
      <c r="AB1635" s="2656"/>
      <c r="AC1635" s="2656"/>
      <c r="AD1635" s="2656"/>
      <c r="AE1635" s="2656"/>
      <c r="AF1635" s="2656"/>
      <c r="AG1635" s="2656"/>
      <c r="AH1635" s="2656"/>
      <c r="AI1635" s="2656"/>
      <c r="AJ1635" s="2656"/>
      <c r="AK1635" s="2656"/>
      <c r="AL1635" s="2656"/>
      <c r="AM1635" s="2656"/>
      <c r="AN1635" s="2656"/>
      <c r="AO1635" s="2656"/>
      <c r="AP1635" s="2656"/>
      <c r="AQ1635" s="2656"/>
      <c r="AR1635" s="2656"/>
      <c r="AS1635" s="2656"/>
      <c r="AT1635" s="2656"/>
      <c r="AU1635" s="2656"/>
      <c r="AV1635" s="2656"/>
      <c r="AW1635" s="2656"/>
      <c r="AX1635" s="2656"/>
      <c r="AY1635" s="2656"/>
      <c r="AZ1635" s="2656"/>
      <c r="BA1635" s="2656"/>
      <c r="BB1635" s="2656"/>
      <c r="BC1635" s="2656"/>
      <c r="BD1635" s="2656"/>
      <c r="BE1635" s="2656"/>
      <c r="BF1635" s="2656"/>
      <c r="BG1635" s="2656"/>
      <c r="BH1635" s="2656"/>
      <c r="BI1635" s="2656"/>
    </row>
    <row r="1636" spans="1:61" ht="24.75" customHeight="1">
      <c r="A1636" s="3375"/>
      <c r="B1636" s="2646"/>
      <c r="C1636" s="2647"/>
      <c r="D1636" s="2646"/>
      <c r="E1636" s="3013"/>
      <c r="F1636" s="2655"/>
      <c r="G1636" s="2596"/>
      <c r="H1636" s="4138"/>
      <c r="I1636" s="3375"/>
      <c r="J1636" s="2648"/>
      <c r="K1636" s="3147"/>
      <c r="L1636" s="2785"/>
      <c r="M1636" s="2695"/>
      <c r="N1636" s="2649"/>
      <c r="O1636" s="2655"/>
      <c r="P1636" s="2651"/>
      <c r="Q1636" s="3440"/>
      <c r="R1636" s="3553"/>
      <c r="S1636" s="1407"/>
      <c r="T1636" s="3375"/>
      <c r="U1636" s="2648"/>
      <c r="V1636" s="3554"/>
      <c r="W1636" s="3150"/>
      <c r="X1636" s="2656"/>
      <c r="Y1636" s="2656"/>
      <c r="Z1636" s="2656"/>
      <c r="AA1636" s="2656"/>
      <c r="AB1636" s="2656"/>
      <c r="AC1636" s="2656"/>
      <c r="AD1636" s="2656"/>
      <c r="AE1636" s="2656"/>
      <c r="AF1636" s="2656"/>
      <c r="AG1636" s="2656"/>
      <c r="AH1636" s="2656"/>
      <c r="AI1636" s="2656"/>
      <c r="AJ1636" s="2656"/>
      <c r="AK1636" s="2656"/>
      <c r="AL1636" s="2656"/>
      <c r="AM1636" s="2656"/>
      <c r="AN1636" s="2656"/>
      <c r="AO1636" s="2656"/>
      <c r="AP1636" s="2656"/>
      <c r="AQ1636" s="2656"/>
      <c r="AR1636" s="2656"/>
      <c r="AS1636" s="2656"/>
      <c r="AT1636" s="2656"/>
      <c r="AU1636" s="2656"/>
      <c r="AV1636" s="2656"/>
      <c r="AW1636" s="2656"/>
      <c r="AX1636" s="2656"/>
      <c r="AY1636" s="2656"/>
      <c r="AZ1636" s="2656"/>
      <c r="BA1636" s="2656"/>
      <c r="BB1636" s="2656"/>
      <c r="BC1636" s="2656"/>
      <c r="BD1636" s="2656"/>
      <c r="BE1636" s="2656"/>
      <c r="BF1636" s="2656"/>
      <c r="BG1636" s="2656"/>
      <c r="BH1636" s="2656"/>
      <c r="BI1636" s="2656"/>
    </row>
    <row r="1637" spans="1:61" ht="24.75" customHeight="1">
      <c r="A1637" s="3375"/>
      <c r="B1637" s="2646"/>
      <c r="C1637" s="2647"/>
      <c r="D1637" s="2646"/>
      <c r="E1637" s="3013"/>
      <c r="F1637" s="2655"/>
      <c r="G1637" s="2596"/>
      <c r="H1637" s="4138"/>
      <c r="I1637" s="3375"/>
      <c r="J1637" s="2648"/>
      <c r="K1637" s="3147"/>
      <c r="L1637" s="2785"/>
      <c r="M1637" s="2695"/>
      <c r="N1637" s="2649"/>
      <c r="O1637" s="2655"/>
      <c r="P1637" s="2651"/>
      <c r="Q1637" s="3440"/>
      <c r="R1637" s="3553"/>
      <c r="S1637" s="1407"/>
      <c r="T1637" s="3375"/>
      <c r="U1637" s="2648"/>
      <c r="V1637" s="3554"/>
      <c r="W1637" s="3150"/>
      <c r="X1637" s="2656"/>
      <c r="Y1637" s="2656"/>
      <c r="Z1637" s="2656"/>
      <c r="AA1637" s="2656"/>
      <c r="AB1637" s="2656"/>
      <c r="AC1637" s="2656"/>
      <c r="AD1637" s="2656"/>
      <c r="AE1637" s="2656"/>
      <c r="AF1637" s="2656"/>
      <c r="AG1637" s="2656"/>
      <c r="AH1637" s="2656"/>
      <c r="AI1637" s="2656"/>
      <c r="AJ1637" s="2656"/>
      <c r="AK1637" s="2656"/>
      <c r="AL1637" s="2656"/>
      <c r="AM1637" s="2656"/>
      <c r="AN1637" s="2656"/>
      <c r="AO1637" s="2656"/>
      <c r="AP1637" s="2656"/>
      <c r="AQ1637" s="2656"/>
      <c r="AR1637" s="2656"/>
      <c r="AS1637" s="2656"/>
      <c r="AT1637" s="2656"/>
      <c r="AU1637" s="2656"/>
      <c r="AV1637" s="2656"/>
      <c r="AW1637" s="2656"/>
      <c r="AX1637" s="2656"/>
      <c r="AY1637" s="2656"/>
      <c r="AZ1637" s="2656"/>
      <c r="BA1637" s="2656"/>
      <c r="BB1637" s="2656"/>
      <c r="BC1637" s="2656"/>
      <c r="BD1637" s="2656"/>
      <c r="BE1637" s="2656"/>
      <c r="BF1637" s="2656"/>
      <c r="BG1637" s="2656"/>
      <c r="BH1637" s="2656"/>
      <c r="BI1637" s="2656"/>
    </row>
    <row r="1638" spans="1:61" ht="24.75" customHeight="1">
      <c r="A1638" s="3375"/>
      <c r="B1638" s="2646"/>
      <c r="C1638" s="2647"/>
      <c r="D1638" s="2646"/>
      <c r="E1638" s="3013"/>
      <c r="F1638" s="2655"/>
      <c r="G1638" s="2596"/>
      <c r="H1638" s="4138"/>
      <c r="I1638" s="3375"/>
      <c r="J1638" s="2648"/>
      <c r="K1638" s="3147"/>
      <c r="L1638" s="2785"/>
      <c r="M1638" s="2695"/>
      <c r="N1638" s="2649"/>
      <c r="O1638" s="2655"/>
      <c r="P1638" s="2651"/>
      <c r="Q1638" s="3440"/>
      <c r="R1638" s="3553"/>
      <c r="S1638" s="1407"/>
      <c r="T1638" s="3375"/>
      <c r="U1638" s="2648"/>
      <c r="V1638" s="3554"/>
      <c r="W1638" s="3150"/>
      <c r="X1638" s="2656"/>
      <c r="Y1638" s="2656"/>
      <c r="Z1638" s="2656"/>
      <c r="AA1638" s="2656"/>
      <c r="AB1638" s="2656"/>
      <c r="AC1638" s="2656"/>
      <c r="AD1638" s="2656"/>
      <c r="AE1638" s="2656"/>
      <c r="AF1638" s="2656"/>
      <c r="AG1638" s="2656"/>
      <c r="AH1638" s="2656"/>
      <c r="AI1638" s="2656"/>
      <c r="AJ1638" s="2656"/>
      <c r="AK1638" s="2656"/>
      <c r="AL1638" s="2656"/>
      <c r="AM1638" s="2656"/>
      <c r="AN1638" s="2656"/>
      <c r="AO1638" s="2656"/>
      <c r="AP1638" s="2656"/>
      <c r="AQ1638" s="2656"/>
      <c r="AR1638" s="2656"/>
      <c r="AS1638" s="2656"/>
      <c r="AT1638" s="2656"/>
      <c r="AU1638" s="2656"/>
      <c r="AV1638" s="2656"/>
      <c r="AW1638" s="2656"/>
      <c r="AX1638" s="2656"/>
      <c r="AY1638" s="2656"/>
      <c r="AZ1638" s="2656"/>
      <c r="BA1638" s="2656"/>
      <c r="BB1638" s="2656"/>
      <c r="BC1638" s="2656"/>
      <c r="BD1638" s="2656"/>
      <c r="BE1638" s="2656"/>
      <c r="BF1638" s="2656"/>
      <c r="BG1638" s="2656"/>
      <c r="BH1638" s="2656"/>
      <c r="BI1638" s="2656"/>
    </row>
    <row r="1639" spans="1:61" ht="24.75" customHeight="1">
      <c r="A1639" s="3375"/>
      <c r="B1639" s="2646"/>
      <c r="C1639" s="2647"/>
      <c r="D1639" s="2646"/>
      <c r="E1639" s="3013"/>
      <c r="F1639" s="2655"/>
      <c r="G1639" s="2596"/>
      <c r="H1639" s="4138"/>
      <c r="I1639" s="3375"/>
      <c r="J1639" s="2648"/>
      <c r="K1639" s="3147"/>
      <c r="L1639" s="2785"/>
      <c r="M1639" s="2695"/>
      <c r="N1639" s="2649"/>
      <c r="O1639" s="2655"/>
      <c r="P1639" s="2651"/>
      <c r="Q1639" s="3440"/>
      <c r="R1639" s="3553"/>
      <c r="S1639" s="1407"/>
      <c r="T1639" s="3375"/>
      <c r="U1639" s="2648"/>
      <c r="V1639" s="3554"/>
      <c r="W1639" s="3150"/>
      <c r="X1639" s="2656"/>
      <c r="Y1639" s="2656"/>
      <c r="Z1639" s="2656"/>
      <c r="AA1639" s="2656"/>
      <c r="AB1639" s="2656"/>
      <c r="AC1639" s="2656"/>
      <c r="AD1639" s="2656"/>
      <c r="AE1639" s="2656"/>
      <c r="AF1639" s="2656"/>
      <c r="AG1639" s="2656"/>
      <c r="AH1639" s="2656"/>
      <c r="AI1639" s="2656"/>
      <c r="AJ1639" s="2656"/>
      <c r="AK1639" s="2656"/>
      <c r="AL1639" s="2656"/>
      <c r="AM1639" s="2656"/>
      <c r="AN1639" s="2656"/>
      <c r="AO1639" s="2656"/>
      <c r="AP1639" s="2656"/>
      <c r="AQ1639" s="2656"/>
      <c r="AR1639" s="2656"/>
      <c r="AS1639" s="2656"/>
      <c r="AT1639" s="2656"/>
      <c r="AU1639" s="2656"/>
      <c r="AV1639" s="2656"/>
      <c r="AW1639" s="2656"/>
      <c r="AX1639" s="2656"/>
      <c r="AY1639" s="2656"/>
      <c r="AZ1639" s="2656"/>
      <c r="BA1639" s="2656"/>
      <c r="BB1639" s="2656"/>
      <c r="BC1639" s="2656"/>
      <c r="BD1639" s="2656"/>
      <c r="BE1639" s="2656"/>
      <c r="BF1639" s="2656"/>
      <c r="BG1639" s="2656"/>
      <c r="BH1639" s="2656"/>
      <c r="BI1639" s="2656"/>
    </row>
    <row r="1640" spans="1:61" ht="24.75" customHeight="1">
      <c r="A1640" s="3375"/>
      <c r="B1640" s="2646"/>
      <c r="C1640" s="2647"/>
      <c r="D1640" s="2646"/>
      <c r="E1640" s="3013"/>
      <c r="F1640" s="2655"/>
      <c r="G1640" s="2596"/>
      <c r="H1640" s="4138"/>
      <c r="I1640" s="3375"/>
      <c r="J1640" s="2648"/>
      <c r="K1640" s="3147"/>
      <c r="L1640" s="2785"/>
      <c r="M1640" s="2695"/>
      <c r="N1640" s="2649"/>
      <c r="O1640" s="2655"/>
      <c r="P1640" s="2651"/>
      <c r="Q1640" s="3440"/>
      <c r="R1640" s="3553"/>
      <c r="S1640" s="1407"/>
      <c r="T1640" s="3375"/>
      <c r="U1640" s="2648"/>
      <c r="V1640" s="3554"/>
      <c r="W1640" s="3150"/>
      <c r="X1640" s="2656"/>
      <c r="Y1640" s="2656"/>
      <c r="Z1640" s="2656"/>
      <c r="AA1640" s="2656"/>
      <c r="AB1640" s="2656"/>
      <c r="AC1640" s="2656"/>
      <c r="AD1640" s="2656"/>
      <c r="AE1640" s="2656"/>
      <c r="AF1640" s="2656"/>
      <c r="AG1640" s="2656"/>
      <c r="AH1640" s="2656"/>
      <c r="AI1640" s="2656"/>
      <c r="AJ1640" s="2656"/>
      <c r="AK1640" s="2656"/>
      <c r="AL1640" s="2656"/>
      <c r="AM1640" s="2656"/>
      <c r="AN1640" s="2656"/>
      <c r="AO1640" s="2656"/>
      <c r="AP1640" s="2656"/>
      <c r="AQ1640" s="2656"/>
      <c r="AR1640" s="2656"/>
      <c r="AS1640" s="2656"/>
      <c r="AT1640" s="2656"/>
      <c r="AU1640" s="2656"/>
      <c r="AV1640" s="2656"/>
      <c r="AW1640" s="2656"/>
      <c r="AX1640" s="2656"/>
      <c r="AY1640" s="2656"/>
      <c r="AZ1640" s="2656"/>
      <c r="BA1640" s="2656"/>
      <c r="BB1640" s="2656"/>
      <c r="BC1640" s="2656"/>
      <c r="BD1640" s="2656"/>
      <c r="BE1640" s="2656"/>
      <c r="BF1640" s="2656"/>
      <c r="BG1640" s="2656"/>
      <c r="BH1640" s="2656"/>
      <c r="BI1640" s="2656"/>
    </row>
    <row r="1641" spans="1:61" ht="24.75" customHeight="1">
      <c r="A1641" s="3375"/>
      <c r="B1641" s="2646"/>
      <c r="C1641" s="2647"/>
      <c r="D1641" s="2646"/>
      <c r="E1641" s="3013"/>
      <c r="F1641" s="2655"/>
      <c r="G1641" s="2596"/>
      <c r="H1641" s="4138"/>
      <c r="I1641" s="3375"/>
      <c r="J1641" s="2648"/>
      <c r="K1641" s="3147"/>
      <c r="L1641" s="2785"/>
      <c r="M1641" s="2695"/>
      <c r="N1641" s="2649"/>
      <c r="O1641" s="2655"/>
      <c r="P1641" s="2651"/>
      <c r="Q1641" s="3440"/>
      <c r="R1641" s="3553"/>
      <c r="S1641" s="1407"/>
      <c r="T1641" s="3375"/>
      <c r="U1641" s="2648"/>
      <c r="V1641" s="3554"/>
      <c r="W1641" s="3150"/>
      <c r="X1641" s="2656"/>
      <c r="Y1641" s="2656"/>
      <c r="Z1641" s="2656"/>
      <c r="AA1641" s="2656"/>
      <c r="AB1641" s="2656"/>
      <c r="AC1641" s="2656"/>
      <c r="AD1641" s="2656"/>
      <c r="AE1641" s="2656"/>
      <c r="AF1641" s="2656"/>
      <c r="AG1641" s="2656"/>
      <c r="AH1641" s="2656"/>
      <c r="AI1641" s="2656"/>
      <c r="AJ1641" s="2656"/>
      <c r="AK1641" s="2656"/>
      <c r="AL1641" s="2656"/>
      <c r="AM1641" s="2656"/>
      <c r="AN1641" s="2656"/>
      <c r="AO1641" s="2656"/>
      <c r="AP1641" s="2656"/>
      <c r="AQ1641" s="2656"/>
      <c r="AR1641" s="2656"/>
      <c r="AS1641" s="2656"/>
      <c r="AT1641" s="2656"/>
      <c r="AU1641" s="2656"/>
      <c r="AV1641" s="2656"/>
      <c r="AW1641" s="2656"/>
      <c r="AX1641" s="2656"/>
      <c r="AY1641" s="2656"/>
      <c r="AZ1641" s="2656"/>
      <c r="BA1641" s="2656"/>
      <c r="BB1641" s="2656"/>
      <c r="BC1641" s="2656"/>
      <c r="BD1641" s="2656"/>
      <c r="BE1641" s="2656"/>
      <c r="BF1641" s="2656"/>
      <c r="BG1641" s="2656"/>
      <c r="BH1641" s="2656"/>
      <c r="BI1641" s="2656"/>
    </row>
    <row r="1642" spans="1:61" ht="24.75" customHeight="1">
      <c r="A1642" s="3375"/>
      <c r="B1642" s="2646"/>
      <c r="C1642" s="2647"/>
      <c r="D1642" s="2646"/>
      <c r="E1642" s="3013"/>
      <c r="F1642" s="2655"/>
      <c r="G1642" s="2596"/>
      <c r="H1642" s="4138"/>
      <c r="I1642" s="3375"/>
      <c r="J1642" s="2648"/>
      <c r="K1642" s="3147"/>
      <c r="L1642" s="2785"/>
      <c r="M1642" s="2695"/>
      <c r="N1642" s="2649"/>
      <c r="O1642" s="2655"/>
      <c r="P1642" s="2651"/>
      <c r="Q1642" s="3440"/>
      <c r="R1642" s="3553"/>
      <c r="S1642" s="1407"/>
      <c r="T1642" s="3375"/>
      <c r="U1642" s="2648"/>
      <c r="V1642" s="3554"/>
      <c r="W1642" s="3150"/>
      <c r="X1642" s="2656"/>
      <c r="Y1642" s="2656"/>
      <c r="Z1642" s="2656"/>
      <c r="AA1642" s="2656"/>
      <c r="AB1642" s="2656"/>
      <c r="AC1642" s="2656"/>
      <c r="AD1642" s="2656"/>
      <c r="AE1642" s="2656"/>
      <c r="AF1642" s="2656"/>
      <c r="AG1642" s="2656"/>
      <c r="AH1642" s="2656"/>
      <c r="AI1642" s="2656"/>
      <c r="AJ1642" s="2656"/>
      <c r="AK1642" s="2656"/>
      <c r="AL1642" s="2656"/>
      <c r="AM1642" s="2656"/>
      <c r="AN1642" s="2656"/>
      <c r="AO1642" s="2656"/>
      <c r="AP1642" s="2656"/>
      <c r="AQ1642" s="2656"/>
      <c r="AR1642" s="2656"/>
      <c r="AS1642" s="2656"/>
      <c r="AT1642" s="2656"/>
      <c r="AU1642" s="2656"/>
      <c r="AV1642" s="2656"/>
      <c r="AW1642" s="2656"/>
      <c r="AX1642" s="2656"/>
      <c r="AY1642" s="2656"/>
      <c r="AZ1642" s="2656"/>
      <c r="BA1642" s="2656"/>
      <c r="BB1642" s="2656"/>
      <c r="BC1642" s="2656"/>
      <c r="BD1642" s="2656"/>
      <c r="BE1642" s="2656"/>
      <c r="BF1642" s="2656"/>
      <c r="BG1642" s="2656"/>
      <c r="BH1642" s="2656"/>
      <c r="BI1642" s="2656"/>
    </row>
    <row r="1643" spans="1:61" ht="24.75" customHeight="1">
      <c r="A1643" s="3375"/>
      <c r="B1643" s="2646"/>
      <c r="C1643" s="2647"/>
      <c r="D1643" s="2646"/>
      <c r="E1643" s="3013"/>
      <c r="F1643" s="2655"/>
      <c r="G1643" s="2596"/>
      <c r="H1643" s="4138"/>
      <c r="I1643" s="3375"/>
      <c r="J1643" s="2648"/>
      <c r="K1643" s="3147"/>
      <c r="L1643" s="2785"/>
      <c r="M1643" s="2695"/>
      <c r="N1643" s="2649"/>
      <c r="O1643" s="2655"/>
      <c r="P1643" s="2651"/>
      <c r="Q1643" s="3440"/>
      <c r="R1643" s="3553"/>
      <c r="S1643" s="1407"/>
      <c r="T1643" s="3375"/>
      <c r="U1643" s="2648"/>
      <c r="V1643" s="3554"/>
      <c r="W1643" s="3150"/>
      <c r="X1643" s="2656"/>
      <c r="Y1643" s="2656"/>
      <c r="Z1643" s="2656"/>
      <c r="AA1643" s="2656"/>
      <c r="AB1643" s="2656"/>
      <c r="AC1643" s="2656"/>
      <c r="AD1643" s="2656"/>
      <c r="AE1643" s="2656"/>
      <c r="AF1643" s="2656"/>
      <c r="AG1643" s="2656"/>
      <c r="AH1643" s="2656"/>
      <c r="AI1643" s="2656"/>
      <c r="AJ1643" s="2656"/>
      <c r="AK1643" s="2656"/>
      <c r="AL1643" s="2656"/>
      <c r="AM1643" s="2656"/>
      <c r="AN1643" s="2656"/>
      <c r="AO1643" s="2656"/>
      <c r="AP1643" s="2656"/>
      <c r="AQ1643" s="2656"/>
      <c r="AR1643" s="2656"/>
      <c r="AS1643" s="2656"/>
      <c r="AT1643" s="2656"/>
      <c r="AU1643" s="2656"/>
      <c r="AV1643" s="2656"/>
      <c r="AW1643" s="2656"/>
      <c r="AX1643" s="2656"/>
      <c r="AY1643" s="2656"/>
      <c r="AZ1643" s="2656"/>
      <c r="BA1643" s="2656"/>
      <c r="BB1643" s="2656"/>
      <c r="BC1643" s="2656"/>
      <c r="BD1643" s="2656"/>
      <c r="BE1643" s="2656"/>
      <c r="BF1643" s="2656"/>
      <c r="BG1643" s="2656"/>
      <c r="BH1643" s="2656"/>
      <c r="BI1643" s="2656"/>
    </row>
    <row r="1644" spans="1:61" ht="24.75" customHeight="1">
      <c r="A1644" s="3375"/>
      <c r="B1644" s="2646"/>
      <c r="C1644" s="2647"/>
      <c r="D1644" s="2646"/>
      <c r="E1644" s="3013"/>
      <c r="F1644" s="2655"/>
      <c r="G1644" s="2596"/>
      <c r="H1644" s="4138"/>
      <c r="I1644" s="3375"/>
      <c r="J1644" s="2648"/>
      <c r="K1644" s="3147"/>
      <c r="L1644" s="2785"/>
      <c r="M1644" s="2695"/>
      <c r="N1644" s="2649"/>
      <c r="O1644" s="2655"/>
      <c r="P1644" s="2651"/>
      <c r="Q1644" s="3440"/>
      <c r="R1644" s="3553"/>
      <c r="S1644" s="1407"/>
      <c r="T1644" s="3375"/>
      <c r="U1644" s="2648"/>
      <c r="V1644" s="3554"/>
      <c r="W1644" s="3150"/>
      <c r="X1644" s="2656"/>
      <c r="Y1644" s="2656"/>
      <c r="Z1644" s="2656"/>
      <c r="AA1644" s="2656"/>
      <c r="AB1644" s="2656"/>
      <c r="AC1644" s="2656"/>
      <c r="AD1644" s="2656"/>
      <c r="AE1644" s="2656"/>
      <c r="AF1644" s="2656"/>
      <c r="AG1644" s="2656"/>
      <c r="AH1644" s="2656"/>
      <c r="AI1644" s="2656"/>
      <c r="AJ1644" s="2656"/>
      <c r="AK1644" s="2656"/>
      <c r="AL1644" s="2656"/>
      <c r="AM1644" s="2656"/>
      <c r="AN1644" s="2656"/>
      <c r="AO1644" s="2656"/>
      <c r="AP1644" s="2656"/>
      <c r="AQ1644" s="2656"/>
      <c r="AR1644" s="2656"/>
      <c r="AS1644" s="2656"/>
      <c r="AT1644" s="2656"/>
      <c r="AU1644" s="2656"/>
      <c r="AV1644" s="2656"/>
      <c r="AW1644" s="2656"/>
      <c r="AX1644" s="2656"/>
      <c r="AY1644" s="2656"/>
      <c r="AZ1644" s="2656"/>
      <c r="BA1644" s="2656"/>
      <c r="BB1644" s="2656"/>
      <c r="BC1644" s="2656"/>
      <c r="BD1644" s="2656"/>
      <c r="BE1644" s="2656"/>
      <c r="BF1644" s="2656"/>
      <c r="BG1644" s="2656"/>
      <c r="BH1644" s="2656"/>
      <c r="BI1644" s="2656"/>
    </row>
    <row r="1645" spans="1:61" ht="24.75" customHeight="1">
      <c r="A1645" s="3375"/>
      <c r="B1645" s="2646"/>
      <c r="C1645" s="2647"/>
      <c r="D1645" s="2646"/>
      <c r="E1645" s="3013"/>
      <c r="F1645" s="2655"/>
      <c r="G1645" s="2596"/>
      <c r="H1645" s="4138"/>
      <c r="I1645" s="3375"/>
      <c r="J1645" s="2648"/>
      <c r="K1645" s="3147"/>
      <c r="L1645" s="2785"/>
      <c r="M1645" s="2695"/>
      <c r="N1645" s="2649"/>
      <c r="O1645" s="2655"/>
      <c r="P1645" s="2651"/>
      <c r="Q1645" s="3440"/>
      <c r="R1645" s="3553"/>
      <c r="S1645" s="1407"/>
      <c r="T1645" s="3375"/>
      <c r="U1645" s="2648"/>
      <c r="V1645" s="3554"/>
      <c r="W1645" s="3150"/>
      <c r="X1645" s="2656"/>
      <c r="Y1645" s="2656"/>
      <c r="Z1645" s="2656"/>
      <c r="AA1645" s="2656"/>
      <c r="AB1645" s="2656"/>
      <c r="AC1645" s="2656"/>
      <c r="AD1645" s="2656"/>
      <c r="AE1645" s="2656"/>
      <c r="AF1645" s="2656"/>
      <c r="AG1645" s="2656"/>
      <c r="AH1645" s="2656"/>
      <c r="AI1645" s="2656"/>
      <c r="AJ1645" s="2656"/>
      <c r="AK1645" s="2656"/>
      <c r="AL1645" s="2656"/>
      <c r="AM1645" s="2656"/>
      <c r="AN1645" s="2656"/>
      <c r="AO1645" s="2656"/>
      <c r="AP1645" s="2656"/>
      <c r="AQ1645" s="2656"/>
      <c r="AR1645" s="2656"/>
      <c r="AS1645" s="2656"/>
      <c r="AT1645" s="2656"/>
      <c r="AU1645" s="2656"/>
      <c r="AV1645" s="2656"/>
      <c r="AW1645" s="2656"/>
      <c r="AX1645" s="2656"/>
      <c r="AY1645" s="2656"/>
      <c r="AZ1645" s="2656"/>
      <c r="BA1645" s="2656"/>
      <c r="BB1645" s="2656"/>
      <c r="BC1645" s="2656"/>
      <c r="BD1645" s="2656"/>
      <c r="BE1645" s="2656"/>
      <c r="BF1645" s="2656"/>
      <c r="BG1645" s="2656"/>
      <c r="BH1645" s="2656"/>
      <c r="BI1645" s="2656"/>
    </row>
    <row r="1646" spans="1:61" ht="24.75" customHeight="1">
      <c r="A1646" s="3375"/>
      <c r="B1646" s="2646"/>
      <c r="C1646" s="2647"/>
      <c r="D1646" s="2646"/>
      <c r="E1646" s="3013"/>
      <c r="F1646" s="2655"/>
      <c r="G1646" s="2596"/>
      <c r="H1646" s="4138"/>
      <c r="I1646" s="3375"/>
      <c r="J1646" s="2648"/>
      <c r="K1646" s="3147"/>
      <c r="L1646" s="2785"/>
      <c r="M1646" s="2695"/>
      <c r="N1646" s="2649"/>
      <c r="O1646" s="2655"/>
      <c r="P1646" s="2651"/>
      <c r="Q1646" s="3440"/>
      <c r="R1646" s="3553"/>
      <c r="S1646" s="1407"/>
      <c r="T1646" s="3375"/>
      <c r="U1646" s="2648"/>
      <c r="V1646" s="3554"/>
      <c r="W1646" s="3150"/>
      <c r="X1646" s="2656"/>
      <c r="Y1646" s="2656"/>
      <c r="Z1646" s="2656"/>
      <c r="AA1646" s="2656"/>
      <c r="AB1646" s="2656"/>
      <c r="AC1646" s="2656"/>
      <c r="AD1646" s="2656"/>
      <c r="AE1646" s="2656"/>
      <c r="AF1646" s="2656"/>
      <c r="AG1646" s="2656"/>
      <c r="AH1646" s="2656"/>
      <c r="AI1646" s="2656"/>
      <c r="AJ1646" s="2656"/>
      <c r="AK1646" s="2656"/>
      <c r="AL1646" s="2656"/>
      <c r="AM1646" s="2656"/>
      <c r="AN1646" s="2656"/>
      <c r="AO1646" s="2656"/>
      <c r="AP1646" s="2656"/>
      <c r="AQ1646" s="2656"/>
      <c r="AR1646" s="2656"/>
      <c r="AS1646" s="2656"/>
      <c r="AT1646" s="2656"/>
      <c r="AU1646" s="2656"/>
      <c r="AV1646" s="2656"/>
      <c r="AW1646" s="2656"/>
      <c r="AX1646" s="2656"/>
      <c r="AY1646" s="2656"/>
      <c r="AZ1646" s="2656"/>
      <c r="BA1646" s="2656"/>
      <c r="BB1646" s="2656"/>
      <c r="BC1646" s="2656"/>
      <c r="BD1646" s="2656"/>
      <c r="BE1646" s="2656"/>
      <c r="BF1646" s="2656"/>
      <c r="BG1646" s="2656"/>
      <c r="BH1646" s="2656"/>
      <c r="BI1646" s="2656"/>
    </row>
    <row r="1647" spans="1:61" ht="24.75" customHeight="1">
      <c r="A1647" s="3375"/>
      <c r="B1647" s="2646"/>
      <c r="C1647" s="2647"/>
      <c r="D1647" s="2646"/>
      <c r="E1647" s="3013"/>
      <c r="F1647" s="2655"/>
      <c r="G1647" s="2596"/>
      <c r="H1647" s="4138"/>
      <c r="I1647" s="3375"/>
      <c r="J1647" s="2648"/>
      <c r="K1647" s="3147"/>
      <c r="L1647" s="2785"/>
      <c r="M1647" s="2695"/>
      <c r="N1647" s="2649"/>
      <c r="O1647" s="2655"/>
      <c r="P1647" s="2651"/>
      <c r="Q1647" s="3440"/>
      <c r="R1647" s="3553"/>
      <c r="S1647" s="1407"/>
      <c r="T1647" s="3375"/>
      <c r="U1647" s="2648"/>
      <c r="V1647" s="3554"/>
      <c r="W1647" s="3150"/>
      <c r="X1647" s="2656"/>
      <c r="Y1647" s="2656"/>
      <c r="Z1647" s="2656"/>
      <c r="AA1647" s="2656"/>
      <c r="AB1647" s="2656"/>
      <c r="AC1647" s="2656"/>
      <c r="AD1647" s="2656"/>
      <c r="AE1647" s="2656"/>
      <c r="AF1647" s="2656"/>
      <c r="AG1647" s="2656"/>
      <c r="AH1647" s="2656"/>
      <c r="AI1647" s="2656"/>
      <c r="AJ1647" s="2656"/>
      <c r="AK1647" s="2656"/>
      <c r="AL1647" s="2656"/>
      <c r="AM1647" s="2656"/>
      <c r="AN1647" s="2656"/>
      <c r="AO1647" s="2656"/>
      <c r="AP1647" s="2656"/>
      <c r="AQ1647" s="2656"/>
      <c r="AR1647" s="2656"/>
      <c r="AS1647" s="2656"/>
      <c r="AT1647" s="2656"/>
      <c r="AU1647" s="2656"/>
      <c r="AV1647" s="2656"/>
      <c r="AW1647" s="2656"/>
      <c r="AX1647" s="2656"/>
      <c r="AY1647" s="2656"/>
      <c r="AZ1647" s="2656"/>
      <c r="BA1647" s="2656"/>
      <c r="BB1647" s="2656"/>
      <c r="BC1647" s="2656"/>
      <c r="BD1647" s="2656"/>
      <c r="BE1647" s="2656"/>
      <c r="BF1647" s="2656"/>
      <c r="BG1647" s="2656"/>
      <c r="BH1647" s="2656"/>
      <c r="BI1647" s="2656"/>
    </row>
    <row r="1648" spans="1:61" ht="24.75" customHeight="1">
      <c r="A1648" s="3375"/>
      <c r="B1648" s="2646"/>
      <c r="C1648" s="2647"/>
      <c r="D1648" s="2646"/>
      <c r="E1648" s="3013"/>
      <c r="F1648" s="2655"/>
      <c r="G1648" s="2596"/>
      <c r="H1648" s="4138"/>
      <c r="I1648" s="3375"/>
      <c r="J1648" s="2648"/>
      <c r="K1648" s="3147"/>
      <c r="L1648" s="2785"/>
      <c r="M1648" s="2695"/>
      <c r="N1648" s="2649"/>
      <c r="O1648" s="2655"/>
      <c r="P1648" s="2651"/>
      <c r="Q1648" s="3440"/>
      <c r="R1648" s="3553"/>
      <c r="S1648" s="1407"/>
      <c r="T1648" s="3375"/>
      <c r="U1648" s="2648"/>
      <c r="V1648" s="3554"/>
      <c r="W1648" s="3150"/>
      <c r="X1648" s="2656"/>
      <c r="Y1648" s="2656"/>
      <c r="Z1648" s="2656"/>
      <c r="AA1648" s="2656"/>
      <c r="AB1648" s="2656"/>
      <c r="AC1648" s="2656"/>
      <c r="AD1648" s="2656"/>
      <c r="AE1648" s="2656"/>
      <c r="AF1648" s="2656"/>
      <c r="AG1648" s="2656"/>
      <c r="AH1648" s="2656"/>
      <c r="AI1648" s="2656"/>
      <c r="AJ1648" s="2656"/>
      <c r="AK1648" s="2656"/>
      <c r="AL1648" s="2656"/>
      <c r="AM1648" s="2656"/>
      <c r="AN1648" s="2656"/>
      <c r="AO1648" s="2656"/>
      <c r="AP1648" s="2656"/>
      <c r="AQ1648" s="2656"/>
      <c r="AR1648" s="2656"/>
      <c r="AS1648" s="2656"/>
      <c r="AT1648" s="2656"/>
      <c r="AU1648" s="2656"/>
      <c r="AV1648" s="2656"/>
      <c r="AW1648" s="2656"/>
      <c r="AX1648" s="2656"/>
      <c r="AY1648" s="2656"/>
      <c r="AZ1648" s="2656"/>
      <c r="BA1648" s="2656"/>
      <c r="BB1648" s="2656"/>
      <c r="BC1648" s="2656"/>
      <c r="BD1648" s="2656"/>
      <c r="BE1648" s="2656"/>
      <c r="BF1648" s="2656"/>
      <c r="BG1648" s="2656"/>
      <c r="BH1648" s="2656"/>
      <c r="BI1648" s="2656"/>
    </row>
    <row r="1649" spans="1:61" ht="24.75" customHeight="1">
      <c r="A1649" s="3375"/>
      <c r="B1649" s="2646"/>
      <c r="C1649" s="2647"/>
      <c r="D1649" s="2646"/>
      <c r="E1649" s="3013"/>
      <c r="F1649" s="2655"/>
      <c r="G1649" s="2596"/>
      <c r="H1649" s="4138"/>
      <c r="I1649" s="3375"/>
      <c r="J1649" s="2648"/>
      <c r="K1649" s="3147"/>
      <c r="L1649" s="2785"/>
      <c r="M1649" s="2695"/>
      <c r="N1649" s="2649"/>
      <c r="O1649" s="2655"/>
      <c r="P1649" s="2651"/>
      <c r="Q1649" s="3440"/>
      <c r="R1649" s="3553"/>
      <c r="S1649" s="1407"/>
      <c r="T1649" s="3375"/>
      <c r="U1649" s="2648"/>
      <c r="V1649" s="3554"/>
      <c r="W1649" s="3150"/>
      <c r="X1649" s="2656"/>
      <c r="Y1649" s="2656"/>
      <c r="Z1649" s="2656"/>
      <c r="AA1649" s="2656"/>
      <c r="AB1649" s="2656"/>
      <c r="AC1649" s="2656"/>
      <c r="AD1649" s="2656"/>
      <c r="AE1649" s="2656"/>
      <c r="AF1649" s="2656"/>
      <c r="AG1649" s="2656"/>
      <c r="AH1649" s="2656"/>
      <c r="AI1649" s="2656"/>
      <c r="AJ1649" s="2656"/>
      <c r="AK1649" s="2656"/>
      <c r="AL1649" s="2656"/>
      <c r="AM1649" s="2656"/>
      <c r="AN1649" s="2656"/>
      <c r="AO1649" s="2656"/>
      <c r="AP1649" s="2656"/>
      <c r="AQ1649" s="2656"/>
      <c r="AR1649" s="2656"/>
      <c r="AS1649" s="2656"/>
      <c r="AT1649" s="2656"/>
      <c r="AU1649" s="2656"/>
      <c r="AV1649" s="2656"/>
      <c r="AW1649" s="2656"/>
      <c r="AX1649" s="2656"/>
      <c r="AY1649" s="2656"/>
      <c r="AZ1649" s="2656"/>
      <c r="BA1649" s="2656"/>
      <c r="BB1649" s="2656"/>
      <c r="BC1649" s="2656"/>
      <c r="BD1649" s="2656"/>
      <c r="BE1649" s="2656"/>
      <c r="BF1649" s="2656"/>
      <c r="BG1649" s="2656"/>
      <c r="BH1649" s="2656"/>
      <c r="BI1649" s="2656"/>
    </row>
    <row r="1650" spans="1:61" ht="24.75" customHeight="1">
      <c r="A1650" s="3375"/>
      <c r="B1650" s="2646"/>
      <c r="C1650" s="2647"/>
      <c r="D1650" s="2646"/>
      <c r="E1650" s="3013"/>
      <c r="F1650" s="2655"/>
      <c r="G1650" s="2596"/>
      <c r="H1650" s="4138"/>
      <c r="I1650" s="3375"/>
      <c r="J1650" s="2648"/>
      <c r="K1650" s="3147"/>
      <c r="L1650" s="2785"/>
      <c r="M1650" s="2695"/>
      <c r="N1650" s="2649"/>
      <c r="O1650" s="2655"/>
      <c r="P1650" s="2651"/>
      <c r="Q1650" s="3440"/>
      <c r="R1650" s="3553"/>
      <c r="S1650" s="1407"/>
      <c r="T1650" s="3375"/>
      <c r="U1650" s="2648"/>
      <c r="V1650" s="3554"/>
      <c r="W1650" s="3150"/>
      <c r="X1650" s="2656"/>
      <c r="Y1650" s="2656"/>
      <c r="Z1650" s="2656"/>
      <c r="AA1650" s="2656"/>
      <c r="AB1650" s="2656"/>
      <c r="AC1650" s="2656"/>
      <c r="AD1650" s="2656"/>
      <c r="AE1650" s="2656"/>
      <c r="AF1650" s="2656"/>
      <c r="AG1650" s="2656"/>
      <c r="AH1650" s="2656"/>
      <c r="AI1650" s="2656"/>
      <c r="AJ1650" s="2656"/>
      <c r="AK1650" s="2656"/>
      <c r="AL1650" s="2656"/>
      <c r="AM1650" s="2656"/>
      <c r="AN1650" s="2656"/>
      <c r="AO1650" s="2656"/>
      <c r="AP1650" s="2656"/>
      <c r="AQ1650" s="2656"/>
      <c r="AR1650" s="2656"/>
      <c r="AS1650" s="2656"/>
      <c r="AT1650" s="2656"/>
      <c r="AU1650" s="2656"/>
      <c r="AV1650" s="2656"/>
      <c r="AW1650" s="2656"/>
      <c r="AX1650" s="2656"/>
      <c r="AY1650" s="2656"/>
      <c r="AZ1650" s="2656"/>
      <c r="BA1650" s="2656"/>
      <c r="BB1650" s="2656"/>
      <c r="BC1650" s="2656"/>
      <c r="BD1650" s="2656"/>
      <c r="BE1650" s="2656"/>
      <c r="BF1650" s="2656"/>
      <c r="BG1650" s="2656"/>
      <c r="BH1650" s="2656"/>
      <c r="BI1650" s="2656"/>
    </row>
    <row r="1651" spans="1:61" ht="24.75" customHeight="1">
      <c r="A1651" s="3375"/>
      <c r="B1651" s="2646"/>
      <c r="C1651" s="2647"/>
      <c r="D1651" s="2646"/>
      <c r="E1651" s="3013"/>
      <c r="F1651" s="2655"/>
      <c r="G1651" s="2596"/>
      <c r="H1651" s="4138"/>
      <c r="I1651" s="3375"/>
      <c r="J1651" s="2648"/>
      <c r="K1651" s="3147"/>
      <c r="L1651" s="2785"/>
      <c r="M1651" s="2695"/>
      <c r="N1651" s="2649"/>
      <c r="O1651" s="2655"/>
      <c r="P1651" s="2651"/>
      <c r="Q1651" s="3440"/>
      <c r="R1651" s="3553"/>
      <c r="S1651" s="1407"/>
      <c r="T1651" s="3375"/>
      <c r="U1651" s="2648"/>
      <c r="V1651" s="3554"/>
      <c r="W1651" s="3150"/>
      <c r="X1651" s="2656"/>
      <c r="Y1651" s="2656"/>
      <c r="Z1651" s="2656"/>
      <c r="AA1651" s="2656"/>
      <c r="AB1651" s="2656"/>
      <c r="AC1651" s="2656"/>
      <c r="AD1651" s="2656"/>
      <c r="AE1651" s="2656"/>
      <c r="AF1651" s="2656"/>
      <c r="AG1651" s="2656"/>
      <c r="AH1651" s="2656"/>
      <c r="AI1651" s="2656"/>
      <c r="AJ1651" s="2656"/>
      <c r="AK1651" s="2656"/>
      <c r="AL1651" s="2656"/>
      <c r="AM1651" s="2656"/>
      <c r="AN1651" s="2656"/>
      <c r="AO1651" s="2656"/>
      <c r="AP1651" s="2656"/>
      <c r="AQ1651" s="2656"/>
      <c r="AR1651" s="2656"/>
      <c r="AS1651" s="2656"/>
      <c r="AT1651" s="2656"/>
      <c r="AU1651" s="2656"/>
      <c r="AV1651" s="2656"/>
      <c r="AW1651" s="2656"/>
      <c r="AX1651" s="2656"/>
      <c r="AY1651" s="2656"/>
      <c r="AZ1651" s="2656"/>
      <c r="BA1651" s="2656"/>
      <c r="BB1651" s="2656"/>
      <c r="BC1651" s="2656"/>
      <c r="BD1651" s="2656"/>
      <c r="BE1651" s="2656"/>
      <c r="BF1651" s="2656"/>
      <c r="BG1651" s="2656"/>
      <c r="BH1651" s="2656"/>
      <c r="BI1651" s="2656"/>
    </row>
    <row r="1652" spans="1:61" ht="24.75" customHeight="1">
      <c r="A1652" s="3375"/>
      <c r="B1652" s="2646"/>
      <c r="C1652" s="2647"/>
      <c r="D1652" s="2646"/>
      <c r="E1652" s="3013"/>
      <c r="F1652" s="2655"/>
      <c r="G1652" s="2596"/>
      <c r="H1652" s="4138"/>
      <c r="I1652" s="3375"/>
      <c r="J1652" s="2648"/>
      <c r="K1652" s="3147"/>
      <c r="L1652" s="2785"/>
      <c r="M1652" s="2695"/>
      <c r="N1652" s="2649"/>
      <c r="O1652" s="2655"/>
      <c r="P1652" s="2651"/>
      <c r="Q1652" s="3440"/>
      <c r="R1652" s="3553"/>
      <c r="S1652" s="1407"/>
      <c r="T1652" s="3375"/>
      <c r="U1652" s="2648"/>
      <c r="V1652" s="3554"/>
      <c r="W1652" s="3150"/>
      <c r="X1652" s="2656"/>
      <c r="Y1652" s="2656"/>
      <c r="Z1652" s="2656"/>
      <c r="AA1652" s="2656"/>
      <c r="AB1652" s="2656"/>
      <c r="AC1652" s="2656"/>
      <c r="AD1652" s="2656"/>
      <c r="AE1652" s="2656"/>
      <c r="AF1652" s="2656"/>
      <c r="AG1652" s="2656"/>
      <c r="AH1652" s="2656"/>
      <c r="AI1652" s="2656"/>
      <c r="AJ1652" s="2656"/>
      <c r="AK1652" s="2656"/>
      <c r="AL1652" s="2656"/>
      <c r="AM1652" s="2656"/>
      <c r="AN1652" s="2656"/>
      <c r="AO1652" s="2656"/>
      <c r="AP1652" s="2656"/>
      <c r="AQ1652" s="2656"/>
      <c r="AR1652" s="2656"/>
      <c r="AS1652" s="2656"/>
      <c r="AT1652" s="2656"/>
      <c r="AU1652" s="2656"/>
      <c r="AV1652" s="2656"/>
      <c r="AW1652" s="2656"/>
      <c r="AX1652" s="2656"/>
      <c r="AY1652" s="2656"/>
      <c r="AZ1652" s="2656"/>
      <c r="BA1652" s="2656"/>
      <c r="BB1652" s="2656"/>
      <c r="BC1652" s="2656"/>
      <c r="BD1652" s="2656"/>
      <c r="BE1652" s="2656"/>
      <c r="BF1652" s="2656"/>
      <c r="BG1652" s="2656"/>
      <c r="BH1652" s="2656"/>
      <c r="BI1652" s="2656"/>
    </row>
    <row r="1653" spans="1:61" ht="24.75" customHeight="1">
      <c r="A1653" s="3375"/>
      <c r="B1653" s="2646"/>
      <c r="C1653" s="2647"/>
      <c r="D1653" s="2646"/>
      <c r="E1653" s="3013"/>
      <c r="F1653" s="2655"/>
      <c r="G1653" s="2596"/>
      <c r="H1653" s="4138"/>
      <c r="I1653" s="3375"/>
      <c r="J1653" s="2648"/>
      <c r="K1653" s="3147"/>
      <c r="L1653" s="2785"/>
      <c r="M1653" s="2695"/>
      <c r="N1653" s="2649"/>
      <c r="O1653" s="2655"/>
      <c r="P1653" s="2651"/>
      <c r="Q1653" s="3440"/>
      <c r="R1653" s="3553"/>
      <c r="S1653" s="1407"/>
      <c r="T1653" s="3375"/>
      <c r="U1653" s="2648"/>
      <c r="V1653" s="3554"/>
      <c r="W1653" s="3150"/>
      <c r="X1653" s="2656"/>
      <c r="Y1653" s="2656"/>
      <c r="Z1653" s="2656"/>
      <c r="AA1653" s="2656"/>
      <c r="AB1653" s="2656"/>
      <c r="AC1653" s="2656"/>
      <c r="AD1653" s="2656"/>
      <c r="AE1653" s="2656"/>
      <c r="AF1653" s="2656"/>
      <c r="AG1653" s="2656"/>
      <c r="AH1653" s="2656"/>
      <c r="AI1653" s="2656"/>
      <c r="AJ1653" s="2656"/>
      <c r="AK1653" s="2656"/>
      <c r="AL1653" s="2656"/>
      <c r="AM1653" s="2656"/>
      <c r="AN1653" s="2656"/>
      <c r="AO1653" s="2656"/>
      <c r="AP1653" s="2656"/>
      <c r="AQ1653" s="2656"/>
      <c r="AR1653" s="2656"/>
      <c r="AS1653" s="2656"/>
      <c r="AT1653" s="2656"/>
      <c r="AU1653" s="2656"/>
      <c r="AV1653" s="2656"/>
      <c r="AW1653" s="2656"/>
      <c r="AX1653" s="2656"/>
      <c r="AY1653" s="2656"/>
      <c r="AZ1653" s="2656"/>
      <c r="BA1653" s="2656"/>
      <c r="BB1653" s="2656"/>
      <c r="BC1653" s="2656"/>
      <c r="BD1653" s="2656"/>
      <c r="BE1653" s="2656"/>
      <c r="BF1653" s="2656"/>
      <c r="BG1653" s="2656"/>
      <c r="BH1653" s="2656"/>
      <c r="BI1653" s="2656"/>
    </row>
    <row r="1654" spans="1:61" ht="24.75" customHeight="1">
      <c r="A1654" s="3375"/>
      <c r="B1654" s="2646"/>
      <c r="C1654" s="2647"/>
      <c r="D1654" s="2646"/>
      <c r="E1654" s="3013"/>
      <c r="F1654" s="2655"/>
      <c r="G1654" s="2596"/>
      <c r="H1654" s="4138"/>
      <c r="I1654" s="3375"/>
      <c r="J1654" s="2648"/>
      <c r="K1654" s="3147"/>
      <c r="L1654" s="2785"/>
      <c r="M1654" s="2695"/>
      <c r="N1654" s="2649"/>
      <c r="O1654" s="2655"/>
      <c r="P1654" s="2651"/>
      <c r="Q1654" s="3440"/>
      <c r="R1654" s="3553"/>
      <c r="S1654" s="1407"/>
      <c r="T1654" s="3375"/>
      <c r="U1654" s="2648"/>
      <c r="V1654" s="3554"/>
      <c r="W1654" s="3150"/>
      <c r="X1654" s="2656"/>
      <c r="Y1654" s="2656"/>
      <c r="Z1654" s="2656"/>
      <c r="AA1654" s="2656"/>
      <c r="AB1654" s="2656"/>
      <c r="AC1654" s="2656"/>
      <c r="AD1654" s="2656"/>
      <c r="AE1654" s="2656"/>
      <c r="AF1654" s="2656"/>
      <c r="AG1654" s="2656"/>
      <c r="AH1654" s="2656"/>
      <c r="AI1654" s="2656"/>
      <c r="AJ1654" s="2656"/>
      <c r="AK1654" s="2656"/>
      <c r="AL1654" s="2656"/>
      <c r="AM1654" s="2656"/>
      <c r="AN1654" s="2656"/>
      <c r="AO1654" s="2656"/>
      <c r="AP1654" s="2656"/>
      <c r="AQ1654" s="2656"/>
      <c r="AR1654" s="2656"/>
      <c r="AS1654" s="2656"/>
      <c r="AT1654" s="2656"/>
      <c r="AU1654" s="2656"/>
      <c r="AV1654" s="2656"/>
      <c r="AW1654" s="2656"/>
      <c r="AX1654" s="2656"/>
      <c r="AY1654" s="2656"/>
      <c r="AZ1654" s="2656"/>
      <c r="BA1654" s="2656"/>
      <c r="BB1654" s="2656"/>
      <c r="BC1654" s="2656"/>
      <c r="BD1654" s="2656"/>
      <c r="BE1654" s="2656"/>
      <c r="BF1654" s="2656"/>
      <c r="BG1654" s="2656"/>
      <c r="BH1654" s="2656"/>
      <c r="BI1654" s="2656"/>
    </row>
    <row r="1655" spans="1:61" ht="24.75" customHeight="1">
      <c r="A1655" s="3375"/>
      <c r="B1655" s="2646"/>
      <c r="C1655" s="2647"/>
      <c r="D1655" s="2646"/>
      <c r="E1655" s="3013"/>
      <c r="F1655" s="2655"/>
      <c r="G1655" s="2596"/>
      <c r="H1655" s="4138"/>
      <c r="I1655" s="3375"/>
      <c r="J1655" s="2648"/>
      <c r="K1655" s="3147"/>
      <c r="L1655" s="2785"/>
      <c r="M1655" s="2695"/>
      <c r="N1655" s="2649"/>
      <c r="O1655" s="2655"/>
      <c r="P1655" s="2651"/>
      <c r="Q1655" s="3440"/>
      <c r="R1655" s="3553"/>
      <c r="S1655" s="1407"/>
      <c r="T1655" s="3375"/>
      <c r="U1655" s="2648"/>
      <c r="V1655" s="3554"/>
      <c r="W1655" s="3150"/>
      <c r="X1655" s="2656"/>
      <c r="Y1655" s="2656"/>
      <c r="Z1655" s="2656"/>
      <c r="AA1655" s="2656"/>
      <c r="AB1655" s="2656"/>
      <c r="AC1655" s="2656"/>
      <c r="AD1655" s="2656"/>
      <c r="AE1655" s="2656"/>
      <c r="AF1655" s="2656"/>
      <c r="AG1655" s="2656"/>
      <c r="AH1655" s="2656"/>
      <c r="AI1655" s="2656"/>
      <c r="AJ1655" s="2656"/>
      <c r="AK1655" s="2656"/>
      <c r="AL1655" s="2656"/>
      <c r="AM1655" s="2656"/>
      <c r="AN1655" s="2656"/>
      <c r="AO1655" s="2656"/>
      <c r="AP1655" s="2656"/>
      <c r="AQ1655" s="2656"/>
      <c r="AR1655" s="2656"/>
      <c r="AS1655" s="2656"/>
      <c r="AT1655" s="2656"/>
      <c r="AU1655" s="2656"/>
      <c r="AV1655" s="2656"/>
      <c r="AW1655" s="2656"/>
      <c r="AX1655" s="2656"/>
      <c r="AY1655" s="2656"/>
      <c r="AZ1655" s="2656"/>
      <c r="BA1655" s="2656"/>
      <c r="BB1655" s="2656"/>
      <c r="BC1655" s="2656"/>
      <c r="BD1655" s="2656"/>
      <c r="BE1655" s="2656"/>
      <c r="BF1655" s="2656"/>
      <c r="BG1655" s="2656"/>
      <c r="BH1655" s="2656"/>
      <c r="BI1655" s="2656"/>
    </row>
    <row r="1656" spans="1:61" ht="24.75" customHeight="1">
      <c r="A1656" s="3375"/>
      <c r="B1656" s="2646"/>
      <c r="C1656" s="2647"/>
      <c r="D1656" s="2646"/>
      <c r="E1656" s="3013"/>
      <c r="F1656" s="2655"/>
      <c r="G1656" s="2596"/>
      <c r="H1656" s="4138"/>
      <c r="I1656" s="3375"/>
      <c r="J1656" s="2648"/>
      <c r="K1656" s="3147"/>
      <c r="L1656" s="2785"/>
      <c r="M1656" s="2695"/>
      <c r="N1656" s="2649"/>
      <c r="O1656" s="2655"/>
      <c r="P1656" s="2651"/>
      <c r="Q1656" s="3440"/>
      <c r="R1656" s="3553"/>
      <c r="S1656" s="1407"/>
      <c r="T1656" s="3375"/>
      <c r="U1656" s="2648"/>
      <c r="V1656" s="3554"/>
      <c r="W1656" s="3150"/>
      <c r="X1656" s="2656"/>
      <c r="Y1656" s="2656"/>
      <c r="Z1656" s="2656"/>
      <c r="AA1656" s="2656"/>
      <c r="AB1656" s="2656"/>
      <c r="AC1656" s="2656"/>
      <c r="AD1656" s="2656"/>
      <c r="AE1656" s="2656"/>
      <c r="AF1656" s="2656"/>
      <c r="AG1656" s="2656"/>
      <c r="AH1656" s="2656"/>
      <c r="AI1656" s="2656"/>
      <c r="AJ1656" s="2656"/>
      <c r="AK1656" s="2656"/>
      <c r="AL1656" s="2656"/>
      <c r="AM1656" s="2656"/>
      <c r="AN1656" s="2656"/>
      <c r="AO1656" s="2656"/>
      <c r="AP1656" s="2656"/>
      <c r="AQ1656" s="2656"/>
      <c r="AR1656" s="2656"/>
      <c r="AS1656" s="2656"/>
      <c r="AT1656" s="2656"/>
      <c r="AU1656" s="2656"/>
      <c r="AV1656" s="2656"/>
      <c r="AW1656" s="2656"/>
      <c r="AX1656" s="2656"/>
      <c r="AY1656" s="2656"/>
      <c r="AZ1656" s="2656"/>
      <c r="BA1656" s="2656"/>
      <c r="BB1656" s="2656"/>
      <c r="BC1656" s="2656"/>
      <c r="BD1656" s="2656"/>
      <c r="BE1656" s="2656"/>
      <c r="BF1656" s="2656"/>
      <c r="BG1656" s="2656"/>
      <c r="BH1656" s="2656"/>
      <c r="BI1656" s="2656"/>
    </row>
    <row r="1657" spans="1:61" ht="24.75" customHeight="1">
      <c r="A1657" s="3375"/>
      <c r="B1657" s="2646"/>
      <c r="C1657" s="2647"/>
      <c r="D1657" s="2646"/>
      <c r="E1657" s="3013"/>
      <c r="F1657" s="2655"/>
      <c r="G1657" s="2596"/>
      <c r="H1657" s="4138"/>
      <c r="I1657" s="3375"/>
      <c r="J1657" s="2648"/>
      <c r="K1657" s="3147"/>
      <c r="L1657" s="2785"/>
      <c r="M1657" s="2695"/>
      <c r="N1657" s="2649"/>
      <c r="O1657" s="2655"/>
      <c r="P1657" s="2651"/>
      <c r="Q1657" s="3440"/>
      <c r="R1657" s="3553"/>
      <c r="S1657" s="1407"/>
      <c r="T1657" s="3375"/>
      <c r="U1657" s="2648"/>
      <c r="V1657" s="3554"/>
      <c r="W1657" s="3150"/>
      <c r="X1657" s="2656"/>
      <c r="Y1657" s="2656"/>
      <c r="Z1657" s="2656"/>
      <c r="AA1657" s="2656"/>
      <c r="AB1657" s="2656"/>
      <c r="AC1657" s="2656"/>
      <c r="AD1657" s="2656"/>
      <c r="AE1657" s="2656"/>
      <c r="AF1657" s="2656"/>
      <c r="AG1657" s="2656"/>
      <c r="AH1657" s="2656"/>
      <c r="AI1657" s="2656"/>
      <c r="AJ1657" s="2656"/>
      <c r="AK1657" s="2656"/>
      <c r="AL1657" s="2656"/>
      <c r="AM1657" s="2656"/>
      <c r="AN1657" s="2656"/>
      <c r="AO1657" s="2656"/>
      <c r="AP1657" s="2656"/>
      <c r="AQ1657" s="2656"/>
      <c r="AR1657" s="2656"/>
      <c r="AS1657" s="2656"/>
      <c r="AT1657" s="2656"/>
      <c r="AU1657" s="2656"/>
      <c r="AV1657" s="2656"/>
      <c r="AW1657" s="2656"/>
      <c r="AX1657" s="2656"/>
      <c r="AY1657" s="2656"/>
      <c r="AZ1657" s="2656"/>
      <c r="BA1657" s="2656"/>
      <c r="BB1657" s="2656"/>
      <c r="BC1657" s="2656"/>
      <c r="BD1657" s="2656"/>
      <c r="BE1657" s="2656"/>
      <c r="BF1657" s="2656"/>
      <c r="BG1657" s="2656"/>
      <c r="BH1657" s="2656"/>
      <c r="BI1657" s="2656"/>
    </row>
    <row r="1658" spans="1:61" ht="24.75" customHeight="1">
      <c r="A1658" s="3375"/>
      <c r="B1658" s="2646"/>
      <c r="C1658" s="2647"/>
      <c r="D1658" s="2646"/>
      <c r="E1658" s="3013"/>
      <c r="F1658" s="2655"/>
      <c r="G1658" s="2596"/>
      <c r="H1658" s="4138"/>
      <c r="I1658" s="3375"/>
      <c r="J1658" s="2648"/>
      <c r="K1658" s="3147"/>
      <c r="L1658" s="2785"/>
      <c r="M1658" s="2695"/>
      <c r="N1658" s="2649"/>
      <c r="O1658" s="2655"/>
      <c r="P1658" s="2651"/>
      <c r="Q1658" s="3440"/>
      <c r="R1658" s="3553"/>
      <c r="S1658" s="1407"/>
      <c r="T1658" s="3375"/>
      <c r="U1658" s="2648"/>
      <c r="V1658" s="3554"/>
      <c r="W1658" s="3150"/>
      <c r="X1658" s="2656"/>
      <c r="Y1658" s="2656"/>
      <c r="Z1658" s="2656"/>
      <c r="AA1658" s="2656"/>
      <c r="AB1658" s="2656"/>
      <c r="AC1658" s="2656"/>
      <c r="AD1658" s="2656"/>
      <c r="AE1658" s="2656"/>
      <c r="AF1658" s="2656"/>
      <c r="AG1658" s="2656"/>
      <c r="AH1658" s="2656"/>
      <c r="AI1658" s="2656"/>
      <c r="AJ1658" s="2656"/>
      <c r="AK1658" s="2656"/>
      <c r="AL1658" s="2656"/>
      <c r="AM1658" s="2656"/>
      <c r="AN1658" s="2656"/>
      <c r="AO1658" s="2656"/>
      <c r="AP1658" s="2656"/>
      <c r="AQ1658" s="2656"/>
      <c r="AR1658" s="2656"/>
      <c r="AS1658" s="2656"/>
      <c r="AT1658" s="2656"/>
      <c r="AU1658" s="2656"/>
      <c r="AV1658" s="2656"/>
      <c r="AW1658" s="2656"/>
      <c r="AX1658" s="2656"/>
      <c r="AY1658" s="2656"/>
      <c r="AZ1658" s="2656"/>
      <c r="BA1658" s="2656"/>
      <c r="BB1658" s="2656"/>
      <c r="BC1658" s="2656"/>
      <c r="BD1658" s="2656"/>
      <c r="BE1658" s="2656"/>
      <c r="BF1658" s="2656"/>
      <c r="BG1658" s="2656"/>
      <c r="BH1658" s="2656"/>
      <c r="BI1658" s="2656"/>
    </row>
    <row r="1659" spans="1:61" ht="24.75" customHeight="1">
      <c r="A1659" s="3375"/>
      <c r="B1659" s="2646"/>
      <c r="C1659" s="2647"/>
      <c r="D1659" s="2646"/>
      <c r="E1659" s="3013"/>
      <c r="F1659" s="2655"/>
      <c r="G1659" s="2596"/>
      <c r="H1659" s="4138"/>
      <c r="I1659" s="3375"/>
      <c r="J1659" s="2648"/>
      <c r="K1659" s="3147"/>
      <c r="L1659" s="2785"/>
      <c r="M1659" s="2695"/>
      <c r="N1659" s="2649"/>
      <c r="O1659" s="2655"/>
      <c r="P1659" s="2651"/>
      <c r="Q1659" s="3440"/>
      <c r="R1659" s="3553"/>
      <c r="S1659" s="1407"/>
      <c r="T1659" s="3375"/>
      <c r="U1659" s="2648"/>
      <c r="V1659" s="3554"/>
      <c r="W1659" s="3150"/>
      <c r="X1659" s="2656"/>
      <c r="Y1659" s="2656"/>
      <c r="Z1659" s="2656"/>
      <c r="AA1659" s="2656"/>
      <c r="AB1659" s="2656"/>
      <c r="AC1659" s="2656"/>
      <c r="AD1659" s="2656"/>
      <c r="AE1659" s="2656"/>
      <c r="AF1659" s="2656"/>
      <c r="AG1659" s="2656"/>
      <c r="AH1659" s="2656"/>
      <c r="AI1659" s="2656"/>
      <c r="AJ1659" s="2656"/>
      <c r="AK1659" s="2656"/>
      <c r="AL1659" s="2656"/>
      <c r="AM1659" s="2656"/>
      <c r="AN1659" s="2656"/>
      <c r="AO1659" s="2656"/>
      <c r="AP1659" s="2656"/>
      <c r="AQ1659" s="2656"/>
      <c r="AR1659" s="2656"/>
      <c r="AS1659" s="2656"/>
      <c r="AT1659" s="2656"/>
      <c r="AU1659" s="2656"/>
      <c r="AV1659" s="2656"/>
      <c r="AW1659" s="2656"/>
      <c r="AX1659" s="2656"/>
      <c r="AY1659" s="2656"/>
      <c r="AZ1659" s="2656"/>
      <c r="BA1659" s="2656"/>
      <c r="BB1659" s="2656"/>
      <c r="BC1659" s="2656"/>
      <c r="BD1659" s="2656"/>
      <c r="BE1659" s="2656"/>
      <c r="BF1659" s="2656"/>
      <c r="BG1659" s="2656"/>
      <c r="BH1659" s="2656"/>
      <c r="BI1659" s="2656"/>
    </row>
    <row r="1660" spans="1:61" ht="24.75" customHeight="1">
      <c r="A1660" s="3375"/>
      <c r="B1660" s="2646"/>
      <c r="C1660" s="2647"/>
      <c r="D1660" s="2646"/>
      <c r="E1660" s="3013"/>
      <c r="F1660" s="2655"/>
      <c r="G1660" s="2596"/>
      <c r="H1660" s="4138"/>
      <c r="I1660" s="3375"/>
      <c r="J1660" s="2648"/>
      <c r="K1660" s="3147"/>
      <c r="L1660" s="2785"/>
      <c r="M1660" s="2695"/>
      <c r="N1660" s="2649"/>
      <c r="O1660" s="2655"/>
      <c r="P1660" s="2651"/>
      <c r="Q1660" s="3440"/>
      <c r="R1660" s="3553"/>
      <c r="S1660" s="1407"/>
      <c r="T1660" s="3375"/>
      <c r="U1660" s="2648"/>
      <c r="V1660" s="3554"/>
      <c r="W1660" s="3150"/>
      <c r="X1660" s="2656"/>
      <c r="Y1660" s="2656"/>
      <c r="Z1660" s="2656"/>
      <c r="AA1660" s="2656"/>
      <c r="AB1660" s="2656"/>
      <c r="AC1660" s="2656"/>
      <c r="AD1660" s="2656"/>
      <c r="AE1660" s="2656"/>
      <c r="AF1660" s="2656"/>
      <c r="AG1660" s="2656"/>
      <c r="AH1660" s="2656"/>
      <c r="AI1660" s="2656"/>
      <c r="AJ1660" s="2656"/>
      <c r="AK1660" s="2656"/>
      <c r="AL1660" s="2656"/>
      <c r="AM1660" s="2656"/>
      <c r="AN1660" s="2656"/>
      <c r="AO1660" s="2656"/>
      <c r="AP1660" s="2656"/>
      <c r="AQ1660" s="2656"/>
      <c r="AR1660" s="2656"/>
      <c r="AS1660" s="2656"/>
      <c r="AT1660" s="2656"/>
      <c r="AU1660" s="2656"/>
      <c r="AV1660" s="2656"/>
      <c r="AW1660" s="2656"/>
      <c r="AX1660" s="2656"/>
      <c r="AY1660" s="2656"/>
      <c r="AZ1660" s="2656"/>
      <c r="BA1660" s="2656"/>
      <c r="BB1660" s="2656"/>
      <c r="BC1660" s="2656"/>
      <c r="BD1660" s="2656"/>
      <c r="BE1660" s="2656"/>
      <c r="BF1660" s="2656"/>
      <c r="BG1660" s="2656"/>
      <c r="BH1660" s="2656"/>
      <c r="BI1660" s="2656"/>
    </row>
    <row r="1661" spans="1:61" ht="24.75" customHeight="1">
      <c r="A1661" s="3375"/>
      <c r="B1661" s="2646"/>
      <c r="C1661" s="2647"/>
      <c r="D1661" s="2646"/>
      <c r="E1661" s="3013"/>
      <c r="F1661" s="2655"/>
      <c r="G1661" s="2596"/>
      <c r="H1661" s="4138"/>
      <c r="I1661" s="3375"/>
      <c r="J1661" s="2648"/>
      <c r="K1661" s="3147"/>
      <c r="L1661" s="2785"/>
      <c r="M1661" s="2695"/>
      <c r="N1661" s="2649"/>
      <c r="O1661" s="2655"/>
      <c r="P1661" s="2651"/>
      <c r="Q1661" s="3440"/>
      <c r="R1661" s="3553"/>
      <c r="S1661" s="1407"/>
      <c r="T1661" s="3375"/>
      <c r="U1661" s="2648"/>
      <c r="V1661" s="3554"/>
      <c r="W1661" s="3150"/>
      <c r="X1661" s="2656"/>
      <c r="Y1661" s="2656"/>
      <c r="Z1661" s="2656"/>
      <c r="AA1661" s="2656"/>
      <c r="AB1661" s="2656"/>
      <c r="AC1661" s="2656"/>
      <c r="AD1661" s="2656"/>
      <c r="AE1661" s="2656"/>
      <c r="AF1661" s="2656"/>
      <c r="AG1661" s="2656"/>
      <c r="AH1661" s="2656"/>
      <c r="AI1661" s="2656"/>
      <c r="AJ1661" s="2656"/>
      <c r="AK1661" s="2656"/>
      <c r="AL1661" s="2656"/>
      <c r="AM1661" s="2656"/>
      <c r="AN1661" s="2656"/>
      <c r="AO1661" s="2656"/>
      <c r="AP1661" s="2656"/>
      <c r="AQ1661" s="2656"/>
      <c r="AR1661" s="2656"/>
      <c r="AS1661" s="2656"/>
      <c r="AT1661" s="2656"/>
      <c r="AU1661" s="2656"/>
      <c r="AV1661" s="2656"/>
      <c r="AW1661" s="2656"/>
      <c r="AX1661" s="2656"/>
      <c r="AY1661" s="2656"/>
      <c r="AZ1661" s="2656"/>
      <c r="BA1661" s="2656"/>
      <c r="BB1661" s="2656"/>
      <c r="BC1661" s="2656"/>
      <c r="BD1661" s="2656"/>
      <c r="BE1661" s="2656"/>
      <c r="BF1661" s="2656"/>
      <c r="BG1661" s="2656"/>
      <c r="BH1661" s="2656"/>
      <c r="BI1661" s="2656"/>
    </row>
    <row r="1662" spans="1:61" ht="24.75" customHeight="1">
      <c r="A1662" s="3375"/>
      <c r="B1662" s="2646"/>
      <c r="C1662" s="2647"/>
      <c r="D1662" s="2646"/>
      <c r="E1662" s="3013"/>
      <c r="F1662" s="2655"/>
      <c r="G1662" s="2596"/>
      <c r="H1662" s="4138"/>
      <c r="I1662" s="3375"/>
      <c r="J1662" s="2648"/>
      <c r="K1662" s="3147"/>
      <c r="L1662" s="2785"/>
      <c r="M1662" s="2695"/>
      <c r="N1662" s="2649"/>
      <c r="O1662" s="2655"/>
      <c r="P1662" s="2651"/>
      <c r="Q1662" s="3440"/>
      <c r="R1662" s="3553"/>
      <c r="S1662" s="1407"/>
      <c r="T1662" s="3375"/>
      <c r="U1662" s="2648"/>
      <c r="V1662" s="3554"/>
      <c r="W1662" s="3150"/>
      <c r="X1662" s="2656"/>
      <c r="Y1662" s="2656"/>
      <c r="Z1662" s="2656"/>
      <c r="AA1662" s="2656"/>
      <c r="AB1662" s="2656"/>
      <c r="AC1662" s="2656"/>
      <c r="AD1662" s="2656"/>
      <c r="AE1662" s="2656"/>
      <c r="AF1662" s="2656"/>
      <c r="AG1662" s="2656"/>
      <c r="AH1662" s="2656"/>
      <c r="AI1662" s="2656"/>
      <c r="AJ1662" s="2656"/>
      <c r="AK1662" s="2656"/>
      <c r="AL1662" s="2656"/>
      <c r="AM1662" s="2656"/>
      <c r="AN1662" s="2656"/>
      <c r="AO1662" s="2656"/>
      <c r="AP1662" s="2656"/>
      <c r="AQ1662" s="2656"/>
      <c r="AR1662" s="2656"/>
      <c r="AS1662" s="2656"/>
      <c r="AT1662" s="2656"/>
      <c r="AU1662" s="2656"/>
      <c r="AV1662" s="2656"/>
      <c r="AW1662" s="2656"/>
      <c r="AX1662" s="2656"/>
      <c r="AY1662" s="2656"/>
      <c r="AZ1662" s="2656"/>
      <c r="BA1662" s="2656"/>
      <c r="BB1662" s="2656"/>
      <c r="BC1662" s="2656"/>
      <c r="BD1662" s="2656"/>
      <c r="BE1662" s="2656"/>
      <c r="BF1662" s="2656"/>
      <c r="BG1662" s="2656"/>
      <c r="BH1662" s="2656"/>
      <c r="BI1662" s="2656"/>
    </row>
    <row r="1663" spans="1:61" ht="24.75" customHeight="1">
      <c r="A1663" s="3375"/>
      <c r="B1663" s="2646"/>
      <c r="C1663" s="2647"/>
      <c r="D1663" s="2646"/>
      <c r="E1663" s="3013"/>
      <c r="F1663" s="2655"/>
      <c r="G1663" s="2596"/>
      <c r="H1663" s="4138"/>
      <c r="I1663" s="3375"/>
      <c r="J1663" s="2648"/>
      <c r="K1663" s="3147"/>
      <c r="L1663" s="2785"/>
      <c r="M1663" s="2695"/>
      <c r="N1663" s="2649"/>
      <c r="O1663" s="2655"/>
      <c r="P1663" s="2651"/>
      <c r="Q1663" s="3440"/>
      <c r="R1663" s="3553"/>
      <c r="S1663" s="1407"/>
      <c r="T1663" s="3375"/>
      <c r="U1663" s="2648"/>
      <c r="V1663" s="3554"/>
      <c r="W1663" s="3150"/>
      <c r="X1663" s="2656"/>
      <c r="Y1663" s="2656"/>
      <c r="Z1663" s="2656"/>
      <c r="AA1663" s="2656"/>
      <c r="AB1663" s="2656"/>
      <c r="AC1663" s="2656"/>
      <c r="AD1663" s="2656"/>
      <c r="AE1663" s="2656"/>
      <c r="AF1663" s="2656"/>
      <c r="AG1663" s="2656"/>
      <c r="AH1663" s="2656"/>
      <c r="AI1663" s="2656"/>
      <c r="AJ1663" s="2656"/>
      <c r="AK1663" s="2656"/>
      <c r="AL1663" s="2656"/>
      <c r="AM1663" s="2656"/>
      <c r="AN1663" s="2656"/>
      <c r="AO1663" s="2656"/>
      <c r="AP1663" s="2656"/>
      <c r="AQ1663" s="2656"/>
      <c r="AR1663" s="2656"/>
      <c r="AS1663" s="2656"/>
      <c r="AT1663" s="2656"/>
      <c r="AU1663" s="2656"/>
      <c r="AV1663" s="2656"/>
      <c r="AW1663" s="2656"/>
      <c r="AX1663" s="2656"/>
      <c r="AY1663" s="2656"/>
      <c r="AZ1663" s="2656"/>
      <c r="BA1663" s="2656"/>
      <c r="BB1663" s="2656"/>
      <c r="BC1663" s="2656"/>
      <c r="BD1663" s="2656"/>
      <c r="BE1663" s="2656"/>
      <c r="BF1663" s="2656"/>
      <c r="BG1663" s="2656"/>
      <c r="BH1663" s="2656"/>
      <c r="BI1663" s="2656"/>
    </row>
    <row r="1664" spans="1:61" ht="24.75" customHeight="1">
      <c r="A1664" s="3375"/>
      <c r="B1664" s="2646"/>
      <c r="C1664" s="2647"/>
      <c r="D1664" s="2646"/>
      <c r="E1664" s="3013"/>
      <c r="F1664" s="2655"/>
      <c r="G1664" s="2596"/>
      <c r="H1664" s="4138"/>
      <c r="I1664" s="3375"/>
      <c r="J1664" s="2648"/>
      <c r="K1664" s="3147"/>
      <c r="L1664" s="2785"/>
      <c r="M1664" s="2695"/>
      <c r="N1664" s="2649"/>
      <c r="O1664" s="2655"/>
      <c r="P1664" s="2651"/>
      <c r="Q1664" s="3440"/>
      <c r="R1664" s="3553"/>
      <c r="S1664" s="1407"/>
      <c r="T1664" s="3375"/>
      <c r="U1664" s="2648"/>
      <c r="V1664" s="3554"/>
      <c r="W1664" s="3150"/>
      <c r="X1664" s="2656"/>
      <c r="Y1664" s="2656"/>
      <c r="Z1664" s="2656"/>
      <c r="AA1664" s="2656"/>
      <c r="AB1664" s="2656"/>
      <c r="AC1664" s="2656"/>
      <c r="AD1664" s="2656"/>
      <c r="AE1664" s="2656"/>
      <c r="AF1664" s="2656"/>
      <c r="AG1664" s="2656"/>
      <c r="AH1664" s="2656"/>
      <c r="AI1664" s="2656"/>
      <c r="AJ1664" s="2656"/>
      <c r="AK1664" s="2656"/>
      <c r="AL1664" s="2656"/>
      <c r="AM1664" s="2656"/>
      <c r="AN1664" s="2656"/>
      <c r="AO1664" s="2656"/>
      <c r="AP1664" s="2656"/>
      <c r="AQ1664" s="2656"/>
      <c r="AR1664" s="2656"/>
      <c r="AS1664" s="2656"/>
      <c r="AT1664" s="2656"/>
      <c r="AU1664" s="2656"/>
      <c r="AV1664" s="2656"/>
      <c r="AW1664" s="2656"/>
      <c r="AX1664" s="2656"/>
      <c r="AY1664" s="2656"/>
      <c r="AZ1664" s="2656"/>
      <c r="BA1664" s="2656"/>
      <c r="BB1664" s="2656"/>
      <c r="BC1664" s="2656"/>
      <c r="BD1664" s="2656"/>
      <c r="BE1664" s="2656"/>
      <c r="BF1664" s="2656"/>
      <c r="BG1664" s="2656"/>
      <c r="BH1664" s="2656"/>
      <c r="BI1664" s="2656"/>
    </row>
    <row r="1665" spans="1:61" ht="24.75" customHeight="1">
      <c r="A1665" s="3375"/>
      <c r="B1665" s="2646"/>
      <c r="C1665" s="2647"/>
      <c r="D1665" s="2646"/>
      <c r="E1665" s="3013"/>
      <c r="F1665" s="2655"/>
      <c r="G1665" s="2596"/>
      <c r="H1665" s="4138"/>
      <c r="I1665" s="3375"/>
      <c r="J1665" s="2648"/>
      <c r="K1665" s="3147"/>
      <c r="L1665" s="2785"/>
      <c r="M1665" s="2695"/>
      <c r="N1665" s="2649"/>
      <c r="O1665" s="2655"/>
      <c r="P1665" s="2651"/>
      <c r="Q1665" s="3440"/>
      <c r="R1665" s="3553"/>
      <c r="S1665" s="1407"/>
      <c r="T1665" s="3375"/>
      <c r="U1665" s="2648"/>
      <c r="V1665" s="3554"/>
      <c r="W1665" s="3150"/>
      <c r="X1665" s="2656"/>
      <c r="Y1665" s="2656"/>
      <c r="Z1665" s="2656"/>
      <c r="AA1665" s="2656"/>
      <c r="AB1665" s="2656"/>
      <c r="AC1665" s="2656"/>
      <c r="AD1665" s="2656"/>
      <c r="AE1665" s="2656"/>
      <c r="AF1665" s="2656"/>
      <c r="AG1665" s="2656"/>
      <c r="AH1665" s="2656"/>
      <c r="AI1665" s="2656"/>
      <c r="AJ1665" s="2656"/>
      <c r="AK1665" s="2656"/>
      <c r="AL1665" s="2656"/>
      <c r="AM1665" s="2656"/>
      <c r="AN1665" s="2656"/>
      <c r="AO1665" s="2656"/>
      <c r="AP1665" s="2656"/>
      <c r="AQ1665" s="2656"/>
      <c r="AR1665" s="2656"/>
      <c r="AS1665" s="2656"/>
      <c r="AT1665" s="2656"/>
      <c r="AU1665" s="2656"/>
      <c r="AV1665" s="2656"/>
      <c r="AW1665" s="2656"/>
      <c r="AX1665" s="2656"/>
      <c r="AY1665" s="2656"/>
      <c r="AZ1665" s="2656"/>
      <c r="BA1665" s="2656"/>
      <c r="BB1665" s="2656"/>
      <c r="BC1665" s="2656"/>
      <c r="BD1665" s="2656"/>
      <c r="BE1665" s="2656"/>
      <c r="BF1665" s="2656"/>
      <c r="BG1665" s="2656"/>
      <c r="BH1665" s="2656"/>
      <c r="BI1665" s="2656"/>
    </row>
    <row r="1666" spans="1:61" ht="24.75" customHeight="1">
      <c r="A1666" s="3375"/>
      <c r="B1666" s="2646"/>
      <c r="C1666" s="2647"/>
      <c r="D1666" s="2646"/>
      <c r="E1666" s="3013"/>
      <c r="F1666" s="2655"/>
      <c r="G1666" s="2596"/>
      <c r="H1666" s="4138"/>
      <c r="I1666" s="3375"/>
      <c r="J1666" s="2648"/>
      <c r="K1666" s="3147"/>
      <c r="L1666" s="2785"/>
      <c r="M1666" s="2695"/>
      <c r="N1666" s="2649"/>
      <c r="O1666" s="2655"/>
      <c r="P1666" s="2651"/>
      <c r="Q1666" s="3440"/>
      <c r="R1666" s="3553"/>
      <c r="S1666" s="1407"/>
      <c r="T1666" s="3375"/>
      <c r="U1666" s="2648"/>
      <c r="V1666" s="3554"/>
      <c r="W1666" s="3150"/>
      <c r="X1666" s="2656"/>
      <c r="Y1666" s="2656"/>
      <c r="Z1666" s="2656"/>
      <c r="AA1666" s="2656"/>
      <c r="AB1666" s="2656"/>
      <c r="AC1666" s="2656"/>
      <c r="AD1666" s="2656"/>
      <c r="AE1666" s="2656"/>
      <c r="AF1666" s="2656"/>
      <c r="AG1666" s="2656"/>
      <c r="AH1666" s="2656"/>
      <c r="AI1666" s="2656"/>
      <c r="AJ1666" s="2656"/>
      <c r="AK1666" s="2656"/>
      <c r="AL1666" s="2656"/>
      <c r="AM1666" s="2656"/>
      <c r="AN1666" s="2656"/>
      <c r="AO1666" s="2656"/>
      <c r="AP1666" s="2656"/>
      <c r="AQ1666" s="2656"/>
      <c r="AR1666" s="2656"/>
      <c r="AS1666" s="2656"/>
      <c r="AT1666" s="2656"/>
      <c r="AU1666" s="2656"/>
      <c r="AV1666" s="2656"/>
      <c r="AW1666" s="2656"/>
      <c r="AX1666" s="2656"/>
      <c r="AY1666" s="2656"/>
      <c r="AZ1666" s="2656"/>
      <c r="BA1666" s="2656"/>
      <c r="BB1666" s="2656"/>
      <c r="BC1666" s="2656"/>
      <c r="BD1666" s="2656"/>
      <c r="BE1666" s="2656"/>
      <c r="BF1666" s="2656"/>
      <c r="BG1666" s="2656"/>
      <c r="BH1666" s="2656"/>
      <c r="BI1666" s="2656"/>
    </row>
    <row r="1667" spans="1:61" ht="24.75" customHeight="1">
      <c r="A1667" s="3375"/>
      <c r="B1667" s="2646"/>
      <c r="C1667" s="2647"/>
      <c r="D1667" s="2646"/>
      <c r="E1667" s="3013"/>
      <c r="F1667" s="2655"/>
      <c r="G1667" s="2596"/>
      <c r="H1667" s="4138"/>
      <c r="I1667" s="3375"/>
      <c r="J1667" s="2648"/>
      <c r="K1667" s="3147"/>
      <c r="L1667" s="2785"/>
      <c r="M1667" s="2695"/>
      <c r="N1667" s="2649"/>
      <c r="O1667" s="2655"/>
      <c r="P1667" s="2651"/>
      <c r="Q1667" s="3440"/>
      <c r="R1667" s="3553"/>
      <c r="S1667" s="1407"/>
      <c r="T1667" s="3375"/>
      <c r="U1667" s="2648"/>
      <c r="V1667" s="3554"/>
      <c r="W1667" s="3150"/>
      <c r="X1667" s="2656"/>
      <c r="Y1667" s="2656"/>
      <c r="Z1667" s="2656"/>
      <c r="AA1667" s="2656"/>
      <c r="AB1667" s="2656"/>
      <c r="AC1667" s="2656"/>
      <c r="AD1667" s="2656"/>
      <c r="AE1667" s="2656"/>
      <c r="AF1667" s="2656"/>
      <c r="AG1667" s="2656"/>
      <c r="AH1667" s="2656"/>
      <c r="AI1667" s="2656"/>
      <c r="AJ1667" s="2656"/>
      <c r="AK1667" s="2656"/>
      <c r="AL1667" s="2656"/>
      <c r="AM1667" s="2656"/>
      <c r="AN1667" s="2656"/>
      <c r="AO1667" s="2656"/>
      <c r="AP1667" s="2656"/>
      <c r="AQ1667" s="2656"/>
      <c r="AR1667" s="2656"/>
      <c r="AS1667" s="2656"/>
      <c r="AT1667" s="2656"/>
      <c r="AU1667" s="2656"/>
      <c r="AV1667" s="2656"/>
      <c r="AW1667" s="2656"/>
      <c r="AX1667" s="2656"/>
      <c r="AY1667" s="2656"/>
      <c r="AZ1667" s="2656"/>
      <c r="BA1667" s="2656"/>
      <c r="BB1667" s="2656"/>
      <c r="BC1667" s="2656"/>
      <c r="BD1667" s="2656"/>
      <c r="BE1667" s="2656"/>
      <c r="BF1667" s="2656"/>
      <c r="BG1667" s="2656"/>
      <c r="BH1667" s="2656"/>
      <c r="BI1667" s="2656"/>
    </row>
    <row r="1668" spans="1:61" ht="24.75" customHeight="1">
      <c r="A1668" s="3375"/>
      <c r="B1668" s="2646"/>
      <c r="C1668" s="2647"/>
      <c r="D1668" s="2646"/>
      <c r="E1668" s="3013"/>
      <c r="F1668" s="2655"/>
      <c r="G1668" s="2596"/>
      <c r="H1668" s="4138"/>
      <c r="I1668" s="3375"/>
      <c r="J1668" s="2648"/>
      <c r="K1668" s="3147"/>
      <c r="L1668" s="2785"/>
      <c r="M1668" s="2695"/>
      <c r="N1668" s="2649"/>
      <c r="O1668" s="2655"/>
      <c r="P1668" s="2651"/>
      <c r="Q1668" s="3440"/>
      <c r="R1668" s="3553"/>
      <c r="S1668" s="1407"/>
      <c r="T1668" s="3375"/>
      <c r="U1668" s="2648"/>
      <c r="V1668" s="3554"/>
      <c r="W1668" s="3150"/>
      <c r="X1668" s="2656"/>
      <c r="Y1668" s="2656"/>
      <c r="Z1668" s="2656"/>
      <c r="AA1668" s="2656"/>
      <c r="AB1668" s="2656"/>
      <c r="AC1668" s="2656"/>
      <c r="AD1668" s="2656"/>
      <c r="AE1668" s="2656"/>
      <c r="AF1668" s="2656"/>
      <c r="AG1668" s="2656"/>
      <c r="AH1668" s="2656"/>
      <c r="AI1668" s="2656"/>
      <c r="AJ1668" s="2656"/>
      <c r="AK1668" s="2656"/>
      <c r="AL1668" s="2656"/>
      <c r="AM1668" s="2656"/>
      <c r="AN1668" s="2656"/>
      <c r="AO1668" s="2656"/>
      <c r="AP1668" s="2656"/>
      <c r="AQ1668" s="2656"/>
      <c r="AR1668" s="2656"/>
      <c r="AS1668" s="2656"/>
      <c r="AT1668" s="2656"/>
      <c r="AU1668" s="2656"/>
      <c r="AV1668" s="2656"/>
      <c r="AW1668" s="2656"/>
      <c r="AX1668" s="2656"/>
      <c r="AY1668" s="2656"/>
      <c r="AZ1668" s="2656"/>
      <c r="BA1668" s="2656"/>
      <c r="BB1668" s="2656"/>
      <c r="BC1668" s="2656"/>
      <c r="BD1668" s="2656"/>
      <c r="BE1668" s="2656"/>
      <c r="BF1668" s="2656"/>
      <c r="BG1668" s="2656"/>
      <c r="BH1668" s="2656"/>
      <c r="BI1668" s="2656"/>
    </row>
    <row r="1669" spans="1:61" ht="24.75" customHeight="1">
      <c r="A1669" s="3375"/>
      <c r="B1669" s="2646"/>
      <c r="C1669" s="2647"/>
      <c r="D1669" s="2646"/>
      <c r="E1669" s="3013"/>
      <c r="F1669" s="2655"/>
      <c r="G1669" s="2596"/>
      <c r="H1669" s="4138"/>
      <c r="I1669" s="3375"/>
      <c r="J1669" s="2648"/>
      <c r="K1669" s="3147"/>
      <c r="L1669" s="2785"/>
      <c r="M1669" s="2695"/>
      <c r="N1669" s="2649"/>
      <c r="O1669" s="2655"/>
      <c r="P1669" s="2651"/>
      <c r="Q1669" s="3440"/>
      <c r="R1669" s="3553"/>
      <c r="S1669" s="1407"/>
      <c r="T1669" s="3375"/>
      <c r="U1669" s="2648"/>
      <c r="V1669" s="3554"/>
      <c r="W1669" s="3150"/>
      <c r="X1669" s="2656"/>
      <c r="Y1669" s="2656"/>
      <c r="Z1669" s="2656"/>
      <c r="AA1669" s="2656"/>
      <c r="AB1669" s="2656"/>
      <c r="AC1669" s="2656"/>
      <c r="AD1669" s="2656"/>
      <c r="AE1669" s="2656"/>
      <c r="AF1669" s="2656"/>
      <c r="AG1669" s="2656"/>
      <c r="AH1669" s="2656"/>
      <c r="AI1669" s="2656"/>
      <c r="AJ1669" s="2656"/>
      <c r="AK1669" s="2656"/>
      <c r="AL1669" s="2656"/>
      <c r="AM1669" s="2656"/>
      <c r="AN1669" s="2656"/>
      <c r="AO1669" s="2656"/>
      <c r="AP1669" s="2656"/>
      <c r="AQ1669" s="2656"/>
      <c r="AR1669" s="2656"/>
      <c r="AS1669" s="2656"/>
      <c r="AT1669" s="2656"/>
      <c r="AU1669" s="2656"/>
      <c r="AV1669" s="2656"/>
      <c r="AW1669" s="2656"/>
      <c r="AX1669" s="2656"/>
      <c r="AY1669" s="2656"/>
      <c r="AZ1669" s="2656"/>
      <c r="BA1669" s="2656"/>
      <c r="BB1669" s="2656"/>
      <c r="BC1669" s="2656"/>
      <c r="BD1669" s="2656"/>
      <c r="BE1669" s="2656"/>
      <c r="BF1669" s="2656"/>
      <c r="BG1669" s="2656"/>
      <c r="BH1669" s="2656"/>
      <c r="BI1669" s="2656"/>
    </row>
    <row r="1670" spans="1:61" ht="24.75" customHeight="1">
      <c r="A1670" s="3375"/>
      <c r="B1670" s="2646"/>
      <c r="C1670" s="2647"/>
      <c r="D1670" s="2646"/>
      <c r="E1670" s="3013"/>
      <c r="F1670" s="2655"/>
      <c r="G1670" s="2596"/>
      <c r="H1670" s="4138"/>
      <c r="I1670" s="3375"/>
      <c r="J1670" s="2648"/>
      <c r="K1670" s="3147"/>
      <c r="L1670" s="2785"/>
      <c r="M1670" s="2695"/>
      <c r="N1670" s="2649"/>
      <c r="O1670" s="2655"/>
      <c r="P1670" s="2651"/>
      <c r="Q1670" s="3440"/>
      <c r="R1670" s="3553"/>
      <c r="S1670" s="1407"/>
      <c r="T1670" s="3375"/>
      <c r="U1670" s="2648"/>
      <c r="V1670" s="3554"/>
      <c r="W1670" s="3150"/>
      <c r="X1670" s="2656"/>
      <c r="Y1670" s="2656"/>
      <c r="Z1670" s="2656"/>
      <c r="AA1670" s="2656"/>
      <c r="AB1670" s="2656"/>
      <c r="AC1670" s="2656"/>
      <c r="AD1670" s="2656"/>
      <c r="AE1670" s="2656"/>
      <c r="AF1670" s="2656"/>
      <c r="AG1670" s="2656"/>
      <c r="AH1670" s="2656"/>
      <c r="AI1670" s="2656"/>
      <c r="AJ1670" s="2656"/>
      <c r="AK1670" s="2656"/>
      <c r="AL1670" s="2656"/>
      <c r="AM1670" s="2656"/>
      <c r="AN1670" s="2656"/>
      <c r="AO1670" s="2656"/>
      <c r="AP1670" s="2656"/>
      <c r="AQ1670" s="2656"/>
      <c r="AR1670" s="2656"/>
      <c r="AS1670" s="2656"/>
      <c r="AT1670" s="2656"/>
      <c r="AU1670" s="2656"/>
      <c r="AV1670" s="2656"/>
      <c r="AW1670" s="2656"/>
      <c r="AX1670" s="2656"/>
      <c r="AY1670" s="2656"/>
      <c r="AZ1670" s="2656"/>
      <c r="BA1670" s="2656"/>
      <c r="BB1670" s="2656"/>
      <c r="BC1670" s="2656"/>
      <c r="BD1670" s="2656"/>
      <c r="BE1670" s="2656"/>
      <c r="BF1670" s="2656"/>
      <c r="BG1670" s="2656"/>
      <c r="BH1670" s="2656"/>
      <c r="BI1670" s="2656"/>
    </row>
    <row r="1671" spans="1:61" ht="24.75" customHeight="1">
      <c r="A1671" s="3375"/>
      <c r="B1671" s="2646"/>
      <c r="C1671" s="2647"/>
      <c r="D1671" s="2646"/>
      <c r="E1671" s="3013"/>
      <c r="F1671" s="2655"/>
      <c r="G1671" s="2596"/>
      <c r="H1671" s="4138"/>
      <c r="I1671" s="3375"/>
      <c r="J1671" s="2648"/>
      <c r="K1671" s="3147"/>
      <c r="L1671" s="2785"/>
      <c r="M1671" s="2695"/>
      <c r="N1671" s="2649"/>
      <c r="O1671" s="2655"/>
      <c r="P1671" s="2651"/>
      <c r="Q1671" s="3440"/>
      <c r="R1671" s="3553"/>
      <c r="S1671" s="1407"/>
      <c r="T1671" s="3375"/>
      <c r="U1671" s="2648"/>
      <c r="V1671" s="3554"/>
      <c r="W1671" s="3150"/>
      <c r="X1671" s="2656"/>
      <c r="Y1671" s="2656"/>
      <c r="Z1671" s="2656"/>
      <c r="AA1671" s="2656"/>
      <c r="AB1671" s="2656"/>
      <c r="AC1671" s="2656"/>
      <c r="AD1671" s="2656"/>
      <c r="AE1671" s="2656"/>
      <c r="AF1671" s="2656"/>
      <c r="AG1671" s="2656"/>
      <c r="AH1671" s="2656"/>
      <c r="AI1671" s="2656"/>
      <c r="AJ1671" s="2656"/>
      <c r="AK1671" s="2656"/>
      <c r="AL1671" s="2656"/>
      <c r="AM1671" s="2656"/>
      <c r="AN1671" s="2656"/>
      <c r="AO1671" s="2656"/>
      <c r="AP1671" s="2656"/>
      <c r="AQ1671" s="2656"/>
      <c r="AR1671" s="2656"/>
      <c r="AS1671" s="2656"/>
      <c r="AT1671" s="2656"/>
      <c r="AU1671" s="2656"/>
      <c r="AV1671" s="2656"/>
      <c r="AW1671" s="2656"/>
      <c r="AX1671" s="2656"/>
      <c r="AY1671" s="2656"/>
      <c r="AZ1671" s="2656"/>
      <c r="BA1671" s="2656"/>
      <c r="BB1671" s="2656"/>
      <c r="BC1671" s="2656"/>
      <c r="BD1671" s="2656"/>
      <c r="BE1671" s="2656"/>
      <c r="BF1671" s="2656"/>
      <c r="BG1671" s="2656"/>
      <c r="BH1671" s="2656"/>
      <c r="BI1671" s="2656"/>
    </row>
    <row r="1672" spans="1:61" ht="24.75" customHeight="1">
      <c r="A1672" s="3375"/>
      <c r="B1672" s="2646"/>
      <c r="C1672" s="2647"/>
      <c r="D1672" s="2646"/>
      <c r="E1672" s="3013"/>
      <c r="F1672" s="2655"/>
      <c r="G1672" s="2596"/>
      <c r="H1672" s="4138"/>
      <c r="I1672" s="3375"/>
      <c r="J1672" s="2648"/>
      <c r="K1672" s="3147"/>
      <c r="L1672" s="2785"/>
      <c r="M1672" s="2695"/>
      <c r="N1672" s="2649"/>
      <c r="O1672" s="2655"/>
      <c r="P1672" s="2651"/>
      <c r="Q1672" s="3440"/>
      <c r="R1672" s="3553"/>
      <c r="S1672" s="1407"/>
      <c r="T1672" s="3375"/>
      <c r="U1672" s="2648"/>
      <c r="V1672" s="3554"/>
      <c r="W1672" s="3150"/>
      <c r="X1672" s="2656"/>
      <c r="Y1672" s="2656"/>
      <c r="Z1672" s="2656"/>
      <c r="AA1672" s="2656"/>
      <c r="AB1672" s="2656"/>
      <c r="AC1672" s="2656"/>
      <c r="AD1672" s="2656"/>
      <c r="AE1672" s="2656"/>
      <c r="AF1672" s="2656"/>
      <c r="AG1672" s="2656"/>
      <c r="AH1672" s="2656"/>
      <c r="AI1672" s="2656"/>
      <c r="AJ1672" s="2656"/>
      <c r="AK1672" s="2656"/>
      <c r="AL1672" s="2656"/>
      <c r="AM1672" s="2656"/>
      <c r="AN1672" s="2656"/>
      <c r="AO1672" s="2656"/>
      <c r="AP1672" s="2656"/>
      <c r="AQ1672" s="2656"/>
      <c r="AR1672" s="2656"/>
      <c r="AS1672" s="2656"/>
      <c r="AT1672" s="2656"/>
      <c r="AU1672" s="2656"/>
      <c r="AV1672" s="2656"/>
      <c r="AW1672" s="2656"/>
      <c r="AX1672" s="2656"/>
      <c r="AY1672" s="2656"/>
      <c r="AZ1672" s="2656"/>
      <c r="BA1672" s="2656"/>
      <c r="BB1672" s="2656"/>
      <c r="BC1672" s="2656"/>
      <c r="BD1672" s="2656"/>
      <c r="BE1672" s="2656"/>
      <c r="BF1672" s="2656"/>
      <c r="BG1672" s="2656"/>
      <c r="BH1672" s="2656"/>
      <c r="BI1672" s="2656"/>
    </row>
    <row r="1673" spans="1:61" ht="24.75" customHeight="1">
      <c r="A1673" s="3375"/>
      <c r="B1673" s="2646"/>
      <c r="C1673" s="2647"/>
      <c r="D1673" s="2646"/>
      <c r="E1673" s="3013"/>
      <c r="F1673" s="2655"/>
      <c r="G1673" s="2596"/>
      <c r="H1673" s="4138"/>
      <c r="I1673" s="3375"/>
      <c r="J1673" s="2648"/>
      <c r="K1673" s="3147"/>
      <c r="L1673" s="2785"/>
      <c r="M1673" s="2695"/>
      <c r="N1673" s="2649"/>
      <c r="O1673" s="2655"/>
      <c r="P1673" s="2651"/>
      <c r="Q1673" s="3440"/>
      <c r="R1673" s="3553"/>
      <c r="S1673" s="1407"/>
      <c r="T1673" s="3375"/>
      <c r="U1673" s="2648"/>
      <c r="V1673" s="3554"/>
      <c r="W1673" s="3150"/>
      <c r="X1673" s="2656"/>
      <c r="Y1673" s="2656"/>
      <c r="Z1673" s="2656"/>
      <c r="AA1673" s="2656"/>
      <c r="AB1673" s="2656"/>
      <c r="AC1673" s="2656"/>
      <c r="AD1673" s="2656"/>
      <c r="AE1673" s="2656"/>
      <c r="AF1673" s="2656"/>
      <c r="AG1673" s="2656"/>
      <c r="AH1673" s="2656"/>
      <c r="AI1673" s="2656"/>
      <c r="AJ1673" s="2656"/>
      <c r="AK1673" s="2656"/>
      <c r="AL1673" s="2656"/>
      <c r="AM1673" s="2656"/>
      <c r="AN1673" s="2656"/>
      <c r="AO1673" s="2656"/>
      <c r="AP1673" s="2656"/>
      <c r="AQ1673" s="2656"/>
      <c r="AR1673" s="2656"/>
      <c r="AS1673" s="2656"/>
      <c r="AT1673" s="2656"/>
      <c r="AU1673" s="2656"/>
      <c r="AV1673" s="2656"/>
      <c r="AW1673" s="2656"/>
      <c r="AX1673" s="2656"/>
      <c r="AY1673" s="2656"/>
      <c r="AZ1673" s="2656"/>
      <c r="BA1673" s="2656"/>
      <c r="BB1673" s="2656"/>
      <c r="BC1673" s="2656"/>
      <c r="BD1673" s="2656"/>
      <c r="BE1673" s="2656"/>
      <c r="BF1673" s="2656"/>
      <c r="BG1673" s="2656"/>
      <c r="BH1673" s="2656"/>
      <c r="BI1673" s="2656"/>
    </row>
    <row r="1674" spans="1:61" ht="24.75" customHeight="1">
      <c r="A1674" s="3375"/>
      <c r="B1674" s="2646"/>
      <c r="C1674" s="2647"/>
      <c r="D1674" s="2646"/>
      <c r="E1674" s="3013"/>
      <c r="F1674" s="2655"/>
      <c r="G1674" s="2596"/>
      <c r="H1674" s="4138"/>
      <c r="I1674" s="3375"/>
      <c r="J1674" s="2648"/>
      <c r="K1674" s="3147"/>
      <c r="L1674" s="2785"/>
      <c r="M1674" s="2695"/>
      <c r="N1674" s="2649"/>
      <c r="O1674" s="2655"/>
      <c r="P1674" s="2651"/>
      <c r="Q1674" s="3440"/>
      <c r="R1674" s="3553"/>
      <c r="S1674" s="1407"/>
      <c r="T1674" s="3375"/>
      <c r="U1674" s="2648"/>
      <c r="V1674" s="3554"/>
      <c r="W1674" s="3150"/>
      <c r="X1674" s="2656"/>
      <c r="Y1674" s="2656"/>
      <c r="Z1674" s="2656"/>
      <c r="AA1674" s="2656"/>
      <c r="AB1674" s="2656"/>
      <c r="AC1674" s="2656"/>
      <c r="AD1674" s="2656"/>
      <c r="AE1674" s="2656"/>
      <c r="AF1674" s="2656"/>
      <c r="AG1674" s="2656"/>
      <c r="AH1674" s="2656"/>
      <c r="AI1674" s="2656"/>
      <c r="AJ1674" s="2656"/>
      <c r="AK1674" s="2656"/>
      <c r="AL1674" s="2656"/>
      <c r="AM1674" s="2656"/>
      <c r="AN1674" s="2656"/>
      <c r="AO1674" s="2656"/>
      <c r="AP1674" s="2656"/>
      <c r="AQ1674" s="2656"/>
      <c r="AR1674" s="2656"/>
      <c r="AS1674" s="2656"/>
      <c r="AT1674" s="2656"/>
      <c r="AU1674" s="2656"/>
      <c r="AV1674" s="2656"/>
      <c r="AW1674" s="2656"/>
      <c r="AX1674" s="2656"/>
      <c r="AY1674" s="2656"/>
      <c r="AZ1674" s="2656"/>
      <c r="BA1674" s="2656"/>
      <c r="BB1674" s="2656"/>
      <c r="BC1674" s="2656"/>
      <c r="BD1674" s="2656"/>
      <c r="BE1674" s="2656"/>
      <c r="BF1674" s="2656"/>
      <c r="BG1674" s="2656"/>
      <c r="BH1674" s="2656"/>
      <c r="BI1674" s="2656"/>
    </row>
    <row r="1675" spans="1:61" ht="24.75" customHeight="1">
      <c r="A1675" s="3375"/>
      <c r="B1675" s="2646"/>
      <c r="C1675" s="2647"/>
      <c r="D1675" s="2646"/>
      <c r="E1675" s="3013"/>
      <c r="F1675" s="2655"/>
      <c r="G1675" s="2596"/>
      <c r="H1675" s="4138"/>
      <c r="I1675" s="3375"/>
      <c r="J1675" s="2648"/>
      <c r="K1675" s="3147"/>
      <c r="L1675" s="2785"/>
      <c r="M1675" s="2695"/>
      <c r="N1675" s="2649"/>
      <c r="O1675" s="2655"/>
      <c r="P1675" s="2651"/>
      <c r="Q1675" s="3440"/>
      <c r="R1675" s="3553"/>
      <c r="S1675" s="1407"/>
      <c r="T1675" s="3375"/>
      <c r="U1675" s="2648"/>
      <c r="V1675" s="3554"/>
      <c r="W1675" s="3150"/>
      <c r="X1675" s="2656"/>
      <c r="Y1675" s="2656"/>
      <c r="Z1675" s="2656"/>
      <c r="AA1675" s="2656"/>
      <c r="AB1675" s="2656"/>
      <c r="AC1675" s="2656"/>
      <c r="AD1675" s="2656"/>
      <c r="AE1675" s="2656"/>
      <c r="AF1675" s="2656"/>
      <c r="AG1675" s="2656"/>
      <c r="AH1675" s="2656"/>
      <c r="AI1675" s="2656"/>
      <c r="AJ1675" s="2656"/>
      <c r="AK1675" s="2656"/>
      <c r="AL1675" s="2656"/>
      <c r="AM1675" s="2656"/>
      <c r="AN1675" s="2656"/>
      <c r="AO1675" s="2656"/>
      <c r="AP1675" s="2656"/>
      <c r="AQ1675" s="2656"/>
      <c r="AR1675" s="2656"/>
      <c r="AS1675" s="2656"/>
      <c r="AT1675" s="2656"/>
      <c r="AU1675" s="2656"/>
      <c r="AV1675" s="2656"/>
      <c r="AW1675" s="2656"/>
      <c r="AX1675" s="2656"/>
      <c r="AY1675" s="2656"/>
      <c r="AZ1675" s="2656"/>
      <c r="BA1675" s="2656"/>
      <c r="BB1675" s="2656"/>
      <c r="BC1675" s="2656"/>
      <c r="BD1675" s="2656"/>
      <c r="BE1675" s="2656"/>
      <c r="BF1675" s="2656"/>
      <c r="BG1675" s="2656"/>
      <c r="BH1675" s="2656"/>
      <c r="BI1675" s="2656"/>
    </row>
    <row r="1676" spans="1:61" ht="24.75" customHeight="1">
      <c r="A1676" s="3375"/>
      <c r="B1676" s="2646"/>
      <c r="C1676" s="2647"/>
      <c r="D1676" s="2646"/>
      <c r="E1676" s="3013"/>
      <c r="F1676" s="2655"/>
      <c r="G1676" s="2596"/>
      <c r="H1676" s="4138"/>
      <c r="I1676" s="3375"/>
      <c r="J1676" s="2648"/>
      <c r="K1676" s="3147"/>
      <c r="L1676" s="2785"/>
      <c r="M1676" s="2695"/>
      <c r="N1676" s="2649"/>
      <c r="O1676" s="2655"/>
      <c r="P1676" s="2651"/>
      <c r="Q1676" s="3440"/>
      <c r="R1676" s="3553"/>
      <c r="S1676" s="1407"/>
      <c r="T1676" s="3375"/>
      <c r="U1676" s="2648"/>
      <c r="V1676" s="3554"/>
      <c r="W1676" s="3150"/>
      <c r="X1676" s="2656"/>
      <c r="Y1676" s="2656"/>
      <c r="Z1676" s="2656"/>
      <c r="AA1676" s="2656"/>
      <c r="AB1676" s="2656"/>
      <c r="AC1676" s="2656"/>
      <c r="AD1676" s="2656"/>
      <c r="AE1676" s="2656"/>
      <c r="AF1676" s="2656"/>
      <c r="AG1676" s="2656"/>
      <c r="AH1676" s="2656"/>
      <c r="AI1676" s="2656"/>
      <c r="AJ1676" s="2656"/>
      <c r="AK1676" s="2656"/>
      <c r="AL1676" s="2656"/>
      <c r="AM1676" s="2656"/>
      <c r="AN1676" s="2656"/>
      <c r="AO1676" s="2656"/>
      <c r="AP1676" s="2656"/>
      <c r="AQ1676" s="2656"/>
      <c r="AR1676" s="2656"/>
      <c r="AS1676" s="2656"/>
      <c r="AT1676" s="2656"/>
      <c r="AU1676" s="2656"/>
      <c r="AV1676" s="2656"/>
      <c r="AW1676" s="2656"/>
      <c r="AX1676" s="2656"/>
      <c r="AY1676" s="2656"/>
      <c r="AZ1676" s="2656"/>
      <c r="BA1676" s="2656"/>
      <c r="BB1676" s="2656"/>
      <c r="BC1676" s="2656"/>
      <c r="BD1676" s="2656"/>
      <c r="BE1676" s="2656"/>
      <c r="BF1676" s="2656"/>
      <c r="BG1676" s="2656"/>
      <c r="BH1676" s="2656"/>
      <c r="BI1676" s="2656"/>
    </row>
    <row r="1677" spans="1:61" ht="24.75" customHeight="1">
      <c r="A1677" s="3375"/>
      <c r="B1677" s="2646"/>
      <c r="C1677" s="2647"/>
      <c r="D1677" s="2646"/>
      <c r="E1677" s="3013"/>
      <c r="F1677" s="2655"/>
      <c r="G1677" s="2596"/>
      <c r="H1677" s="4138"/>
      <c r="I1677" s="3375"/>
      <c r="J1677" s="2648"/>
      <c r="K1677" s="3147"/>
      <c r="L1677" s="2785"/>
      <c r="M1677" s="2695"/>
      <c r="N1677" s="2649"/>
      <c r="O1677" s="2655"/>
      <c r="P1677" s="2651"/>
      <c r="Q1677" s="3440"/>
      <c r="R1677" s="3553"/>
      <c r="S1677" s="1407"/>
      <c r="T1677" s="3375"/>
      <c r="U1677" s="2648"/>
      <c r="V1677" s="3554"/>
      <c r="W1677" s="3150"/>
      <c r="X1677" s="2656"/>
      <c r="Y1677" s="2656"/>
      <c r="Z1677" s="2656"/>
      <c r="AA1677" s="2656"/>
      <c r="AB1677" s="2656"/>
      <c r="AC1677" s="2656"/>
      <c r="AD1677" s="2656"/>
      <c r="AE1677" s="2656"/>
      <c r="AF1677" s="2656"/>
      <c r="AG1677" s="2656"/>
      <c r="AH1677" s="2656"/>
      <c r="AI1677" s="2656"/>
      <c r="AJ1677" s="2656"/>
      <c r="AK1677" s="2656"/>
      <c r="AL1677" s="2656"/>
      <c r="AM1677" s="2656"/>
      <c r="AN1677" s="2656"/>
      <c r="AO1677" s="2656"/>
      <c r="AP1677" s="2656"/>
      <c r="AQ1677" s="2656"/>
      <c r="AR1677" s="2656"/>
      <c r="AS1677" s="2656"/>
      <c r="AT1677" s="2656"/>
      <c r="AU1677" s="2656"/>
      <c r="AV1677" s="2656"/>
      <c r="AW1677" s="2656"/>
      <c r="AX1677" s="2656"/>
      <c r="AY1677" s="2656"/>
      <c r="AZ1677" s="2656"/>
      <c r="BA1677" s="2656"/>
      <c r="BB1677" s="2656"/>
      <c r="BC1677" s="2656"/>
      <c r="BD1677" s="2656"/>
      <c r="BE1677" s="2656"/>
      <c r="BF1677" s="2656"/>
      <c r="BG1677" s="2656"/>
      <c r="BH1677" s="2656"/>
      <c r="BI1677" s="2656"/>
    </row>
    <row r="1678" spans="1:61" ht="24.75" customHeight="1">
      <c r="A1678" s="3375"/>
      <c r="B1678" s="2646"/>
      <c r="C1678" s="2647"/>
      <c r="D1678" s="2646"/>
      <c r="E1678" s="3013"/>
      <c r="F1678" s="2655"/>
      <c r="G1678" s="2596"/>
      <c r="H1678" s="4138"/>
      <c r="I1678" s="3375"/>
      <c r="J1678" s="2648"/>
      <c r="K1678" s="3147"/>
      <c r="L1678" s="2785"/>
      <c r="M1678" s="2695"/>
      <c r="N1678" s="2649"/>
      <c r="O1678" s="2655"/>
      <c r="P1678" s="2651"/>
      <c r="Q1678" s="3440"/>
      <c r="R1678" s="3553"/>
      <c r="S1678" s="1407"/>
      <c r="T1678" s="3375"/>
      <c r="U1678" s="2648"/>
      <c r="V1678" s="3554"/>
      <c r="W1678" s="3150"/>
      <c r="X1678" s="2656"/>
      <c r="Y1678" s="2656"/>
      <c r="Z1678" s="2656"/>
      <c r="AA1678" s="2656"/>
      <c r="AB1678" s="2656"/>
      <c r="AC1678" s="2656"/>
      <c r="AD1678" s="2656"/>
      <c r="AE1678" s="2656"/>
      <c r="AF1678" s="2656"/>
      <c r="AG1678" s="2656"/>
      <c r="AH1678" s="2656"/>
      <c r="AI1678" s="2656"/>
      <c r="AJ1678" s="2656"/>
      <c r="AK1678" s="2656"/>
      <c r="AL1678" s="2656"/>
      <c r="AM1678" s="2656"/>
      <c r="AN1678" s="2656"/>
      <c r="AO1678" s="2656"/>
      <c r="AP1678" s="2656"/>
      <c r="AQ1678" s="2656"/>
      <c r="AR1678" s="2656"/>
      <c r="AS1678" s="2656"/>
      <c r="AT1678" s="2656"/>
      <c r="AU1678" s="2656"/>
      <c r="AV1678" s="2656"/>
      <c r="AW1678" s="2656"/>
      <c r="AX1678" s="2656"/>
      <c r="AY1678" s="2656"/>
      <c r="AZ1678" s="2656"/>
      <c r="BA1678" s="2656"/>
      <c r="BB1678" s="2656"/>
      <c r="BC1678" s="2656"/>
      <c r="BD1678" s="2656"/>
      <c r="BE1678" s="2656"/>
      <c r="BF1678" s="2656"/>
      <c r="BG1678" s="2656"/>
      <c r="BH1678" s="2656"/>
      <c r="BI1678" s="2656"/>
    </row>
    <row r="1679" spans="1:61" ht="24.75" customHeight="1">
      <c r="A1679" s="3375"/>
      <c r="B1679" s="2646"/>
      <c r="C1679" s="2647"/>
      <c r="D1679" s="2646"/>
      <c r="E1679" s="3013"/>
      <c r="F1679" s="2655"/>
      <c r="G1679" s="2596"/>
      <c r="H1679" s="4138"/>
      <c r="I1679" s="3375"/>
      <c r="J1679" s="2648"/>
      <c r="K1679" s="3147"/>
      <c r="L1679" s="2785"/>
      <c r="M1679" s="2695"/>
      <c r="N1679" s="2649"/>
      <c r="O1679" s="2655"/>
      <c r="P1679" s="2651"/>
      <c r="Q1679" s="3440"/>
      <c r="R1679" s="3553"/>
      <c r="S1679" s="1407"/>
      <c r="T1679" s="3375"/>
      <c r="U1679" s="2648"/>
      <c r="V1679" s="3554"/>
      <c r="W1679" s="3150"/>
      <c r="X1679" s="2656"/>
      <c r="Y1679" s="2656"/>
      <c r="Z1679" s="2656"/>
      <c r="AA1679" s="2656"/>
      <c r="AB1679" s="2656"/>
      <c r="AC1679" s="2656"/>
      <c r="AD1679" s="2656"/>
      <c r="AE1679" s="2656"/>
      <c r="AF1679" s="2656"/>
      <c r="AG1679" s="2656"/>
      <c r="AH1679" s="2656"/>
      <c r="AI1679" s="2656"/>
      <c r="AJ1679" s="2656"/>
      <c r="AK1679" s="2656"/>
      <c r="AL1679" s="2656"/>
      <c r="AM1679" s="2656"/>
      <c r="AN1679" s="2656"/>
      <c r="AO1679" s="2656"/>
      <c r="AP1679" s="2656"/>
      <c r="AQ1679" s="2656"/>
      <c r="AR1679" s="2656"/>
      <c r="AS1679" s="2656"/>
      <c r="AT1679" s="2656"/>
      <c r="AU1679" s="2656"/>
      <c r="AV1679" s="2656"/>
      <c r="AW1679" s="2656"/>
      <c r="AX1679" s="2656"/>
      <c r="AY1679" s="2656"/>
      <c r="AZ1679" s="2656"/>
      <c r="BA1679" s="2656"/>
      <c r="BB1679" s="2656"/>
      <c r="BC1679" s="2656"/>
      <c r="BD1679" s="2656"/>
      <c r="BE1679" s="2656"/>
      <c r="BF1679" s="2656"/>
      <c r="BG1679" s="2656"/>
      <c r="BH1679" s="2656"/>
      <c r="BI1679" s="2656"/>
    </row>
    <row r="1680" spans="1:61" ht="24.75" customHeight="1">
      <c r="A1680" s="3375"/>
      <c r="B1680" s="2646"/>
      <c r="C1680" s="2647"/>
      <c r="D1680" s="2646"/>
      <c r="E1680" s="3013"/>
      <c r="F1680" s="2655"/>
      <c r="G1680" s="2596"/>
      <c r="H1680" s="4138"/>
      <c r="I1680" s="3375"/>
      <c r="J1680" s="2648"/>
      <c r="K1680" s="3147"/>
      <c r="L1680" s="2785"/>
      <c r="M1680" s="2695"/>
      <c r="N1680" s="2649"/>
      <c r="O1680" s="2655"/>
      <c r="P1680" s="2651"/>
      <c r="Q1680" s="3440"/>
      <c r="R1680" s="3553"/>
      <c r="S1680" s="1407"/>
      <c r="T1680" s="3375"/>
      <c r="U1680" s="2648"/>
      <c r="V1680" s="3554"/>
      <c r="W1680" s="3150"/>
      <c r="X1680" s="2656"/>
      <c r="Y1680" s="2656"/>
      <c r="Z1680" s="2656"/>
      <c r="AA1680" s="2656"/>
      <c r="AB1680" s="2656"/>
      <c r="AC1680" s="2656"/>
      <c r="AD1680" s="2656"/>
      <c r="AE1680" s="2656"/>
      <c r="AF1680" s="2656"/>
      <c r="AG1680" s="2656"/>
      <c r="AH1680" s="2656"/>
      <c r="AI1680" s="2656"/>
      <c r="AJ1680" s="2656"/>
      <c r="AK1680" s="2656"/>
      <c r="AL1680" s="2656"/>
      <c r="AM1680" s="2656"/>
      <c r="AN1680" s="2656"/>
      <c r="AO1680" s="2656"/>
      <c r="AP1680" s="2656"/>
      <c r="AQ1680" s="2656"/>
      <c r="AR1680" s="2656"/>
      <c r="AS1680" s="2656"/>
      <c r="AT1680" s="2656"/>
      <c r="AU1680" s="2656"/>
      <c r="AV1680" s="2656"/>
      <c r="AW1680" s="2656"/>
      <c r="AX1680" s="2656"/>
      <c r="AY1680" s="2656"/>
      <c r="AZ1680" s="2656"/>
      <c r="BA1680" s="2656"/>
      <c r="BB1680" s="2656"/>
      <c r="BC1680" s="2656"/>
      <c r="BD1680" s="2656"/>
      <c r="BE1680" s="2656"/>
      <c r="BF1680" s="2656"/>
      <c r="BG1680" s="2656"/>
      <c r="BH1680" s="2656"/>
      <c r="BI1680" s="2656"/>
    </row>
    <row r="1681" spans="1:61" ht="24.75" customHeight="1">
      <c r="A1681" s="3375"/>
      <c r="B1681" s="2646"/>
      <c r="C1681" s="2647"/>
      <c r="D1681" s="2646"/>
      <c r="E1681" s="3013"/>
      <c r="F1681" s="2655"/>
      <c r="G1681" s="2596"/>
      <c r="H1681" s="4138"/>
      <c r="I1681" s="3375"/>
      <c r="J1681" s="2648"/>
      <c r="K1681" s="3147"/>
      <c r="L1681" s="2785"/>
      <c r="M1681" s="2695"/>
      <c r="N1681" s="2649"/>
      <c r="O1681" s="2655"/>
      <c r="P1681" s="2651"/>
      <c r="Q1681" s="3440"/>
      <c r="R1681" s="3553"/>
      <c r="S1681" s="1407"/>
      <c r="T1681" s="3375"/>
      <c r="U1681" s="2648"/>
      <c r="V1681" s="3554"/>
      <c r="W1681" s="3150"/>
      <c r="X1681" s="2656"/>
      <c r="Y1681" s="2656"/>
      <c r="Z1681" s="2656"/>
      <c r="AA1681" s="2656"/>
      <c r="AB1681" s="2656"/>
      <c r="AC1681" s="2656"/>
      <c r="AD1681" s="2656"/>
      <c r="AE1681" s="2656"/>
      <c r="AF1681" s="2656"/>
      <c r="AG1681" s="2656"/>
      <c r="AH1681" s="2656"/>
      <c r="AI1681" s="2656"/>
      <c r="AJ1681" s="2656"/>
      <c r="AK1681" s="2656"/>
      <c r="AL1681" s="2656"/>
      <c r="AM1681" s="2656"/>
      <c r="AN1681" s="2656"/>
      <c r="AO1681" s="2656"/>
      <c r="AP1681" s="2656"/>
      <c r="AQ1681" s="2656"/>
      <c r="AR1681" s="2656"/>
      <c r="AS1681" s="2656"/>
      <c r="AT1681" s="2656"/>
      <c r="AU1681" s="2656"/>
      <c r="AV1681" s="2656"/>
      <c r="AW1681" s="2656"/>
      <c r="AX1681" s="2656"/>
      <c r="AY1681" s="2656"/>
      <c r="AZ1681" s="2656"/>
      <c r="BA1681" s="2656"/>
      <c r="BB1681" s="2656"/>
      <c r="BC1681" s="2656"/>
      <c r="BD1681" s="2656"/>
      <c r="BE1681" s="2656"/>
      <c r="BF1681" s="2656"/>
      <c r="BG1681" s="2656"/>
      <c r="BH1681" s="2656"/>
      <c r="BI1681" s="2656"/>
    </row>
    <row r="1682" spans="1:61" ht="24.75" customHeight="1">
      <c r="A1682" s="3375"/>
      <c r="B1682" s="2646"/>
      <c r="C1682" s="2647"/>
      <c r="D1682" s="2646"/>
      <c r="E1682" s="3013"/>
      <c r="F1682" s="2655"/>
      <c r="G1682" s="2596"/>
      <c r="H1682" s="4138"/>
      <c r="I1682" s="3375"/>
      <c r="J1682" s="2648"/>
      <c r="K1682" s="3147"/>
      <c r="L1682" s="2785"/>
      <c r="M1682" s="2695"/>
      <c r="N1682" s="2649"/>
      <c r="O1682" s="2655"/>
      <c r="P1682" s="2651"/>
      <c r="Q1682" s="3440"/>
      <c r="R1682" s="3553"/>
      <c r="S1682" s="1407"/>
      <c r="T1682" s="3375"/>
      <c r="U1682" s="2648"/>
      <c r="V1682" s="3554"/>
      <c r="W1682" s="3150"/>
      <c r="X1682" s="2656"/>
      <c r="Y1682" s="2656"/>
      <c r="Z1682" s="2656"/>
      <c r="AA1682" s="2656"/>
      <c r="AB1682" s="2656"/>
      <c r="AC1682" s="2656"/>
      <c r="AD1682" s="2656"/>
      <c r="AE1682" s="2656"/>
      <c r="AF1682" s="2656"/>
      <c r="AG1682" s="2656"/>
      <c r="AH1682" s="2656"/>
      <c r="AI1682" s="2656"/>
      <c r="AJ1682" s="2656"/>
      <c r="AK1682" s="2656"/>
      <c r="AL1682" s="2656"/>
      <c r="AM1682" s="2656"/>
      <c r="AN1682" s="2656"/>
      <c r="AO1682" s="2656"/>
      <c r="AP1682" s="2656"/>
      <c r="AQ1682" s="2656"/>
      <c r="AR1682" s="2656"/>
      <c r="AS1682" s="2656"/>
      <c r="AT1682" s="2656"/>
      <c r="AU1682" s="2656"/>
      <c r="AV1682" s="2656"/>
      <c r="AW1682" s="2656"/>
      <c r="AX1682" s="2656"/>
      <c r="AY1682" s="2656"/>
      <c r="AZ1682" s="2656"/>
      <c r="BA1682" s="2656"/>
      <c r="BB1682" s="2656"/>
      <c r="BC1682" s="2656"/>
      <c r="BD1682" s="2656"/>
      <c r="BE1682" s="2656"/>
      <c r="BF1682" s="2656"/>
      <c r="BG1682" s="2656"/>
      <c r="BH1682" s="2656"/>
      <c r="BI1682" s="2656"/>
    </row>
    <row r="1683" spans="1:61" ht="24.75" customHeight="1">
      <c r="A1683" s="3375"/>
      <c r="B1683" s="2646"/>
      <c r="C1683" s="2647"/>
      <c r="D1683" s="2646"/>
      <c r="E1683" s="3013"/>
      <c r="F1683" s="2655"/>
      <c r="G1683" s="2596"/>
      <c r="H1683" s="4138"/>
      <c r="I1683" s="3375"/>
      <c r="J1683" s="2648"/>
      <c r="K1683" s="3147"/>
      <c r="L1683" s="2785"/>
      <c r="M1683" s="2695"/>
      <c r="N1683" s="2649"/>
      <c r="O1683" s="2655"/>
      <c r="P1683" s="2651"/>
      <c r="Q1683" s="3440"/>
      <c r="R1683" s="3553"/>
      <c r="S1683" s="1407"/>
      <c r="T1683" s="3375"/>
      <c r="U1683" s="2648"/>
      <c r="V1683" s="3554"/>
      <c r="W1683" s="3150"/>
      <c r="X1683" s="2656"/>
      <c r="Y1683" s="2656"/>
      <c r="Z1683" s="2656"/>
      <c r="AA1683" s="2656"/>
      <c r="AB1683" s="2656"/>
      <c r="AC1683" s="2656"/>
      <c r="AD1683" s="2656"/>
      <c r="AE1683" s="2656"/>
      <c r="AF1683" s="2656"/>
      <c r="AG1683" s="2656"/>
      <c r="AH1683" s="2656"/>
      <c r="AI1683" s="2656"/>
      <c r="AJ1683" s="2656"/>
      <c r="AK1683" s="2656"/>
      <c r="AL1683" s="2656"/>
      <c r="AM1683" s="2656"/>
      <c r="AN1683" s="2656"/>
      <c r="AO1683" s="2656"/>
      <c r="AP1683" s="2656"/>
      <c r="AQ1683" s="2656"/>
      <c r="AR1683" s="2656"/>
      <c r="AS1683" s="2656"/>
      <c r="AT1683" s="2656"/>
      <c r="AU1683" s="2656"/>
      <c r="AV1683" s="2656"/>
      <c r="AW1683" s="2656"/>
      <c r="AX1683" s="2656"/>
      <c r="AY1683" s="2656"/>
      <c r="AZ1683" s="2656"/>
      <c r="BA1683" s="2656"/>
      <c r="BB1683" s="2656"/>
      <c r="BC1683" s="2656"/>
      <c r="BD1683" s="2656"/>
      <c r="BE1683" s="2656"/>
      <c r="BF1683" s="2656"/>
      <c r="BG1683" s="2656"/>
      <c r="BH1683" s="2656"/>
      <c r="BI1683" s="2656"/>
    </row>
    <row r="1684" spans="1:61" ht="24.75" customHeight="1">
      <c r="A1684" s="3375"/>
      <c r="B1684" s="2646"/>
      <c r="C1684" s="2647"/>
      <c r="D1684" s="2646"/>
      <c r="E1684" s="3013"/>
      <c r="F1684" s="2655"/>
      <c r="G1684" s="2596"/>
      <c r="H1684" s="4138"/>
      <c r="I1684" s="3375"/>
      <c r="J1684" s="2648"/>
      <c r="K1684" s="3147"/>
      <c r="L1684" s="2785"/>
      <c r="M1684" s="2695"/>
      <c r="N1684" s="2649"/>
      <c r="O1684" s="2655"/>
      <c r="P1684" s="2651"/>
      <c r="Q1684" s="3440"/>
      <c r="R1684" s="3553"/>
      <c r="S1684" s="1407"/>
      <c r="T1684" s="3375"/>
      <c r="U1684" s="2648"/>
      <c r="V1684" s="3554"/>
      <c r="W1684" s="3150"/>
      <c r="X1684" s="2656"/>
      <c r="Y1684" s="2656"/>
      <c r="Z1684" s="2656"/>
      <c r="AA1684" s="2656"/>
      <c r="AB1684" s="2656"/>
      <c r="AC1684" s="2656"/>
      <c r="AD1684" s="2656"/>
      <c r="AE1684" s="2656"/>
      <c r="AF1684" s="2656"/>
      <c r="AG1684" s="2656"/>
      <c r="AH1684" s="2656"/>
      <c r="AI1684" s="2656"/>
      <c r="AJ1684" s="2656"/>
      <c r="AK1684" s="2656"/>
      <c r="AL1684" s="2656"/>
      <c r="AM1684" s="2656"/>
      <c r="AN1684" s="2656"/>
      <c r="AO1684" s="2656"/>
      <c r="AP1684" s="2656"/>
      <c r="AQ1684" s="2656"/>
      <c r="AR1684" s="2656"/>
      <c r="AS1684" s="2656"/>
      <c r="AT1684" s="2656"/>
      <c r="AU1684" s="2656"/>
      <c r="AV1684" s="2656"/>
      <c r="AW1684" s="2656"/>
      <c r="AX1684" s="2656"/>
      <c r="AY1684" s="2656"/>
      <c r="AZ1684" s="2656"/>
      <c r="BA1684" s="2656"/>
      <c r="BB1684" s="2656"/>
      <c r="BC1684" s="2656"/>
      <c r="BD1684" s="2656"/>
      <c r="BE1684" s="2656"/>
      <c r="BF1684" s="2656"/>
      <c r="BG1684" s="2656"/>
      <c r="BH1684" s="2656"/>
      <c r="BI1684" s="2656"/>
    </row>
    <row r="1685" spans="1:61" ht="24.75" customHeight="1">
      <c r="A1685" s="3375"/>
      <c r="B1685" s="2646"/>
      <c r="C1685" s="2647"/>
      <c r="D1685" s="2646"/>
      <c r="E1685" s="3013"/>
      <c r="F1685" s="2655"/>
      <c r="G1685" s="2596"/>
      <c r="H1685" s="4138"/>
      <c r="I1685" s="3375"/>
      <c r="J1685" s="2648"/>
      <c r="K1685" s="3147"/>
      <c r="L1685" s="2785"/>
      <c r="M1685" s="2695"/>
      <c r="N1685" s="2649"/>
      <c r="O1685" s="2655"/>
      <c r="P1685" s="2651"/>
      <c r="Q1685" s="3440"/>
      <c r="R1685" s="3553"/>
      <c r="S1685" s="1407"/>
      <c r="T1685" s="3375"/>
      <c r="U1685" s="2648"/>
      <c r="V1685" s="3554"/>
      <c r="W1685" s="3150"/>
      <c r="X1685" s="2656"/>
      <c r="Y1685" s="2656"/>
      <c r="Z1685" s="2656"/>
      <c r="AA1685" s="2656"/>
      <c r="AB1685" s="2656"/>
      <c r="AC1685" s="2656"/>
      <c r="AD1685" s="2656"/>
      <c r="AE1685" s="2656"/>
      <c r="AF1685" s="2656"/>
      <c r="AG1685" s="2656"/>
      <c r="AH1685" s="2656"/>
      <c r="AI1685" s="2656"/>
      <c r="AJ1685" s="2656"/>
      <c r="AK1685" s="2656"/>
      <c r="AL1685" s="2656"/>
      <c r="AM1685" s="2656"/>
      <c r="AN1685" s="2656"/>
      <c r="AO1685" s="2656"/>
      <c r="AP1685" s="2656"/>
      <c r="AQ1685" s="2656"/>
      <c r="AR1685" s="2656"/>
      <c r="AS1685" s="2656"/>
      <c r="AT1685" s="2656"/>
      <c r="AU1685" s="2656"/>
      <c r="AV1685" s="2656"/>
      <c r="AW1685" s="2656"/>
      <c r="AX1685" s="2656"/>
      <c r="AY1685" s="2656"/>
      <c r="AZ1685" s="2656"/>
      <c r="BA1685" s="2656"/>
      <c r="BB1685" s="2656"/>
      <c r="BC1685" s="2656"/>
      <c r="BD1685" s="2656"/>
      <c r="BE1685" s="2656"/>
      <c r="BF1685" s="2656"/>
      <c r="BG1685" s="2656"/>
      <c r="BH1685" s="2656"/>
      <c r="BI1685" s="2656"/>
    </row>
    <row r="1686" spans="1:61" ht="24.75" customHeight="1">
      <c r="A1686" s="3375"/>
      <c r="B1686" s="2646"/>
      <c r="C1686" s="2647"/>
      <c r="D1686" s="2646"/>
      <c r="E1686" s="3013"/>
      <c r="F1686" s="2655"/>
      <c r="G1686" s="2596"/>
      <c r="H1686" s="4138"/>
      <c r="I1686" s="3375"/>
      <c r="J1686" s="2648"/>
      <c r="K1686" s="3147"/>
      <c r="L1686" s="2785"/>
      <c r="M1686" s="2695"/>
      <c r="N1686" s="2649"/>
      <c r="O1686" s="2655"/>
      <c r="P1686" s="2651"/>
      <c r="Q1686" s="3440"/>
      <c r="R1686" s="3553"/>
      <c r="S1686" s="1407"/>
      <c r="T1686" s="3375"/>
      <c r="U1686" s="2648"/>
      <c r="V1686" s="3554"/>
      <c r="W1686" s="3150"/>
      <c r="X1686" s="2656"/>
      <c r="Y1686" s="2656"/>
      <c r="Z1686" s="2656"/>
      <c r="AA1686" s="2656"/>
      <c r="AB1686" s="2656"/>
      <c r="AC1686" s="2656"/>
      <c r="AD1686" s="2656"/>
      <c r="AE1686" s="2656"/>
      <c r="AF1686" s="2656"/>
      <c r="AG1686" s="2656"/>
      <c r="AH1686" s="2656"/>
      <c r="AI1686" s="2656"/>
      <c r="AJ1686" s="2656"/>
      <c r="AK1686" s="2656"/>
      <c r="AL1686" s="2656"/>
      <c r="AM1686" s="2656"/>
      <c r="AN1686" s="2656"/>
      <c r="AO1686" s="2656"/>
      <c r="AP1686" s="2656"/>
      <c r="AQ1686" s="2656"/>
      <c r="AR1686" s="2656"/>
      <c r="AS1686" s="2656"/>
      <c r="AT1686" s="2656"/>
      <c r="AU1686" s="2656"/>
      <c r="AV1686" s="2656"/>
      <c r="AW1686" s="2656"/>
      <c r="AX1686" s="2656"/>
      <c r="AY1686" s="2656"/>
      <c r="AZ1686" s="2656"/>
      <c r="BA1686" s="2656"/>
      <c r="BB1686" s="2656"/>
      <c r="BC1686" s="2656"/>
      <c r="BD1686" s="2656"/>
      <c r="BE1686" s="2656"/>
      <c r="BF1686" s="2656"/>
      <c r="BG1686" s="2656"/>
      <c r="BH1686" s="2656"/>
      <c r="BI1686" s="2656"/>
    </row>
    <row r="1687" spans="1:61" ht="24.75" customHeight="1">
      <c r="A1687" s="3375"/>
      <c r="B1687" s="2646"/>
      <c r="C1687" s="2647"/>
      <c r="D1687" s="2646"/>
      <c r="E1687" s="3013"/>
      <c r="F1687" s="2655"/>
      <c r="G1687" s="2596"/>
      <c r="H1687" s="4138"/>
      <c r="I1687" s="3375"/>
      <c r="J1687" s="2648"/>
      <c r="K1687" s="3147"/>
      <c r="L1687" s="2785"/>
      <c r="M1687" s="2695"/>
      <c r="N1687" s="2649"/>
      <c r="O1687" s="2655"/>
      <c r="P1687" s="2651"/>
      <c r="Q1687" s="3440"/>
      <c r="R1687" s="3553"/>
      <c r="S1687" s="1407"/>
      <c r="T1687" s="3375"/>
      <c r="U1687" s="2648"/>
      <c r="V1687" s="3554"/>
      <c r="W1687" s="3150"/>
      <c r="X1687" s="2656"/>
      <c r="Y1687" s="2656"/>
      <c r="Z1687" s="2656"/>
      <c r="AA1687" s="2656"/>
      <c r="AB1687" s="2656"/>
      <c r="AC1687" s="2656"/>
      <c r="AD1687" s="2656"/>
      <c r="AE1687" s="2656"/>
      <c r="AF1687" s="2656"/>
      <c r="AG1687" s="2656"/>
      <c r="AH1687" s="2656"/>
      <c r="AI1687" s="2656"/>
      <c r="AJ1687" s="2656"/>
      <c r="AK1687" s="2656"/>
      <c r="AL1687" s="2656"/>
      <c r="AM1687" s="2656"/>
      <c r="AN1687" s="2656"/>
      <c r="AO1687" s="2656"/>
      <c r="AP1687" s="2656"/>
      <c r="AQ1687" s="2656"/>
      <c r="AR1687" s="2656"/>
      <c r="AS1687" s="2656"/>
      <c r="AT1687" s="2656"/>
      <c r="AU1687" s="2656"/>
      <c r="AV1687" s="2656"/>
      <c r="AW1687" s="2656"/>
      <c r="AX1687" s="2656"/>
      <c r="AY1687" s="2656"/>
      <c r="AZ1687" s="2656"/>
      <c r="BA1687" s="2656"/>
      <c r="BB1687" s="2656"/>
      <c r="BC1687" s="2656"/>
      <c r="BD1687" s="2656"/>
      <c r="BE1687" s="2656"/>
      <c r="BF1687" s="2656"/>
      <c r="BG1687" s="2656"/>
      <c r="BH1687" s="2656"/>
      <c r="BI1687" s="2656"/>
    </row>
    <row r="1688" spans="1:61" ht="24.75" customHeight="1">
      <c r="A1688" s="3375"/>
      <c r="B1688" s="2646"/>
      <c r="C1688" s="2647"/>
      <c r="D1688" s="2646"/>
      <c r="E1688" s="3013"/>
      <c r="F1688" s="2655"/>
      <c r="G1688" s="2596"/>
      <c r="H1688" s="4138"/>
      <c r="I1688" s="3375"/>
      <c r="J1688" s="2648"/>
      <c r="K1688" s="3147"/>
      <c r="L1688" s="2785"/>
      <c r="M1688" s="2695"/>
      <c r="N1688" s="2649"/>
      <c r="O1688" s="2655"/>
      <c r="P1688" s="2651"/>
      <c r="Q1688" s="3440"/>
      <c r="R1688" s="3553"/>
      <c r="S1688" s="1407"/>
      <c r="T1688" s="3375"/>
      <c r="U1688" s="2648"/>
      <c r="V1688" s="3554"/>
      <c r="W1688" s="3150"/>
      <c r="X1688" s="2656"/>
      <c r="Y1688" s="2656"/>
      <c r="Z1688" s="2656"/>
      <c r="AA1688" s="2656"/>
      <c r="AB1688" s="2656"/>
      <c r="AC1688" s="2656"/>
      <c r="AD1688" s="2656"/>
      <c r="AE1688" s="2656"/>
      <c r="AF1688" s="2656"/>
      <c r="AG1688" s="2656"/>
      <c r="AH1688" s="2656"/>
      <c r="AI1688" s="2656"/>
      <c r="AJ1688" s="2656"/>
      <c r="AK1688" s="2656"/>
      <c r="AL1688" s="2656"/>
      <c r="AM1688" s="2656"/>
      <c r="AN1688" s="2656"/>
      <c r="AO1688" s="2656"/>
      <c r="AP1688" s="2656"/>
      <c r="AQ1688" s="2656"/>
      <c r="AR1688" s="2656"/>
      <c r="AS1688" s="2656"/>
      <c r="AT1688" s="2656"/>
      <c r="AU1688" s="2656"/>
      <c r="AV1688" s="2656"/>
      <c r="AW1688" s="2656"/>
      <c r="AX1688" s="2656"/>
      <c r="AY1688" s="2656"/>
      <c r="AZ1688" s="2656"/>
      <c r="BA1688" s="2656"/>
      <c r="BB1688" s="2656"/>
      <c r="BC1688" s="2656"/>
      <c r="BD1688" s="2656"/>
      <c r="BE1688" s="2656"/>
      <c r="BF1688" s="2656"/>
      <c r="BG1688" s="2656"/>
      <c r="BH1688" s="2656"/>
      <c r="BI1688" s="2656"/>
    </row>
    <row r="1689" spans="1:61" ht="24.75" customHeight="1">
      <c r="A1689" s="3375"/>
      <c r="B1689" s="2646"/>
      <c r="C1689" s="2647"/>
      <c r="D1689" s="2646"/>
      <c r="E1689" s="3013"/>
      <c r="F1689" s="2655"/>
      <c r="G1689" s="2596"/>
      <c r="H1689" s="4138"/>
      <c r="I1689" s="3375"/>
      <c r="J1689" s="2648"/>
      <c r="K1689" s="3147"/>
      <c r="L1689" s="2785"/>
      <c r="M1689" s="2695"/>
      <c r="N1689" s="2649"/>
      <c r="O1689" s="2655"/>
      <c r="P1689" s="2651"/>
      <c r="Q1689" s="3440"/>
      <c r="R1689" s="3553"/>
      <c r="S1689" s="1407"/>
      <c r="T1689" s="3375"/>
      <c r="U1689" s="2648"/>
      <c r="V1689" s="3554"/>
      <c r="W1689" s="3150"/>
      <c r="X1689" s="2656"/>
      <c r="Y1689" s="2656"/>
      <c r="Z1689" s="2656"/>
      <c r="AA1689" s="2656"/>
      <c r="AB1689" s="2656"/>
      <c r="AC1689" s="2656"/>
      <c r="AD1689" s="2656"/>
      <c r="AE1689" s="2656"/>
      <c r="AF1689" s="2656"/>
      <c r="AG1689" s="2656"/>
      <c r="AH1689" s="2656"/>
      <c r="AI1689" s="2656"/>
      <c r="AJ1689" s="2656"/>
      <c r="AK1689" s="2656"/>
      <c r="AL1689" s="2656"/>
      <c r="AM1689" s="2656"/>
      <c r="AN1689" s="2656"/>
      <c r="AO1689" s="2656"/>
      <c r="AP1689" s="2656"/>
      <c r="AQ1689" s="2656"/>
      <c r="AR1689" s="2656"/>
      <c r="AS1689" s="2656"/>
      <c r="AT1689" s="2656"/>
      <c r="AU1689" s="2656"/>
      <c r="AV1689" s="2656"/>
      <c r="AW1689" s="2656"/>
      <c r="AX1689" s="2656"/>
      <c r="AY1689" s="2656"/>
      <c r="AZ1689" s="2656"/>
      <c r="BA1689" s="2656"/>
      <c r="BB1689" s="2656"/>
      <c r="BC1689" s="2656"/>
      <c r="BD1689" s="2656"/>
      <c r="BE1689" s="2656"/>
      <c r="BF1689" s="2656"/>
      <c r="BG1689" s="2656"/>
      <c r="BH1689" s="2656"/>
      <c r="BI1689" s="2656"/>
    </row>
    <row r="1690" spans="1:61" ht="24.75" customHeight="1">
      <c r="A1690" s="3375"/>
      <c r="B1690" s="2646"/>
      <c r="C1690" s="2647"/>
      <c r="D1690" s="2646"/>
      <c r="E1690" s="3013"/>
      <c r="F1690" s="2655"/>
      <c r="G1690" s="2596"/>
      <c r="H1690" s="4138"/>
      <c r="I1690" s="3375"/>
      <c r="J1690" s="2648"/>
      <c r="K1690" s="3147"/>
      <c r="L1690" s="2785"/>
      <c r="M1690" s="2695"/>
      <c r="N1690" s="2649"/>
      <c r="O1690" s="2655"/>
      <c r="P1690" s="2651"/>
      <c r="Q1690" s="3440"/>
      <c r="R1690" s="3553"/>
      <c r="S1690" s="1407"/>
      <c r="T1690" s="3375"/>
      <c r="U1690" s="2648"/>
      <c r="V1690" s="3554"/>
      <c r="W1690" s="3150"/>
      <c r="X1690" s="2656"/>
      <c r="Y1690" s="2656"/>
      <c r="Z1690" s="2656"/>
      <c r="AA1690" s="2656"/>
      <c r="AB1690" s="2656"/>
      <c r="AC1690" s="2656"/>
      <c r="AD1690" s="2656"/>
      <c r="AE1690" s="2656"/>
      <c r="AF1690" s="2656"/>
      <c r="AG1690" s="2656"/>
      <c r="AH1690" s="2656"/>
      <c r="AI1690" s="2656"/>
      <c r="AJ1690" s="2656"/>
      <c r="AK1690" s="2656"/>
      <c r="AL1690" s="2656"/>
      <c r="AM1690" s="2656"/>
      <c r="AN1690" s="2656"/>
      <c r="AO1690" s="2656"/>
      <c r="AP1690" s="2656"/>
      <c r="AQ1690" s="2656"/>
      <c r="AR1690" s="2656"/>
      <c r="AS1690" s="2656"/>
      <c r="AT1690" s="2656"/>
      <c r="AU1690" s="2656"/>
      <c r="AV1690" s="2656"/>
      <c r="AW1690" s="2656"/>
      <c r="AX1690" s="2656"/>
      <c r="AY1690" s="2656"/>
      <c r="AZ1690" s="2656"/>
      <c r="BA1690" s="2656"/>
      <c r="BB1690" s="2656"/>
      <c r="BC1690" s="2656"/>
      <c r="BD1690" s="2656"/>
      <c r="BE1690" s="2656"/>
      <c r="BF1690" s="2656"/>
      <c r="BG1690" s="2656"/>
      <c r="BH1690" s="2656"/>
      <c r="BI1690" s="2656"/>
    </row>
    <row r="1691" spans="1:61" ht="24.75" customHeight="1">
      <c r="A1691" s="3375"/>
      <c r="B1691" s="2646"/>
      <c r="C1691" s="2647"/>
      <c r="D1691" s="2646"/>
      <c r="E1691" s="3013"/>
      <c r="F1691" s="2655"/>
      <c r="G1691" s="2596"/>
      <c r="H1691" s="4138"/>
      <c r="I1691" s="3375"/>
      <c r="J1691" s="2648"/>
      <c r="K1691" s="3147"/>
      <c r="L1691" s="2785"/>
      <c r="M1691" s="2695"/>
      <c r="N1691" s="2649"/>
      <c r="O1691" s="2655"/>
      <c r="P1691" s="2651"/>
      <c r="Q1691" s="3440"/>
      <c r="R1691" s="3553"/>
      <c r="S1691" s="1407"/>
      <c r="T1691" s="3375"/>
      <c r="U1691" s="2648"/>
      <c r="V1691" s="3554"/>
      <c r="W1691" s="3150"/>
      <c r="X1691" s="2656"/>
      <c r="Y1691" s="2656"/>
      <c r="Z1691" s="2656"/>
      <c r="AA1691" s="2656"/>
      <c r="AB1691" s="2656"/>
      <c r="AC1691" s="2656"/>
      <c r="AD1691" s="2656"/>
      <c r="AE1691" s="2656"/>
      <c r="AF1691" s="2656"/>
      <c r="AG1691" s="2656"/>
      <c r="AH1691" s="2656"/>
      <c r="AI1691" s="2656"/>
      <c r="AJ1691" s="2656"/>
      <c r="AK1691" s="2656"/>
      <c r="AL1691" s="2656"/>
      <c r="AM1691" s="2656"/>
      <c r="AN1691" s="2656"/>
      <c r="AO1691" s="2656"/>
      <c r="AP1691" s="2656"/>
      <c r="AQ1691" s="2656"/>
      <c r="AR1691" s="2656"/>
      <c r="AS1691" s="2656"/>
      <c r="AT1691" s="2656"/>
      <c r="AU1691" s="2656"/>
      <c r="AV1691" s="2656"/>
      <c r="AW1691" s="2656"/>
      <c r="AX1691" s="2656"/>
      <c r="AY1691" s="2656"/>
      <c r="AZ1691" s="2656"/>
      <c r="BA1691" s="2656"/>
      <c r="BB1691" s="2656"/>
      <c r="BC1691" s="2656"/>
      <c r="BD1691" s="2656"/>
      <c r="BE1691" s="2656"/>
      <c r="BF1691" s="2656"/>
      <c r="BG1691" s="2656"/>
      <c r="BH1691" s="2656"/>
      <c r="BI1691" s="2656"/>
    </row>
    <row r="1692" spans="1:61" ht="24.75" customHeight="1">
      <c r="A1692" s="3375"/>
      <c r="B1692" s="2646"/>
      <c r="C1692" s="2647"/>
      <c r="D1692" s="2646"/>
      <c r="E1692" s="3013"/>
      <c r="F1692" s="2655"/>
      <c r="G1692" s="2596"/>
      <c r="H1692" s="4138"/>
      <c r="I1692" s="3375"/>
      <c r="J1692" s="2648"/>
      <c r="K1692" s="3147"/>
      <c r="L1692" s="2785"/>
      <c r="M1692" s="2695"/>
      <c r="N1692" s="2649"/>
      <c r="O1692" s="2655"/>
      <c r="P1692" s="2651"/>
      <c r="Q1692" s="3440"/>
      <c r="R1692" s="3553"/>
      <c r="S1692" s="1407"/>
      <c r="T1692" s="3375"/>
      <c r="U1692" s="2648"/>
      <c r="V1692" s="3554"/>
      <c r="W1692" s="3150"/>
      <c r="X1692" s="2656"/>
      <c r="Y1692" s="2656"/>
      <c r="Z1692" s="2656"/>
      <c r="AA1692" s="2656"/>
      <c r="AB1692" s="2656"/>
      <c r="AC1692" s="2656"/>
      <c r="AD1692" s="2656"/>
      <c r="AE1692" s="2656"/>
      <c r="AF1692" s="2656"/>
      <c r="AG1692" s="2656"/>
      <c r="AH1692" s="2656"/>
      <c r="AI1692" s="2656"/>
      <c r="AJ1692" s="2656"/>
      <c r="AK1692" s="2656"/>
      <c r="AL1692" s="2656"/>
      <c r="AM1692" s="2656"/>
      <c r="AN1692" s="2656"/>
      <c r="AO1692" s="2656"/>
      <c r="AP1692" s="2656"/>
      <c r="AQ1692" s="2656"/>
      <c r="AR1692" s="2656"/>
      <c r="AS1692" s="2656"/>
      <c r="AT1692" s="2656"/>
      <c r="AU1692" s="2656"/>
      <c r="AV1692" s="2656"/>
      <c r="AW1692" s="2656"/>
      <c r="AX1692" s="2656"/>
      <c r="AY1692" s="2656"/>
      <c r="AZ1692" s="2656"/>
      <c r="BA1692" s="2656"/>
      <c r="BB1692" s="2656"/>
      <c r="BC1692" s="2656"/>
      <c r="BD1692" s="2656"/>
      <c r="BE1692" s="2656"/>
      <c r="BF1692" s="2656"/>
      <c r="BG1692" s="2656"/>
      <c r="BH1692" s="2656"/>
      <c r="BI1692" s="2656"/>
    </row>
    <row r="1693" spans="1:61" ht="24.75" customHeight="1">
      <c r="A1693" s="3375"/>
      <c r="B1693" s="2646"/>
      <c r="C1693" s="2647"/>
      <c r="D1693" s="2646"/>
      <c r="E1693" s="3013"/>
      <c r="F1693" s="2655"/>
      <c r="G1693" s="2596"/>
      <c r="H1693" s="4138"/>
      <c r="I1693" s="3375"/>
      <c r="J1693" s="2648"/>
      <c r="K1693" s="3147"/>
      <c r="L1693" s="2785"/>
      <c r="M1693" s="2695"/>
      <c r="N1693" s="2649"/>
      <c r="O1693" s="2655"/>
      <c r="P1693" s="2651"/>
      <c r="Q1693" s="3440"/>
      <c r="R1693" s="3553"/>
      <c r="S1693" s="1407"/>
      <c r="T1693" s="3375"/>
      <c r="U1693" s="2648"/>
      <c r="V1693" s="3554"/>
      <c r="W1693" s="3150"/>
      <c r="X1693" s="2656"/>
      <c r="Y1693" s="2656"/>
      <c r="Z1693" s="2656"/>
      <c r="AA1693" s="2656"/>
      <c r="AB1693" s="2656"/>
      <c r="AC1693" s="2656"/>
      <c r="AD1693" s="2656"/>
      <c r="AE1693" s="2656"/>
      <c r="AF1693" s="2656"/>
      <c r="AG1693" s="2656"/>
      <c r="AH1693" s="2656"/>
      <c r="AI1693" s="2656"/>
      <c r="AJ1693" s="2656"/>
      <c r="AK1693" s="2656"/>
      <c r="AL1693" s="2656"/>
      <c r="AM1693" s="2656"/>
      <c r="AN1693" s="2656"/>
      <c r="AO1693" s="2656"/>
      <c r="AP1693" s="2656"/>
      <c r="AQ1693" s="2656"/>
      <c r="AR1693" s="2656"/>
      <c r="AS1693" s="2656"/>
      <c r="AT1693" s="2656"/>
      <c r="AU1693" s="2656"/>
      <c r="AV1693" s="2656"/>
      <c r="AW1693" s="2656"/>
      <c r="AX1693" s="2656"/>
      <c r="AY1693" s="2656"/>
      <c r="AZ1693" s="2656"/>
      <c r="BA1693" s="2656"/>
      <c r="BB1693" s="2656"/>
      <c r="BC1693" s="2656"/>
      <c r="BD1693" s="2656"/>
      <c r="BE1693" s="2656"/>
      <c r="BF1693" s="2656"/>
      <c r="BG1693" s="2656"/>
      <c r="BH1693" s="2656"/>
      <c r="BI1693" s="2656"/>
    </row>
    <row r="1694" spans="1:61" ht="24.75" customHeight="1">
      <c r="A1694" s="3375"/>
      <c r="B1694" s="2646"/>
      <c r="C1694" s="2647"/>
      <c r="D1694" s="2646"/>
      <c r="E1694" s="3013"/>
      <c r="F1694" s="2655"/>
      <c r="G1694" s="2596"/>
      <c r="H1694" s="4138"/>
      <c r="I1694" s="3375"/>
      <c r="J1694" s="2648"/>
      <c r="K1694" s="3147"/>
      <c r="L1694" s="2785"/>
      <c r="M1694" s="2695"/>
      <c r="N1694" s="2649"/>
      <c r="O1694" s="2655"/>
      <c r="P1694" s="2651"/>
      <c r="Q1694" s="3440"/>
      <c r="R1694" s="3553"/>
      <c r="S1694" s="1407"/>
      <c r="T1694" s="3375"/>
      <c r="U1694" s="2648"/>
      <c r="V1694" s="3554"/>
      <c r="W1694" s="3150"/>
      <c r="X1694" s="2656"/>
      <c r="Y1694" s="2656"/>
      <c r="Z1694" s="2656"/>
      <c r="AA1694" s="2656"/>
      <c r="AB1694" s="2656"/>
      <c r="AC1694" s="2656"/>
      <c r="AD1694" s="2656"/>
      <c r="AE1694" s="2656"/>
      <c r="AF1694" s="2656"/>
      <c r="AG1694" s="2656"/>
      <c r="AH1694" s="2656"/>
      <c r="AI1694" s="2656"/>
      <c r="AJ1694" s="2656"/>
      <c r="AK1694" s="2656"/>
      <c r="AL1694" s="2656"/>
      <c r="AM1694" s="2656"/>
      <c r="AN1694" s="2656"/>
      <c r="AO1694" s="2656"/>
      <c r="AP1694" s="2656"/>
      <c r="AQ1694" s="2656"/>
      <c r="AR1694" s="2656"/>
      <c r="AS1694" s="2656"/>
      <c r="AT1694" s="2656"/>
      <c r="AU1694" s="2656"/>
      <c r="AV1694" s="2656"/>
      <c r="AW1694" s="2656"/>
      <c r="AX1694" s="2656"/>
      <c r="AY1694" s="2656"/>
      <c r="AZ1694" s="2656"/>
      <c r="BA1694" s="2656"/>
      <c r="BB1694" s="2656"/>
      <c r="BC1694" s="2656"/>
      <c r="BD1694" s="2656"/>
      <c r="BE1694" s="2656"/>
      <c r="BF1694" s="2656"/>
      <c r="BG1694" s="2656"/>
      <c r="BH1694" s="2656"/>
      <c r="BI1694" s="2656"/>
    </row>
    <row r="1695" spans="1:61" ht="24.75" customHeight="1">
      <c r="A1695" s="3375"/>
      <c r="B1695" s="2646"/>
      <c r="C1695" s="2647"/>
      <c r="D1695" s="2646"/>
      <c r="E1695" s="3013"/>
      <c r="F1695" s="2655"/>
      <c r="G1695" s="2596"/>
      <c r="H1695" s="4138"/>
      <c r="I1695" s="3375"/>
      <c r="J1695" s="2648"/>
      <c r="K1695" s="3147"/>
      <c r="L1695" s="2785"/>
      <c r="M1695" s="2695"/>
      <c r="N1695" s="2649"/>
      <c r="O1695" s="2655"/>
      <c r="P1695" s="2651"/>
      <c r="Q1695" s="3440"/>
      <c r="R1695" s="3553"/>
      <c r="S1695" s="1407"/>
      <c r="T1695" s="3375"/>
      <c r="U1695" s="2648"/>
      <c r="V1695" s="3554"/>
      <c r="W1695" s="3150"/>
      <c r="X1695" s="2656"/>
      <c r="Y1695" s="2656"/>
      <c r="Z1695" s="2656"/>
      <c r="AA1695" s="2656"/>
      <c r="AB1695" s="2656"/>
      <c r="AC1695" s="2656"/>
      <c r="AD1695" s="2656"/>
      <c r="AE1695" s="2656"/>
      <c r="AF1695" s="2656"/>
      <c r="AG1695" s="2656"/>
      <c r="AH1695" s="2656"/>
      <c r="AI1695" s="2656"/>
      <c r="AJ1695" s="2656"/>
      <c r="AK1695" s="2656"/>
      <c r="AL1695" s="2656"/>
      <c r="AM1695" s="2656"/>
      <c r="AN1695" s="2656"/>
      <c r="AO1695" s="2656"/>
      <c r="AP1695" s="2656"/>
      <c r="AQ1695" s="2656"/>
      <c r="AR1695" s="2656"/>
      <c r="AS1695" s="2656"/>
      <c r="AT1695" s="2656"/>
      <c r="AU1695" s="2656"/>
      <c r="AV1695" s="2656"/>
      <c r="AW1695" s="2656"/>
      <c r="AX1695" s="2656"/>
      <c r="AY1695" s="2656"/>
      <c r="AZ1695" s="2656"/>
      <c r="BA1695" s="2656"/>
      <c r="BB1695" s="2656"/>
      <c r="BC1695" s="2656"/>
      <c r="BD1695" s="2656"/>
      <c r="BE1695" s="2656"/>
      <c r="BF1695" s="2656"/>
      <c r="BG1695" s="2656"/>
      <c r="BH1695" s="2656"/>
      <c r="BI1695" s="2656"/>
    </row>
    <row r="1696" spans="1:61" ht="24.75" customHeight="1">
      <c r="A1696" s="3375"/>
      <c r="B1696" s="2646"/>
      <c r="C1696" s="2647"/>
      <c r="D1696" s="2646"/>
      <c r="E1696" s="3013"/>
      <c r="F1696" s="2655"/>
      <c r="G1696" s="2596"/>
      <c r="H1696" s="4138"/>
      <c r="I1696" s="3375"/>
      <c r="J1696" s="2648"/>
      <c r="K1696" s="3147"/>
      <c r="L1696" s="2785"/>
      <c r="M1696" s="2695"/>
      <c r="N1696" s="2649"/>
      <c r="O1696" s="2655"/>
      <c r="P1696" s="2651"/>
      <c r="Q1696" s="3440"/>
      <c r="R1696" s="3553"/>
      <c r="S1696" s="1407"/>
      <c r="T1696" s="3375"/>
      <c r="U1696" s="2648"/>
      <c r="V1696" s="3554"/>
      <c r="W1696" s="3150"/>
      <c r="X1696" s="2656"/>
      <c r="Y1696" s="2656"/>
      <c r="Z1696" s="2656"/>
      <c r="AA1696" s="2656"/>
      <c r="AB1696" s="2656"/>
      <c r="AC1696" s="2656"/>
      <c r="AD1696" s="2656"/>
      <c r="AE1696" s="2656"/>
      <c r="AF1696" s="2656"/>
      <c r="AG1696" s="2656"/>
      <c r="AH1696" s="2656"/>
      <c r="AI1696" s="2656"/>
      <c r="AJ1696" s="2656"/>
      <c r="AK1696" s="2656"/>
      <c r="AL1696" s="2656"/>
      <c r="AM1696" s="2656"/>
      <c r="AN1696" s="2656"/>
      <c r="AO1696" s="2656"/>
      <c r="AP1696" s="2656"/>
      <c r="AQ1696" s="2656"/>
      <c r="AR1696" s="2656"/>
      <c r="AS1696" s="2656"/>
      <c r="AT1696" s="2656"/>
      <c r="AU1696" s="2656"/>
      <c r="AV1696" s="2656"/>
      <c r="AW1696" s="2656"/>
      <c r="AX1696" s="2656"/>
      <c r="AY1696" s="2656"/>
      <c r="AZ1696" s="2656"/>
      <c r="BA1696" s="2656"/>
      <c r="BB1696" s="2656"/>
      <c r="BC1696" s="2656"/>
      <c r="BD1696" s="2656"/>
      <c r="BE1696" s="2656"/>
      <c r="BF1696" s="2656"/>
      <c r="BG1696" s="2656"/>
      <c r="BH1696" s="2656"/>
      <c r="BI1696" s="2656"/>
    </row>
    <row r="1697" spans="1:61" ht="24.75" customHeight="1">
      <c r="A1697" s="3375"/>
      <c r="B1697" s="2646"/>
      <c r="C1697" s="2647"/>
      <c r="D1697" s="2646"/>
      <c r="E1697" s="3013"/>
      <c r="F1697" s="2655"/>
      <c r="G1697" s="2596"/>
      <c r="H1697" s="4138"/>
      <c r="I1697" s="3375"/>
      <c r="J1697" s="2648"/>
      <c r="K1697" s="3147"/>
      <c r="L1697" s="2785"/>
      <c r="M1697" s="2695"/>
      <c r="N1697" s="2649"/>
      <c r="O1697" s="2655"/>
      <c r="P1697" s="2651"/>
      <c r="Q1697" s="3440"/>
      <c r="R1697" s="3553"/>
      <c r="S1697" s="1407"/>
      <c r="T1697" s="3375"/>
      <c r="U1697" s="2648"/>
      <c r="V1697" s="3554"/>
      <c r="W1697" s="3150"/>
      <c r="X1697" s="2656"/>
      <c r="Y1697" s="2656"/>
      <c r="Z1697" s="2656"/>
      <c r="AA1697" s="2656"/>
      <c r="AB1697" s="2656"/>
      <c r="AC1697" s="2656"/>
      <c r="AD1697" s="2656"/>
      <c r="AE1697" s="2656"/>
      <c r="AF1697" s="2656"/>
      <c r="AG1697" s="2656"/>
      <c r="AH1697" s="2656"/>
      <c r="AI1697" s="2656"/>
      <c r="AJ1697" s="2656"/>
      <c r="AK1697" s="2656"/>
      <c r="AL1697" s="2656"/>
      <c r="AM1697" s="2656"/>
      <c r="AN1697" s="2656"/>
      <c r="AO1697" s="2656"/>
      <c r="AP1697" s="2656"/>
      <c r="AQ1697" s="2656"/>
      <c r="AR1697" s="2656"/>
      <c r="AS1697" s="2656"/>
      <c r="AT1697" s="2656"/>
      <c r="AU1697" s="2656"/>
      <c r="AV1697" s="2656"/>
      <c r="AW1697" s="2656"/>
      <c r="AX1697" s="2656"/>
      <c r="AY1697" s="2656"/>
      <c r="AZ1697" s="2656"/>
      <c r="BA1697" s="2656"/>
      <c r="BB1697" s="2656"/>
      <c r="BC1697" s="2656"/>
      <c r="BD1697" s="2656"/>
      <c r="BE1697" s="2656"/>
      <c r="BF1697" s="2656"/>
      <c r="BG1697" s="2656"/>
      <c r="BH1697" s="2656"/>
      <c r="BI1697" s="2656"/>
    </row>
    <row r="1698" spans="1:61" ht="24.75" customHeight="1">
      <c r="A1698" s="3375"/>
      <c r="B1698" s="2646"/>
      <c r="C1698" s="2647"/>
      <c r="D1698" s="2646"/>
      <c r="E1698" s="3013"/>
      <c r="F1698" s="2655"/>
      <c r="G1698" s="2596"/>
      <c r="H1698" s="4138"/>
      <c r="I1698" s="3375"/>
      <c r="J1698" s="2648"/>
      <c r="K1698" s="3147"/>
      <c r="L1698" s="2785"/>
      <c r="M1698" s="2695"/>
      <c r="N1698" s="2649"/>
      <c r="O1698" s="2655"/>
      <c r="P1698" s="2651"/>
      <c r="Q1698" s="3440"/>
      <c r="R1698" s="3553"/>
      <c r="S1698" s="1407"/>
      <c r="T1698" s="3375"/>
      <c r="U1698" s="2648"/>
      <c r="V1698" s="3554"/>
      <c r="W1698" s="3150"/>
      <c r="X1698" s="2656"/>
      <c r="Y1698" s="2656"/>
      <c r="Z1698" s="2656"/>
      <c r="AA1698" s="2656"/>
      <c r="AB1698" s="2656"/>
      <c r="AC1698" s="2656"/>
      <c r="AD1698" s="2656"/>
      <c r="AE1698" s="2656"/>
      <c r="AF1698" s="2656"/>
      <c r="AG1698" s="2656"/>
      <c r="AH1698" s="2656"/>
      <c r="AI1698" s="2656"/>
      <c r="AJ1698" s="2656"/>
      <c r="AK1698" s="2656"/>
      <c r="AL1698" s="2656"/>
      <c r="AM1698" s="2656"/>
      <c r="AN1698" s="2656"/>
      <c r="AO1698" s="2656"/>
      <c r="AP1698" s="2656"/>
      <c r="AQ1698" s="2656"/>
      <c r="AR1698" s="2656"/>
      <c r="AS1698" s="2656"/>
      <c r="AT1698" s="2656"/>
      <c r="AU1698" s="2656"/>
      <c r="AV1698" s="2656"/>
      <c r="AW1698" s="2656"/>
      <c r="AX1698" s="2656"/>
      <c r="AY1698" s="2656"/>
      <c r="AZ1698" s="2656"/>
      <c r="BA1698" s="2656"/>
      <c r="BB1698" s="2656"/>
      <c r="BC1698" s="2656"/>
      <c r="BD1698" s="2656"/>
      <c r="BE1698" s="2656"/>
      <c r="BF1698" s="2656"/>
      <c r="BG1698" s="2656"/>
      <c r="BH1698" s="2656"/>
      <c r="BI1698" s="2656"/>
    </row>
    <row r="1699" spans="1:61" ht="24.75" customHeight="1">
      <c r="A1699" s="3375"/>
      <c r="B1699" s="2646"/>
      <c r="C1699" s="2647"/>
      <c r="D1699" s="2646"/>
      <c r="E1699" s="3013"/>
      <c r="F1699" s="2655"/>
      <c r="G1699" s="2596"/>
      <c r="H1699" s="4138"/>
      <c r="I1699" s="3375"/>
      <c r="J1699" s="2648"/>
      <c r="K1699" s="3147"/>
      <c r="L1699" s="2785"/>
      <c r="M1699" s="2695"/>
      <c r="N1699" s="2649"/>
      <c r="O1699" s="2655"/>
      <c r="P1699" s="2651"/>
      <c r="Q1699" s="3440"/>
      <c r="R1699" s="3553"/>
      <c r="S1699" s="1407"/>
      <c r="T1699" s="3375"/>
      <c r="U1699" s="2648"/>
      <c r="V1699" s="3554"/>
      <c r="W1699" s="3150"/>
      <c r="X1699" s="2656"/>
      <c r="Y1699" s="2656"/>
      <c r="Z1699" s="2656"/>
      <c r="AA1699" s="2656"/>
      <c r="AB1699" s="2656"/>
      <c r="AC1699" s="2656"/>
      <c r="AD1699" s="2656"/>
      <c r="AE1699" s="2656"/>
      <c r="AF1699" s="2656"/>
      <c r="AG1699" s="2656"/>
      <c r="AH1699" s="2656"/>
      <c r="AI1699" s="2656"/>
      <c r="AJ1699" s="2656"/>
      <c r="AK1699" s="2656"/>
      <c r="AL1699" s="2656"/>
      <c r="AM1699" s="2656"/>
      <c r="AN1699" s="2656"/>
      <c r="AO1699" s="2656"/>
      <c r="AP1699" s="2656"/>
      <c r="AQ1699" s="2656"/>
      <c r="AR1699" s="2656"/>
      <c r="AS1699" s="2656"/>
      <c r="AT1699" s="2656"/>
      <c r="AU1699" s="2656"/>
      <c r="AV1699" s="2656"/>
      <c r="AW1699" s="2656"/>
      <c r="AX1699" s="2656"/>
      <c r="AY1699" s="2656"/>
      <c r="AZ1699" s="2656"/>
      <c r="BA1699" s="2656"/>
      <c r="BB1699" s="2656"/>
      <c r="BC1699" s="2656"/>
      <c r="BD1699" s="2656"/>
      <c r="BE1699" s="2656"/>
      <c r="BF1699" s="2656"/>
      <c r="BG1699" s="2656"/>
      <c r="BH1699" s="2656"/>
      <c r="BI1699" s="2656"/>
    </row>
    <row r="1700" spans="1:61" ht="24.75" customHeight="1">
      <c r="A1700" s="3375"/>
      <c r="B1700" s="2646"/>
      <c r="C1700" s="2647"/>
      <c r="D1700" s="2646"/>
      <c r="E1700" s="3013"/>
      <c r="F1700" s="2655"/>
      <c r="G1700" s="2596"/>
      <c r="H1700" s="4138"/>
      <c r="I1700" s="3375"/>
      <c r="J1700" s="2648"/>
      <c r="K1700" s="3147"/>
      <c r="L1700" s="2785"/>
      <c r="M1700" s="2695"/>
      <c r="N1700" s="2649"/>
      <c r="O1700" s="2655"/>
      <c r="P1700" s="2651"/>
      <c r="Q1700" s="3440"/>
      <c r="R1700" s="3553"/>
      <c r="S1700" s="1407"/>
      <c r="T1700" s="3375"/>
      <c r="U1700" s="2648"/>
      <c r="V1700" s="3554"/>
      <c r="W1700" s="3150"/>
      <c r="X1700" s="2656"/>
      <c r="Y1700" s="2656"/>
      <c r="Z1700" s="2656"/>
      <c r="AA1700" s="2656"/>
      <c r="AB1700" s="2656"/>
      <c r="AC1700" s="2656"/>
      <c r="AD1700" s="2656"/>
      <c r="AE1700" s="2656"/>
      <c r="AF1700" s="2656"/>
      <c r="AG1700" s="2656"/>
      <c r="AH1700" s="2656"/>
      <c r="AI1700" s="2656"/>
      <c r="AJ1700" s="2656"/>
      <c r="AK1700" s="2656"/>
      <c r="AL1700" s="2656"/>
      <c r="AM1700" s="2656"/>
      <c r="AN1700" s="2656"/>
      <c r="AO1700" s="2656"/>
      <c r="AP1700" s="2656"/>
      <c r="AQ1700" s="2656"/>
      <c r="AR1700" s="2656"/>
      <c r="AS1700" s="2656"/>
      <c r="AT1700" s="2656"/>
      <c r="AU1700" s="2656"/>
      <c r="AV1700" s="2656"/>
      <c r="AW1700" s="2656"/>
      <c r="AX1700" s="2656"/>
      <c r="AY1700" s="2656"/>
      <c r="AZ1700" s="2656"/>
      <c r="BA1700" s="2656"/>
      <c r="BB1700" s="2656"/>
      <c r="BC1700" s="2656"/>
      <c r="BD1700" s="2656"/>
      <c r="BE1700" s="2656"/>
      <c r="BF1700" s="2656"/>
      <c r="BG1700" s="2656"/>
      <c r="BH1700" s="2656"/>
      <c r="BI1700" s="2656"/>
    </row>
    <row r="1701" spans="1:61" ht="24.75" customHeight="1">
      <c r="A1701" s="3375"/>
      <c r="B1701" s="2646"/>
      <c r="C1701" s="2647"/>
      <c r="D1701" s="2646"/>
      <c r="E1701" s="3013"/>
      <c r="F1701" s="2655"/>
      <c r="G1701" s="2596"/>
      <c r="H1701" s="4138"/>
      <c r="I1701" s="3375"/>
      <c r="J1701" s="2648"/>
      <c r="K1701" s="3147"/>
      <c r="L1701" s="2785"/>
      <c r="M1701" s="2695"/>
      <c r="N1701" s="2649"/>
      <c r="O1701" s="2655"/>
      <c r="P1701" s="2651"/>
      <c r="Q1701" s="3440"/>
      <c r="R1701" s="3553"/>
      <c r="S1701" s="1407"/>
      <c r="T1701" s="3375"/>
      <c r="U1701" s="2648"/>
      <c r="V1701" s="3554"/>
      <c r="W1701" s="3150"/>
      <c r="X1701" s="2656"/>
      <c r="Y1701" s="2656"/>
      <c r="Z1701" s="2656"/>
      <c r="AA1701" s="2656"/>
      <c r="AB1701" s="2656"/>
      <c r="AC1701" s="2656"/>
      <c r="AD1701" s="2656"/>
      <c r="AE1701" s="2656"/>
      <c r="AF1701" s="2656"/>
      <c r="AG1701" s="2656"/>
      <c r="AH1701" s="2656"/>
      <c r="AI1701" s="2656"/>
      <c r="AJ1701" s="2656"/>
      <c r="AK1701" s="2656"/>
      <c r="AL1701" s="2656"/>
      <c r="AM1701" s="2656"/>
      <c r="AN1701" s="2656"/>
      <c r="AO1701" s="2656"/>
      <c r="AP1701" s="2656"/>
      <c r="AQ1701" s="2656"/>
      <c r="AR1701" s="2656"/>
      <c r="AS1701" s="2656"/>
      <c r="AT1701" s="2656"/>
      <c r="AU1701" s="2656"/>
      <c r="AV1701" s="2656"/>
      <c r="AW1701" s="2656"/>
      <c r="AX1701" s="2656"/>
      <c r="AY1701" s="2656"/>
      <c r="AZ1701" s="2656"/>
      <c r="BA1701" s="2656"/>
      <c r="BB1701" s="2656"/>
      <c r="BC1701" s="2656"/>
      <c r="BD1701" s="2656"/>
      <c r="BE1701" s="2656"/>
      <c r="BF1701" s="2656"/>
      <c r="BG1701" s="2656"/>
      <c r="BH1701" s="2656"/>
      <c r="BI1701" s="2656"/>
    </row>
    <row r="1702" spans="1:61" ht="24.75" customHeight="1">
      <c r="A1702" s="3375"/>
      <c r="B1702" s="2646"/>
      <c r="C1702" s="2647"/>
      <c r="D1702" s="2646"/>
      <c r="E1702" s="3013"/>
      <c r="F1702" s="2655"/>
      <c r="G1702" s="2596"/>
      <c r="H1702" s="4138"/>
      <c r="I1702" s="3375"/>
      <c r="J1702" s="2648"/>
      <c r="K1702" s="3147"/>
      <c r="L1702" s="2785"/>
      <c r="M1702" s="2695"/>
      <c r="N1702" s="2649"/>
      <c r="O1702" s="2655"/>
      <c r="P1702" s="2651"/>
      <c r="Q1702" s="3440"/>
      <c r="R1702" s="3553"/>
      <c r="S1702" s="1407"/>
      <c r="T1702" s="3375"/>
      <c r="U1702" s="2648"/>
      <c r="V1702" s="3554"/>
      <c r="W1702" s="3150"/>
      <c r="X1702" s="2656"/>
      <c r="Y1702" s="2656"/>
      <c r="Z1702" s="2656"/>
      <c r="AA1702" s="2656"/>
      <c r="AB1702" s="2656"/>
      <c r="AC1702" s="2656"/>
      <c r="AD1702" s="2656"/>
      <c r="AE1702" s="2656"/>
      <c r="AF1702" s="2656"/>
      <c r="AG1702" s="2656"/>
      <c r="AH1702" s="2656"/>
      <c r="AI1702" s="2656"/>
      <c r="AJ1702" s="2656"/>
      <c r="AK1702" s="2656"/>
      <c r="AL1702" s="2656"/>
      <c r="AM1702" s="2656"/>
      <c r="AN1702" s="2656"/>
      <c r="AO1702" s="2656"/>
      <c r="AP1702" s="2656"/>
      <c r="AQ1702" s="2656"/>
      <c r="AR1702" s="2656"/>
      <c r="AS1702" s="2656"/>
      <c r="AT1702" s="2656"/>
      <c r="AU1702" s="2656"/>
      <c r="AV1702" s="2656"/>
      <c r="AW1702" s="2656"/>
      <c r="AX1702" s="2656"/>
      <c r="AY1702" s="2656"/>
      <c r="AZ1702" s="2656"/>
      <c r="BA1702" s="2656"/>
      <c r="BB1702" s="2656"/>
      <c r="BC1702" s="2656"/>
      <c r="BD1702" s="2656"/>
      <c r="BE1702" s="2656"/>
      <c r="BF1702" s="2656"/>
      <c r="BG1702" s="2656"/>
      <c r="BH1702" s="2656"/>
      <c r="BI1702" s="2656"/>
    </row>
    <row r="1703" spans="1:61" ht="24.75" customHeight="1">
      <c r="A1703" s="3375"/>
      <c r="B1703" s="2646"/>
      <c r="C1703" s="2647"/>
      <c r="D1703" s="2646"/>
      <c r="E1703" s="3013"/>
      <c r="F1703" s="2655"/>
      <c r="G1703" s="2596"/>
      <c r="H1703" s="4138"/>
      <c r="I1703" s="3375"/>
      <c r="J1703" s="2648"/>
      <c r="K1703" s="3147"/>
      <c r="L1703" s="2785"/>
      <c r="M1703" s="2695"/>
      <c r="N1703" s="2649"/>
      <c r="O1703" s="2655"/>
      <c r="P1703" s="2651"/>
      <c r="Q1703" s="3440"/>
      <c r="R1703" s="3553"/>
      <c r="S1703" s="1407"/>
      <c r="T1703" s="3375"/>
      <c r="U1703" s="2648"/>
      <c r="V1703" s="3554"/>
      <c r="W1703" s="3150"/>
      <c r="X1703" s="2656"/>
      <c r="Y1703" s="2656"/>
      <c r="Z1703" s="2656"/>
      <c r="AA1703" s="2656"/>
      <c r="AB1703" s="2656"/>
      <c r="AC1703" s="2656"/>
      <c r="AD1703" s="2656"/>
      <c r="AE1703" s="2656"/>
      <c r="AF1703" s="2656"/>
      <c r="AG1703" s="2656"/>
      <c r="AH1703" s="2656"/>
      <c r="AI1703" s="2656"/>
      <c r="AJ1703" s="2656"/>
      <c r="AK1703" s="2656"/>
      <c r="AL1703" s="2656"/>
      <c r="AM1703" s="2656"/>
      <c r="AN1703" s="2656"/>
      <c r="AO1703" s="2656"/>
      <c r="AP1703" s="2656"/>
      <c r="AQ1703" s="2656"/>
      <c r="AR1703" s="2656"/>
      <c r="AS1703" s="2656"/>
      <c r="AT1703" s="2656"/>
      <c r="AU1703" s="2656"/>
      <c r="AV1703" s="2656"/>
      <c r="AW1703" s="2656"/>
      <c r="AX1703" s="2656"/>
      <c r="AY1703" s="2656"/>
      <c r="AZ1703" s="2656"/>
      <c r="BA1703" s="2656"/>
      <c r="BB1703" s="2656"/>
      <c r="BC1703" s="2656"/>
      <c r="BD1703" s="2656"/>
      <c r="BE1703" s="2656"/>
      <c r="BF1703" s="2656"/>
      <c r="BG1703" s="2656"/>
      <c r="BH1703" s="2656"/>
      <c r="BI1703" s="2656"/>
    </row>
    <row r="1704" spans="1:61" ht="24.75" customHeight="1">
      <c r="A1704" s="3375"/>
      <c r="B1704" s="2646"/>
      <c r="C1704" s="2647"/>
      <c r="D1704" s="2646"/>
      <c r="E1704" s="3013"/>
      <c r="F1704" s="2655"/>
      <c r="G1704" s="2596"/>
      <c r="H1704" s="4138"/>
      <c r="I1704" s="3375"/>
      <c r="J1704" s="2648"/>
      <c r="K1704" s="3147"/>
      <c r="L1704" s="2785"/>
      <c r="M1704" s="2695"/>
      <c r="N1704" s="2649"/>
      <c r="O1704" s="2655"/>
      <c r="P1704" s="2651"/>
      <c r="Q1704" s="3440"/>
      <c r="R1704" s="3553"/>
      <c r="S1704" s="1407"/>
      <c r="T1704" s="3375"/>
      <c r="U1704" s="2648"/>
      <c r="V1704" s="3554"/>
      <c r="W1704" s="3150"/>
      <c r="X1704" s="2656"/>
      <c r="Y1704" s="2656"/>
      <c r="Z1704" s="2656"/>
      <c r="AA1704" s="2656"/>
      <c r="AB1704" s="2656"/>
      <c r="AC1704" s="2656"/>
      <c r="AD1704" s="2656"/>
      <c r="AE1704" s="2656"/>
      <c r="AF1704" s="2656"/>
      <c r="AG1704" s="2656"/>
      <c r="AH1704" s="2656"/>
      <c r="AI1704" s="2656"/>
      <c r="AJ1704" s="2656"/>
      <c r="AK1704" s="2656"/>
      <c r="AL1704" s="2656"/>
      <c r="AM1704" s="2656"/>
      <c r="AN1704" s="2656"/>
      <c r="AO1704" s="2656"/>
      <c r="AP1704" s="2656"/>
      <c r="AQ1704" s="2656"/>
      <c r="AR1704" s="2656"/>
      <c r="AS1704" s="2656"/>
      <c r="AT1704" s="2656"/>
      <c r="AU1704" s="2656"/>
      <c r="AV1704" s="2656"/>
      <c r="AW1704" s="2656"/>
      <c r="AX1704" s="2656"/>
      <c r="AY1704" s="2656"/>
      <c r="AZ1704" s="2656"/>
      <c r="BA1704" s="2656"/>
      <c r="BB1704" s="2656"/>
      <c r="BC1704" s="2656"/>
      <c r="BD1704" s="2656"/>
      <c r="BE1704" s="2656"/>
      <c r="BF1704" s="2656"/>
      <c r="BG1704" s="2656"/>
      <c r="BH1704" s="2656"/>
      <c r="BI1704" s="2656"/>
    </row>
    <row r="1705" spans="1:61" ht="24.75" customHeight="1">
      <c r="A1705" s="3375"/>
      <c r="B1705" s="2646"/>
      <c r="C1705" s="2647"/>
      <c r="D1705" s="2646"/>
      <c r="E1705" s="3013"/>
      <c r="F1705" s="2655"/>
      <c r="G1705" s="2596"/>
      <c r="H1705" s="4138"/>
      <c r="I1705" s="3375"/>
      <c r="J1705" s="2648"/>
      <c r="K1705" s="3147"/>
      <c r="L1705" s="2785"/>
      <c r="M1705" s="2695"/>
      <c r="N1705" s="2649"/>
      <c r="O1705" s="2655"/>
      <c r="P1705" s="2651"/>
      <c r="Q1705" s="3440"/>
      <c r="R1705" s="3553"/>
      <c r="S1705" s="1407"/>
      <c r="T1705" s="3375"/>
      <c r="U1705" s="2648"/>
      <c r="V1705" s="3554"/>
      <c r="W1705" s="3150"/>
      <c r="X1705" s="2656"/>
      <c r="Y1705" s="2656"/>
      <c r="Z1705" s="2656"/>
      <c r="AA1705" s="2656"/>
      <c r="AB1705" s="2656"/>
      <c r="AC1705" s="2656"/>
      <c r="AD1705" s="2656"/>
      <c r="AE1705" s="2656"/>
      <c r="AF1705" s="2656"/>
      <c r="AG1705" s="2656"/>
      <c r="AH1705" s="2656"/>
      <c r="AI1705" s="2656"/>
      <c r="AJ1705" s="2656"/>
      <c r="AK1705" s="2656"/>
      <c r="AL1705" s="2656"/>
      <c r="AM1705" s="2656"/>
      <c r="AN1705" s="2656"/>
      <c r="AO1705" s="2656"/>
      <c r="AP1705" s="2656"/>
      <c r="AQ1705" s="2656"/>
      <c r="AR1705" s="2656"/>
      <c r="AS1705" s="2656"/>
      <c r="AT1705" s="2656"/>
      <c r="AU1705" s="2656"/>
      <c r="AV1705" s="2656"/>
      <c r="AW1705" s="2656"/>
      <c r="AX1705" s="2656"/>
      <c r="AY1705" s="2656"/>
      <c r="AZ1705" s="2656"/>
      <c r="BA1705" s="2656"/>
      <c r="BB1705" s="2656"/>
      <c r="BC1705" s="2656"/>
      <c r="BD1705" s="2656"/>
      <c r="BE1705" s="2656"/>
      <c r="BF1705" s="2656"/>
      <c r="BG1705" s="2656"/>
      <c r="BH1705" s="2656"/>
      <c r="BI1705" s="2656"/>
    </row>
    <row r="1706" spans="1:61" ht="24.75" customHeight="1">
      <c r="A1706" s="3375"/>
      <c r="B1706" s="2646"/>
      <c r="C1706" s="2647"/>
      <c r="D1706" s="2646"/>
      <c r="E1706" s="3013"/>
      <c r="F1706" s="2655"/>
      <c r="G1706" s="2596"/>
      <c r="H1706" s="4138"/>
      <c r="I1706" s="3375"/>
      <c r="J1706" s="2648"/>
      <c r="K1706" s="3147"/>
      <c r="L1706" s="2785"/>
      <c r="M1706" s="2695"/>
      <c r="N1706" s="2649"/>
      <c r="O1706" s="2655"/>
      <c r="P1706" s="2651"/>
      <c r="Q1706" s="3440"/>
      <c r="R1706" s="3553"/>
      <c r="S1706" s="1407"/>
      <c r="T1706" s="3375"/>
      <c r="U1706" s="2648"/>
      <c r="V1706" s="3554"/>
      <c r="W1706" s="3150"/>
      <c r="X1706" s="2656"/>
      <c r="Y1706" s="2656"/>
      <c r="Z1706" s="2656"/>
      <c r="AA1706" s="2656"/>
      <c r="AB1706" s="2656"/>
      <c r="AC1706" s="2656"/>
      <c r="AD1706" s="2656"/>
      <c r="AE1706" s="2656"/>
      <c r="AF1706" s="2656"/>
      <c r="AG1706" s="2656"/>
      <c r="AH1706" s="2656"/>
      <c r="AI1706" s="2656"/>
      <c r="AJ1706" s="2656"/>
      <c r="AK1706" s="2656"/>
      <c r="AL1706" s="2656"/>
      <c r="AM1706" s="2656"/>
      <c r="AN1706" s="2656"/>
      <c r="AO1706" s="2656"/>
      <c r="AP1706" s="2656"/>
      <c r="AQ1706" s="2656"/>
      <c r="AR1706" s="2656"/>
      <c r="AS1706" s="2656"/>
      <c r="AT1706" s="2656"/>
      <c r="AU1706" s="2656"/>
      <c r="AV1706" s="2656"/>
      <c r="AW1706" s="2656"/>
      <c r="AX1706" s="2656"/>
      <c r="AY1706" s="2656"/>
      <c r="AZ1706" s="2656"/>
      <c r="BA1706" s="2656"/>
      <c r="BB1706" s="2656"/>
      <c r="BC1706" s="2656"/>
      <c r="BD1706" s="2656"/>
      <c r="BE1706" s="2656"/>
      <c r="BF1706" s="2656"/>
      <c r="BG1706" s="2656"/>
      <c r="BH1706" s="2656"/>
      <c r="BI1706" s="2656"/>
    </row>
    <row r="1707" spans="1:61" ht="24.75" customHeight="1">
      <c r="A1707" s="3375"/>
      <c r="B1707" s="2646"/>
      <c r="C1707" s="2647"/>
      <c r="D1707" s="2646"/>
      <c r="E1707" s="3013"/>
      <c r="F1707" s="2655"/>
      <c r="G1707" s="2596"/>
      <c r="H1707" s="4138"/>
      <c r="I1707" s="3375"/>
      <c r="J1707" s="2648"/>
      <c r="K1707" s="3147"/>
      <c r="L1707" s="2785"/>
      <c r="M1707" s="2695"/>
      <c r="N1707" s="2649"/>
      <c r="O1707" s="2655"/>
      <c r="P1707" s="2651"/>
      <c r="Q1707" s="3440"/>
      <c r="R1707" s="3553"/>
      <c r="S1707" s="1407"/>
      <c r="T1707" s="3375"/>
      <c r="U1707" s="2648"/>
      <c r="V1707" s="3554"/>
      <c r="W1707" s="3150"/>
      <c r="X1707" s="2656"/>
      <c r="Y1707" s="2656"/>
      <c r="Z1707" s="2656"/>
      <c r="AA1707" s="2656"/>
      <c r="AB1707" s="2656"/>
      <c r="AC1707" s="2656"/>
      <c r="AD1707" s="2656"/>
      <c r="AE1707" s="2656"/>
      <c r="AF1707" s="2656"/>
      <c r="AG1707" s="2656"/>
      <c r="AH1707" s="2656"/>
      <c r="AI1707" s="2656"/>
      <c r="AJ1707" s="2656"/>
      <c r="AK1707" s="2656"/>
      <c r="AL1707" s="2656"/>
      <c r="AM1707" s="2656"/>
      <c r="AN1707" s="2656"/>
      <c r="AO1707" s="2656"/>
      <c r="AP1707" s="2656"/>
      <c r="AQ1707" s="2656"/>
      <c r="AR1707" s="2656"/>
      <c r="AS1707" s="2656"/>
      <c r="AT1707" s="2656"/>
      <c r="AU1707" s="2656"/>
      <c r="AV1707" s="2656"/>
      <c r="AW1707" s="2656"/>
      <c r="AX1707" s="2656"/>
      <c r="AY1707" s="2656"/>
      <c r="AZ1707" s="2656"/>
      <c r="BA1707" s="2656"/>
      <c r="BB1707" s="2656"/>
      <c r="BC1707" s="2656"/>
      <c r="BD1707" s="2656"/>
      <c r="BE1707" s="2656"/>
      <c r="BF1707" s="2656"/>
      <c r="BG1707" s="2656"/>
      <c r="BH1707" s="2656"/>
      <c r="BI1707" s="2656"/>
    </row>
    <row r="1708" spans="1:61" ht="24.75" customHeight="1">
      <c r="A1708" s="3375"/>
      <c r="B1708" s="2646"/>
      <c r="C1708" s="2647"/>
      <c r="D1708" s="2646"/>
      <c r="E1708" s="3013"/>
      <c r="F1708" s="2655"/>
      <c r="G1708" s="2596"/>
      <c r="H1708" s="4138"/>
      <c r="I1708" s="3375"/>
      <c r="J1708" s="2648"/>
      <c r="K1708" s="3147"/>
      <c r="L1708" s="2785"/>
      <c r="M1708" s="2695"/>
      <c r="N1708" s="2649"/>
      <c r="O1708" s="2655"/>
      <c r="P1708" s="2651"/>
      <c r="Q1708" s="3440"/>
      <c r="R1708" s="3553"/>
      <c r="S1708" s="1407"/>
      <c r="T1708" s="3375"/>
      <c r="U1708" s="2648"/>
      <c r="V1708" s="3554"/>
      <c r="W1708" s="3150"/>
      <c r="X1708" s="2656"/>
      <c r="Y1708" s="2656"/>
      <c r="Z1708" s="2656"/>
      <c r="AA1708" s="2656"/>
      <c r="AB1708" s="2656"/>
      <c r="AC1708" s="2656"/>
      <c r="AD1708" s="2656"/>
      <c r="AE1708" s="2656"/>
      <c r="AF1708" s="2656"/>
      <c r="AG1708" s="2656"/>
      <c r="AH1708" s="2656"/>
      <c r="AI1708" s="2656"/>
      <c r="AJ1708" s="2656"/>
      <c r="AK1708" s="2656"/>
      <c r="AL1708" s="2656"/>
      <c r="AM1708" s="2656"/>
      <c r="AN1708" s="2656"/>
      <c r="AO1708" s="2656"/>
      <c r="AP1708" s="2656"/>
      <c r="AQ1708" s="2656"/>
      <c r="AR1708" s="2656"/>
      <c r="AS1708" s="2656"/>
      <c r="AT1708" s="2656"/>
      <c r="AU1708" s="2656"/>
      <c r="AV1708" s="2656"/>
      <c r="AW1708" s="2656"/>
      <c r="AX1708" s="2656"/>
      <c r="AY1708" s="2656"/>
      <c r="AZ1708" s="2656"/>
      <c r="BA1708" s="2656"/>
      <c r="BB1708" s="2656"/>
      <c r="BC1708" s="2656"/>
      <c r="BD1708" s="2656"/>
      <c r="BE1708" s="2656"/>
      <c r="BF1708" s="2656"/>
      <c r="BG1708" s="2656"/>
      <c r="BH1708" s="2656"/>
      <c r="BI1708" s="2656"/>
    </row>
    <row r="1709" spans="1:61" ht="24.75" customHeight="1">
      <c r="A1709" s="3375"/>
      <c r="B1709" s="2646"/>
      <c r="C1709" s="2647"/>
      <c r="D1709" s="2646"/>
      <c r="E1709" s="3013"/>
      <c r="F1709" s="2655"/>
      <c r="G1709" s="2596"/>
      <c r="H1709" s="4138"/>
      <c r="I1709" s="3375"/>
      <c r="J1709" s="2648"/>
      <c r="K1709" s="3147"/>
      <c r="L1709" s="2785"/>
      <c r="M1709" s="2695"/>
      <c r="N1709" s="2649"/>
      <c r="O1709" s="2655"/>
      <c r="P1709" s="2651"/>
      <c r="Q1709" s="3440"/>
      <c r="R1709" s="3553"/>
      <c r="S1709" s="1407"/>
      <c r="T1709" s="3375"/>
      <c r="U1709" s="2648"/>
      <c r="V1709" s="3554"/>
      <c r="W1709" s="3150"/>
      <c r="X1709" s="2656"/>
      <c r="Y1709" s="2656"/>
      <c r="Z1709" s="2656"/>
      <c r="AA1709" s="2656"/>
      <c r="AB1709" s="2656"/>
      <c r="AC1709" s="2656"/>
      <c r="AD1709" s="2656"/>
      <c r="AE1709" s="2656"/>
      <c r="AF1709" s="2656"/>
      <c r="AG1709" s="2656"/>
      <c r="AH1709" s="2656"/>
      <c r="AI1709" s="2656"/>
      <c r="AJ1709" s="2656"/>
      <c r="AK1709" s="2656"/>
      <c r="AL1709" s="2656"/>
      <c r="AM1709" s="2656"/>
      <c r="AN1709" s="2656"/>
      <c r="AO1709" s="2656"/>
      <c r="AP1709" s="2656"/>
      <c r="AQ1709" s="2656"/>
      <c r="AR1709" s="2656"/>
      <c r="AS1709" s="2656"/>
      <c r="AT1709" s="2656"/>
      <c r="AU1709" s="2656"/>
      <c r="AV1709" s="2656"/>
      <c r="AW1709" s="2656"/>
      <c r="AX1709" s="2656"/>
      <c r="AY1709" s="2656"/>
      <c r="AZ1709" s="2656"/>
      <c r="BA1709" s="2656"/>
      <c r="BB1709" s="2656"/>
      <c r="BC1709" s="2656"/>
      <c r="BD1709" s="2656"/>
      <c r="BE1709" s="2656"/>
      <c r="BF1709" s="2656"/>
      <c r="BG1709" s="2656"/>
      <c r="BH1709" s="2656"/>
      <c r="BI1709" s="2656"/>
    </row>
    <row r="1710" spans="1:61" ht="24.75" customHeight="1">
      <c r="A1710" s="3375"/>
      <c r="B1710" s="2646"/>
      <c r="C1710" s="2647"/>
      <c r="D1710" s="2646"/>
      <c r="E1710" s="3013"/>
      <c r="F1710" s="2655"/>
      <c r="G1710" s="2596"/>
      <c r="H1710" s="4138"/>
      <c r="I1710" s="3375"/>
      <c r="J1710" s="2648"/>
      <c r="K1710" s="3147"/>
      <c r="L1710" s="2785"/>
      <c r="M1710" s="2695"/>
      <c r="N1710" s="2649"/>
      <c r="O1710" s="2655"/>
      <c r="P1710" s="2651"/>
      <c r="Q1710" s="3440"/>
      <c r="R1710" s="3553"/>
      <c r="S1710" s="1407"/>
      <c r="T1710" s="3375"/>
      <c r="U1710" s="2648"/>
      <c r="V1710" s="3554"/>
      <c r="W1710" s="3150"/>
      <c r="X1710" s="2656"/>
      <c r="Y1710" s="2656"/>
      <c r="Z1710" s="2656"/>
      <c r="AA1710" s="2656"/>
      <c r="AB1710" s="2656"/>
      <c r="AC1710" s="2656"/>
      <c r="AD1710" s="2656"/>
      <c r="AE1710" s="2656"/>
      <c r="AF1710" s="2656"/>
      <c r="AG1710" s="2656"/>
      <c r="AH1710" s="2656"/>
      <c r="AI1710" s="2656"/>
      <c r="AJ1710" s="2656"/>
      <c r="AK1710" s="2656"/>
      <c r="AL1710" s="2656"/>
      <c r="AM1710" s="2656"/>
      <c r="AN1710" s="2656"/>
      <c r="AO1710" s="2656"/>
      <c r="AP1710" s="2656"/>
      <c r="AQ1710" s="2656"/>
      <c r="AR1710" s="2656"/>
      <c r="AS1710" s="2656"/>
      <c r="AT1710" s="2656"/>
      <c r="AU1710" s="2656"/>
      <c r="AV1710" s="2656"/>
      <c r="AW1710" s="2656"/>
      <c r="AX1710" s="2656"/>
      <c r="AY1710" s="2656"/>
      <c r="AZ1710" s="2656"/>
      <c r="BA1710" s="2656"/>
      <c r="BB1710" s="2656"/>
      <c r="BC1710" s="2656"/>
      <c r="BD1710" s="2656"/>
      <c r="BE1710" s="2656"/>
      <c r="BF1710" s="2656"/>
      <c r="BG1710" s="2656"/>
      <c r="BH1710" s="2656"/>
      <c r="BI1710" s="2656"/>
    </row>
    <row r="1711" spans="1:61" ht="24.75" customHeight="1">
      <c r="A1711" s="3375"/>
      <c r="B1711" s="2646"/>
      <c r="C1711" s="2647"/>
      <c r="D1711" s="2646"/>
      <c r="E1711" s="3013"/>
      <c r="F1711" s="2655"/>
      <c r="G1711" s="2596"/>
      <c r="H1711" s="4138"/>
      <c r="I1711" s="3375"/>
      <c r="J1711" s="2648"/>
      <c r="K1711" s="3147"/>
      <c r="L1711" s="2785"/>
      <c r="M1711" s="2695"/>
      <c r="N1711" s="2649"/>
      <c r="O1711" s="2655"/>
      <c r="P1711" s="2651"/>
      <c r="Q1711" s="3440"/>
      <c r="R1711" s="3553"/>
      <c r="S1711" s="1407"/>
      <c r="T1711" s="3375"/>
      <c r="U1711" s="2648"/>
      <c r="V1711" s="3554"/>
      <c r="W1711" s="3150"/>
      <c r="X1711" s="2656"/>
      <c r="Y1711" s="2656"/>
      <c r="Z1711" s="2656"/>
      <c r="AA1711" s="2656"/>
      <c r="AB1711" s="2656"/>
      <c r="AC1711" s="2656"/>
      <c r="AD1711" s="2656"/>
      <c r="AE1711" s="2656"/>
      <c r="AF1711" s="2656"/>
      <c r="AG1711" s="2656"/>
      <c r="AH1711" s="2656"/>
      <c r="AI1711" s="2656"/>
      <c r="AJ1711" s="2656"/>
      <c r="AK1711" s="2656"/>
      <c r="AL1711" s="2656"/>
      <c r="AM1711" s="2656"/>
      <c r="AN1711" s="2656"/>
      <c r="AO1711" s="2656"/>
      <c r="AP1711" s="2656"/>
      <c r="AQ1711" s="2656"/>
      <c r="AR1711" s="2656"/>
      <c r="AS1711" s="2656"/>
      <c r="AT1711" s="2656"/>
      <c r="AU1711" s="2656"/>
      <c r="AV1711" s="2656"/>
      <c r="AW1711" s="2656"/>
      <c r="AX1711" s="2656"/>
      <c r="AY1711" s="2656"/>
      <c r="AZ1711" s="2656"/>
      <c r="BA1711" s="2656"/>
      <c r="BB1711" s="2656"/>
      <c r="BC1711" s="2656"/>
      <c r="BD1711" s="2656"/>
      <c r="BE1711" s="2656"/>
      <c r="BF1711" s="2656"/>
      <c r="BG1711" s="2656"/>
      <c r="BH1711" s="2656"/>
      <c r="BI1711" s="2656"/>
    </row>
    <row r="1712" spans="1:61" ht="24.75" customHeight="1">
      <c r="A1712" s="3375"/>
      <c r="B1712" s="2646"/>
      <c r="C1712" s="2647"/>
      <c r="D1712" s="2646"/>
      <c r="E1712" s="3013"/>
      <c r="F1712" s="2655"/>
      <c r="G1712" s="2596"/>
      <c r="H1712" s="4138"/>
      <c r="I1712" s="3375"/>
      <c r="J1712" s="2648"/>
      <c r="K1712" s="3147"/>
      <c r="L1712" s="2785"/>
      <c r="M1712" s="2695"/>
      <c r="N1712" s="2649"/>
      <c r="O1712" s="2655"/>
      <c r="P1712" s="2651"/>
      <c r="Q1712" s="3440"/>
      <c r="R1712" s="3553"/>
      <c r="S1712" s="1407"/>
      <c r="T1712" s="3375"/>
      <c r="U1712" s="2648"/>
      <c r="V1712" s="3554"/>
      <c r="W1712" s="3150"/>
      <c r="X1712" s="2656"/>
      <c r="Y1712" s="2656"/>
      <c r="Z1712" s="2656"/>
      <c r="AA1712" s="2656"/>
      <c r="AB1712" s="2656"/>
      <c r="AC1712" s="2656"/>
      <c r="AD1712" s="2656"/>
      <c r="AE1712" s="2656"/>
      <c r="AF1712" s="2656"/>
      <c r="AG1712" s="2656"/>
      <c r="AH1712" s="2656"/>
      <c r="AI1712" s="2656"/>
      <c r="AJ1712" s="2656"/>
      <c r="AK1712" s="2656"/>
      <c r="AL1712" s="2656"/>
      <c r="AM1712" s="2656"/>
      <c r="AN1712" s="2656"/>
      <c r="AO1712" s="2656"/>
      <c r="AP1712" s="2656"/>
      <c r="AQ1712" s="2656"/>
      <c r="AR1712" s="2656"/>
      <c r="AS1712" s="2656"/>
      <c r="AT1712" s="2656"/>
      <c r="AU1712" s="2656"/>
      <c r="AV1712" s="2656"/>
      <c r="AW1712" s="2656"/>
      <c r="AX1712" s="2656"/>
      <c r="AY1712" s="2656"/>
      <c r="AZ1712" s="2656"/>
      <c r="BA1712" s="2656"/>
      <c r="BB1712" s="2656"/>
      <c r="BC1712" s="2656"/>
      <c r="BD1712" s="2656"/>
      <c r="BE1712" s="2656"/>
      <c r="BF1712" s="2656"/>
      <c r="BG1712" s="2656"/>
      <c r="BH1712" s="2656"/>
      <c r="BI1712" s="2656"/>
    </row>
    <row r="1713" spans="1:61" ht="24.75" customHeight="1">
      <c r="A1713" s="3375"/>
      <c r="B1713" s="2646"/>
      <c r="C1713" s="2647"/>
      <c r="D1713" s="2646"/>
      <c r="E1713" s="3013"/>
      <c r="F1713" s="2655"/>
      <c r="G1713" s="2596"/>
      <c r="H1713" s="4138"/>
      <c r="I1713" s="3375"/>
      <c r="J1713" s="2648"/>
      <c r="K1713" s="3147"/>
      <c r="L1713" s="2785"/>
      <c r="M1713" s="2695"/>
      <c r="N1713" s="2649"/>
      <c r="O1713" s="2655"/>
      <c r="P1713" s="2651"/>
      <c r="Q1713" s="3440"/>
      <c r="R1713" s="3553"/>
      <c r="S1713" s="1407"/>
      <c r="T1713" s="3375"/>
      <c r="U1713" s="2648"/>
      <c r="V1713" s="3554"/>
      <c r="W1713" s="3150"/>
      <c r="X1713" s="2656"/>
      <c r="Y1713" s="2656"/>
      <c r="Z1713" s="2656"/>
      <c r="AA1713" s="2656"/>
      <c r="AB1713" s="2656"/>
      <c r="AC1713" s="2656"/>
      <c r="AD1713" s="2656"/>
      <c r="AE1713" s="2656"/>
      <c r="AF1713" s="2656"/>
      <c r="AG1713" s="2656"/>
      <c r="AH1713" s="2656"/>
      <c r="AI1713" s="2656"/>
      <c r="AJ1713" s="2656"/>
      <c r="AK1713" s="2656"/>
      <c r="AL1713" s="2656"/>
      <c r="AM1713" s="2656"/>
      <c r="AN1713" s="2656"/>
      <c r="AO1713" s="2656"/>
      <c r="AP1713" s="2656"/>
      <c r="AQ1713" s="2656"/>
      <c r="AR1713" s="2656"/>
      <c r="AS1713" s="2656"/>
      <c r="AT1713" s="2656"/>
      <c r="AU1713" s="2656"/>
      <c r="AV1713" s="2656"/>
      <c r="AW1713" s="2656"/>
      <c r="AX1713" s="2656"/>
      <c r="AY1713" s="2656"/>
      <c r="AZ1713" s="2656"/>
      <c r="BA1713" s="2656"/>
      <c r="BB1713" s="2656"/>
      <c r="BC1713" s="2656"/>
      <c r="BD1713" s="2656"/>
      <c r="BE1713" s="2656"/>
      <c r="BF1713" s="2656"/>
      <c r="BG1713" s="2656"/>
      <c r="BH1713" s="2656"/>
      <c r="BI1713" s="2656"/>
    </row>
    <row r="1714" spans="1:61" ht="24.75" customHeight="1">
      <c r="A1714" s="3375"/>
      <c r="B1714" s="2646"/>
      <c r="C1714" s="2647"/>
      <c r="D1714" s="2646"/>
      <c r="E1714" s="3013"/>
      <c r="F1714" s="2655"/>
      <c r="G1714" s="2596"/>
      <c r="H1714" s="4138"/>
      <c r="I1714" s="3375"/>
      <c r="J1714" s="2648"/>
      <c r="K1714" s="3147"/>
      <c r="L1714" s="2785"/>
      <c r="M1714" s="2695"/>
      <c r="N1714" s="2649"/>
      <c r="O1714" s="2655"/>
      <c r="P1714" s="2651"/>
      <c r="Q1714" s="3440"/>
      <c r="R1714" s="3553"/>
      <c r="S1714" s="1407"/>
      <c r="T1714" s="3375"/>
      <c r="U1714" s="2648"/>
      <c r="V1714" s="3554"/>
      <c r="W1714" s="3150"/>
      <c r="X1714" s="2656"/>
      <c r="Y1714" s="2656"/>
      <c r="Z1714" s="2656"/>
      <c r="AA1714" s="2656"/>
      <c r="AB1714" s="2656"/>
      <c r="AC1714" s="2656"/>
      <c r="AD1714" s="2656"/>
      <c r="AE1714" s="2656"/>
      <c r="AF1714" s="2656"/>
      <c r="AG1714" s="2656"/>
      <c r="AH1714" s="2656"/>
      <c r="AI1714" s="2656"/>
      <c r="AJ1714" s="2656"/>
      <c r="AK1714" s="2656"/>
      <c r="AL1714" s="2656"/>
      <c r="AM1714" s="2656"/>
      <c r="AN1714" s="2656"/>
      <c r="AO1714" s="2656"/>
      <c r="AP1714" s="2656"/>
      <c r="AQ1714" s="2656"/>
      <c r="AR1714" s="2656"/>
      <c r="AS1714" s="2656"/>
      <c r="AT1714" s="2656"/>
      <c r="AU1714" s="2656"/>
      <c r="AV1714" s="2656"/>
      <c r="AW1714" s="2656"/>
      <c r="AX1714" s="2656"/>
      <c r="AY1714" s="2656"/>
      <c r="AZ1714" s="2656"/>
      <c r="BA1714" s="2656"/>
      <c r="BB1714" s="2656"/>
      <c r="BC1714" s="2656"/>
      <c r="BD1714" s="2656"/>
      <c r="BE1714" s="2656"/>
      <c r="BF1714" s="2656"/>
      <c r="BG1714" s="2656"/>
      <c r="BH1714" s="2656"/>
      <c r="BI1714" s="2656"/>
    </row>
    <row r="1715" spans="1:61" ht="24.75" customHeight="1">
      <c r="A1715" s="3375"/>
      <c r="B1715" s="2646"/>
      <c r="C1715" s="2647"/>
      <c r="D1715" s="2646"/>
      <c r="E1715" s="3013"/>
      <c r="F1715" s="2655"/>
      <c r="G1715" s="2596"/>
      <c r="H1715" s="4138"/>
      <c r="I1715" s="3375"/>
      <c r="J1715" s="2648"/>
      <c r="K1715" s="3147"/>
      <c r="L1715" s="2785"/>
      <c r="M1715" s="2695"/>
      <c r="N1715" s="2649"/>
      <c r="O1715" s="2655"/>
      <c r="P1715" s="2651"/>
      <c r="Q1715" s="3440"/>
      <c r="R1715" s="3553"/>
      <c r="S1715" s="1407"/>
      <c r="T1715" s="3375"/>
      <c r="U1715" s="2648"/>
      <c r="V1715" s="3554"/>
      <c r="W1715" s="3150"/>
      <c r="X1715" s="2656"/>
      <c r="Y1715" s="2656"/>
      <c r="Z1715" s="2656"/>
      <c r="AA1715" s="2656"/>
      <c r="AB1715" s="2656"/>
      <c r="AC1715" s="2656"/>
      <c r="AD1715" s="2656"/>
      <c r="AE1715" s="2656"/>
      <c r="AF1715" s="2656"/>
      <c r="AG1715" s="2656"/>
      <c r="AH1715" s="2656"/>
      <c r="AI1715" s="2656"/>
      <c r="AJ1715" s="2656"/>
      <c r="AK1715" s="2656"/>
      <c r="AL1715" s="2656"/>
      <c r="AM1715" s="2656"/>
      <c r="AN1715" s="2656"/>
      <c r="AO1715" s="2656"/>
      <c r="AP1715" s="2656"/>
      <c r="AQ1715" s="2656"/>
      <c r="AR1715" s="2656"/>
      <c r="AS1715" s="2656"/>
      <c r="AT1715" s="2656"/>
      <c r="AU1715" s="2656"/>
      <c r="AV1715" s="2656"/>
      <c r="AW1715" s="2656"/>
      <c r="AX1715" s="2656"/>
      <c r="AY1715" s="2656"/>
      <c r="AZ1715" s="2656"/>
      <c r="BA1715" s="2656"/>
      <c r="BB1715" s="2656"/>
      <c r="BC1715" s="2656"/>
      <c r="BD1715" s="2656"/>
      <c r="BE1715" s="2656"/>
      <c r="BF1715" s="2656"/>
      <c r="BG1715" s="2656"/>
      <c r="BH1715" s="2656"/>
      <c r="BI1715" s="2656"/>
    </row>
    <row r="1716" spans="1:61" ht="24.75" customHeight="1">
      <c r="A1716" s="3375"/>
      <c r="B1716" s="2646"/>
      <c r="C1716" s="2647"/>
      <c r="D1716" s="2646"/>
      <c r="E1716" s="3013"/>
      <c r="F1716" s="2655"/>
      <c r="G1716" s="2596"/>
      <c r="H1716" s="4138"/>
      <c r="I1716" s="3375"/>
      <c r="J1716" s="2648"/>
      <c r="K1716" s="3147"/>
      <c r="L1716" s="2785"/>
      <c r="M1716" s="2695"/>
      <c r="N1716" s="2649"/>
      <c r="O1716" s="2655"/>
      <c r="P1716" s="2651"/>
      <c r="Q1716" s="3440"/>
      <c r="R1716" s="3553"/>
      <c r="S1716" s="1407"/>
      <c r="T1716" s="3375"/>
      <c r="U1716" s="2648"/>
      <c r="V1716" s="3554"/>
      <c r="W1716" s="3150"/>
      <c r="X1716" s="2656"/>
      <c r="Y1716" s="2656"/>
      <c r="Z1716" s="2656"/>
      <c r="AA1716" s="2656"/>
      <c r="AB1716" s="2656"/>
      <c r="AC1716" s="2656"/>
      <c r="AD1716" s="2656"/>
      <c r="AE1716" s="2656"/>
      <c r="AF1716" s="2656"/>
      <c r="AG1716" s="2656"/>
      <c r="AH1716" s="2656"/>
      <c r="AI1716" s="2656"/>
      <c r="AJ1716" s="2656"/>
      <c r="AK1716" s="2656"/>
      <c r="AL1716" s="2656"/>
      <c r="AM1716" s="2656"/>
      <c r="AN1716" s="2656"/>
      <c r="AO1716" s="2656"/>
      <c r="AP1716" s="2656"/>
      <c r="AQ1716" s="2656"/>
      <c r="AR1716" s="2656"/>
      <c r="AS1716" s="2656"/>
      <c r="AT1716" s="2656"/>
      <c r="AU1716" s="2656"/>
      <c r="AV1716" s="2656"/>
      <c r="AW1716" s="2656"/>
      <c r="AX1716" s="2656"/>
      <c r="AY1716" s="2656"/>
      <c r="AZ1716" s="2656"/>
      <c r="BA1716" s="2656"/>
      <c r="BB1716" s="2656"/>
      <c r="BC1716" s="2656"/>
      <c r="BD1716" s="2656"/>
      <c r="BE1716" s="2656"/>
      <c r="BF1716" s="2656"/>
      <c r="BG1716" s="2656"/>
      <c r="BH1716" s="2656"/>
      <c r="BI1716" s="2656"/>
    </row>
    <row r="1717" spans="1:61" ht="24.75" customHeight="1">
      <c r="A1717" s="3375"/>
      <c r="B1717" s="2646"/>
      <c r="C1717" s="2647"/>
      <c r="D1717" s="2646"/>
      <c r="E1717" s="3013"/>
      <c r="F1717" s="2655"/>
      <c r="G1717" s="2596"/>
      <c r="H1717" s="4138"/>
      <c r="I1717" s="3375"/>
      <c r="J1717" s="2648"/>
      <c r="K1717" s="3147"/>
      <c r="L1717" s="2785"/>
      <c r="M1717" s="2695"/>
      <c r="N1717" s="2649"/>
      <c r="O1717" s="2655"/>
      <c r="P1717" s="2651"/>
      <c r="Q1717" s="3440"/>
      <c r="R1717" s="3553"/>
      <c r="S1717" s="1407"/>
      <c r="T1717" s="3375"/>
      <c r="U1717" s="2648"/>
      <c r="V1717" s="3554"/>
      <c r="W1717" s="3150"/>
      <c r="X1717" s="2656"/>
      <c r="Y1717" s="2656"/>
      <c r="Z1717" s="2656"/>
      <c r="AA1717" s="2656"/>
      <c r="AB1717" s="2656"/>
      <c r="AC1717" s="2656"/>
      <c r="AD1717" s="2656"/>
      <c r="AE1717" s="2656"/>
      <c r="AF1717" s="2656"/>
      <c r="AG1717" s="2656"/>
      <c r="AH1717" s="2656"/>
      <c r="AI1717" s="2656"/>
      <c r="AJ1717" s="2656"/>
      <c r="AK1717" s="2656"/>
      <c r="AL1717" s="2656"/>
      <c r="AM1717" s="2656"/>
      <c r="AN1717" s="2656"/>
      <c r="AO1717" s="2656"/>
      <c r="AP1717" s="2656"/>
      <c r="AQ1717" s="2656"/>
      <c r="AR1717" s="2656"/>
      <c r="AS1717" s="2656"/>
      <c r="AT1717" s="2656"/>
      <c r="AU1717" s="2656"/>
      <c r="AV1717" s="2656"/>
      <c r="AW1717" s="2656"/>
      <c r="AX1717" s="2656"/>
      <c r="AY1717" s="2656"/>
      <c r="AZ1717" s="2656"/>
      <c r="BA1717" s="2656"/>
      <c r="BB1717" s="2656"/>
      <c r="BC1717" s="2656"/>
      <c r="BD1717" s="2656"/>
      <c r="BE1717" s="2656"/>
      <c r="BF1717" s="2656"/>
      <c r="BG1717" s="2656"/>
      <c r="BH1717" s="2656"/>
      <c r="BI1717" s="2656"/>
    </row>
    <row r="1718" spans="1:61" ht="24.75" customHeight="1">
      <c r="A1718" s="3375"/>
      <c r="B1718" s="2646"/>
      <c r="C1718" s="2647"/>
      <c r="D1718" s="2646"/>
      <c r="E1718" s="3013"/>
      <c r="F1718" s="2655"/>
      <c r="G1718" s="2596"/>
      <c r="H1718" s="4138"/>
      <c r="I1718" s="3375"/>
      <c r="J1718" s="2648"/>
      <c r="K1718" s="3147"/>
      <c r="L1718" s="2785"/>
      <c r="M1718" s="2695"/>
      <c r="N1718" s="2649"/>
      <c r="O1718" s="2655"/>
      <c r="P1718" s="2651"/>
      <c r="Q1718" s="3440"/>
      <c r="R1718" s="3553"/>
      <c r="S1718" s="1407"/>
      <c r="T1718" s="3375"/>
      <c r="U1718" s="2648"/>
      <c r="V1718" s="3554"/>
      <c r="W1718" s="3150"/>
      <c r="X1718" s="2656"/>
      <c r="Y1718" s="2656"/>
      <c r="Z1718" s="2656"/>
      <c r="AA1718" s="2656"/>
      <c r="AB1718" s="2656"/>
      <c r="AC1718" s="2656"/>
      <c r="AD1718" s="2656"/>
      <c r="AE1718" s="2656"/>
      <c r="AF1718" s="2656"/>
      <c r="AG1718" s="2656"/>
      <c r="AH1718" s="2656"/>
      <c r="AI1718" s="2656"/>
      <c r="AJ1718" s="2656"/>
      <c r="AK1718" s="2656"/>
      <c r="AL1718" s="2656"/>
      <c r="AM1718" s="2656"/>
      <c r="AN1718" s="2656"/>
      <c r="AO1718" s="2656"/>
      <c r="AP1718" s="2656"/>
      <c r="AQ1718" s="2656"/>
      <c r="AR1718" s="2656"/>
      <c r="AS1718" s="2656"/>
      <c r="AT1718" s="2656"/>
      <c r="AU1718" s="2656"/>
      <c r="AV1718" s="2656"/>
      <c r="AW1718" s="2656"/>
      <c r="AX1718" s="2656"/>
      <c r="AY1718" s="2656"/>
      <c r="AZ1718" s="2656"/>
      <c r="BA1718" s="2656"/>
      <c r="BB1718" s="2656"/>
      <c r="BC1718" s="2656"/>
      <c r="BD1718" s="2656"/>
      <c r="BE1718" s="2656"/>
      <c r="BF1718" s="2656"/>
      <c r="BG1718" s="2656"/>
      <c r="BH1718" s="2656"/>
      <c r="BI1718" s="2656"/>
    </row>
    <row r="1719" spans="1:61" ht="24.75" customHeight="1">
      <c r="A1719" s="3375"/>
      <c r="B1719" s="2646"/>
      <c r="C1719" s="2647"/>
      <c r="D1719" s="2646"/>
      <c r="E1719" s="3013"/>
      <c r="F1719" s="2655"/>
      <c r="G1719" s="2596"/>
      <c r="H1719" s="4138"/>
      <c r="I1719" s="3375"/>
      <c r="J1719" s="2648"/>
      <c r="K1719" s="3147"/>
      <c r="L1719" s="2785"/>
      <c r="M1719" s="2695"/>
      <c r="N1719" s="2649"/>
      <c r="O1719" s="2655"/>
      <c r="P1719" s="2651"/>
      <c r="Q1719" s="3440"/>
      <c r="R1719" s="3553"/>
      <c r="S1719" s="1407"/>
      <c r="T1719" s="3375"/>
      <c r="U1719" s="2648"/>
      <c r="V1719" s="3554"/>
      <c r="W1719" s="3150"/>
      <c r="X1719" s="2656"/>
      <c r="Y1719" s="2656"/>
      <c r="Z1719" s="2656"/>
      <c r="AA1719" s="2656"/>
      <c r="AB1719" s="2656"/>
      <c r="AC1719" s="2656"/>
      <c r="AD1719" s="2656"/>
      <c r="AE1719" s="2656"/>
      <c r="AF1719" s="2656"/>
      <c r="AG1719" s="2656"/>
      <c r="AH1719" s="2656"/>
      <c r="AI1719" s="2656"/>
      <c r="AJ1719" s="2656"/>
      <c r="AK1719" s="2656"/>
      <c r="AL1719" s="2656"/>
      <c r="AM1719" s="2656"/>
      <c r="AN1719" s="2656"/>
      <c r="AO1719" s="2656"/>
      <c r="AP1719" s="2656"/>
      <c r="AQ1719" s="2656"/>
      <c r="AR1719" s="2656"/>
      <c r="AS1719" s="2656"/>
      <c r="AT1719" s="2656"/>
      <c r="AU1719" s="2656"/>
      <c r="AV1719" s="2656"/>
      <c r="AW1719" s="2656"/>
      <c r="AX1719" s="2656"/>
      <c r="AY1719" s="2656"/>
      <c r="AZ1719" s="2656"/>
      <c r="BA1719" s="2656"/>
      <c r="BB1719" s="2656"/>
      <c r="BC1719" s="2656"/>
      <c r="BD1719" s="2656"/>
      <c r="BE1719" s="2656"/>
      <c r="BF1719" s="2656"/>
      <c r="BG1719" s="2656"/>
      <c r="BH1719" s="2656"/>
      <c r="BI1719" s="2656"/>
    </row>
    <row r="1720" spans="1:61" ht="24.75" customHeight="1">
      <c r="A1720" s="3375"/>
      <c r="B1720" s="2646"/>
      <c r="C1720" s="2647"/>
      <c r="D1720" s="2646"/>
      <c r="E1720" s="3013"/>
      <c r="F1720" s="2655"/>
      <c r="G1720" s="2596"/>
      <c r="H1720" s="4138"/>
      <c r="I1720" s="3375"/>
      <c r="J1720" s="2648"/>
      <c r="K1720" s="3147"/>
      <c r="L1720" s="2785"/>
      <c r="M1720" s="2695"/>
      <c r="N1720" s="2649"/>
      <c r="O1720" s="2655"/>
      <c r="P1720" s="2651"/>
      <c r="Q1720" s="3440"/>
      <c r="R1720" s="3553"/>
      <c r="S1720" s="1407"/>
      <c r="T1720" s="3375"/>
      <c r="U1720" s="2648"/>
      <c r="V1720" s="3554"/>
      <c r="W1720" s="3150"/>
      <c r="X1720" s="2656"/>
      <c r="Y1720" s="2656"/>
      <c r="Z1720" s="2656"/>
      <c r="AA1720" s="2656"/>
      <c r="AB1720" s="2656"/>
      <c r="AC1720" s="2656"/>
      <c r="AD1720" s="2656"/>
      <c r="AE1720" s="2656"/>
      <c r="AF1720" s="2656"/>
      <c r="AG1720" s="2656"/>
      <c r="AH1720" s="2656"/>
      <c r="AI1720" s="2656"/>
      <c r="AJ1720" s="2656"/>
      <c r="AK1720" s="2656"/>
      <c r="AL1720" s="2656"/>
      <c r="AM1720" s="2656"/>
      <c r="AN1720" s="2656"/>
      <c r="AO1720" s="2656"/>
      <c r="AP1720" s="2656"/>
      <c r="AQ1720" s="2656"/>
      <c r="AR1720" s="2656"/>
      <c r="AS1720" s="2656"/>
      <c r="AT1720" s="2656"/>
      <c r="AU1720" s="2656"/>
      <c r="AV1720" s="2656"/>
      <c r="AW1720" s="2656"/>
      <c r="AX1720" s="2656"/>
      <c r="AY1720" s="2656"/>
      <c r="AZ1720" s="2656"/>
      <c r="BA1720" s="2656"/>
      <c r="BB1720" s="2656"/>
      <c r="BC1720" s="2656"/>
      <c r="BD1720" s="2656"/>
      <c r="BE1720" s="2656"/>
      <c r="BF1720" s="2656"/>
      <c r="BG1720" s="2656"/>
      <c r="BH1720" s="2656"/>
      <c r="BI1720" s="2656"/>
    </row>
    <row r="1721" spans="1:61" ht="24.75" customHeight="1">
      <c r="A1721" s="3375"/>
      <c r="B1721" s="2646"/>
      <c r="C1721" s="2647"/>
      <c r="D1721" s="2646"/>
      <c r="E1721" s="3013"/>
      <c r="F1721" s="2655"/>
      <c r="G1721" s="2596"/>
      <c r="H1721" s="4138"/>
      <c r="I1721" s="3375"/>
      <c r="J1721" s="2648"/>
      <c r="K1721" s="3147"/>
      <c r="L1721" s="2785"/>
      <c r="M1721" s="2695"/>
      <c r="N1721" s="2649"/>
      <c r="O1721" s="2655"/>
      <c r="P1721" s="2651"/>
      <c r="Q1721" s="3440"/>
      <c r="R1721" s="3553"/>
      <c r="S1721" s="1407"/>
      <c r="T1721" s="3375"/>
      <c r="U1721" s="2648"/>
      <c r="V1721" s="3554"/>
      <c r="W1721" s="3150"/>
      <c r="X1721" s="2656"/>
      <c r="Y1721" s="2656"/>
      <c r="Z1721" s="2656"/>
      <c r="AA1721" s="2656"/>
      <c r="AB1721" s="2656"/>
      <c r="AC1721" s="2656"/>
      <c r="AD1721" s="2656"/>
      <c r="AE1721" s="2656"/>
      <c r="AF1721" s="2656"/>
      <c r="AG1721" s="2656"/>
      <c r="AH1721" s="2656"/>
      <c r="AI1721" s="2656"/>
      <c r="AJ1721" s="2656"/>
      <c r="AK1721" s="2656"/>
      <c r="AL1721" s="2656"/>
      <c r="AM1721" s="2656"/>
      <c r="AN1721" s="2656"/>
      <c r="AO1721" s="2656"/>
      <c r="AP1721" s="2656"/>
      <c r="AQ1721" s="2656"/>
      <c r="AR1721" s="2656"/>
      <c r="AS1721" s="2656"/>
      <c r="AT1721" s="2656"/>
      <c r="AU1721" s="2656"/>
      <c r="AV1721" s="2656"/>
      <c r="AW1721" s="2656"/>
      <c r="AX1721" s="2656"/>
      <c r="AY1721" s="2656"/>
      <c r="AZ1721" s="2656"/>
      <c r="BA1721" s="2656"/>
      <c r="BB1721" s="2656"/>
      <c r="BC1721" s="2656"/>
      <c r="BD1721" s="2656"/>
      <c r="BE1721" s="2656"/>
      <c r="BF1721" s="2656"/>
      <c r="BG1721" s="2656"/>
      <c r="BH1721" s="2656"/>
      <c r="BI1721" s="2656"/>
    </row>
    <row r="1722" spans="1:61" ht="24.75" customHeight="1">
      <c r="A1722" s="3375"/>
      <c r="B1722" s="2646"/>
      <c r="C1722" s="2647"/>
      <c r="D1722" s="2646"/>
      <c r="E1722" s="3013"/>
      <c r="F1722" s="2655"/>
      <c r="G1722" s="2596"/>
      <c r="H1722" s="4138"/>
      <c r="I1722" s="3375"/>
      <c r="J1722" s="2648"/>
      <c r="K1722" s="3147"/>
      <c r="L1722" s="2785"/>
      <c r="M1722" s="2695"/>
      <c r="N1722" s="2649"/>
      <c r="O1722" s="2655"/>
      <c r="P1722" s="2651"/>
      <c r="Q1722" s="3440"/>
      <c r="R1722" s="3553"/>
      <c r="S1722" s="1407"/>
      <c r="T1722" s="3375"/>
      <c r="U1722" s="2648"/>
      <c r="V1722" s="3554"/>
      <c r="W1722" s="3150"/>
      <c r="X1722" s="2656"/>
      <c r="Y1722" s="2656"/>
      <c r="Z1722" s="2656"/>
      <c r="AA1722" s="2656"/>
      <c r="AB1722" s="2656"/>
      <c r="AC1722" s="2656"/>
      <c r="AD1722" s="2656"/>
      <c r="AE1722" s="2656"/>
      <c r="AF1722" s="2656"/>
      <c r="AG1722" s="2656"/>
      <c r="AH1722" s="2656"/>
      <c r="AI1722" s="2656"/>
      <c r="AJ1722" s="2656"/>
      <c r="AK1722" s="2656"/>
      <c r="AL1722" s="2656"/>
      <c r="AM1722" s="2656"/>
      <c r="AN1722" s="2656"/>
      <c r="AO1722" s="2656"/>
      <c r="AP1722" s="2656"/>
      <c r="AQ1722" s="2656"/>
      <c r="AR1722" s="2656"/>
      <c r="AS1722" s="2656"/>
      <c r="AT1722" s="2656"/>
      <c r="AU1722" s="2656"/>
      <c r="AV1722" s="2656"/>
      <c r="AW1722" s="2656"/>
      <c r="AX1722" s="2656"/>
      <c r="AY1722" s="2656"/>
      <c r="AZ1722" s="2656"/>
      <c r="BA1722" s="2656"/>
      <c r="BB1722" s="2656"/>
      <c r="BC1722" s="2656"/>
      <c r="BD1722" s="2656"/>
      <c r="BE1722" s="2656"/>
      <c r="BF1722" s="2656"/>
      <c r="BG1722" s="2656"/>
      <c r="BH1722" s="2656"/>
      <c r="BI1722" s="2656"/>
    </row>
    <row r="1723" spans="1:61" ht="24.75" customHeight="1">
      <c r="A1723" s="3375"/>
      <c r="B1723" s="2646"/>
      <c r="C1723" s="2647"/>
      <c r="D1723" s="2646"/>
      <c r="E1723" s="3013"/>
      <c r="F1723" s="2655"/>
      <c r="G1723" s="2596"/>
      <c r="H1723" s="4138"/>
      <c r="I1723" s="3375"/>
      <c r="J1723" s="2648"/>
      <c r="K1723" s="3147"/>
      <c r="L1723" s="2785"/>
      <c r="M1723" s="2695"/>
      <c r="N1723" s="2649"/>
      <c r="O1723" s="2655"/>
      <c r="P1723" s="2651"/>
      <c r="Q1723" s="3440"/>
      <c r="R1723" s="3553"/>
      <c r="S1723" s="1407"/>
      <c r="T1723" s="3375"/>
      <c r="U1723" s="2648"/>
      <c r="V1723" s="3554"/>
      <c r="W1723" s="3150"/>
      <c r="X1723" s="2656"/>
      <c r="Y1723" s="2656"/>
      <c r="Z1723" s="2656"/>
      <c r="AA1723" s="2656"/>
      <c r="AB1723" s="2656"/>
      <c r="AC1723" s="2656"/>
      <c r="AD1723" s="2656"/>
      <c r="AE1723" s="2656"/>
      <c r="AF1723" s="2656"/>
      <c r="AG1723" s="2656"/>
      <c r="AH1723" s="2656"/>
      <c r="AI1723" s="2656"/>
      <c r="AJ1723" s="2656"/>
      <c r="AK1723" s="2656"/>
      <c r="AL1723" s="2656"/>
      <c r="AM1723" s="2656"/>
      <c r="AN1723" s="2656"/>
      <c r="AO1723" s="2656"/>
      <c r="AP1723" s="2656"/>
      <c r="AQ1723" s="2656"/>
      <c r="AR1723" s="2656"/>
      <c r="AS1723" s="2656"/>
      <c r="AT1723" s="2656"/>
      <c r="AU1723" s="2656"/>
      <c r="AV1723" s="2656"/>
      <c r="AW1723" s="2656"/>
      <c r="AX1723" s="2656"/>
      <c r="AY1723" s="2656"/>
      <c r="AZ1723" s="2656"/>
      <c r="BA1723" s="2656"/>
      <c r="BB1723" s="2656"/>
      <c r="BC1723" s="2656"/>
      <c r="BD1723" s="2656"/>
      <c r="BE1723" s="2656"/>
      <c r="BF1723" s="2656"/>
      <c r="BG1723" s="2656"/>
      <c r="BH1723" s="2656"/>
      <c r="BI1723" s="2656"/>
    </row>
    <row r="1724" spans="1:61" ht="24.75" customHeight="1">
      <c r="A1724" s="3375"/>
      <c r="B1724" s="2646"/>
      <c r="C1724" s="2647"/>
      <c r="D1724" s="2646"/>
      <c r="E1724" s="3013"/>
      <c r="F1724" s="2655"/>
      <c r="G1724" s="2596"/>
      <c r="H1724" s="4138"/>
      <c r="I1724" s="3375"/>
      <c r="J1724" s="2648"/>
      <c r="K1724" s="3147"/>
      <c r="L1724" s="2785"/>
      <c r="M1724" s="2695"/>
      <c r="N1724" s="2649"/>
      <c r="O1724" s="2655"/>
      <c r="P1724" s="2651"/>
      <c r="Q1724" s="3440"/>
      <c r="R1724" s="3553"/>
      <c r="S1724" s="1407"/>
      <c r="T1724" s="3375"/>
      <c r="U1724" s="2648"/>
      <c r="V1724" s="3554"/>
      <c r="W1724" s="3150"/>
      <c r="X1724" s="2656"/>
      <c r="Y1724" s="2656"/>
      <c r="Z1724" s="2656"/>
      <c r="AA1724" s="2656"/>
      <c r="AB1724" s="2656"/>
      <c r="AC1724" s="2656"/>
      <c r="AD1724" s="2656"/>
      <c r="AE1724" s="2656"/>
      <c r="AF1724" s="2656"/>
      <c r="AG1724" s="2656"/>
      <c r="AH1724" s="2656"/>
      <c r="AI1724" s="2656"/>
      <c r="AJ1724" s="2656"/>
      <c r="AK1724" s="2656"/>
      <c r="AL1724" s="2656"/>
      <c r="AM1724" s="2656"/>
      <c r="AN1724" s="2656"/>
      <c r="AO1724" s="2656"/>
      <c r="AP1724" s="2656"/>
      <c r="AQ1724" s="2656"/>
      <c r="AR1724" s="2656"/>
      <c r="AS1724" s="2656"/>
      <c r="AT1724" s="2656"/>
      <c r="AU1724" s="2656"/>
      <c r="AV1724" s="2656"/>
      <c r="AW1724" s="2656"/>
      <c r="AX1724" s="2656"/>
      <c r="AY1724" s="2656"/>
      <c r="AZ1724" s="2656"/>
      <c r="BA1724" s="2656"/>
      <c r="BB1724" s="2656"/>
      <c r="BC1724" s="2656"/>
      <c r="BD1724" s="2656"/>
      <c r="BE1724" s="2656"/>
      <c r="BF1724" s="2656"/>
      <c r="BG1724" s="2656"/>
      <c r="BH1724" s="2656"/>
      <c r="BI1724" s="2656"/>
    </row>
    <row r="1725" spans="1:61" ht="24.75" customHeight="1">
      <c r="A1725" s="3375"/>
      <c r="B1725" s="2646"/>
      <c r="C1725" s="2647"/>
      <c r="D1725" s="2646"/>
      <c r="E1725" s="3013"/>
      <c r="F1725" s="2655"/>
      <c r="G1725" s="2596"/>
      <c r="H1725" s="4138"/>
      <c r="I1725" s="3375"/>
      <c r="J1725" s="2648"/>
      <c r="K1725" s="3147"/>
      <c r="L1725" s="2785"/>
      <c r="M1725" s="2695"/>
      <c r="N1725" s="2649"/>
      <c r="O1725" s="2655"/>
      <c r="P1725" s="2651"/>
      <c r="Q1725" s="3440"/>
      <c r="R1725" s="3553"/>
      <c r="S1725" s="1407"/>
      <c r="T1725" s="3375"/>
      <c r="U1725" s="2648"/>
      <c r="V1725" s="3554"/>
      <c r="W1725" s="3150"/>
      <c r="X1725" s="2656"/>
      <c r="Y1725" s="2656"/>
      <c r="Z1725" s="2656"/>
      <c r="AA1725" s="2656"/>
      <c r="AB1725" s="2656"/>
      <c r="AC1725" s="2656"/>
      <c r="AD1725" s="2656"/>
      <c r="AE1725" s="2656"/>
      <c r="AF1725" s="2656"/>
      <c r="AG1725" s="2656"/>
      <c r="AH1725" s="2656"/>
      <c r="AI1725" s="2656"/>
      <c r="AJ1725" s="2656"/>
      <c r="AK1725" s="2656"/>
      <c r="AL1725" s="2656"/>
      <c r="AM1725" s="2656"/>
      <c r="AN1725" s="2656"/>
      <c r="AO1725" s="2656"/>
      <c r="AP1725" s="2656"/>
      <c r="AQ1725" s="2656"/>
      <c r="AR1725" s="2656"/>
      <c r="AS1725" s="2656"/>
      <c r="AT1725" s="2656"/>
      <c r="AU1725" s="2656"/>
      <c r="AV1725" s="2656"/>
      <c r="AW1725" s="2656"/>
      <c r="AX1725" s="2656"/>
      <c r="AY1725" s="2656"/>
      <c r="AZ1725" s="2656"/>
      <c r="BA1725" s="2656"/>
      <c r="BB1725" s="2656"/>
      <c r="BC1725" s="2656"/>
      <c r="BD1725" s="2656"/>
      <c r="BE1725" s="2656"/>
      <c r="BF1725" s="2656"/>
      <c r="BG1725" s="2656"/>
      <c r="BH1725" s="2656"/>
      <c r="BI1725" s="2656"/>
    </row>
    <row r="1726" spans="1:61" ht="24.75" customHeight="1">
      <c r="A1726" s="3375"/>
      <c r="B1726" s="2646"/>
      <c r="C1726" s="2647"/>
      <c r="D1726" s="2646"/>
      <c r="E1726" s="3013"/>
      <c r="F1726" s="2655"/>
      <c r="G1726" s="2596"/>
      <c r="H1726" s="4138"/>
      <c r="I1726" s="3375"/>
      <c r="J1726" s="2648"/>
      <c r="K1726" s="3147"/>
      <c r="L1726" s="2785"/>
      <c r="M1726" s="2695"/>
      <c r="N1726" s="2649"/>
      <c r="O1726" s="2655"/>
      <c r="P1726" s="2651"/>
      <c r="Q1726" s="3440"/>
      <c r="R1726" s="3553"/>
      <c r="S1726" s="1407"/>
      <c r="T1726" s="3375"/>
      <c r="U1726" s="2648"/>
      <c r="V1726" s="3554"/>
      <c r="W1726" s="3150"/>
      <c r="X1726" s="2656"/>
      <c r="Y1726" s="2656"/>
      <c r="Z1726" s="2656"/>
      <c r="AA1726" s="2656"/>
      <c r="AB1726" s="2656"/>
      <c r="AC1726" s="2656"/>
      <c r="AD1726" s="2656"/>
      <c r="AE1726" s="2656"/>
      <c r="AF1726" s="2656"/>
      <c r="AG1726" s="2656"/>
      <c r="AH1726" s="2656"/>
      <c r="AI1726" s="2656"/>
      <c r="AJ1726" s="2656"/>
      <c r="AK1726" s="2656"/>
      <c r="AL1726" s="2656"/>
      <c r="AM1726" s="2656"/>
      <c r="AN1726" s="2656"/>
      <c r="AO1726" s="2656"/>
      <c r="AP1726" s="2656"/>
      <c r="AQ1726" s="2656"/>
      <c r="AR1726" s="2656"/>
      <c r="AS1726" s="2656"/>
      <c r="AT1726" s="2656"/>
      <c r="AU1726" s="2656"/>
      <c r="AV1726" s="2656"/>
      <c r="AW1726" s="2656"/>
      <c r="AX1726" s="2656"/>
      <c r="AY1726" s="2656"/>
      <c r="AZ1726" s="2656"/>
      <c r="BA1726" s="2656"/>
      <c r="BB1726" s="2656"/>
      <c r="BC1726" s="2656"/>
      <c r="BD1726" s="2656"/>
      <c r="BE1726" s="2656"/>
      <c r="BF1726" s="2656"/>
      <c r="BG1726" s="2656"/>
      <c r="BH1726" s="2656"/>
      <c r="BI1726" s="2656"/>
    </row>
    <row r="1727" spans="1:61" ht="24.75" customHeight="1">
      <c r="A1727" s="3375"/>
      <c r="B1727" s="2646"/>
      <c r="C1727" s="2647"/>
      <c r="D1727" s="2646"/>
      <c r="E1727" s="3013"/>
      <c r="F1727" s="2655"/>
      <c r="G1727" s="2596"/>
      <c r="H1727" s="4138"/>
      <c r="I1727" s="3375"/>
      <c r="J1727" s="2648"/>
      <c r="K1727" s="3147"/>
      <c r="L1727" s="2785"/>
      <c r="M1727" s="2695"/>
      <c r="N1727" s="2649"/>
      <c r="O1727" s="2655"/>
      <c r="P1727" s="2651"/>
      <c r="Q1727" s="3440"/>
      <c r="R1727" s="3553"/>
      <c r="S1727" s="1407"/>
      <c r="T1727" s="3375"/>
      <c r="U1727" s="2648"/>
      <c r="V1727" s="3554"/>
      <c r="W1727" s="3150"/>
      <c r="X1727" s="2656"/>
      <c r="Y1727" s="2656"/>
      <c r="Z1727" s="2656"/>
      <c r="AA1727" s="2656"/>
      <c r="AB1727" s="2656"/>
      <c r="AC1727" s="2656"/>
      <c r="AD1727" s="2656"/>
      <c r="AE1727" s="2656"/>
      <c r="AF1727" s="2656"/>
      <c r="AG1727" s="2656"/>
      <c r="AH1727" s="2656"/>
      <c r="AI1727" s="2656"/>
      <c r="AJ1727" s="2656"/>
      <c r="AK1727" s="2656"/>
      <c r="AL1727" s="2656"/>
      <c r="AM1727" s="2656"/>
      <c r="AN1727" s="2656"/>
      <c r="AO1727" s="2656"/>
      <c r="AP1727" s="2656"/>
      <c r="AQ1727" s="2656"/>
      <c r="AR1727" s="2656"/>
      <c r="AS1727" s="2656"/>
      <c r="AT1727" s="2656"/>
      <c r="AU1727" s="2656"/>
      <c r="AV1727" s="2656"/>
      <c r="AW1727" s="2656"/>
      <c r="AX1727" s="2656"/>
      <c r="AY1727" s="2656"/>
      <c r="AZ1727" s="2656"/>
      <c r="BA1727" s="2656"/>
      <c r="BB1727" s="2656"/>
      <c r="BC1727" s="2656"/>
      <c r="BD1727" s="2656"/>
      <c r="BE1727" s="2656"/>
      <c r="BF1727" s="2656"/>
      <c r="BG1727" s="2656"/>
      <c r="BH1727" s="2656"/>
      <c r="BI1727" s="2656"/>
    </row>
    <row r="1728" spans="1:61" ht="24.75" customHeight="1">
      <c r="A1728" s="3375"/>
      <c r="B1728" s="2646"/>
      <c r="C1728" s="2647"/>
      <c r="D1728" s="2646"/>
      <c r="E1728" s="3013"/>
      <c r="F1728" s="2655"/>
      <c r="G1728" s="2596"/>
      <c r="H1728" s="4138"/>
      <c r="I1728" s="3375"/>
      <c r="J1728" s="2648"/>
      <c r="K1728" s="3147"/>
      <c r="L1728" s="2785"/>
      <c r="M1728" s="2695"/>
      <c r="N1728" s="2649"/>
      <c r="O1728" s="2655"/>
      <c r="P1728" s="2651"/>
      <c r="Q1728" s="3440"/>
      <c r="R1728" s="3553"/>
      <c r="S1728" s="1407"/>
      <c r="T1728" s="3375"/>
      <c r="U1728" s="2648"/>
      <c r="V1728" s="3554"/>
      <c r="W1728" s="3150"/>
      <c r="X1728" s="2656"/>
      <c r="Y1728" s="2656"/>
      <c r="Z1728" s="2656"/>
      <c r="AA1728" s="2656"/>
      <c r="AB1728" s="2656"/>
      <c r="AC1728" s="2656"/>
      <c r="AD1728" s="2656"/>
      <c r="AE1728" s="2656"/>
      <c r="AF1728" s="2656"/>
      <c r="AG1728" s="2656"/>
      <c r="AH1728" s="2656"/>
      <c r="AI1728" s="2656"/>
      <c r="AJ1728" s="2656"/>
      <c r="AK1728" s="2656"/>
      <c r="AL1728" s="2656"/>
      <c r="AM1728" s="2656"/>
      <c r="AN1728" s="2656"/>
      <c r="AO1728" s="2656"/>
      <c r="AP1728" s="2656"/>
      <c r="AQ1728" s="2656"/>
      <c r="AR1728" s="2656"/>
      <c r="AS1728" s="2656"/>
      <c r="AT1728" s="2656"/>
      <c r="AU1728" s="2656"/>
      <c r="AV1728" s="2656"/>
      <c r="AW1728" s="2656"/>
      <c r="AX1728" s="2656"/>
      <c r="AY1728" s="2656"/>
      <c r="AZ1728" s="2656"/>
      <c r="BA1728" s="2656"/>
      <c r="BB1728" s="2656"/>
      <c r="BC1728" s="2656"/>
      <c r="BD1728" s="2656"/>
      <c r="BE1728" s="2656"/>
      <c r="BF1728" s="2656"/>
      <c r="BG1728" s="2656"/>
      <c r="BH1728" s="2656"/>
      <c r="BI1728" s="2656"/>
    </row>
    <row r="1729" spans="1:61" ht="24.75" customHeight="1">
      <c r="A1729" s="3375"/>
      <c r="B1729" s="2646"/>
      <c r="C1729" s="2647"/>
      <c r="D1729" s="2646"/>
      <c r="E1729" s="3013"/>
      <c r="F1729" s="2655"/>
      <c r="G1729" s="2596"/>
      <c r="H1729" s="4138"/>
      <c r="I1729" s="3375"/>
      <c r="J1729" s="2648"/>
      <c r="K1729" s="3147"/>
      <c r="L1729" s="2785"/>
      <c r="M1729" s="2695"/>
      <c r="N1729" s="2649"/>
      <c r="O1729" s="2655"/>
      <c r="P1729" s="2651"/>
      <c r="Q1729" s="3440"/>
      <c r="R1729" s="3553"/>
      <c r="S1729" s="1407"/>
      <c r="T1729" s="3375"/>
      <c r="U1729" s="2648"/>
      <c r="V1729" s="3554"/>
      <c r="W1729" s="3150"/>
      <c r="X1729" s="2656"/>
      <c r="Y1729" s="2656"/>
      <c r="Z1729" s="2656"/>
      <c r="AA1729" s="2656"/>
      <c r="AB1729" s="2656"/>
      <c r="AC1729" s="2656"/>
      <c r="AD1729" s="2656"/>
      <c r="AE1729" s="2656"/>
      <c r="AF1729" s="2656"/>
      <c r="AG1729" s="2656"/>
      <c r="AH1729" s="2656"/>
      <c r="AI1729" s="2656"/>
      <c r="AJ1729" s="2656"/>
      <c r="AK1729" s="2656"/>
      <c r="AL1729" s="2656"/>
      <c r="AM1729" s="2656"/>
      <c r="AN1729" s="2656"/>
      <c r="AO1729" s="2656"/>
      <c r="AP1729" s="2656"/>
      <c r="AQ1729" s="2656"/>
      <c r="AR1729" s="2656"/>
      <c r="AS1729" s="2656"/>
      <c r="AT1729" s="2656"/>
      <c r="AU1729" s="2656"/>
      <c r="AV1729" s="2656"/>
      <c r="AW1729" s="2656"/>
      <c r="AX1729" s="2656"/>
      <c r="AY1729" s="2656"/>
      <c r="AZ1729" s="2656"/>
      <c r="BA1729" s="2656"/>
      <c r="BB1729" s="2656"/>
      <c r="BC1729" s="2656"/>
      <c r="BD1729" s="2656"/>
      <c r="BE1729" s="2656"/>
      <c r="BF1729" s="2656"/>
      <c r="BG1729" s="2656"/>
      <c r="BH1729" s="2656"/>
      <c r="BI1729" s="2656"/>
    </row>
    <row r="1730" spans="1:61" ht="24.75" customHeight="1">
      <c r="A1730" s="3375"/>
      <c r="B1730" s="2646"/>
      <c r="C1730" s="2647"/>
      <c r="D1730" s="2646"/>
      <c r="E1730" s="3013"/>
      <c r="F1730" s="2655"/>
      <c r="G1730" s="2596"/>
      <c r="H1730" s="4138"/>
      <c r="I1730" s="3375"/>
      <c r="J1730" s="2648"/>
      <c r="K1730" s="3147"/>
      <c r="L1730" s="2785"/>
      <c r="M1730" s="2695"/>
      <c r="N1730" s="2649"/>
      <c r="O1730" s="2655"/>
      <c r="P1730" s="2651"/>
      <c r="Q1730" s="3440"/>
      <c r="R1730" s="3553"/>
      <c r="S1730" s="1407"/>
      <c r="T1730" s="3375"/>
      <c r="U1730" s="2648"/>
      <c r="V1730" s="3554"/>
      <c r="W1730" s="3150"/>
      <c r="X1730" s="2656"/>
      <c r="Y1730" s="2656"/>
      <c r="Z1730" s="2656"/>
      <c r="AA1730" s="2656"/>
      <c r="AB1730" s="2656"/>
      <c r="AC1730" s="2656"/>
      <c r="AD1730" s="2656"/>
      <c r="AE1730" s="2656"/>
      <c r="AF1730" s="2656"/>
      <c r="AG1730" s="2656"/>
      <c r="AH1730" s="2656"/>
      <c r="AI1730" s="2656"/>
      <c r="AJ1730" s="2656"/>
      <c r="AK1730" s="2656"/>
      <c r="AL1730" s="2656"/>
      <c r="AM1730" s="2656"/>
      <c r="AN1730" s="2656"/>
      <c r="AO1730" s="2656"/>
      <c r="AP1730" s="2656"/>
      <c r="AQ1730" s="2656"/>
      <c r="AR1730" s="2656"/>
      <c r="AS1730" s="2656"/>
      <c r="AT1730" s="2656"/>
      <c r="AU1730" s="2656"/>
      <c r="AV1730" s="2656"/>
      <c r="AW1730" s="2656"/>
      <c r="AX1730" s="2656"/>
      <c r="AY1730" s="2656"/>
      <c r="AZ1730" s="2656"/>
      <c r="BA1730" s="2656"/>
      <c r="BB1730" s="2656"/>
      <c r="BC1730" s="2656"/>
      <c r="BD1730" s="2656"/>
      <c r="BE1730" s="2656"/>
      <c r="BF1730" s="2656"/>
      <c r="BG1730" s="2656"/>
      <c r="BH1730" s="2656"/>
      <c r="BI1730" s="2656"/>
    </row>
    <row r="1731" spans="1:61" ht="24.75" customHeight="1">
      <c r="A1731" s="3375"/>
      <c r="B1731" s="2646"/>
      <c r="C1731" s="2647"/>
      <c r="D1731" s="2646"/>
      <c r="E1731" s="3013"/>
      <c r="F1731" s="2655"/>
      <c r="G1731" s="2596"/>
      <c r="H1731" s="4138"/>
      <c r="I1731" s="3375"/>
      <c r="J1731" s="2648"/>
      <c r="K1731" s="3147"/>
      <c r="L1731" s="2785"/>
      <c r="M1731" s="2695"/>
      <c r="N1731" s="2649"/>
      <c r="O1731" s="2655"/>
      <c r="P1731" s="2651"/>
      <c r="Q1731" s="3440"/>
      <c r="R1731" s="3553"/>
      <c r="S1731" s="1407"/>
      <c r="T1731" s="3375"/>
      <c r="U1731" s="2648"/>
      <c r="V1731" s="3554"/>
      <c r="W1731" s="3150"/>
      <c r="X1731" s="2656"/>
      <c r="Y1731" s="2656"/>
      <c r="Z1731" s="2656"/>
      <c r="AA1731" s="2656"/>
      <c r="AB1731" s="2656"/>
      <c r="AC1731" s="2656"/>
      <c r="AD1731" s="2656"/>
      <c r="AE1731" s="2656"/>
      <c r="AF1731" s="2656"/>
      <c r="AG1731" s="2656"/>
      <c r="AH1731" s="2656"/>
      <c r="AI1731" s="2656"/>
      <c r="AJ1731" s="2656"/>
      <c r="AK1731" s="2656"/>
      <c r="AL1731" s="2656"/>
      <c r="AM1731" s="2656"/>
      <c r="AN1731" s="2656"/>
      <c r="AO1731" s="2656"/>
      <c r="AP1731" s="2656"/>
      <c r="AQ1731" s="2656"/>
      <c r="AR1731" s="2656"/>
      <c r="AS1731" s="2656"/>
      <c r="AT1731" s="2656"/>
      <c r="AU1731" s="2656"/>
      <c r="AV1731" s="2656"/>
      <c r="AW1731" s="2656"/>
      <c r="AX1731" s="2656"/>
      <c r="AY1731" s="2656"/>
      <c r="AZ1731" s="2656"/>
      <c r="BA1731" s="2656"/>
      <c r="BB1731" s="2656"/>
      <c r="BC1731" s="2656"/>
      <c r="BD1731" s="2656"/>
      <c r="BE1731" s="2656"/>
      <c r="BF1731" s="2656"/>
      <c r="BG1731" s="2656"/>
      <c r="BH1731" s="2656"/>
      <c r="BI1731" s="2656"/>
    </row>
    <row r="1732" spans="1:61" ht="24.75" customHeight="1">
      <c r="A1732" s="3375"/>
      <c r="B1732" s="2646"/>
      <c r="C1732" s="2647"/>
      <c r="D1732" s="2646"/>
      <c r="E1732" s="3013"/>
      <c r="F1732" s="2655"/>
      <c r="G1732" s="2596"/>
      <c r="H1732" s="4138"/>
      <c r="I1732" s="3375"/>
      <c r="J1732" s="2648"/>
      <c r="K1732" s="3147"/>
      <c r="L1732" s="2785"/>
      <c r="M1732" s="2695"/>
      <c r="N1732" s="2649"/>
      <c r="O1732" s="2655"/>
      <c r="P1732" s="2651"/>
      <c r="Q1732" s="3440"/>
      <c r="R1732" s="3553"/>
      <c r="S1732" s="1407"/>
      <c r="T1732" s="3375"/>
      <c r="U1732" s="2648"/>
      <c r="V1732" s="3554"/>
      <c r="W1732" s="3150"/>
      <c r="X1732" s="2656"/>
      <c r="Y1732" s="2656"/>
      <c r="Z1732" s="2656"/>
      <c r="AA1732" s="2656"/>
      <c r="AB1732" s="2656"/>
      <c r="AC1732" s="2656"/>
      <c r="AD1732" s="2656"/>
      <c r="AE1732" s="2656"/>
      <c r="AF1732" s="2656"/>
      <c r="AG1732" s="2656"/>
      <c r="AH1732" s="2656"/>
      <c r="AI1732" s="2656"/>
      <c r="AJ1732" s="2656"/>
      <c r="AK1732" s="2656"/>
      <c r="AL1732" s="2656"/>
      <c r="AM1732" s="2656"/>
      <c r="AN1732" s="2656"/>
      <c r="AO1732" s="2656"/>
      <c r="AP1732" s="2656"/>
      <c r="AQ1732" s="2656"/>
      <c r="AR1732" s="2656"/>
      <c r="AS1732" s="2656"/>
      <c r="AT1732" s="2656"/>
      <c r="AU1732" s="2656"/>
      <c r="AV1732" s="2656"/>
      <c r="AW1732" s="2656"/>
      <c r="AX1732" s="2656"/>
      <c r="AY1732" s="2656"/>
      <c r="AZ1732" s="2656"/>
      <c r="BA1732" s="2656"/>
      <c r="BB1732" s="2656"/>
      <c r="BC1732" s="2656"/>
      <c r="BD1732" s="2656"/>
      <c r="BE1732" s="2656"/>
      <c r="BF1732" s="2656"/>
      <c r="BG1732" s="2656"/>
      <c r="BH1732" s="2656"/>
      <c r="BI1732" s="2656"/>
    </row>
    <row r="1733" spans="1:61" ht="24.75" customHeight="1">
      <c r="A1733" s="3375"/>
      <c r="B1733" s="2646"/>
      <c r="C1733" s="2647"/>
      <c r="D1733" s="2646"/>
      <c r="E1733" s="3013"/>
      <c r="F1733" s="2655"/>
      <c r="G1733" s="2596"/>
      <c r="H1733" s="4138"/>
      <c r="I1733" s="3375"/>
      <c r="J1733" s="2648"/>
      <c r="K1733" s="3147"/>
      <c r="L1733" s="2785"/>
      <c r="M1733" s="2695"/>
      <c r="N1733" s="2649"/>
      <c r="O1733" s="2655"/>
      <c r="P1733" s="2651"/>
      <c r="Q1733" s="3440"/>
      <c r="R1733" s="3553"/>
      <c r="S1733" s="1407"/>
      <c r="T1733" s="3375"/>
      <c r="U1733" s="2648"/>
      <c r="V1733" s="3554"/>
      <c r="W1733" s="3150"/>
      <c r="X1733" s="2656"/>
      <c r="Y1733" s="2656"/>
      <c r="Z1733" s="2656"/>
      <c r="AA1733" s="2656"/>
      <c r="AB1733" s="2656"/>
      <c r="AC1733" s="2656"/>
      <c r="AD1733" s="2656"/>
      <c r="AE1733" s="2656"/>
      <c r="AF1733" s="2656"/>
      <c r="AG1733" s="2656"/>
      <c r="AH1733" s="2656"/>
      <c r="AI1733" s="2656"/>
      <c r="AJ1733" s="2656"/>
      <c r="AK1733" s="2656"/>
      <c r="AL1733" s="2656"/>
      <c r="AM1733" s="2656"/>
      <c r="AN1733" s="2656"/>
      <c r="AO1733" s="2656"/>
      <c r="AP1733" s="2656"/>
      <c r="AQ1733" s="2656"/>
      <c r="AR1733" s="2656"/>
      <c r="AS1733" s="2656"/>
      <c r="AT1733" s="2656"/>
      <c r="AU1733" s="2656"/>
      <c r="AV1733" s="2656"/>
      <c r="AW1733" s="2656"/>
      <c r="AX1733" s="2656"/>
      <c r="AY1733" s="2656"/>
      <c r="AZ1733" s="2656"/>
      <c r="BA1733" s="2656"/>
      <c r="BB1733" s="2656"/>
      <c r="BC1733" s="2656"/>
      <c r="BD1733" s="2656"/>
      <c r="BE1733" s="2656"/>
      <c r="BF1733" s="2656"/>
      <c r="BG1733" s="2656"/>
      <c r="BH1733" s="2656"/>
      <c r="BI1733" s="2656"/>
    </row>
    <row r="1734" spans="1:61" ht="24.75" customHeight="1">
      <c r="A1734" s="3375"/>
      <c r="B1734" s="2646"/>
      <c r="C1734" s="2647"/>
      <c r="D1734" s="2646"/>
      <c r="E1734" s="3013"/>
      <c r="F1734" s="2655"/>
      <c r="G1734" s="2596"/>
      <c r="H1734" s="4138"/>
      <c r="I1734" s="3375"/>
      <c r="J1734" s="2648"/>
      <c r="K1734" s="3147"/>
      <c r="L1734" s="2785"/>
      <c r="M1734" s="2695"/>
      <c r="N1734" s="2649"/>
      <c r="O1734" s="2655"/>
      <c r="P1734" s="2651"/>
      <c r="Q1734" s="3440"/>
      <c r="R1734" s="3553"/>
      <c r="S1734" s="1407"/>
      <c r="T1734" s="3375"/>
      <c r="U1734" s="2648"/>
      <c r="V1734" s="3554"/>
      <c r="W1734" s="3150"/>
      <c r="X1734" s="2656"/>
      <c r="Y1734" s="2656"/>
      <c r="Z1734" s="2656"/>
      <c r="AA1734" s="2656"/>
      <c r="AB1734" s="2656"/>
      <c r="AC1734" s="2656"/>
      <c r="AD1734" s="2656"/>
      <c r="AE1734" s="2656"/>
      <c r="AF1734" s="2656"/>
      <c r="AG1734" s="2656"/>
      <c r="AH1734" s="2656"/>
      <c r="AI1734" s="2656"/>
      <c r="AJ1734" s="2656"/>
      <c r="AK1734" s="2656"/>
      <c r="AL1734" s="2656"/>
      <c r="AM1734" s="2656"/>
      <c r="AN1734" s="2656"/>
      <c r="AO1734" s="2656"/>
      <c r="AP1734" s="2656"/>
      <c r="AQ1734" s="2656"/>
      <c r="AR1734" s="2656"/>
      <c r="AS1734" s="2656"/>
      <c r="AT1734" s="2656"/>
      <c r="AU1734" s="2656"/>
      <c r="AV1734" s="2656"/>
      <c r="AW1734" s="2656"/>
      <c r="AX1734" s="2656"/>
      <c r="AY1734" s="2656"/>
      <c r="AZ1734" s="2656"/>
      <c r="BA1734" s="2656"/>
      <c r="BB1734" s="2656"/>
      <c r="BC1734" s="2656"/>
      <c r="BD1734" s="2656"/>
      <c r="BE1734" s="2656"/>
      <c r="BF1734" s="2656"/>
      <c r="BG1734" s="2656"/>
      <c r="BH1734" s="2656"/>
      <c r="BI1734" s="2656"/>
    </row>
    <row r="1735" spans="1:61" ht="24.75" customHeight="1">
      <c r="A1735" s="3375"/>
      <c r="B1735" s="2646"/>
      <c r="C1735" s="2647"/>
      <c r="D1735" s="2646"/>
      <c r="E1735" s="3013"/>
      <c r="F1735" s="2655"/>
      <c r="G1735" s="2596"/>
      <c r="H1735" s="4138"/>
      <c r="I1735" s="3375"/>
      <c r="J1735" s="2648"/>
      <c r="K1735" s="3147"/>
      <c r="L1735" s="2785"/>
      <c r="M1735" s="2695"/>
      <c r="N1735" s="2649"/>
      <c r="O1735" s="2655"/>
      <c r="P1735" s="2651"/>
      <c r="Q1735" s="3440"/>
      <c r="R1735" s="3553"/>
      <c r="S1735" s="1407"/>
      <c r="T1735" s="3375"/>
      <c r="U1735" s="2648"/>
      <c r="V1735" s="3554"/>
      <c r="W1735" s="3150"/>
      <c r="X1735" s="2656"/>
      <c r="Y1735" s="2656"/>
      <c r="Z1735" s="2656"/>
      <c r="AA1735" s="2656"/>
      <c r="AB1735" s="2656"/>
      <c r="AC1735" s="2656"/>
      <c r="AD1735" s="2656"/>
      <c r="AE1735" s="2656"/>
      <c r="AF1735" s="2656"/>
      <c r="AG1735" s="2656"/>
      <c r="AH1735" s="2656"/>
      <c r="AI1735" s="2656"/>
      <c r="AJ1735" s="2656"/>
      <c r="AK1735" s="2656"/>
      <c r="AL1735" s="2656"/>
      <c r="AM1735" s="2656"/>
      <c r="AN1735" s="2656"/>
      <c r="AO1735" s="2656"/>
      <c r="AP1735" s="2656"/>
      <c r="AQ1735" s="2656"/>
      <c r="AR1735" s="2656"/>
      <c r="AS1735" s="2656"/>
      <c r="AT1735" s="2656"/>
      <c r="AU1735" s="2656"/>
      <c r="AV1735" s="2656"/>
      <c r="AW1735" s="2656"/>
      <c r="AX1735" s="2656"/>
      <c r="AY1735" s="2656"/>
      <c r="AZ1735" s="2656"/>
      <c r="BA1735" s="2656"/>
      <c r="BB1735" s="2656"/>
      <c r="BC1735" s="2656"/>
      <c r="BD1735" s="2656"/>
      <c r="BE1735" s="2656"/>
      <c r="BF1735" s="2656"/>
      <c r="BG1735" s="2656"/>
      <c r="BH1735" s="2656"/>
      <c r="BI1735" s="2656"/>
    </row>
    <row r="1736" spans="1:61" ht="24.75" customHeight="1">
      <c r="A1736" s="3375"/>
      <c r="B1736" s="2646"/>
      <c r="C1736" s="2647"/>
      <c r="D1736" s="2646"/>
      <c r="E1736" s="3013"/>
      <c r="F1736" s="2655"/>
      <c r="G1736" s="2596"/>
      <c r="H1736" s="4138"/>
      <c r="I1736" s="3375"/>
      <c r="J1736" s="2648"/>
      <c r="K1736" s="3147"/>
      <c r="L1736" s="2785"/>
      <c r="M1736" s="2695"/>
      <c r="N1736" s="2649"/>
      <c r="O1736" s="2655"/>
      <c r="P1736" s="2651"/>
      <c r="Q1736" s="3440"/>
      <c r="R1736" s="3553"/>
      <c r="S1736" s="1407"/>
      <c r="T1736" s="3375"/>
      <c r="U1736" s="2648"/>
      <c r="V1736" s="3554"/>
      <c r="W1736" s="3150"/>
      <c r="X1736" s="2656"/>
      <c r="Y1736" s="2656"/>
      <c r="Z1736" s="2656"/>
      <c r="AA1736" s="2656"/>
      <c r="AB1736" s="2656"/>
      <c r="AC1736" s="2656"/>
      <c r="AD1736" s="2656"/>
      <c r="AE1736" s="2656"/>
      <c r="AF1736" s="2656"/>
      <c r="AG1736" s="2656"/>
      <c r="AH1736" s="2656"/>
      <c r="AI1736" s="2656"/>
      <c r="AJ1736" s="2656"/>
      <c r="AK1736" s="2656"/>
      <c r="AL1736" s="2656"/>
      <c r="AM1736" s="2656"/>
      <c r="AN1736" s="2656"/>
      <c r="AO1736" s="2656"/>
      <c r="AP1736" s="2656"/>
      <c r="AQ1736" s="2656"/>
      <c r="AR1736" s="2656"/>
      <c r="AS1736" s="2656"/>
      <c r="AT1736" s="2656"/>
      <c r="AU1736" s="2656"/>
      <c r="AV1736" s="2656"/>
      <c r="AW1736" s="2656"/>
      <c r="AX1736" s="2656"/>
      <c r="AY1736" s="2656"/>
      <c r="AZ1736" s="2656"/>
      <c r="BA1736" s="2656"/>
      <c r="BB1736" s="2656"/>
      <c r="BC1736" s="2656"/>
      <c r="BD1736" s="2656"/>
      <c r="BE1736" s="2656"/>
      <c r="BF1736" s="2656"/>
      <c r="BG1736" s="2656"/>
      <c r="BH1736" s="2656"/>
      <c r="BI1736" s="2656"/>
    </row>
    <row r="1737" spans="1:61" ht="24.75" customHeight="1">
      <c r="A1737" s="3375"/>
      <c r="B1737" s="2646"/>
      <c r="C1737" s="2647"/>
      <c r="D1737" s="2646"/>
      <c r="E1737" s="3013"/>
      <c r="F1737" s="2655"/>
      <c r="G1737" s="2596"/>
      <c r="H1737" s="4138"/>
      <c r="I1737" s="3375"/>
      <c r="J1737" s="2648"/>
      <c r="K1737" s="3147"/>
      <c r="L1737" s="2785"/>
      <c r="M1737" s="2695"/>
      <c r="N1737" s="2649"/>
      <c r="O1737" s="2655"/>
      <c r="P1737" s="2651"/>
      <c r="Q1737" s="3440"/>
      <c r="R1737" s="3553"/>
      <c r="S1737" s="1407"/>
      <c r="T1737" s="3375"/>
      <c r="U1737" s="2648"/>
      <c r="V1737" s="3554"/>
      <c r="W1737" s="3150"/>
      <c r="X1737" s="2656"/>
      <c r="Y1737" s="2656"/>
      <c r="Z1737" s="2656"/>
      <c r="AA1737" s="2656"/>
      <c r="AB1737" s="2656"/>
      <c r="AC1737" s="2656"/>
      <c r="AD1737" s="2656"/>
      <c r="AE1737" s="2656"/>
      <c r="AF1737" s="2656"/>
      <c r="AG1737" s="2656"/>
      <c r="AH1737" s="2656"/>
      <c r="AI1737" s="2656"/>
      <c r="AJ1737" s="2656"/>
      <c r="AK1737" s="2656"/>
      <c r="AL1737" s="2656"/>
      <c r="AM1737" s="2656"/>
      <c r="AN1737" s="2656"/>
      <c r="AO1737" s="2656"/>
      <c r="AP1737" s="2656"/>
      <c r="AQ1737" s="2656"/>
      <c r="AR1737" s="2656"/>
      <c r="AS1737" s="2656"/>
      <c r="AT1737" s="2656"/>
      <c r="AU1737" s="2656"/>
      <c r="AV1737" s="2656"/>
      <c r="AW1737" s="2656"/>
      <c r="AX1737" s="2656"/>
      <c r="AY1737" s="2656"/>
      <c r="AZ1737" s="2656"/>
      <c r="BA1737" s="2656"/>
      <c r="BB1737" s="2656"/>
      <c r="BC1737" s="2656"/>
      <c r="BD1737" s="2656"/>
      <c r="BE1737" s="2656"/>
      <c r="BF1737" s="2656"/>
      <c r="BG1737" s="2656"/>
      <c r="BH1737" s="2656"/>
      <c r="BI1737" s="2656"/>
    </row>
    <row r="1738" spans="1:61" ht="24.75" customHeight="1">
      <c r="A1738" s="3375"/>
      <c r="B1738" s="2646"/>
      <c r="C1738" s="2647"/>
      <c r="D1738" s="2646"/>
      <c r="E1738" s="3013"/>
      <c r="F1738" s="2655"/>
      <c r="G1738" s="2596"/>
      <c r="H1738" s="4138"/>
      <c r="I1738" s="3375"/>
      <c r="J1738" s="2648"/>
      <c r="K1738" s="3147"/>
      <c r="L1738" s="2785"/>
      <c r="M1738" s="2695"/>
      <c r="N1738" s="2649"/>
      <c r="O1738" s="2655"/>
      <c r="P1738" s="2651"/>
      <c r="Q1738" s="3440"/>
      <c r="R1738" s="3553"/>
      <c r="S1738" s="1407"/>
      <c r="T1738" s="3375"/>
      <c r="U1738" s="2648"/>
      <c r="V1738" s="3554"/>
      <c r="W1738" s="3150"/>
      <c r="X1738" s="2656"/>
      <c r="Y1738" s="2656"/>
      <c r="Z1738" s="2656"/>
      <c r="AA1738" s="2656"/>
      <c r="AB1738" s="2656"/>
      <c r="AC1738" s="2656"/>
      <c r="AD1738" s="2656"/>
      <c r="AE1738" s="2656"/>
      <c r="AF1738" s="2656"/>
      <c r="AG1738" s="2656"/>
      <c r="AH1738" s="2656"/>
      <c r="AI1738" s="2656"/>
      <c r="AJ1738" s="2656"/>
      <c r="AK1738" s="2656"/>
      <c r="AL1738" s="2656"/>
      <c r="AM1738" s="2656"/>
      <c r="AN1738" s="2656"/>
      <c r="AO1738" s="2656"/>
      <c r="AP1738" s="2656"/>
      <c r="AQ1738" s="2656"/>
      <c r="AR1738" s="2656"/>
      <c r="AS1738" s="2656"/>
      <c r="AT1738" s="2656"/>
      <c r="AU1738" s="2656"/>
      <c r="AV1738" s="2656"/>
      <c r="AW1738" s="2656"/>
      <c r="AX1738" s="2656"/>
      <c r="AY1738" s="2656"/>
      <c r="AZ1738" s="2656"/>
      <c r="BA1738" s="2656"/>
      <c r="BB1738" s="2656"/>
      <c r="BC1738" s="2656"/>
      <c r="BD1738" s="2656"/>
      <c r="BE1738" s="2656"/>
      <c r="BF1738" s="2656"/>
      <c r="BG1738" s="2656"/>
      <c r="BH1738" s="2656"/>
      <c r="BI1738" s="2656"/>
    </row>
    <row r="1739" spans="1:61" ht="24.75" customHeight="1">
      <c r="A1739" s="3375"/>
      <c r="B1739" s="2646"/>
      <c r="C1739" s="2647"/>
      <c r="D1739" s="2646"/>
      <c r="E1739" s="3013"/>
      <c r="F1739" s="2655"/>
      <c r="G1739" s="2596"/>
      <c r="H1739" s="4138"/>
      <c r="I1739" s="3375"/>
      <c r="J1739" s="2648"/>
      <c r="K1739" s="3147"/>
      <c r="L1739" s="2785"/>
      <c r="M1739" s="2695"/>
      <c r="N1739" s="2649"/>
      <c r="O1739" s="2655"/>
      <c r="P1739" s="2651"/>
      <c r="Q1739" s="3440"/>
      <c r="R1739" s="3553"/>
      <c r="S1739" s="1407"/>
      <c r="T1739" s="3375"/>
      <c r="U1739" s="2648"/>
      <c r="V1739" s="3554"/>
      <c r="W1739" s="3150"/>
      <c r="X1739" s="2656"/>
      <c r="Y1739" s="2656"/>
      <c r="Z1739" s="2656"/>
      <c r="AA1739" s="2656"/>
      <c r="AB1739" s="2656"/>
      <c r="AC1739" s="2656"/>
      <c r="AD1739" s="2656"/>
      <c r="AE1739" s="2656"/>
      <c r="AF1739" s="2656"/>
      <c r="AG1739" s="2656"/>
      <c r="AH1739" s="2656"/>
      <c r="AI1739" s="2656"/>
      <c r="AJ1739" s="2656"/>
      <c r="AK1739" s="2656"/>
      <c r="AL1739" s="2656"/>
      <c r="AM1739" s="2656"/>
      <c r="AN1739" s="2656"/>
      <c r="AO1739" s="2656"/>
      <c r="AP1739" s="2656"/>
      <c r="AQ1739" s="2656"/>
      <c r="AR1739" s="2656"/>
      <c r="AS1739" s="2656"/>
      <c r="AT1739" s="2656"/>
      <c r="AU1739" s="2656"/>
      <c r="AV1739" s="2656"/>
      <c r="AW1739" s="2656"/>
      <c r="AX1739" s="2656"/>
      <c r="AY1739" s="2656"/>
      <c r="AZ1739" s="2656"/>
      <c r="BA1739" s="2656"/>
      <c r="BB1739" s="2656"/>
      <c r="BC1739" s="2656"/>
      <c r="BD1739" s="2656"/>
      <c r="BE1739" s="2656"/>
      <c r="BF1739" s="2656"/>
      <c r="BG1739" s="2656"/>
      <c r="BH1739" s="2656"/>
      <c r="BI1739" s="2656"/>
    </row>
    <row r="1740" spans="1:61" ht="24.75" customHeight="1">
      <c r="A1740" s="3375"/>
      <c r="B1740" s="2646"/>
      <c r="C1740" s="2647"/>
      <c r="D1740" s="2646"/>
      <c r="E1740" s="3013"/>
      <c r="F1740" s="2655"/>
      <c r="G1740" s="2596"/>
      <c r="H1740" s="4138"/>
      <c r="I1740" s="3375"/>
      <c r="J1740" s="2648"/>
      <c r="K1740" s="3147"/>
      <c r="L1740" s="2785"/>
      <c r="M1740" s="2695"/>
      <c r="N1740" s="2649"/>
      <c r="O1740" s="2655"/>
      <c r="P1740" s="2651"/>
      <c r="Q1740" s="3440"/>
      <c r="R1740" s="3553"/>
      <c r="S1740" s="1407"/>
      <c r="T1740" s="3375"/>
      <c r="U1740" s="2648"/>
      <c r="V1740" s="3554"/>
      <c r="W1740" s="3150"/>
      <c r="X1740" s="2656"/>
      <c r="Y1740" s="2656"/>
      <c r="Z1740" s="2656"/>
      <c r="AA1740" s="2656"/>
      <c r="AB1740" s="2656"/>
      <c r="AC1740" s="2656"/>
      <c r="AD1740" s="2656"/>
      <c r="AE1740" s="2656"/>
      <c r="AF1740" s="2656"/>
      <c r="AG1740" s="2656"/>
      <c r="AH1740" s="2656"/>
      <c r="AI1740" s="2656"/>
      <c r="AJ1740" s="2656"/>
      <c r="AK1740" s="2656"/>
      <c r="AL1740" s="2656"/>
      <c r="AM1740" s="2656"/>
      <c r="AN1740" s="2656"/>
      <c r="AO1740" s="2656"/>
      <c r="AP1740" s="2656"/>
      <c r="AQ1740" s="2656"/>
      <c r="AR1740" s="2656"/>
      <c r="AS1740" s="2656"/>
      <c r="AT1740" s="2656"/>
      <c r="AU1740" s="2656"/>
      <c r="AV1740" s="2656"/>
      <c r="AW1740" s="2656"/>
      <c r="AX1740" s="2656"/>
      <c r="AY1740" s="2656"/>
      <c r="AZ1740" s="2656"/>
      <c r="BA1740" s="2656"/>
      <c r="BB1740" s="2656"/>
      <c r="BC1740" s="2656"/>
      <c r="BD1740" s="2656"/>
      <c r="BE1740" s="2656"/>
      <c r="BF1740" s="2656"/>
      <c r="BG1740" s="2656"/>
      <c r="BH1740" s="2656"/>
      <c r="BI1740" s="2656"/>
    </row>
    <row r="1741" spans="1:61" ht="24.75" customHeight="1">
      <c r="A1741" s="3375"/>
      <c r="B1741" s="2646"/>
      <c r="C1741" s="2647"/>
      <c r="D1741" s="2646"/>
      <c r="E1741" s="3013"/>
      <c r="F1741" s="2655"/>
      <c r="G1741" s="2596"/>
      <c r="H1741" s="4138"/>
      <c r="I1741" s="3375"/>
      <c r="J1741" s="2648"/>
      <c r="K1741" s="3147"/>
      <c r="L1741" s="2785"/>
      <c r="M1741" s="2695"/>
      <c r="N1741" s="2649"/>
      <c r="O1741" s="2655"/>
      <c r="P1741" s="2651"/>
      <c r="Q1741" s="3440"/>
      <c r="R1741" s="3553"/>
      <c r="S1741" s="1407"/>
      <c r="T1741" s="3375"/>
      <c r="U1741" s="2648"/>
      <c r="V1741" s="3554"/>
      <c r="W1741" s="3150"/>
      <c r="X1741" s="2656"/>
      <c r="Y1741" s="2656"/>
      <c r="Z1741" s="2656"/>
      <c r="AA1741" s="2656"/>
      <c r="AB1741" s="2656"/>
      <c r="AC1741" s="2656"/>
      <c r="AD1741" s="2656"/>
      <c r="AE1741" s="2656"/>
      <c r="AF1741" s="2656"/>
      <c r="AG1741" s="2656"/>
      <c r="AH1741" s="2656"/>
      <c r="AI1741" s="2656"/>
      <c r="AJ1741" s="2656"/>
      <c r="AK1741" s="2656"/>
      <c r="AL1741" s="2656"/>
      <c r="AM1741" s="2656"/>
      <c r="AN1741" s="2656"/>
      <c r="AO1741" s="2656"/>
      <c r="AP1741" s="2656"/>
      <c r="AQ1741" s="2656"/>
      <c r="AR1741" s="2656"/>
      <c r="AS1741" s="2656"/>
      <c r="AT1741" s="2656"/>
      <c r="AU1741" s="2656"/>
      <c r="AV1741" s="2656"/>
      <c r="AW1741" s="2656"/>
      <c r="AX1741" s="2656"/>
      <c r="AY1741" s="2656"/>
      <c r="AZ1741" s="2656"/>
      <c r="BA1741" s="2656"/>
      <c r="BB1741" s="2656"/>
      <c r="BC1741" s="2656"/>
      <c r="BD1741" s="2656"/>
      <c r="BE1741" s="2656"/>
      <c r="BF1741" s="2656"/>
      <c r="BG1741" s="2656"/>
      <c r="BH1741" s="2656"/>
      <c r="BI1741" s="2656"/>
    </row>
    <row r="1742" spans="1:61" ht="24.75" customHeight="1">
      <c r="A1742" s="3375"/>
      <c r="B1742" s="2646"/>
      <c r="C1742" s="2647"/>
      <c r="D1742" s="2646"/>
      <c r="E1742" s="3013"/>
      <c r="F1742" s="2655"/>
      <c r="G1742" s="2596"/>
      <c r="H1742" s="4138"/>
      <c r="I1742" s="3375"/>
      <c r="J1742" s="2648"/>
      <c r="K1742" s="3147"/>
      <c r="L1742" s="2785"/>
      <c r="M1742" s="2695"/>
      <c r="N1742" s="2649"/>
      <c r="O1742" s="2655"/>
      <c r="P1742" s="2651"/>
      <c r="Q1742" s="3440"/>
      <c r="R1742" s="3553"/>
      <c r="S1742" s="1407"/>
      <c r="T1742" s="3375"/>
      <c r="U1742" s="2648"/>
      <c r="V1742" s="3554"/>
      <c r="W1742" s="3150"/>
      <c r="X1742" s="2656"/>
      <c r="Y1742" s="2656"/>
      <c r="Z1742" s="2656"/>
      <c r="AA1742" s="2656"/>
      <c r="AB1742" s="2656"/>
      <c r="AC1742" s="2656"/>
      <c r="AD1742" s="2656"/>
      <c r="AE1742" s="2656"/>
      <c r="AF1742" s="2656"/>
      <c r="AG1742" s="2656"/>
      <c r="AH1742" s="2656"/>
      <c r="AI1742" s="2656"/>
      <c r="AJ1742" s="2656"/>
      <c r="AK1742" s="2656"/>
      <c r="AL1742" s="2656"/>
      <c r="AM1742" s="2656"/>
      <c r="AN1742" s="2656"/>
      <c r="AO1742" s="2656"/>
      <c r="AP1742" s="2656"/>
      <c r="AQ1742" s="2656"/>
      <c r="AR1742" s="2656"/>
      <c r="AS1742" s="2656"/>
      <c r="AT1742" s="2656"/>
      <c r="AU1742" s="2656"/>
      <c r="AV1742" s="2656"/>
      <c r="AW1742" s="2656"/>
      <c r="AX1742" s="2656"/>
      <c r="AY1742" s="2656"/>
      <c r="AZ1742" s="2656"/>
      <c r="BA1742" s="2656"/>
      <c r="BB1742" s="2656"/>
      <c r="BC1742" s="2656"/>
      <c r="BD1742" s="2656"/>
      <c r="BE1742" s="2656"/>
      <c r="BF1742" s="2656"/>
      <c r="BG1742" s="2656"/>
      <c r="BH1742" s="2656"/>
      <c r="BI1742" s="2656"/>
    </row>
    <row r="1743" spans="1:61" ht="24.75" customHeight="1">
      <c r="A1743" s="3375"/>
      <c r="B1743" s="2646"/>
      <c r="C1743" s="2647"/>
      <c r="D1743" s="2646"/>
      <c r="E1743" s="3013"/>
      <c r="F1743" s="2655"/>
      <c r="G1743" s="2596"/>
      <c r="H1743" s="4138"/>
      <c r="I1743" s="3375"/>
      <c r="J1743" s="2648"/>
      <c r="K1743" s="3147"/>
      <c r="L1743" s="2785"/>
      <c r="M1743" s="2695"/>
      <c r="N1743" s="2649"/>
      <c r="O1743" s="2655"/>
      <c r="P1743" s="2651"/>
      <c r="Q1743" s="3440"/>
      <c r="R1743" s="3553"/>
      <c r="S1743" s="1407"/>
      <c r="T1743" s="3375"/>
      <c r="U1743" s="2648"/>
      <c r="V1743" s="3554"/>
      <c r="W1743" s="3150"/>
      <c r="X1743" s="2656"/>
      <c r="Y1743" s="2656"/>
      <c r="Z1743" s="2656"/>
      <c r="AA1743" s="2656"/>
      <c r="AB1743" s="2656"/>
      <c r="AC1743" s="2656"/>
      <c r="AD1743" s="2656"/>
      <c r="AE1743" s="2656"/>
      <c r="AF1743" s="2656"/>
      <c r="AG1743" s="2656"/>
      <c r="AH1743" s="2656"/>
      <c r="AI1743" s="2656"/>
      <c r="AJ1743" s="2656"/>
      <c r="AK1743" s="2656"/>
      <c r="AL1743" s="2656"/>
      <c r="AM1743" s="2656"/>
      <c r="AN1743" s="2656"/>
      <c r="AO1743" s="2656"/>
      <c r="AP1743" s="2656"/>
      <c r="AQ1743" s="2656"/>
      <c r="AR1743" s="2656"/>
      <c r="AS1743" s="2656"/>
      <c r="AT1743" s="2656"/>
      <c r="AU1743" s="2656"/>
      <c r="AV1743" s="2656"/>
      <c r="AW1743" s="2656"/>
      <c r="AX1743" s="2656"/>
      <c r="AY1743" s="2656"/>
      <c r="AZ1743" s="2656"/>
      <c r="BA1743" s="2656"/>
      <c r="BB1743" s="2656"/>
      <c r="BC1743" s="2656"/>
      <c r="BD1743" s="2656"/>
      <c r="BE1743" s="2656"/>
      <c r="BF1743" s="2656"/>
      <c r="BG1743" s="2656"/>
      <c r="BH1743" s="2656"/>
      <c r="BI1743" s="2656"/>
    </row>
    <row r="1744" spans="1:61" ht="24.75" customHeight="1">
      <c r="A1744" s="3375"/>
      <c r="B1744" s="2646"/>
      <c r="C1744" s="2647"/>
      <c r="D1744" s="2646"/>
      <c r="E1744" s="3013"/>
      <c r="F1744" s="2655"/>
      <c r="G1744" s="2596"/>
      <c r="H1744" s="4138"/>
      <c r="I1744" s="3375"/>
      <c r="J1744" s="2648"/>
      <c r="K1744" s="3147"/>
      <c r="L1744" s="2785"/>
      <c r="M1744" s="2695"/>
      <c r="N1744" s="2649"/>
      <c r="O1744" s="2655"/>
      <c r="P1744" s="2651"/>
      <c r="Q1744" s="3440"/>
      <c r="R1744" s="3553"/>
      <c r="S1744" s="1407"/>
      <c r="T1744" s="3375"/>
      <c r="U1744" s="2648"/>
      <c r="V1744" s="3554"/>
      <c r="W1744" s="3150"/>
      <c r="X1744" s="2656"/>
      <c r="Y1744" s="2656"/>
      <c r="Z1744" s="2656"/>
      <c r="AA1744" s="2656"/>
      <c r="AB1744" s="2656"/>
      <c r="AC1744" s="2656"/>
      <c r="AD1744" s="2656"/>
      <c r="AE1744" s="2656"/>
      <c r="AF1744" s="2656"/>
      <c r="AG1744" s="2656"/>
      <c r="AH1744" s="2656"/>
      <c r="AI1744" s="2656"/>
      <c r="AJ1744" s="2656"/>
      <c r="AK1744" s="2656"/>
      <c r="AL1744" s="2656"/>
      <c r="AM1744" s="2656"/>
      <c r="AN1744" s="2656"/>
      <c r="AO1744" s="2656"/>
      <c r="AP1744" s="2656"/>
      <c r="AQ1744" s="2656"/>
      <c r="AR1744" s="2656"/>
      <c r="AS1744" s="2656"/>
      <c r="AT1744" s="2656"/>
      <c r="AU1744" s="2656"/>
      <c r="AV1744" s="2656"/>
      <c r="AW1744" s="2656"/>
      <c r="AX1744" s="2656"/>
      <c r="AY1744" s="2656"/>
      <c r="AZ1744" s="2656"/>
      <c r="BA1744" s="2656"/>
      <c r="BB1744" s="2656"/>
      <c r="BC1744" s="2656"/>
      <c r="BD1744" s="2656"/>
      <c r="BE1744" s="2656"/>
      <c r="BF1744" s="2656"/>
      <c r="BG1744" s="2656"/>
      <c r="BH1744" s="2656"/>
      <c r="BI1744" s="2656"/>
    </row>
    <row r="1745" spans="1:61" ht="24.75" customHeight="1">
      <c r="A1745" s="3375"/>
      <c r="B1745" s="2646"/>
      <c r="C1745" s="2647"/>
      <c r="D1745" s="2646"/>
      <c r="E1745" s="3013"/>
      <c r="F1745" s="2655"/>
      <c r="G1745" s="2596"/>
      <c r="H1745" s="4138"/>
      <c r="I1745" s="3375"/>
      <c r="J1745" s="2648"/>
      <c r="K1745" s="3147"/>
      <c r="L1745" s="2785"/>
      <c r="M1745" s="2695"/>
      <c r="N1745" s="2649"/>
      <c r="O1745" s="2655"/>
      <c r="P1745" s="2651"/>
      <c r="Q1745" s="3440"/>
      <c r="R1745" s="3553"/>
      <c r="S1745" s="1407"/>
      <c r="T1745" s="3375"/>
      <c r="U1745" s="2648"/>
      <c r="V1745" s="3554"/>
      <c r="W1745" s="3150"/>
      <c r="X1745" s="2656"/>
      <c r="Y1745" s="2656"/>
      <c r="Z1745" s="2656"/>
      <c r="AA1745" s="2656"/>
      <c r="AB1745" s="2656"/>
      <c r="AC1745" s="2656"/>
      <c r="AD1745" s="2656"/>
      <c r="AE1745" s="2656"/>
      <c r="AF1745" s="2656"/>
      <c r="AG1745" s="2656"/>
      <c r="AH1745" s="2656"/>
      <c r="AI1745" s="2656"/>
      <c r="AJ1745" s="2656"/>
      <c r="AK1745" s="2656"/>
      <c r="AL1745" s="2656"/>
      <c r="AM1745" s="2656"/>
      <c r="AN1745" s="2656"/>
      <c r="AO1745" s="2656"/>
      <c r="AP1745" s="2656"/>
      <c r="AQ1745" s="2656"/>
      <c r="AR1745" s="2656"/>
      <c r="AS1745" s="2656"/>
      <c r="AT1745" s="2656"/>
      <c r="AU1745" s="2656"/>
      <c r="AV1745" s="2656"/>
      <c r="AW1745" s="2656"/>
      <c r="AX1745" s="2656"/>
      <c r="AY1745" s="2656"/>
      <c r="AZ1745" s="2656"/>
      <c r="BA1745" s="2656"/>
      <c r="BB1745" s="2656"/>
      <c r="BC1745" s="2656"/>
      <c r="BD1745" s="2656"/>
      <c r="BE1745" s="2656"/>
      <c r="BF1745" s="2656"/>
      <c r="BG1745" s="2656"/>
      <c r="BH1745" s="2656"/>
      <c r="BI1745" s="2656"/>
    </row>
    <row r="1746" spans="1:61" ht="24.75" customHeight="1">
      <c r="A1746" s="3375"/>
      <c r="B1746" s="2646"/>
      <c r="C1746" s="2647"/>
      <c r="D1746" s="2646"/>
      <c r="E1746" s="3013"/>
      <c r="F1746" s="2655"/>
      <c r="G1746" s="2596"/>
      <c r="H1746" s="4138"/>
      <c r="I1746" s="3375"/>
      <c r="J1746" s="2648"/>
      <c r="K1746" s="3147"/>
      <c r="L1746" s="2785"/>
      <c r="M1746" s="2695"/>
      <c r="N1746" s="2649"/>
      <c r="O1746" s="2655"/>
      <c r="P1746" s="2651"/>
      <c r="Q1746" s="3440"/>
      <c r="R1746" s="3553"/>
      <c r="S1746" s="1407"/>
      <c r="T1746" s="3375"/>
      <c r="U1746" s="2648"/>
      <c r="V1746" s="3554"/>
      <c r="W1746" s="3150"/>
      <c r="X1746" s="2656"/>
      <c r="Y1746" s="2656"/>
      <c r="Z1746" s="2656"/>
      <c r="AA1746" s="2656"/>
      <c r="AB1746" s="2656"/>
      <c r="AC1746" s="2656"/>
      <c r="AD1746" s="2656"/>
      <c r="AE1746" s="2656"/>
      <c r="AF1746" s="2656"/>
      <c r="AG1746" s="2656"/>
      <c r="AH1746" s="2656"/>
      <c r="AI1746" s="2656"/>
      <c r="AJ1746" s="2656"/>
      <c r="AK1746" s="2656"/>
      <c r="AL1746" s="2656"/>
      <c r="AM1746" s="2656"/>
      <c r="AN1746" s="2656"/>
      <c r="AO1746" s="2656"/>
      <c r="AP1746" s="2656"/>
      <c r="AQ1746" s="2656"/>
      <c r="AR1746" s="2656"/>
      <c r="AS1746" s="2656"/>
      <c r="AT1746" s="2656"/>
      <c r="AU1746" s="2656"/>
      <c r="AV1746" s="2656"/>
      <c r="AW1746" s="2656"/>
      <c r="AX1746" s="2656"/>
      <c r="AY1746" s="2656"/>
      <c r="AZ1746" s="2656"/>
      <c r="BA1746" s="2656"/>
      <c r="BB1746" s="2656"/>
      <c r="BC1746" s="2656"/>
      <c r="BD1746" s="2656"/>
      <c r="BE1746" s="2656"/>
      <c r="BF1746" s="2656"/>
      <c r="BG1746" s="2656"/>
      <c r="BH1746" s="2656"/>
      <c r="BI1746" s="2656"/>
    </row>
    <row r="1747" spans="1:61" ht="24.75" customHeight="1">
      <c r="A1747" s="3375"/>
      <c r="B1747" s="2646"/>
      <c r="C1747" s="2647"/>
      <c r="D1747" s="2646"/>
      <c r="E1747" s="3013"/>
      <c r="F1747" s="2655"/>
      <c r="G1747" s="2596"/>
      <c r="H1747" s="4138"/>
      <c r="I1747" s="3375"/>
      <c r="J1747" s="2648"/>
      <c r="K1747" s="3147"/>
      <c r="L1747" s="2785"/>
      <c r="M1747" s="2695"/>
      <c r="N1747" s="2649"/>
      <c r="O1747" s="2655"/>
      <c r="P1747" s="2651"/>
      <c r="Q1747" s="3440"/>
      <c r="R1747" s="3553"/>
      <c r="S1747" s="1407"/>
      <c r="T1747" s="3375"/>
      <c r="U1747" s="2648"/>
      <c r="V1747" s="3554"/>
      <c r="W1747" s="3150"/>
      <c r="X1747" s="2656"/>
      <c r="Y1747" s="2656"/>
      <c r="Z1747" s="2656"/>
      <c r="AA1747" s="2656"/>
      <c r="AB1747" s="2656"/>
      <c r="AC1747" s="2656"/>
      <c r="AD1747" s="2656"/>
      <c r="AE1747" s="2656"/>
      <c r="AF1747" s="2656"/>
      <c r="AG1747" s="2656"/>
      <c r="AH1747" s="2656"/>
      <c r="AI1747" s="2656"/>
      <c r="AJ1747" s="2656"/>
      <c r="AK1747" s="2656"/>
      <c r="AL1747" s="2656"/>
      <c r="AM1747" s="2656"/>
      <c r="AN1747" s="2656"/>
      <c r="AO1747" s="2656"/>
      <c r="AP1747" s="2656"/>
      <c r="AQ1747" s="2656"/>
      <c r="AR1747" s="2656"/>
      <c r="AS1747" s="2656"/>
      <c r="AT1747" s="2656"/>
      <c r="AU1747" s="2656"/>
      <c r="AV1747" s="2656"/>
      <c r="AW1747" s="2656"/>
      <c r="AX1747" s="2656"/>
      <c r="AY1747" s="2656"/>
      <c r="AZ1747" s="2656"/>
      <c r="BA1747" s="2656"/>
      <c r="BB1747" s="2656"/>
      <c r="BC1747" s="2656"/>
      <c r="BD1747" s="2656"/>
      <c r="BE1747" s="2656"/>
      <c r="BF1747" s="2656"/>
      <c r="BG1747" s="2656"/>
      <c r="BH1747" s="2656"/>
      <c r="BI1747" s="2656"/>
    </row>
    <row r="1748" spans="1:61" ht="24.75" customHeight="1">
      <c r="A1748" s="3375"/>
      <c r="B1748" s="2646"/>
      <c r="C1748" s="2647"/>
      <c r="D1748" s="2646"/>
      <c r="E1748" s="3013"/>
      <c r="F1748" s="2655"/>
      <c r="G1748" s="2596"/>
      <c r="H1748" s="4138"/>
      <c r="I1748" s="3375"/>
      <c r="J1748" s="2648"/>
      <c r="K1748" s="3147"/>
      <c r="L1748" s="2785"/>
      <c r="M1748" s="2695"/>
      <c r="N1748" s="2649"/>
      <c r="O1748" s="2655"/>
      <c r="P1748" s="2651"/>
      <c r="Q1748" s="3440"/>
      <c r="R1748" s="3553"/>
      <c r="S1748" s="1407"/>
      <c r="T1748" s="3375"/>
      <c r="U1748" s="2648"/>
      <c r="V1748" s="3554"/>
      <c r="W1748" s="3150"/>
      <c r="X1748" s="2656"/>
      <c r="Y1748" s="2656"/>
      <c r="Z1748" s="2656"/>
      <c r="AA1748" s="2656"/>
      <c r="AB1748" s="2656"/>
      <c r="AC1748" s="2656"/>
      <c r="AD1748" s="2656"/>
      <c r="AE1748" s="2656"/>
      <c r="AF1748" s="2656"/>
      <c r="AG1748" s="2656"/>
      <c r="AH1748" s="2656"/>
      <c r="AI1748" s="2656"/>
      <c r="AJ1748" s="2656"/>
      <c r="AK1748" s="2656"/>
      <c r="AL1748" s="2656"/>
      <c r="AM1748" s="2656"/>
      <c r="AN1748" s="2656"/>
      <c r="AO1748" s="2656"/>
      <c r="AP1748" s="2656"/>
      <c r="AQ1748" s="2656"/>
      <c r="AR1748" s="2656"/>
      <c r="AS1748" s="2656"/>
      <c r="AT1748" s="2656"/>
      <c r="AU1748" s="2656"/>
      <c r="AV1748" s="2656"/>
      <c r="AW1748" s="2656"/>
      <c r="AX1748" s="2656"/>
      <c r="AY1748" s="2656"/>
      <c r="AZ1748" s="2656"/>
      <c r="BA1748" s="2656"/>
      <c r="BB1748" s="2656"/>
      <c r="BC1748" s="2656"/>
      <c r="BD1748" s="2656"/>
      <c r="BE1748" s="2656"/>
      <c r="BF1748" s="2656"/>
      <c r="BG1748" s="2656"/>
      <c r="BH1748" s="2656"/>
      <c r="BI1748" s="2656"/>
    </row>
    <row r="1749" spans="1:61" ht="24.75" customHeight="1">
      <c r="A1749" s="3375"/>
      <c r="B1749" s="2646"/>
      <c r="C1749" s="2647"/>
      <c r="D1749" s="2646"/>
      <c r="E1749" s="3013"/>
      <c r="F1749" s="2655"/>
      <c r="G1749" s="2596"/>
      <c r="H1749" s="4138"/>
      <c r="I1749" s="3375"/>
      <c r="J1749" s="2648"/>
      <c r="K1749" s="3147"/>
      <c r="L1749" s="2785"/>
      <c r="M1749" s="2695"/>
      <c r="N1749" s="2649"/>
      <c r="O1749" s="2655"/>
      <c r="P1749" s="2651"/>
      <c r="Q1749" s="3440"/>
      <c r="R1749" s="3553"/>
      <c r="S1749" s="1407"/>
      <c r="T1749" s="3375"/>
      <c r="U1749" s="2648"/>
      <c r="V1749" s="3554"/>
      <c r="W1749" s="3150"/>
      <c r="X1749" s="2656"/>
      <c r="Y1749" s="2656"/>
      <c r="Z1749" s="2656"/>
      <c r="AA1749" s="2656"/>
      <c r="AB1749" s="2656"/>
      <c r="AC1749" s="2656"/>
      <c r="AD1749" s="2656"/>
      <c r="AE1749" s="2656"/>
      <c r="AF1749" s="2656"/>
      <c r="AG1749" s="2656"/>
      <c r="AH1749" s="2656"/>
      <c r="AI1749" s="2656"/>
      <c r="AJ1749" s="2656"/>
      <c r="AK1749" s="2656"/>
      <c r="AL1749" s="2656"/>
      <c r="AM1749" s="2656"/>
      <c r="AN1749" s="2656"/>
      <c r="AO1749" s="2656"/>
      <c r="AP1749" s="2656"/>
      <c r="AQ1749" s="2656"/>
      <c r="AR1749" s="2656"/>
      <c r="AS1749" s="2656"/>
      <c r="AT1749" s="2656"/>
      <c r="AU1749" s="2656"/>
      <c r="AV1749" s="2656"/>
      <c r="AW1749" s="2656"/>
      <c r="AX1749" s="2656"/>
      <c r="AY1749" s="2656"/>
      <c r="AZ1749" s="2656"/>
      <c r="BA1749" s="2656"/>
      <c r="BB1749" s="2656"/>
      <c r="BC1749" s="2656"/>
      <c r="BD1749" s="2656"/>
      <c r="BE1749" s="2656"/>
      <c r="BF1749" s="2656"/>
      <c r="BG1749" s="2656"/>
      <c r="BH1749" s="2656"/>
      <c r="BI1749" s="2656"/>
    </row>
    <row r="1750" spans="1:61" ht="24.75" customHeight="1">
      <c r="A1750" s="3375"/>
      <c r="B1750" s="2646"/>
      <c r="C1750" s="2647"/>
      <c r="D1750" s="2646"/>
      <c r="E1750" s="3013"/>
      <c r="F1750" s="2655"/>
      <c r="G1750" s="2596"/>
      <c r="H1750" s="4138"/>
      <c r="I1750" s="3375"/>
      <c r="J1750" s="2648"/>
      <c r="K1750" s="3147"/>
      <c r="L1750" s="2785"/>
      <c r="M1750" s="2695"/>
      <c r="N1750" s="2649"/>
      <c r="O1750" s="2655"/>
      <c r="P1750" s="2651"/>
      <c r="Q1750" s="3440"/>
      <c r="R1750" s="3553"/>
      <c r="S1750" s="1407"/>
      <c r="T1750" s="3375"/>
      <c r="U1750" s="2648"/>
      <c r="V1750" s="3554"/>
      <c r="W1750" s="3150"/>
      <c r="X1750" s="2656"/>
      <c r="Y1750" s="2656"/>
      <c r="Z1750" s="2656"/>
      <c r="AA1750" s="2656"/>
      <c r="AB1750" s="2656"/>
      <c r="AC1750" s="2656"/>
      <c r="AD1750" s="2656"/>
      <c r="AE1750" s="2656"/>
      <c r="AF1750" s="2656"/>
      <c r="AG1750" s="2656"/>
      <c r="AH1750" s="2656"/>
      <c r="AI1750" s="2656"/>
      <c r="AJ1750" s="2656"/>
      <c r="AK1750" s="2656"/>
      <c r="AL1750" s="2656"/>
      <c r="AM1750" s="2656"/>
      <c r="AN1750" s="2656"/>
      <c r="AO1750" s="2656"/>
      <c r="AP1750" s="2656"/>
      <c r="AQ1750" s="2656"/>
      <c r="AR1750" s="2656"/>
      <c r="AS1750" s="2656"/>
      <c r="AT1750" s="2656"/>
      <c r="AU1750" s="2656"/>
      <c r="AV1750" s="2656"/>
      <c r="AW1750" s="2656"/>
      <c r="AX1750" s="2656"/>
      <c r="AY1750" s="2656"/>
      <c r="AZ1750" s="2656"/>
      <c r="BA1750" s="2656"/>
      <c r="BB1750" s="2656"/>
      <c r="BC1750" s="2656"/>
      <c r="BD1750" s="2656"/>
      <c r="BE1750" s="2656"/>
      <c r="BF1750" s="2656"/>
      <c r="BG1750" s="2656"/>
      <c r="BH1750" s="2656"/>
      <c r="BI1750" s="2656"/>
    </row>
    <row r="1751" spans="1:61" ht="24.75" customHeight="1">
      <c r="A1751" s="3375"/>
      <c r="B1751" s="2646"/>
      <c r="C1751" s="2647"/>
      <c r="D1751" s="2646"/>
      <c r="E1751" s="3013"/>
      <c r="F1751" s="2655"/>
      <c r="G1751" s="2596"/>
      <c r="H1751" s="4138"/>
      <c r="I1751" s="3375"/>
      <c r="J1751" s="2648"/>
      <c r="K1751" s="3147"/>
      <c r="L1751" s="2785"/>
      <c r="M1751" s="2695"/>
      <c r="N1751" s="2649"/>
      <c r="O1751" s="2655"/>
      <c r="P1751" s="2651"/>
      <c r="Q1751" s="3440"/>
      <c r="R1751" s="3553"/>
      <c r="S1751" s="1407"/>
      <c r="T1751" s="3375"/>
      <c r="U1751" s="2648"/>
      <c r="V1751" s="3554"/>
      <c r="W1751" s="3150"/>
      <c r="X1751" s="2656"/>
      <c r="Y1751" s="2656"/>
      <c r="Z1751" s="2656"/>
      <c r="AA1751" s="2656"/>
      <c r="AB1751" s="2656"/>
      <c r="AC1751" s="2656"/>
      <c r="AD1751" s="2656"/>
      <c r="AE1751" s="2656"/>
      <c r="AF1751" s="2656"/>
      <c r="AG1751" s="2656"/>
      <c r="AH1751" s="2656"/>
      <c r="AI1751" s="2656"/>
      <c r="AJ1751" s="2656"/>
      <c r="AK1751" s="2656"/>
      <c r="AL1751" s="2656"/>
      <c r="AM1751" s="2656"/>
      <c r="AN1751" s="2656"/>
      <c r="AO1751" s="2656"/>
      <c r="AP1751" s="2656"/>
      <c r="AQ1751" s="2656"/>
      <c r="AR1751" s="2656"/>
      <c r="AS1751" s="2656"/>
      <c r="AT1751" s="2656"/>
      <c r="AU1751" s="2656"/>
      <c r="AV1751" s="2656"/>
      <c r="AW1751" s="2656"/>
      <c r="AX1751" s="2656"/>
      <c r="AY1751" s="2656"/>
      <c r="AZ1751" s="2656"/>
      <c r="BA1751" s="2656"/>
      <c r="BB1751" s="2656"/>
      <c r="BC1751" s="2656"/>
      <c r="BD1751" s="2656"/>
      <c r="BE1751" s="2656"/>
      <c r="BF1751" s="2656"/>
      <c r="BG1751" s="2656"/>
      <c r="BH1751" s="2656"/>
      <c r="BI1751" s="2656"/>
    </row>
    <row r="1752" spans="1:61" ht="24.75" customHeight="1">
      <c r="A1752" s="3375"/>
      <c r="B1752" s="2646"/>
      <c r="C1752" s="2647"/>
      <c r="D1752" s="2646"/>
      <c r="E1752" s="3013"/>
      <c r="F1752" s="2655"/>
      <c r="G1752" s="2596"/>
      <c r="H1752" s="4138"/>
      <c r="I1752" s="3375"/>
      <c r="J1752" s="2648"/>
      <c r="K1752" s="3147"/>
      <c r="L1752" s="2785"/>
      <c r="M1752" s="2695"/>
      <c r="N1752" s="2649"/>
      <c r="O1752" s="2655"/>
      <c r="P1752" s="2651"/>
      <c r="Q1752" s="3440"/>
      <c r="R1752" s="3553"/>
      <c r="S1752" s="1407"/>
      <c r="T1752" s="3375"/>
      <c r="U1752" s="2648"/>
      <c r="V1752" s="3554"/>
      <c r="W1752" s="3150"/>
      <c r="X1752" s="2656"/>
      <c r="Y1752" s="2656"/>
      <c r="Z1752" s="2656"/>
      <c r="AA1752" s="2656"/>
      <c r="AB1752" s="2656"/>
      <c r="AC1752" s="2656"/>
      <c r="AD1752" s="2656"/>
      <c r="AE1752" s="2656"/>
      <c r="AF1752" s="2656"/>
      <c r="AG1752" s="2656"/>
      <c r="AH1752" s="2656"/>
      <c r="AI1752" s="2656"/>
      <c r="AJ1752" s="2656"/>
      <c r="AK1752" s="2656"/>
      <c r="AL1752" s="2656"/>
      <c r="AM1752" s="2656"/>
      <c r="AN1752" s="2656"/>
      <c r="AO1752" s="2656"/>
      <c r="AP1752" s="2656"/>
      <c r="AQ1752" s="2656"/>
      <c r="AR1752" s="2656"/>
      <c r="AS1752" s="2656"/>
      <c r="AT1752" s="2656"/>
      <c r="AU1752" s="2656"/>
      <c r="AV1752" s="2656"/>
      <c r="AW1752" s="2656"/>
      <c r="AX1752" s="2656"/>
      <c r="AY1752" s="2656"/>
      <c r="AZ1752" s="2656"/>
      <c r="BA1752" s="2656"/>
      <c r="BB1752" s="2656"/>
      <c r="BC1752" s="2656"/>
      <c r="BD1752" s="2656"/>
      <c r="BE1752" s="2656"/>
      <c r="BF1752" s="2656"/>
      <c r="BG1752" s="2656"/>
      <c r="BH1752" s="2656"/>
      <c r="BI1752" s="2656"/>
    </row>
    <row r="1753" spans="1:61" ht="24.75" customHeight="1">
      <c r="A1753" s="3375"/>
      <c r="B1753" s="2646"/>
      <c r="C1753" s="2647"/>
      <c r="D1753" s="2646"/>
      <c r="E1753" s="3013"/>
      <c r="F1753" s="2655"/>
      <c r="G1753" s="2596"/>
      <c r="H1753" s="4138"/>
      <c r="I1753" s="3375"/>
      <c r="J1753" s="2648"/>
      <c r="K1753" s="3147"/>
      <c r="L1753" s="2785"/>
      <c r="M1753" s="2695"/>
      <c r="N1753" s="2649"/>
      <c r="O1753" s="2655"/>
      <c r="P1753" s="2651"/>
      <c r="Q1753" s="3440"/>
      <c r="R1753" s="3553"/>
      <c r="S1753" s="1407"/>
      <c r="T1753" s="3375"/>
      <c r="U1753" s="2648"/>
      <c r="V1753" s="3554"/>
      <c r="W1753" s="3150"/>
      <c r="X1753" s="2656"/>
      <c r="Y1753" s="2656"/>
      <c r="Z1753" s="2656"/>
      <c r="AA1753" s="2656"/>
      <c r="AB1753" s="2656"/>
      <c r="AC1753" s="2656"/>
      <c r="AD1753" s="2656"/>
      <c r="AE1753" s="2656"/>
      <c r="AF1753" s="2656"/>
      <c r="AG1753" s="2656"/>
      <c r="AH1753" s="2656"/>
      <c r="AI1753" s="2656"/>
      <c r="AJ1753" s="2656"/>
      <c r="AK1753" s="2656"/>
      <c r="AL1753" s="2656"/>
      <c r="AM1753" s="2656"/>
      <c r="AN1753" s="2656"/>
      <c r="AO1753" s="2656"/>
      <c r="AP1753" s="2656"/>
      <c r="AQ1753" s="2656"/>
      <c r="AR1753" s="2656"/>
      <c r="AS1753" s="2656"/>
      <c r="AT1753" s="2656"/>
      <c r="AU1753" s="2656"/>
      <c r="AV1753" s="2656"/>
      <c r="AW1753" s="2656"/>
      <c r="AX1753" s="2656"/>
      <c r="AY1753" s="2656"/>
      <c r="AZ1753" s="2656"/>
      <c r="BA1753" s="2656"/>
      <c r="BB1753" s="2656"/>
      <c r="BC1753" s="2656"/>
      <c r="BD1753" s="2656"/>
      <c r="BE1753" s="2656"/>
      <c r="BF1753" s="2656"/>
      <c r="BG1753" s="2656"/>
      <c r="BH1753" s="2656"/>
      <c r="BI1753" s="2656"/>
    </row>
    <row r="1754" spans="1:61" ht="24.75" customHeight="1">
      <c r="A1754" s="3375"/>
      <c r="B1754" s="2646"/>
      <c r="C1754" s="2647"/>
      <c r="D1754" s="2646"/>
      <c r="E1754" s="3013"/>
      <c r="F1754" s="2655"/>
      <c r="G1754" s="2596"/>
      <c r="H1754" s="4138"/>
      <c r="I1754" s="3375"/>
      <c r="J1754" s="2648"/>
      <c r="K1754" s="3147"/>
      <c r="L1754" s="2785"/>
      <c r="M1754" s="2695"/>
      <c r="N1754" s="2649"/>
      <c r="O1754" s="2655"/>
      <c r="P1754" s="2651"/>
      <c r="Q1754" s="3440"/>
      <c r="R1754" s="3553"/>
      <c r="S1754" s="1407"/>
      <c r="T1754" s="3375"/>
      <c r="U1754" s="2648"/>
      <c r="V1754" s="3554"/>
      <c r="W1754" s="3150"/>
      <c r="X1754" s="2656"/>
      <c r="Y1754" s="2656"/>
      <c r="Z1754" s="2656"/>
      <c r="AA1754" s="2656"/>
      <c r="AB1754" s="2656"/>
      <c r="AC1754" s="2656"/>
      <c r="AD1754" s="2656"/>
      <c r="AE1754" s="2656"/>
      <c r="AF1754" s="2656"/>
      <c r="AG1754" s="2656"/>
      <c r="AH1754" s="2656"/>
      <c r="AI1754" s="2656"/>
      <c r="AJ1754" s="2656"/>
      <c r="AK1754" s="2656"/>
      <c r="AL1754" s="2656"/>
      <c r="AM1754" s="2656"/>
      <c r="AN1754" s="2656"/>
      <c r="AO1754" s="2656"/>
      <c r="AP1754" s="2656"/>
      <c r="AQ1754" s="2656"/>
      <c r="AR1754" s="2656"/>
      <c r="AS1754" s="2656"/>
      <c r="AT1754" s="2656"/>
      <c r="AU1754" s="2656"/>
      <c r="AV1754" s="2656"/>
      <c r="AW1754" s="2656"/>
      <c r="AX1754" s="2656"/>
      <c r="AY1754" s="2656"/>
      <c r="AZ1754" s="2656"/>
      <c r="BA1754" s="2656"/>
      <c r="BB1754" s="2656"/>
      <c r="BC1754" s="2656"/>
      <c r="BD1754" s="2656"/>
      <c r="BE1754" s="2656"/>
      <c r="BF1754" s="2656"/>
      <c r="BG1754" s="2656"/>
      <c r="BH1754" s="2656"/>
      <c r="BI1754" s="2656"/>
    </row>
    <row r="1755" spans="1:61" ht="24.75" customHeight="1">
      <c r="A1755" s="3375"/>
      <c r="B1755" s="2646"/>
      <c r="C1755" s="2647"/>
      <c r="D1755" s="2646"/>
      <c r="E1755" s="3013"/>
      <c r="F1755" s="2655"/>
      <c r="G1755" s="2596"/>
      <c r="H1755" s="4138"/>
      <c r="I1755" s="3375"/>
      <c r="J1755" s="2648"/>
      <c r="K1755" s="3147"/>
      <c r="L1755" s="2785"/>
      <c r="M1755" s="2695"/>
      <c r="N1755" s="2649"/>
      <c r="O1755" s="2655"/>
      <c r="P1755" s="2651"/>
      <c r="Q1755" s="3440"/>
      <c r="R1755" s="3553"/>
      <c r="S1755" s="1407"/>
      <c r="T1755" s="3375"/>
      <c r="U1755" s="2648"/>
      <c r="V1755" s="3554"/>
      <c r="W1755" s="3150"/>
      <c r="X1755" s="2656"/>
      <c r="Y1755" s="2656"/>
      <c r="Z1755" s="2656"/>
      <c r="AA1755" s="2656"/>
      <c r="AB1755" s="2656"/>
      <c r="AC1755" s="2656"/>
      <c r="AD1755" s="2656"/>
      <c r="AE1755" s="2656"/>
      <c r="AF1755" s="2656"/>
      <c r="AG1755" s="2656"/>
      <c r="AH1755" s="2656"/>
      <c r="AI1755" s="2656"/>
      <c r="AJ1755" s="2656"/>
      <c r="AK1755" s="2656"/>
      <c r="AL1755" s="2656"/>
      <c r="AM1755" s="2656"/>
      <c r="AN1755" s="2656"/>
      <c r="AO1755" s="2656"/>
      <c r="AP1755" s="2656"/>
      <c r="AQ1755" s="2656"/>
      <c r="AR1755" s="2656"/>
      <c r="AS1755" s="2656"/>
      <c r="AT1755" s="2656"/>
      <c r="AU1755" s="2656"/>
      <c r="AV1755" s="2656"/>
      <c r="AW1755" s="2656"/>
      <c r="AX1755" s="2656"/>
      <c r="AY1755" s="2656"/>
      <c r="AZ1755" s="2656"/>
      <c r="BA1755" s="2656"/>
      <c r="BB1755" s="2656"/>
      <c r="BC1755" s="2656"/>
      <c r="BD1755" s="2656"/>
      <c r="BE1755" s="2656"/>
      <c r="BF1755" s="2656"/>
      <c r="BG1755" s="2656"/>
      <c r="BH1755" s="2656"/>
      <c r="BI1755" s="2656"/>
    </row>
    <row r="1756" spans="1:61" ht="24.75" customHeight="1">
      <c r="A1756" s="3375"/>
      <c r="B1756" s="2646"/>
      <c r="C1756" s="2647"/>
      <c r="D1756" s="2646"/>
      <c r="E1756" s="3013"/>
      <c r="F1756" s="2655"/>
      <c r="G1756" s="2596"/>
      <c r="H1756" s="4138"/>
      <c r="I1756" s="3375"/>
      <c r="J1756" s="2648"/>
      <c r="K1756" s="3147"/>
      <c r="L1756" s="2785"/>
      <c r="M1756" s="2695"/>
      <c r="N1756" s="2649"/>
      <c r="O1756" s="2655"/>
      <c r="P1756" s="2651"/>
      <c r="Q1756" s="3440"/>
      <c r="R1756" s="3553"/>
      <c r="S1756" s="1407"/>
      <c r="T1756" s="3375"/>
      <c r="U1756" s="2648"/>
      <c r="V1756" s="3554"/>
      <c r="W1756" s="3150"/>
      <c r="X1756" s="2656"/>
      <c r="Y1756" s="2656"/>
      <c r="Z1756" s="2656"/>
      <c r="AA1756" s="2656"/>
      <c r="AB1756" s="2656"/>
      <c r="AC1756" s="2656"/>
      <c r="AD1756" s="2656"/>
      <c r="AE1756" s="2656"/>
      <c r="AF1756" s="2656"/>
      <c r="AG1756" s="2656"/>
      <c r="AH1756" s="2656"/>
      <c r="AI1756" s="2656"/>
      <c r="AJ1756" s="2656"/>
      <c r="AK1756" s="2656"/>
      <c r="AL1756" s="2656"/>
      <c r="AM1756" s="2656"/>
      <c r="AN1756" s="2656"/>
      <c r="AO1756" s="2656"/>
      <c r="AP1756" s="2656"/>
      <c r="AQ1756" s="2656"/>
      <c r="AR1756" s="2656"/>
      <c r="AS1756" s="2656"/>
      <c r="AT1756" s="2656"/>
      <c r="AU1756" s="2656"/>
      <c r="AV1756" s="2656"/>
      <c r="AW1756" s="2656"/>
      <c r="AX1756" s="2656"/>
      <c r="AY1756" s="2656"/>
      <c r="AZ1756" s="2656"/>
      <c r="BA1756" s="2656"/>
      <c r="BB1756" s="2656"/>
      <c r="BC1756" s="2656"/>
      <c r="BD1756" s="2656"/>
      <c r="BE1756" s="2656"/>
      <c r="BF1756" s="2656"/>
      <c r="BG1756" s="2656"/>
      <c r="BH1756" s="2656"/>
      <c r="BI1756" s="2656"/>
    </row>
    <row r="1757" spans="1:61" ht="24.75" customHeight="1">
      <c r="A1757" s="3375"/>
      <c r="B1757" s="2646"/>
      <c r="C1757" s="2647"/>
      <c r="D1757" s="2646"/>
      <c r="E1757" s="3013"/>
      <c r="F1757" s="2655"/>
      <c r="G1757" s="2596"/>
      <c r="H1757" s="4138"/>
      <c r="I1757" s="3375"/>
      <c r="J1757" s="2648"/>
      <c r="K1757" s="3147"/>
      <c r="L1757" s="2785"/>
      <c r="M1757" s="2695"/>
      <c r="N1757" s="2649"/>
      <c r="O1757" s="2655"/>
      <c r="P1757" s="2651"/>
      <c r="Q1757" s="3440"/>
      <c r="R1757" s="3553"/>
      <c r="S1757" s="1407"/>
      <c r="T1757" s="3375"/>
      <c r="U1757" s="2648"/>
      <c r="V1757" s="3554"/>
      <c r="W1757" s="3150"/>
      <c r="X1757" s="2656"/>
      <c r="Y1757" s="2656"/>
      <c r="Z1757" s="2656"/>
      <c r="AA1757" s="2656"/>
      <c r="AB1757" s="2656"/>
      <c r="AC1757" s="2656"/>
      <c r="AD1757" s="2656"/>
      <c r="AE1757" s="2656"/>
      <c r="AF1757" s="2656"/>
      <c r="AG1757" s="2656"/>
      <c r="AH1757" s="2656"/>
      <c r="AI1757" s="2656"/>
      <c r="AJ1757" s="2656"/>
      <c r="AK1757" s="2656"/>
      <c r="AL1757" s="2656"/>
      <c r="AM1757" s="2656"/>
      <c r="AN1757" s="2656"/>
      <c r="AO1757" s="2656"/>
      <c r="AP1757" s="2656"/>
      <c r="AQ1757" s="2656"/>
      <c r="AR1757" s="2656"/>
      <c r="AS1757" s="2656"/>
      <c r="AT1757" s="2656"/>
      <c r="AU1757" s="2656"/>
      <c r="AV1757" s="2656"/>
      <c r="AW1757" s="2656"/>
      <c r="AX1757" s="2656"/>
      <c r="AY1757" s="2656"/>
      <c r="AZ1757" s="2656"/>
      <c r="BA1757" s="2656"/>
      <c r="BB1757" s="2656"/>
      <c r="BC1757" s="2656"/>
      <c r="BD1757" s="2656"/>
      <c r="BE1757" s="2656"/>
      <c r="BF1757" s="2656"/>
      <c r="BG1757" s="2656"/>
      <c r="BH1757" s="2656"/>
      <c r="BI1757" s="2656"/>
    </row>
    <row r="1758" spans="1:61" ht="24.75" customHeight="1">
      <c r="A1758" s="3375"/>
      <c r="B1758" s="2646"/>
      <c r="C1758" s="2647"/>
      <c r="D1758" s="2646"/>
      <c r="E1758" s="3013"/>
      <c r="F1758" s="2655"/>
      <c r="G1758" s="2596"/>
      <c r="H1758" s="4138"/>
      <c r="I1758" s="3375"/>
      <c r="J1758" s="2648"/>
      <c r="K1758" s="3147"/>
      <c r="L1758" s="2785"/>
      <c r="M1758" s="2695"/>
      <c r="N1758" s="2649"/>
      <c r="O1758" s="2655"/>
      <c r="P1758" s="2651"/>
      <c r="Q1758" s="3440"/>
      <c r="R1758" s="3553"/>
      <c r="S1758" s="1407"/>
      <c r="T1758" s="3375"/>
      <c r="U1758" s="2648"/>
      <c r="V1758" s="3554"/>
      <c r="W1758" s="3150"/>
      <c r="X1758" s="2656"/>
      <c r="Y1758" s="2656"/>
      <c r="Z1758" s="2656"/>
      <c r="AA1758" s="2656"/>
      <c r="AB1758" s="2656"/>
      <c r="AC1758" s="2656"/>
      <c r="AD1758" s="2656"/>
      <c r="AE1758" s="2656"/>
      <c r="AF1758" s="2656"/>
      <c r="AG1758" s="2656"/>
      <c r="AH1758" s="2656"/>
      <c r="AI1758" s="2656"/>
      <c r="AJ1758" s="2656"/>
      <c r="AK1758" s="2656"/>
      <c r="AL1758" s="2656"/>
      <c r="AM1758" s="2656"/>
      <c r="AN1758" s="2656"/>
      <c r="AO1758" s="2656"/>
      <c r="AP1758" s="2656"/>
      <c r="AQ1758" s="2656"/>
      <c r="AR1758" s="2656"/>
      <c r="AS1758" s="2656"/>
      <c r="AT1758" s="2656"/>
      <c r="AU1758" s="2656"/>
      <c r="AV1758" s="2656"/>
      <c r="AW1758" s="2656"/>
      <c r="AX1758" s="2656"/>
      <c r="AY1758" s="2656"/>
      <c r="AZ1758" s="2656"/>
      <c r="BA1758" s="2656"/>
      <c r="BB1758" s="2656"/>
      <c r="BC1758" s="2656"/>
      <c r="BD1758" s="2656"/>
      <c r="BE1758" s="2656"/>
      <c r="BF1758" s="2656"/>
      <c r="BG1758" s="2656"/>
      <c r="BH1758" s="2656"/>
      <c r="BI1758" s="2656"/>
    </row>
    <row r="1759" spans="1:61" ht="24.75" customHeight="1">
      <c r="A1759" s="3375"/>
      <c r="B1759" s="2646"/>
      <c r="C1759" s="2647"/>
      <c r="D1759" s="2646"/>
      <c r="E1759" s="3013"/>
      <c r="F1759" s="2655"/>
      <c r="G1759" s="2596"/>
      <c r="H1759" s="4138"/>
      <c r="I1759" s="3375"/>
      <c r="J1759" s="2648"/>
      <c r="K1759" s="3147"/>
      <c r="L1759" s="2785"/>
      <c r="M1759" s="2695"/>
      <c r="N1759" s="2649"/>
      <c r="O1759" s="2655"/>
      <c r="P1759" s="2651"/>
      <c r="Q1759" s="3440"/>
      <c r="R1759" s="3553"/>
      <c r="S1759" s="1407"/>
      <c r="T1759" s="3375"/>
      <c r="U1759" s="2648"/>
      <c r="V1759" s="3554"/>
      <c r="W1759" s="3150"/>
      <c r="X1759" s="2656"/>
      <c r="Y1759" s="2656"/>
      <c r="Z1759" s="2656"/>
      <c r="AA1759" s="2656"/>
      <c r="AB1759" s="2656"/>
      <c r="AC1759" s="2656"/>
      <c r="AD1759" s="2656"/>
      <c r="AE1759" s="2656"/>
      <c r="AF1759" s="2656"/>
      <c r="AG1759" s="2656"/>
      <c r="AH1759" s="2656"/>
      <c r="AI1759" s="2656"/>
      <c r="AJ1759" s="2656"/>
      <c r="AK1759" s="2656"/>
      <c r="AL1759" s="2656"/>
      <c r="AM1759" s="2656"/>
      <c r="AN1759" s="2656"/>
      <c r="AO1759" s="2656"/>
      <c r="AP1759" s="2656"/>
      <c r="AQ1759" s="2656"/>
      <c r="AR1759" s="2656"/>
      <c r="AS1759" s="2656"/>
      <c r="AT1759" s="2656"/>
      <c r="AU1759" s="2656"/>
      <c r="AV1759" s="2656"/>
      <c r="AW1759" s="2656"/>
      <c r="AX1759" s="2656"/>
      <c r="AY1759" s="2656"/>
      <c r="AZ1759" s="2656"/>
      <c r="BA1759" s="2656"/>
      <c r="BB1759" s="2656"/>
      <c r="BC1759" s="2656"/>
      <c r="BD1759" s="2656"/>
      <c r="BE1759" s="2656"/>
      <c r="BF1759" s="2656"/>
      <c r="BG1759" s="2656"/>
      <c r="BH1759" s="2656"/>
      <c r="BI1759" s="2656"/>
    </row>
    <row r="1760" spans="1:61" ht="24.75" customHeight="1">
      <c r="A1760" s="3375"/>
      <c r="B1760" s="2646"/>
      <c r="C1760" s="2647"/>
      <c r="D1760" s="2646"/>
      <c r="E1760" s="3013"/>
      <c r="F1760" s="2655"/>
      <c r="G1760" s="2596"/>
      <c r="H1760" s="4138"/>
      <c r="I1760" s="3375"/>
      <c r="J1760" s="2648"/>
      <c r="K1760" s="3147"/>
      <c r="L1760" s="2785"/>
      <c r="M1760" s="2695"/>
      <c r="N1760" s="2649"/>
      <c r="O1760" s="2655"/>
      <c r="P1760" s="2651"/>
      <c r="Q1760" s="3440"/>
      <c r="R1760" s="3553"/>
      <c r="S1760" s="1407"/>
      <c r="T1760" s="3375"/>
      <c r="U1760" s="2648"/>
      <c r="V1760" s="3554"/>
      <c r="W1760" s="3150"/>
      <c r="X1760" s="2656"/>
      <c r="Y1760" s="2656"/>
      <c r="Z1760" s="2656"/>
      <c r="AA1760" s="2656"/>
      <c r="AB1760" s="2656"/>
      <c r="AC1760" s="2656"/>
      <c r="AD1760" s="2656"/>
      <c r="AE1760" s="2656"/>
      <c r="AF1760" s="2656"/>
      <c r="AG1760" s="2656"/>
      <c r="AH1760" s="2656"/>
      <c r="AI1760" s="2656"/>
      <c r="AJ1760" s="2656"/>
      <c r="AK1760" s="2656"/>
      <c r="AL1760" s="2656"/>
      <c r="AM1760" s="2656"/>
      <c r="AN1760" s="2656"/>
      <c r="AO1760" s="2656"/>
      <c r="AP1760" s="2656"/>
      <c r="AQ1760" s="2656"/>
      <c r="AR1760" s="2656"/>
      <c r="AS1760" s="2656"/>
      <c r="AT1760" s="2656"/>
      <c r="AU1760" s="2656"/>
      <c r="AV1760" s="2656"/>
      <c r="AW1760" s="2656"/>
      <c r="AX1760" s="2656"/>
      <c r="AY1760" s="2656"/>
      <c r="AZ1760" s="2656"/>
      <c r="BA1760" s="2656"/>
      <c r="BB1760" s="2656"/>
      <c r="BC1760" s="2656"/>
      <c r="BD1760" s="2656"/>
      <c r="BE1760" s="2656"/>
      <c r="BF1760" s="2656"/>
      <c r="BG1760" s="2656"/>
      <c r="BH1760" s="2656"/>
      <c r="BI1760" s="2656"/>
    </row>
    <row r="1761" spans="1:61" ht="24.75" customHeight="1">
      <c r="A1761" s="3375"/>
      <c r="B1761" s="2646"/>
      <c r="C1761" s="2647"/>
      <c r="D1761" s="2646"/>
      <c r="E1761" s="3013"/>
      <c r="F1761" s="2655"/>
      <c r="G1761" s="2596"/>
      <c r="H1761" s="4138"/>
      <c r="I1761" s="3375"/>
      <c r="J1761" s="2648"/>
      <c r="K1761" s="3147"/>
      <c r="L1761" s="2785"/>
      <c r="M1761" s="2695"/>
      <c r="N1761" s="2649"/>
      <c r="O1761" s="2655"/>
      <c r="P1761" s="2651"/>
      <c r="Q1761" s="3440"/>
      <c r="R1761" s="3553"/>
      <c r="S1761" s="1407"/>
      <c r="T1761" s="3375"/>
      <c r="U1761" s="2648"/>
      <c r="V1761" s="3554"/>
      <c r="W1761" s="3150"/>
      <c r="X1761" s="2656"/>
      <c r="Y1761" s="2656"/>
      <c r="Z1761" s="2656"/>
      <c r="AA1761" s="2656"/>
      <c r="AB1761" s="2656"/>
      <c r="AC1761" s="2656"/>
      <c r="AD1761" s="2656"/>
      <c r="AE1761" s="2656"/>
      <c r="AF1761" s="2656"/>
      <c r="AG1761" s="2656"/>
      <c r="AH1761" s="2656"/>
      <c r="AI1761" s="2656"/>
      <c r="AJ1761" s="2656"/>
      <c r="AK1761" s="2656"/>
      <c r="AL1761" s="2656"/>
      <c r="AM1761" s="2656"/>
      <c r="AN1761" s="2656"/>
      <c r="AO1761" s="2656"/>
      <c r="AP1761" s="2656"/>
      <c r="AQ1761" s="2656"/>
      <c r="AR1761" s="2656"/>
      <c r="AS1761" s="2656"/>
      <c r="AT1761" s="2656"/>
      <c r="AU1761" s="2656"/>
      <c r="AV1761" s="2656"/>
      <c r="AW1761" s="2656"/>
      <c r="AX1761" s="2656"/>
      <c r="AY1761" s="2656"/>
      <c r="AZ1761" s="2656"/>
      <c r="BA1761" s="2656"/>
      <c r="BB1761" s="2656"/>
      <c r="BC1761" s="2656"/>
      <c r="BD1761" s="2656"/>
      <c r="BE1761" s="2656"/>
      <c r="BF1761" s="2656"/>
      <c r="BG1761" s="2656"/>
      <c r="BH1761" s="2656"/>
      <c r="BI1761" s="2656"/>
    </row>
    <row r="1762" spans="1:61" ht="24.75" customHeight="1">
      <c r="A1762" s="3375"/>
      <c r="B1762" s="2646"/>
      <c r="C1762" s="2647"/>
      <c r="D1762" s="2646"/>
      <c r="E1762" s="3013"/>
      <c r="F1762" s="2655"/>
      <c r="G1762" s="2596"/>
      <c r="H1762" s="4138"/>
      <c r="I1762" s="3375"/>
      <c r="J1762" s="2648"/>
      <c r="K1762" s="3147"/>
      <c r="L1762" s="2785"/>
      <c r="M1762" s="2695"/>
      <c r="N1762" s="2649"/>
      <c r="O1762" s="2655"/>
      <c r="P1762" s="2651"/>
      <c r="Q1762" s="3440"/>
      <c r="R1762" s="3553"/>
      <c r="S1762" s="1407"/>
      <c r="T1762" s="3375"/>
      <c r="U1762" s="2648"/>
      <c r="V1762" s="3554"/>
      <c r="W1762" s="3150"/>
      <c r="X1762" s="2656"/>
      <c r="Y1762" s="2656"/>
      <c r="Z1762" s="2656"/>
      <c r="AA1762" s="2656"/>
      <c r="AB1762" s="2656"/>
      <c r="AC1762" s="2656"/>
      <c r="AD1762" s="2656"/>
      <c r="AE1762" s="2656"/>
      <c r="AF1762" s="2656"/>
      <c r="AG1762" s="2656"/>
      <c r="AH1762" s="2656"/>
      <c r="AI1762" s="2656"/>
      <c r="AJ1762" s="2656"/>
      <c r="AK1762" s="2656"/>
      <c r="AL1762" s="2656"/>
      <c r="AM1762" s="2656"/>
      <c r="AN1762" s="2656"/>
      <c r="AO1762" s="2656"/>
      <c r="AP1762" s="2656"/>
      <c r="AQ1762" s="2656"/>
      <c r="AR1762" s="2656"/>
      <c r="AS1762" s="2656"/>
      <c r="AT1762" s="2656"/>
      <c r="AU1762" s="2656"/>
      <c r="AV1762" s="2656"/>
      <c r="AW1762" s="2656"/>
      <c r="AX1762" s="2656"/>
      <c r="AY1762" s="2656"/>
      <c r="AZ1762" s="2656"/>
      <c r="BA1762" s="2656"/>
      <c r="BB1762" s="2656"/>
      <c r="BC1762" s="2656"/>
      <c r="BD1762" s="2656"/>
      <c r="BE1762" s="2656"/>
      <c r="BF1762" s="2656"/>
      <c r="BG1762" s="2656"/>
      <c r="BH1762" s="2656"/>
      <c r="BI1762" s="2656"/>
    </row>
    <row r="1763" spans="1:61" ht="24.75" customHeight="1">
      <c r="A1763" s="3375"/>
      <c r="B1763" s="2646"/>
      <c r="C1763" s="2647"/>
      <c r="D1763" s="2646"/>
      <c r="E1763" s="3013"/>
      <c r="F1763" s="2655"/>
      <c r="G1763" s="2596"/>
      <c r="H1763" s="4138"/>
      <c r="I1763" s="3375"/>
      <c r="J1763" s="2648"/>
      <c r="K1763" s="3147"/>
      <c r="L1763" s="2785"/>
      <c r="M1763" s="2695"/>
      <c r="N1763" s="2649"/>
      <c r="O1763" s="2655"/>
      <c r="P1763" s="2651"/>
      <c r="Q1763" s="3440"/>
      <c r="R1763" s="3553"/>
      <c r="S1763" s="1407"/>
      <c r="T1763" s="3375"/>
      <c r="U1763" s="2648"/>
      <c r="V1763" s="3554"/>
      <c r="W1763" s="3150"/>
      <c r="X1763" s="2656"/>
      <c r="Y1763" s="2656"/>
      <c r="Z1763" s="2656"/>
      <c r="AA1763" s="2656"/>
      <c r="AB1763" s="2656"/>
      <c r="AC1763" s="2656"/>
      <c r="AD1763" s="2656"/>
      <c r="AE1763" s="2656"/>
      <c r="AF1763" s="2656"/>
      <c r="AG1763" s="2656"/>
      <c r="AH1763" s="2656"/>
      <c r="AI1763" s="2656"/>
      <c r="AJ1763" s="2656"/>
      <c r="AK1763" s="2656"/>
      <c r="AL1763" s="2656"/>
      <c r="AM1763" s="2656"/>
      <c r="AN1763" s="2656"/>
      <c r="AO1763" s="2656"/>
      <c r="AP1763" s="2656"/>
      <c r="AQ1763" s="2656"/>
      <c r="AR1763" s="2656"/>
      <c r="AS1763" s="2656"/>
      <c r="AT1763" s="2656"/>
      <c r="AU1763" s="2656"/>
      <c r="AV1763" s="2656"/>
      <c r="AW1763" s="2656"/>
      <c r="AX1763" s="2656"/>
      <c r="AY1763" s="2656"/>
      <c r="AZ1763" s="2656"/>
      <c r="BA1763" s="2656"/>
      <c r="BB1763" s="2656"/>
      <c r="BC1763" s="2656"/>
      <c r="BD1763" s="2656"/>
      <c r="BE1763" s="2656"/>
      <c r="BF1763" s="2656"/>
      <c r="BG1763" s="2656"/>
      <c r="BH1763" s="2656"/>
      <c r="BI1763" s="2656"/>
    </row>
    <row r="1764" spans="1:61" ht="24.75" customHeight="1">
      <c r="A1764" s="3375"/>
      <c r="B1764" s="2646"/>
      <c r="C1764" s="2647"/>
      <c r="D1764" s="2646"/>
      <c r="E1764" s="3013"/>
      <c r="F1764" s="2655"/>
      <c r="G1764" s="2596"/>
      <c r="H1764" s="4138"/>
      <c r="I1764" s="3375"/>
      <c r="J1764" s="2648"/>
      <c r="K1764" s="3147"/>
      <c r="L1764" s="2785"/>
      <c r="M1764" s="2695"/>
      <c r="N1764" s="2649"/>
      <c r="O1764" s="2655"/>
      <c r="P1764" s="2651"/>
      <c r="Q1764" s="3440"/>
      <c r="R1764" s="3553"/>
      <c r="S1764" s="1407"/>
      <c r="T1764" s="3375"/>
      <c r="U1764" s="2648"/>
      <c r="V1764" s="3554"/>
      <c r="W1764" s="3150"/>
      <c r="X1764" s="2656"/>
      <c r="Y1764" s="2656"/>
      <c r="Z1764" s="2656"/>
      <c r="AA1764" s="2656"/>
      <c r="AB1764" s="2656"/>
      <c r="AC1764" s="2656"/>
      <c r="AD1764" s="2656"/>
      <c r="AE1764" s="2656"/>
      <c r="AF1764" s="2656"/>
      <c r="AG1764" s="2656"/>
      <c r="AH1764" s="2656"/>
      <c r="AI1764" s="2656"/>
      <c r="AJ1764" s="2656"/>
      <c r="AK1764" s="2656"/>
      <c r="AL1764" s="2656"/>
      <c r="AM1764" s="2656"/>
      <c r="AN1764" s="2656"/>
      <c r="AO1764" s="2656"/>
      <c r="AP1764" s="2656"/>
      <c r="AQ1764" s="2656"/>
      <c r="AR1764" s="2656"/>
      <c r="AS1764" s="2656"/>
      <c r="AT1764" s="2656"/>
      <c r="AU1764" s="2656"/>
      <c r="AV1764" s="2656"/>
      <c r="AW1764" s="2656"/>
      <c r="AX1764" s="2656"/>
      <c r="AY1764" s="2656"/>
      <c r="AZ1764" s="2656"/>
      <c r="BA1764" s="2656"/>
      <c r="BB1764" s="2656"/>
      <c r="BC1764" s="2656"/>
      <c r="BD1764" s="2656"/>
      <c r="BE1764" s="2656"/>
      <c r="BF1764" s="2656"/>
      <c r="BG1764" s="2656"/>
      <c r="BH1764" s="2656"/>
      <c r="BI1764" s="2656"/>
    </row>
    <row r="1765" spans="1:61" ht="24.75" customHeight="1">
      <c r="A1765" s="3375"/>
      <c r="B1765" s="2646"/>
      <c r="C1765" s="2647"/>
      <c r="D1765" s="2646"/>
      <c r="E1765" s="3013"/>
      <c r="F1765" s="2655"/>
      <c r="G1765" s="2596"/>
      <c r="H1765" s="4138"/>
      <c r="I1765" s="3375"/>
      <c r="J1765" s="2648"/>
      <c r="K1765" s="3147"/>
      <c r="L1765" s="2785"/>
      <c r="M1765" s="2695"/>
      <c r="N1765" s="2649"/>
      <c r="O1765" s="2655"/>
      <c r="P1765" s="2651"/>
      <c r="Q1765" s="3440"/>
      <c r="R1765" s="3553"/>
      <c r="S1765" s="1407"/>
      <c r="T1765" s="3375"/>
      <c r="U1765" s="2648"/>
      <c r="V1765" s="3554"/>
      <c r="W1765" s="3150"/>
      <c r="X1765" s="2656"/>
      <c r="Y1765" s="2656"/>
      <c r="Z1765" s="2656"/>
      <c r="AA1765" s="2656"/>
      <c r="AB1765" s="2656"/>
      <c r="AC1765" s="2656"/>
      <c r="AD1765" s="2656"/>
      <c r="AE1765" s="2656"/>
      <c r="AF1765" s="2656"/>
      <c r="AG1765" s="2656"/>
      <c r="AH1765" s="2656"/>
      <c r="AI1765" s="2656"/>
      <c r="AJ1765" s="2656"/>
      <c r="AK1765" s="2656"/>
      <c r="AL1765" s="2656"/>
      <c r="AM1765" s="2656"/>
      <c r="AN1765" s="2656"/>
      <c r="AO1765" s="2656"/>
      <c r="AP1765" s="2656"/>
      <c r="AQ1765" s="2656"/>
      <c r="AR1765" s="2656"/>
      <c r="AS1765" s="2656"/>
      <c r="AT1765" s="2656"/>
      <c r="AU1765" s="2656"/>
      <c r="AV1765" s="2656"/>
      <c r="AW1765" s="2656"/>
      <c r="AX1765" s="2656"/>
      <c r="AY1765" s="2656"/>
      <c r="AZ1765" s="2656"/>
      <c r="BA1765" s="2656"/>
      <c r="BB1765" s="2656"/>
      <c r="BC1765" s="2656"/>
      <c r="BD1765" s="2656"/>
      <c r="BE1765" s="2656"/>
      <c r="BF1765" s="2656"/>
      <c r="BG1765" s="2656"/>
      <c r="BH1765" s="2656"/>
      <c r="BI1765" s="2656"/>
    </row>
    <row r="1766" spans="1:61" ht="24.75" customHeight="1">
      <c r="A1766" s="3375"/>
      <c r="B1766" s="2646"/>
      <c r="C1766" s="2647"/>
      <c r="D1766" s="2646"/>
      <c r="E1766" s="3013"/>
      <c r="F1766" s="2655"/>
      <c r="G1766" s="2596"/>
      <c r="H1766" s="4138"/>
      <c r="I1766" s="3375"/>
      <c r="J1766" s="2648"/>
      <c r="K1766" s="3147"/>
      <c r="L1766" s="2785"/>
      <c r="M1766" s="2695"/>
      <c r="N1766" s="2649"/>
      <c r="O1766" s="2655"/>
      <c r="P1766" s="2651"/>
      <c r="Q1766" s="3440"/>
      <c r="R1766" s="3553"/>
      <c r="S1766" s="1407"/>
      <c r="T1766" s="3375"/>
      <c r="U1766" s="2648"/>
      <c r="V1766" s="3554"/>
      <c r="W1766" s="3150"/>
      <c r="X1766" s="2656"/>
      <c r="Y1766" s="2656"/>
      <c r="Z1766" s="2656"/>
      <c r="AA1766" s="2656"/>
      <c r="AB1766" s="2656"/>
      <c r="AC1766" s="2656"/>
      <c r="AD1766" s="2656"/>
      <c r="AE1766" s="2656"/>
      <c r="AF1766" s="2656"/>
      <c r="AG1766" s="2656"/>
      <c r="AH1766" s="2656"/>
      <c r="AI1766" s="2656"/>
      <c r="AJ1766" s="2656"/>
      <c r="AK1766" s="2656"/>
      <c r="AL1766" s="2656"/>
      <c r="AM1766" s="2656"/>
      <c r="AN1766" s="2656"/>
      <c r="AO1766" s="2656"/>
      <c r="AP1766" s="2656"/>
      <c r="AQ1766" s="2656"/>
      <c r="AR1766" s="2656"/>
      <c r="AS1766" s="2656"/>
      <c r="AT1766" s="2656"/>
      <c r="AU1766" s="2656"/>
      <c r="AV1766" s="2656"/>
      <c r="AW1766" s="2656"/>
      <c r="AX1766" s="2656"/>
      <c r="AY1766" s="2656"/>
      <c r="AZ1766" s="2656"/>
      <c r="BA1766" s="2656"/>
      <c r="BB1766" s="2656"/>
      <c r="BC1766" s="2656"/>
      <c r="BD1766" s="2656"/>
      <c r="BE1766" s="2656"/>
      <c r="BF1766" s="2656"/>
      <c r="BG1766" s="2656"/>
      <c r="BH1766" s="2656"/>
      <c r="BI1766" s="2656"/>
    </row>
    <row r="1767" spans="1:61" ht="24.75" customHeight="1">
      <c r="A1767" s="3375"/>
      <c r="B1767" s="2646"/>
      <c r="C1767" s="2647"/>
      <c r="D1767" s="2646"/>
      <c r="E1767" s="3013"/>
      <c r="F1767" s="2655"/>
      <c r="G1767" s="2596"/>
      <c r="H1767" s="4138"/>
      <c r="I1767" s="3375"/>
      <c r="J1767" s="2648"/>
      <c r="K1767" s="3147"/>
      <c r="L1767" s="2785"/>
      <c r="M1767" s="2695"/>
      <c r="N1767" s="2649"/>
      <c r="O1767" s="2655"/>
      <c r="P1767" s="2651"/>
      <c r="Q1767" s="3440"/>
      <c r="R1767" s="3553"/>
      <c r="S1767" s="1407"/>
      <c r="T1767" s="3375"/>
      <c r="U1767" s="2648"/>
      <c r="V1767" s="3554"/>
      <c r="W1767" s="3150"/>
      <c r="X1767" s="2656"/>
      <c r="Y1767" s="2656"/>
      <c r="Z1767" s="2656"/>
      <c r="AA1767" s="2656"/>
      <c r="AB1767" s="2656"/>
      <c r="AC1767" s="2656"/>
      <c r="AD1767" s="2656"/>
      <c r="AE1767" s="2656"/>
      <c r="AF1767" s="2656"/>
      <c r="AG1767" s="2656"/>
      <c r="AH1767" s="2656"/>
      <c r="AI1767" s="2656"/>
      <c r="AJ1767" s="2656"/>
      <c r="AK1767" s="2656"/>
      <c r="AL1767" s="2656"/>
      <c r="AM1767" s="2656"/>
      <c r="AN1767" s="2656"/>
      <c r="AO1767" s="2656"/>
      <c r="AP1767" s="2656"/>
      <c r="AQ1767" s="2656"/>
      <c r="AR1767" s="2656"/>
      <c r="AS1767" s="2656"/>
      <c r="AT1767" s="2656"/>
      <c r="AU1767" s="2656"/>
      <c r="AV1767" s="2656"/>
      <c r="AW1767" s="2656"/>
      <c r="AX1767" s="2656"/>
      <c r="AY1767" s="2656"/>
      <c r="AZ1767" s="2656"/>
      <c r="BA1767" s="2656"/>
      <c r="BB1767" s="2656"/>
      <c r="BC1767" s="2656"/>
      <c r="BD1767" s="2656"/>
      <c r="BE1767" s="2656"/>
      <c r="BF1767" s="2656"/>
      <c r="BG1767" s="2656"/>
      <c r="BH1767" s="2656"/>
      <c r="BI1767" s="2656"/>
    </row>
    <row r="1768" spans="1:61" ht="24.75" customHeight="1">
      <c r="A1768" s="3375"/>
      <c r="B1768" s="2646"/>
      <c r="C1768" s="2647"/>
      <c r="D1768" s="2646"/>
      <c r="E1768" s="3013"/>
      <c r="F1768" s="2655"/>
      <c r="G1768" s="2596"/>
      <c r="H1768" s="4138"/>
      <c r="I1768" s="3375"/>
      <c r="J1768" s="2648"/>
      <c r="K1768" s="3147"/>
      <c r="L1768" s="2785"/>
      <c r="M1768" s="2695"/>
      <c r="N1768" s="2649"/>
      <c r="O1768" s="2655"/>
      <c r="P1768" s="2651"/>
      <c r="Q1768" s="3440"/>
      <c r="R1768" s="3553"/>
      <c r="S1768" s="1407"/>
      <c r="T1768" s="3375"/>
      <c r="U1768" s="2648"/>
      <c r="V1768" s="3554"/>
      <c r="W1768" s="3150"/>
      <c r="X1768" s="2656"/>
      <c r="Y1768" s="2656"/>
      <c r="Z1768" s="2656"/>
      <c r="AA1768" s="2656"/>
      <c r="AB1768" s="2656"/>
      <c r="AC1768" s="2656"/>
      <c r="AD1768" s="2656"/>
      <c r="AE1768" s="2656"/>
      <c r="AF1768" s="2656"/>
      <c r="AG1768" s="2656"/>
      <c r="AH1768" s="2656"/>
      <c r="AI1768" s="2656"/>
      <c r="AJ1768" s="2656"/>
      <c r="AK1768" s="2656"/>
      <c r="AL1768" s="2656"/>
      <c r="AM1768" s="2656"/>
      <c r="AN1768" s="2656"/>
      <c r="AO1768" s="2656"/>
      <c r="AP1768" s="2656"/>
      <c r="AQ1768" s="2656"/>
      <c r="AR1768" s="2656"/>
      <c r="AS1768" s="2656"/>
      <c r="AT1768" s="2656"/>
      <c r="AU1768" s="2656"/>
      <c r="AV1768" s="2656"/>
      <c r="AW1768" s="2656"/>
      <c r="AX1768" s="2656"/>
      <c r="AY1768" s="2656"/>
      <c r="AZ1768" s="2656"/>
      <c r="BA1768" s="2656"/>
      <c r="BB1768" s="2656"/>
      <c r="BC1768" s="2656"/>
      <c r="BD1768" s="2656"/>
      <c r="BE1768" s="2656"/>
      <c r="BF1768" s="2656"/>
      <c r="BG1768" s="2656"/>
      <c r="BH1768" s="2656"/>
      <c r="BI1768" s="2656"/>
    </row>
    <row r="1769" spans="1:61" ht="24.75" customHeight="1">
      <c r="A1769" s="3375"/>
      <c r="B1769" s="2646"/>
      <c r="C1769" s="2647"/>
      <c r="D1769" s="2646"/>
      <c r="E1769" s="3013"/>
      <c r="F1769" s="2655"/>
      <c r="G1769" s="2596"/>
      <c r="H1769" s="4138"/>
      <c r="I1769" s="3375"/>
      <c r="J1769" s="2648"/>
      <c r="K1769" s="3147"/>
      <c r="L1769" s="2785"/>
      <c r="M1769" s="2695"/>
      <c r="N1769" s="2649"/>
      <c r="O1769" s="2655"/>
      <c r="P1769" s="2651"/>
      <c r="Q1769" s="3440"/>
      <c r="R1769" s="3553"/>
      <c r="S1769" s="1407"/>
      <c r="T1769" s="3375"/>
      <c r="U1769" s="2648"/>
      <c r="V1769" s="3554"/>
      <c r="W1769" s="3150"/>
      <c r="X1769" s="2656"/>
      <c r="Y1769" s="2656"/>
      <c r="Z1769" s="2656"/>
      <c r="AA1769" s="2656"/>
      <c r="AB1769" s="2656"/>
      <c r="AC1769" s="2656"/>
      <c r="AD1769" s="2656"/>
      <c r="AE1769" s="2656"/>
      <c r="AF1769" s="2656"/>
      <c r="AG1769" s="2656"/>
      <c r="AH1769" s="2656"/>
      <c r="AI1769" s="2656"/>
      <c r="AJ1769" s="2656"/>
      <c r="AK1769" s="2656"/>
      <c r="AL1769" s="2656"/>
      <c r="AM1769" s="2656"/>
      <c r="AN1769" s="2656"/>
      <c r="AO1769" s="2656"/>
      <c r="AP1769" s="2656"/>
      <c r="AQ1769" s="2656"/>
      <c r="AR1769" s="2656"/>
      <c r="AS1769" s="2656"/>
      <c r="AT1769" s="2656"/>
      <c r="AU1769" s="2656"/>
      <c r="AV1769" s="2656"/>
      <c r="AW1769" s="2656"/>
      <c r="AX1769" s="2656"/>
      <c r="AY1769" s="2656"/>
      <c r="AZ1769" s="2656"/>
      <c r="BA1769" s="2656"/>
      <c r="BB1769" s="2656"/>
      <c r="BC1769" s="2656"/>
      <c r="BD1769" s="2656"/>
      <c r="BE1769" s="2656"/>
      <c r="BF1769" s="2656"/>
      <c r="BG1769" s="2656"/>
      <c r="BH1769" s="2656"/>
      <c r="BI1769" s="2656"/>
    </row>
    <row r="1770" spans="1:61" ht="24.75" customHeight="1">
      <c r="A1770" s="3375"/>
      <c r="B1770" s="2646"/>
      <c r="C1770" s="2647"/>
      <c r="D1770" s="2646"/>
      <c r="E1770" s="3013"/>
      <c r="F1770" s="2655"/>
      <c r="G1770" s="2596"/>
      <c r="H1770" s="4138"/>
      <c r="I1770" s="3375"/>
      <c r="J1770" s="2648"/>
      <c r="K1770" s="3147"/>
      <c r="L1770" s="2785"/>
      <c r="M1770" s="2695"/>
      <c r="N1770" s="2649"/>
      <c r="O1770" s="2655"/>
      <c r="P1770" s="2651"/>
      <c r="Q1770" s="3440"/>
      <c r="R1770" s="3553"/>
      <c r="S1770" s="1407"/>
      <c r="T1770" s="3375"/>
      <c r="U1770" s="2648"/>
      <c r="V1770" s="3554"/>
      <c r="W1770" s="3150"/>
      <c r="X1770" s="2656"/>
      <c r="Y1770" s="2656"/>
      <c r="Z1770" s="2656"/>
      <c r="AA1770" s="2656"/>
      <c r="AB1770" s="2656"/>
      <c r="AC1770" s="2656"/>
      <c r="AD1770" s="2656"/>
      <c r="AE1770" s="2656"/>
      <c r="AF1770" s="2656"/>
      <c r="AG1770" s="2656"/>
      <c r="AH1770" s="2656"/>
      <c r="AI1770" s="2656"/>
      <c r="AJ1770" s="2656"/>
      <c r="AK1770" s="2656"/>
      <c r="AL1770" s="2656"/>
      <c r="AM1770" s="2656"/>
      <c r="AN1770" s="2656"/>
      <c r="AO1770" s="2656"/>
      <c r="AP1770" s="2656"/>
      <c r="AQ1770" s="2656"/>
      <c r="AR1770" s="2656"/>
      <c r="AS1770" s="2656"/>
      <c r="AT1770" s="2656"/>
      <c r="AU1770" s="2656"/>
      <c r="AV1770" s="2656"/>
      <c r="AW1770" s="2656"/>
      <c r="AX1770" s="2656"/>
      <c r="AY1770" s="2656"/>
      <c r="AZ1770" s="2656"/>
      <c r="BA1770" s="2656"/>
      <c r="BB1770" s="2656"/>
      <c r="BC1770" s="2656"/>
      <c r="BD1770" s="2656"/>
      <c r="BE1770" s="2656"/>
      <c r="BF1770" s="2656"/>
      <c r="BG1770" s="2656"/>
      <c r="BH1770" s="2656"/>
      <c r="BI1770" s="2656"/>
    </row>
    <row r="1771" spans="1:61" ht="24.75" customHeight="1">
      <c r="A1771" s="3375"/>
      <c r="B1771" s="2646"/>
      <c r="C1771" s="2647"/>
      <c r="D1771" s="2646"/>
      <c r="E1771" s="3013"/>
      <c r="F1771" s="2655"/>
      <c r="G1771" s="2596"/>
      <c r="H1771" s="4138"/>
      <c r="I1771" s="3375"/>
      <c r="J1771" s="2648"/>
      <c r="K1771" s="3147"/>
      <c r="L1771" s="2785"/>
      <c r="M1771" s="2695"/>
      <c r="N1771" s="2649"/>
      <c r="O1771" s="2655"/>
      <c r="P1771" s="2651"/>
      <c r="Q1771" s="3440"/>
      <c r="R1771" s="3553"/>
      <c r="S1771" s="1407"/>
      <c r="T1771" s="3375"/>
      <c r="U1771" s="2648"/>
      <c r="V1771" s="3554"/>
      <c r="W1771" s="3150"/>
      <c r="X1771" s="2656"/>
      <c r="Y1771" s="2656"/>
      <c r="Z1771" s="2656"/>
      <c r="AA1771" s="2656"/>
      <c r="AB1771" s="2656"/>
      <c r="AC1771" s="2656"/>
      <c r="AD1771" s="2656"/>
      <c r="AE1771" s="2656"/>
      <c r="AF1771" s="2656"/>
      <c r="AG1771" s="2656"/>
      <c r="AH1771" s="2656"/>
      <c r="AI1771" s="2656"/>
      <c r="AJ1771" s="2656"/>
      <c r="AK1771" s="2656"/>
      <c r="AL1771" s="2656"/>
      <c r="AM1771" s="2656"/>
      <c r="AN1771" s="2656"/>
      <c r="AO1771" s="2656"/>
      <c r="AP1771" s="2656"/>
      <c r="AQ1771" s="2656"/>
      <c r="AR1771" s="2656"/>
      <c r="AS1771" s="2656"/>
      <c r="AT1771" s="2656"/>
      <c r="AU1771" s="2656"/>
      <c r="AV1771" s="2656"/>
      <c r="AW1771" s="2656"/>
      <c r="AX1771" s="2656"/>
      <c r="AY1771" s="2656"/>
      <c r="AZ1771" s="2656"/>
      <c r="BA1771" s="2656"/>
      <c r="BB1771" s="2656"/>
      <c r="BC1771" s="2656"/>
      <c r="BD1771" s="2656"/>
      <c r="BE1771" s="2656"/>
      <c r="BF1771" s="2656"/>
      <c r="BG1771" s="2656"/>
      <c r="BH1771" s="2656"/>
      <c r="BI1771" s="2656"/>
    </row>
  </sheetData>
  <mergeCells count="5">
    <mergeCell ref="W393:W396"/>
    <mergeCell ref="Y710:Y713"/>
    <mergeCell ref="N915:N916"/>
    <mergeCell ref="N917:N918"/>
    <mergeCell ref="L950:L952"/>
  </mergeCells>
  <conditionalFormatting sqref="A176:AR176">
    <cfRule type="expression" dxfId="76" priority="1">
      <formula>TRUE</formula>
    </cfRule>
  </conditionalFormatting>
  <conditionalFormatting sqref="A206:AR206">
    <cfRule type="expression" dxfId="75" priority="2">
      <formula>TRUE</formula>
    </cfRule>
  </conditionalFormatting>
  <conditionalFormatting sqref="O621:O626 O637">
    <cfRule type="notContainsBlanks" dxfId="74" priority="3">
      <formula>LEN(TRIM(O621))&gt;0</formula>
    </cfRule>
  </conditionalFormatting>
  <pageMargins left="0.75" right="0.75" top="1" bottom="1" header="0.5" footer="0.5"/>
  <drawing r:id="rId1"/>
  <legacyDrawing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884"/>
  <sheetViews>
    <sheetView tabSelected="1" workbookViewId="0">
      <pane xSplit="2" ySplit="1" topLeftCell="L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baseColWidth="10" defaultColWidth="14.5" defaultRowHeight="12.75" customHeight="1" x14ac:dyDescent="0"/>
  <cols>
    <col min="1" max="1" width="6.1640625" customWidth="1"/>
    <col min="2" max="2" width="54.1640625" customWidth="1"/>
    <col min="3" max="3" width="5.1640625" customWidth="1"/>
    <col min="4" max="4" width="24.1640625" customWidth="1"/>
    <col min="5" max="5" width="7.1640625" hidden="1" customWidth="1"/>
    <col min="6" max="6" width="5.6640625" hidden="1" customWidth="1"/>
    <col min="7" max="7" width="14.1640625" hidden="1" customWidth="1"/>
    <col min="8" max="8" width="29.5" hidden="1" customWidth="1"/>
    <col min="9" max="9" width="21.33203125" customWidth="1"/>
    <col min="10" max="10" width="21.83203125" customWidth="1"/>
    <col min="11" max="11" width="17.83203125" customWidth="1"/>
    <col min="12" max="12" width="16.5" customWidth="1"/>
    <col min="13" max="13" width="7.1640625" customWidth="1"/>
    <col min="14" max="14" width="49.1640625" customWidth="1"/>
    <col min="15" max="15" width="17.33203125" customWidth="1"/>
    <col min="16" max="16" width="53.1640625" customWidth="1"/>
    <col min="17" max="17" width="22.5" customWidth="1"/>
    <col min="18" max="23" width="17.33203125" customWidth="1"/>
  </cols>
  <sheetData>
    <row r="1" spans="1:23" ht="36">
      <c r="A1" s="2"/>
      <c r="B1" s="16" t="s">
        <v>2</v>
      </c>
      <c r="C1" s="18"/>
      <c r="D1" s="16" t="s">
        <v>31</v>
      </c>
      <c r="E1" s="21" t="s">
        <v>34</v>
      </c>
      <c r="F1" s="16" t="s">
        <v>36</v>
      </c>
      <c r="G1" s="16" t="s">
        <v>37</v>
      </c>
      <c r="H1" s="16" t="s">
        <v>38</v>
      </c>
      <c r="I1" s="16" t="s">
        <v>39</v>
      </c>
      <c r="J1" s="16" t="s">
        <v>40</v>
      </c>
      <c r="K1" s="2" t="s">
        <v>41</v>
      </c>
      <c r="L1" s="16" t="s">
        <v>42</v>
      </c>
      <c r="M1" s="16" t="s">
        <v>43</v>
      </c>
      <c r="N1" s="16" t="s">
        <v>44</v>
      </c>
      <c r="O1" s="16" t="s">
        <v>45</v>
      </c>
      <c r="P1" s="16" t="s">
        <v>46</v>
      </c>
      <c r="Q1" s="18"/>
      <c r="R1" s="18"/>
      <c r="S1" s="18"/>
      <c r="T1" s="18"/>
      <c r="U1" s="18"/>
      <c r="V1" s="18"/>
      <c r="W1" s="18"/>
    </row>
    <row r="2" spans="1:23" ht="1.5" customHeight="1">
      <c r="A2" s="16">
        <v>1</v>
      </c>
      <c r="B2" s="50" t="s">
        <v>49</v>
      </c>
      <c r="E2" s="52"/>
      <c r="J2" s="50" t="s">
        <v>79</v>
      </c>
      <c r="K2" s="50" t="s">
        <v>80</v>
      </c>
      <c r="L2" s="50" t="s">
        <v>81</v>
      </c>
      <c r="M2" s="50">
        <v>1</v>
      </c>
      <c r="N2" s="50" t="s">
        <v>82</v>
      </c>
      <c r="O2" s="50" t="s">
        <v>83</v>
      </c>
      <c r="P2" s="50" t="s">
        <v>84</v>
      </c>
      <c r="U2" s="54" t="s">
        <v>85</v>
      </c>
    </row>
    <row r="3" spans="1:23" ht="1.5" customHeight="1">
      <c r="A3" s="16">
        <v>2</v>
      </c>
      <c r="B3" s="50" t="s">
        <v>87</v>
      </c>
      <c r="E3" s="52"/>
      <c r="J3" s="50" t="s">
        <v>89</v>
      </c>
      <c r="K3" s="50" t="s">
        <v>90</v>
      </c>
      <c r="L3" s="50" t="s">
        <v>81</v>
      </c>
      <c r="M3" s="50">
        <v>1</v>
      </c>
      <c r="N3" s="50" t="s">
        <v>91</v>
      </c>
      <c r="O3" s="50" t="s">
        <v>92</v>
      </c>
      <c r="P3" s="50">
        <v>1.25</v>
      </c>
    </row>
    <row r="4" spans="1:23" ht="1.5" customHeight="1">
      <c r="A4" s="16">
        <v>3</v>
      </c>
      <c r="B4" s="50" t="s">
        <v>93</v>
      </c>
      <c r="E4" s="52"/>
      <c r="J4" s="50" t="s">
        <v>94</v>
      </c>
      <c r="K4" s="50" t="s">
        <v>95</v>
      </c>
      <c r="L4" s="50" t="s">
        <v>96</v>
      </c>
      <c r="M4" s="50">
        <v>1</v>
      </c>
      <c r="N4" s="50" t="s">
        <v>82</v>
      </c>
      <c r="O4" s="50" t="s">
        <v>97</v>
      </c>
      <c r="P4" s="50">
        <v>0.34</v>
      </c>
    </row>
    <row r="5" spans="1:23" ht="1.5" customHeight="1">
      <c r="A5" s="16">
        <v>4</v>
      </c>
      <c r="B5" s="50"/>
      <c r="E5" s="52"/>
      <c r="J5" s="50" t="s">
        <v>98</v>
      </c>
      <c r="K5" s="50" t="s">
        <v>95</v>
      </c>
      <c r="L5" s="50" t="s">
        <v>99</v>
      </c>
      <c r="M5" s="50">
        <v>1</v>
      </c>
      <c r="N5" s="50" t="s">
        <v>82</v>
      </c>
      <c r="O5" s="50" t="s">
        <v>100</v>
      </c>
      <c r="P5" s="50">
        <v>0.8</v>
      </c>
    </row>
    <row r="6" spans="1:23" ht="1.5" customHeight="1">
      <c r="A6" s="16">
        <v>5</v>
      </c>
      <c r="B6" s="50" t="s">
        <v>101</v>
      </c>
      <c r="E6" s="52"/>
      <c r="J6" s="50" t="s">
        <v>102</v>
      </c>
      <c r="K6" s="50" t="s">
        <v>80</v>
      </c>
      <c r="L6" s="50" t="s">
        <v>99</v>
      </c>
      <c r="M6" s="50">
        <v>1</v>
      </c>
      <c r="N6" s="50" t="s">
        <v>82</v>
      </c>
      <c r="O6" s="50" t="s">
        <v>106</v>
      </c>
      <c r="P6" s="50">
        <v>0.18</v>
      </c>
    </row>
    <row r="7" spans="1:23" ht="1.5" customHeight="1">
      <c r="A7" s="16">
        <v>6</v>
      </c>
      <c r="B7" s="50" t="s">
        <v>107</v>
      </c>
      <c r="E7" s="52"/>
      <c r="J7" s="50" t="s">
        <v>108</v>
      </c>
      <c r="K7" s="50" t="s">
        <v>95</v>
      </c>
      <c r="L7" s="50" t="s">
        <v>96</v>
      </c>
      <c r="M7" s="50">
        <v>1</v>
      </c>
      <c r="N7" s="50" t="s">
        <v>82</v>
      </c>
      <c r="O7" s="50" t="s">
        <v>109</v>
      </c>
      <c r="P7" s="50">
        <v>0.28999999999999998</v>
      </c>
    </row>
    <row r="8" spans="1:23" ht="1.5" customHeight="1">
      <c r="A8" s="16">
        <v>7</v>
      </c>
      <c r="B8" s="50" t="s">
        <v>110</v>
      </c>
      <c r="E8" s="52"/>
      <c r="J8" s="50" t="s">
        <v>82</v>
      </c>
      <c r="K8" s="50" t="s">
        <v>95</v>
      </c>
      <c r="L8" s="50" t="s">
        <v>111</v>
      </c>
      <c r="M8" s="50" t="s">
        <v>82</v>
      </c>
      <c r="N8" s="50" t="s">
        <v>112</v>
      </c>
      <c r="O8" s="50" t="s">
        <v>113</v>
      </c>
      <c r="P8" s="50">
        <v>0.46</v>
      </c>
    </row>
    <row r="9" spans="1:23" ht="1.5" customHeight="1">
      <c r="A9" s="16">
        <v>8</v>
      </c>
      <c r="B9" s="50" t="s">
        <v>114</v>
      </c>
      <c r="E9" s="52"/>
      <c r="J9" s="50" t="s">
        <v>115</v>
      </c>
      <c r="K9" s="50" t="s">
        <v>95</v>
      </c>
      <c r="L9" s="50" t="s">
        <v>116</v>
      </c>
      <c r="M9" s="50">
        <v>1</v>
      </c>
      <c r="N9" s="50" t="s">
        <v>82</v>
      </c>
      <c r="O9" s="50" t="s">
        <v>117</v>
      </c>
      <c r="P9" s="50">
        <v>0.48499999999999999</v>
      </c>
    </row>
    <row r="10" spans="1:23" ht="1.5" customHeight="1">
      <c r="A10" s="16">
        <v>9</v>
      </c>
      <c r="B10" s="50" t="s">
        <v>118</v>
      </c>
      <c r="E10" s="52"/>
      <c r="J10" s="50" t="s">
        <v>119</v>
      </c>
      <c r="K10" s="50" t="s">
        <v>120</v>
      </c>
      <c r="L10" s="50" t="s">
        <v>121</v>
      </c>
      <c r="M10" s="50">
        <v>1</v>
      </c>
      <c r="N10" s="50" t="s">
        <v>82</v>
      </c>
      <c r="O10" s="50" t="s">
        <v>122</v>
      </c>
      <c r="P10" s="50">
        <v>0.38</v>
      </c>
    </row>
    <row r="11" spans="1:23" ht="1.5" customHeight="1">
      <c r="A11" s="16">
        <v>10</v>
      </c>
      <c r="B11" s="50" t="s">
        <v>123</v>
      </c>
      <c r="E11" s="52"/>
      <c r="J11" s="50" t="s">
        <v>82</v>
      </c>
      <c r="K11" s="50" t="s">
        <v>82</v>
      </c>
      <c r="L11" s="50" t="s">
        <v>121</v>
      </c>
      <c r="M11" s="50">
        <v>1</v>
      </c>
      <c r="N11" s="50" t="s">
        <v>82</v>
      </c>
      <c r="O11" s="50" t="s">
        <v>124</v>
      </c>
      <c r="P11" s="50">
        <v>0.69</v>
      </c>
    </row>
    <row r="12" spans="1:23" ht="1.5" customHeight="1">
      <c r="A12" s="16">
        <v>11</v>
      </c>
      <c r="B12" s="50" t="s">
        <v>125</v>
      </c>
      <c r="D12" s="50" t="s">
        <v>126</v>
      </c>
      <c r="E12" s="52"/>
      <c r="J12" s="50" t="s">
        <v>127</v>
      </c>
      <c r="K12" s="50" t="s">
        <v>128</v>
      </c>
      <c r="L12" s="50" t="s">
        <v>129</v>
      </c>
      <c r="M12" s="50" t="s">
        <v>82</v>
      </c>
      <c r="N12" s="50" t="s">
        <v>82</v>
      </c>
      <c r="O12" s="50" t="s">
        <v>130</v>
      </c>
      <c r="P12" s="50">
        <v>0.68</v>
      </c>
    </row>
    <row r="13" spans="1:23" ht="1.5" customHeight="1">
      <c r="A13" s="16">
        <v>12</v>
      </c>
      <c r="B13" s="50" t="s">
        <v>131</v>
      </c>
      <c r="E13" s="52"/>
      <c r="J13" s="50" t="s">
        <v>132</v>
      </c>
      <c r="K13" s="50" t="s">
        <v>90</v>
      </c>
      <c r="L13" s="50" t="s">
        <v>121</v>
      </c>
      <c r="M13" s="50">
        <v>1</v>
      </c>
      <c r="N13" s="50" t="s">
        <v>133</v>
      </c>
      <c r="O13" s="50" t="s">
        <v>134</v>
      </c>
      <c r="P13" s="50">
        <v>0.73</v>
      </c>
    </row>
    <row r="14" spans="1:23" ht="1.5" customHeight="1">
      <c r="A14" s="16">
        <v>13</v>
      </c>
      <c r="B14" s="50" t="s">
        <v>136</v>
      </c>
      <c r="C14" s="50" t="s">
        <v>137</v>
      </c>
      <c r="E14" s="62" t="s">
        <v>138</v>
      </c>
      <c r="J14" s="50" t="s">
        <v>141</v>
      </c>
      <c r="K14" s="50" t="s">
        <v>142</v>
      </c>
      <c r="L14" s="50" t="s">
        <v>96</v>
      </c>
      <c r="M14" s="50">
        <v>1</v>
      </c>
      <c r="N14" s="50" t="s">
        <v>144</v>
      </c>
      <c r="O14" s="50" t="s">
        <v>145</v>
      </c>
      <c r="P14" s="50">
        <v>0.46</v>
      </c>
    </row>
    <row r="15" spans="1:23" ht="1.5" customHeight="1">
      <c r="A15" s="16">
        <v>14</v>
      </c>
      <c r="B15" s="50" t="s">
        <v>147</v>
      </c>
      <c r="E15" s="52"/>
      <c r="J15" s="50" t="s">
        <v>141</v>
      </c>
      <c r="K15" s="50" t="s">
        <v>148</v>
      </c>
      <c r="L15" s="50" t="s">
        <v>129</v>
      </c>
      <c r="M15" s="50" t="s">
        <v>82</v>
      </c>
      <c r="N15" s="54" t="s">
        <v>149</v>
      </c>
      <c r="O15" s="50" t="s">
        <v>150</v>
      </c>
      <c r="P15" s="50">
        <v>0.56000000000000005</v>
      </c>
    </row>
    <row r="16" spans="1:23" ht="1.5" customHeight="1">
      <c r="A16" s="16">
        <v>15</v>
      </c>
      <c r="B16" s="50" t="s">
        <v>151</v>
      </c>
      <c r="E16" s="52"/>
      <c r="J16" s="50" t="s">
        <v>141</v>
      </c>
      <c r="K16" s="50" t="s">
        <v>152</v>
      </c>
      <c r="L16" s="50" t="s">
        <v>82</v>
      </c>
      <c r="M16" s="50">
        <v>1</v>
      </c>
      <c r="N16" s="50" t="s">
        <v>82</v>
      </c>
      <c r="O16" s="50" t="s">
        <v>154</v>
      </c>
      <c r="P16" s="50">
        <v>0.28000000000000003</v>
      </c>
    </row>
    <row r="17" spans="1:16" ht="1.5" customHeight="1">
      <c r="A17" s="16">
        <v>16</v>
      </c>
      <c r="B17" s="50" t="s">
        <v>157</v>
      </c>
      <c r="E17" s="52"/>
      <c r="J17" s="50" t="s">
        <v>141</v>
      </c>
      <c r="K17" s="50" t="s">
        <v>82</v>
      </c>
      <c r="L17" s="50" t="s">
        <v>159</v>
      </c>
      <c r="M17" s="50">
        <v>1</v>
      </c>
      <c r="N17" s="50" t="s">
        <v>82</v>
      </c>
      <c r="O17" s="50" t="s">
        <v>154</v>
      </c>
      <c r="P17" s="50">
        <v>0.46400000000000002</v>
      </c>
    </row>
    <row r="18" spans="1:16" ht="1.5" customHeight="1">
      <c r="A18" s="16">
        <v>17</v>
      </c>
      <c r="B18" s="50" t="s">
        <v>163</v>
      </c>
      <c r="E18" s="52"/>
      <c r="J18" s="50" t="s">
        <v>165</v>
      </c>
      <c r="K18" s="54" t="s">
        <v>167</v>
      </c>
      <c r="L18" s="50" t="s">
        <v>129</v>
      </c>
      <c r="M18" s="50">
        <v>1</v>
      </c>
      <c r="N18" s="50" t="s">
        <v>170</v>
      </c>
      <c r="O18" s="50" t="s">
        <v>171</v>
      </c>
      <c r="P18" s="50">
        <v>0.5</v>
      </c>
    </row>
    <row r="19" spans="1:16" ht="1.5" customHeight="1">
      <c r="A19" s="16">
        <v>18</v>
      </c>
      <c r="B19" s="50" t="s">
        <v>172</v>
      </c>
      <c r="E19" s="52"/>
      <c r="J19" s="50" t="s">
        <v>71</v>
      </c>
      <c r="K19" s="50" t="s">
        <v>148</v>
      </c>
      <c r="L19" s="50" t="s">
        <v>129</v>
      </c>
      <c r="M19" s="50" t="s">
        <v>82</v>
      </c>
      <c r="N19" s="50" t="s">
        <v>173</v>
      </c>
      <c r="O19" s="50" t="s">
        <v>174</v>
      </c>
      <c r="P19" s="50">
        <v>0.45</v>
      </c>
    </row>
    <row r="20" spans="1:16" ht="1.5" customHeight="1">
      <c r="A20" s="16">
        <v>19</v>
      </c>
      <c r="B20" s="50" t="s">
        <v>175</v>
      </c>
      <c r="E20" s="52"/>
      <c r="J20" s="50" t="s">
        <v>176</v>
      </c>
      <c r="K20" s="50" t="s">
        <v>148</v>
      </c>
      <c r="L20" s="50" t="s">
        <v>129</v>
      </c>
      <c r="M20" s="50" t="s">
        <v>82</v>
      </c>
      <c r="N20" s="50" t="s">
        <v>173</v>
      </c>
      <c r="O20" s="50" t="s">
        <v>179</v>
      </c>
      <c r="P20" s="50">
        <v>0.64</v>
      </c>
    </row>
    <row r="21" spans="1:16" ht="1.5" customHeight="1">
      <c r="A21" s="16">
        <v>20</v>
      </c>
      <c r="B21" s="50" t="s">
        <v>180</v>
      </c>
      <c r="E21" s="52"/>
      <c r="J21" s="50" t="s">
        <v>181</v>
      </c>
      <c r="K21" s="50" t="s">
        <v>148</v>
      </c>
      <c r="L21" s="50" t="s">
        <v>129</v>
      </c>
      <c r="M21" s="50" t="s">
        <v>82</v>
      </c>
      <c r="N21" s="50" t="s">
        <v>173</v>
      </c>
      <c r="O21" s="50" t="s">
        <v>179</v>
      </c>
      <c r="P21" s="50">
        <v>0.13</v>
      </c>
    </row>
    <row r="22" spans="1:16" ht="1.5" customHeight="1">
      <c r="A22" s="16">
        <v>21</v>
      </c>
      <c r="B22" s="50" t="s">
        <v>182</v>
      </c>
      <c r="E22" s="52"/>
      <c r="J22" s="50" t="s">
        <v>183</v>
      </c>
      <c r="K22" s="50" t="s">
        <v>148</v>
      </c>
      <c r="L22" s="50" t="s">
        <v>129</v>
      </c>
      <c r="M22" s="50" t="s">
        <v>82</v>
      </c>
      <c r="N22" s="50" t="s">
        <v>173</v>
      </c>
      <c r="O22" s="50" t="s">
        <v>179</v>
      </c>
      <c r="P22" s="50">
        <v>0.63</v>
      </c>
    </row>
    <row r="23" spans="1:16" ht="1.5" customHeight="1">
      <c r="A23" s="16">
        <v>22</v>
      </c>
      <c r="B23" s="50" t="s">
        <v>184</v>
      </c>
      <c r="D23" s="54" t="s">
        <v>185</v>
      </c>
      <c r="E23" s="52"/>
      <c r="F23" s="50">
        <v>5.8</v>
      </c>
      <c r="G23" s="50" t="s">
        <v>186</v>
      </c>
      <c r="H23" s="50" t="s">
        <v>188</v>
      </c>
      <c r="J23" s="50" t="s">
        <v>189</v>
      </c>
      <c r="K23" s="50" t="s">
        <v>148</v>
      </c>
      <c r="L23" s="50" t="s">
        <v>190</v>
      </c>
      <c r="M23" s="50" t="s">
        <v>82</v>
      </c>
      <c r="N23" s="50" t="s">
        <v>191</v>
      </c>
      <c r="O23" s="50" t="s">
        <v>193</v>
      </c>
      <c r="P23" s="50">
        <v>4.4000000000000004</v>
      </c>
    </row>
    <row r="24" spans="1:16" ht="1.5" customHeight="1">
      <c r="A24" s="16">
        <v>23</v>
      </c>
      <c r="B24" s="50" t="s">
        <v>195</v>
      </c>
      <c r="E24" s="52"/>
      <c r="J24" s="50" t="s">
        <v>198</v>
      </c>
      <c r="K24" s="50" t="s">
        <v>90</v>
      </c>
      <c r="L24" s="50" t="s">
        <v>81</v>
      </c>
      <c r="M24" s="50">
        <v>1</v>
      </c>
      <c r="N24" s="50" t="s">
        <v>82</v>
      </c>
      <c r="O24" s="50" t="s">
        <v>202</v>
      </c>
      <c r="P24" s="50">
        <v>1.98</v>
      </c>
    </row>
    <row r="25" spans="1:16" ht="1.5" customHeight="1">
      <c r="A25" s="16">
        <v>24</v>
      </c>
      <c r="B25" s="50" t="s">
        <v>204</v>
      </c>
      <c r="E25" s="52"/>
      <c r="J25" s="50" t="s">
        <v>206</v>
      </c>
      <c r="K25" s="50" t="s">
        <v>95</v>
      </c>
      <c r="L25" s="50" t="s">
        <v>129</v>
      </c>
      <c r="M25" s="50">
        <v>1</v>
      </c>
      <c r="N25" s="50" t="s">
        <v>82</v>
      </c>
      <c r="O25" s="50" t="s">
        <v>207</v>
      </c>
      <c r="P25" s="50">
        <v>4</v>
      </c>
    </row>
    <row r="26" spans="1:16" ht="1.5" customHeight="1">
      <c r="A26" s="16">
        <v>25</v>
      </c>
      <c r="B26" s="50" t="s">
        <v>208</v>
      </c>
      <c r="E26" s="52"/>
      <c r="J26" s="50" t="s">
        <v>206</v>
      </c>
      <c r="K26" s="50" t="s">
        <v>209</v>
      </c>
      <c r="L26" s="50" t="s">
        <v>210</v>
      </c>
      <c r="M26" s="50">
        <v>1</v>
      </c>
      <c r="N26" s="50" t="s">
        <v>82</v>
      </c>
      <c r="O26" s="73">
        <v>40620</v>
      </c>
      <c r="P26" s="50">
        <v>7.5999999999999998E-2</v>
      </c>
    </row>
    <row r="27" spans="1:16" ht="1.5" customHeight="1">
      <c r="A27" s="16">
        <v>26</v>
      </c>
      <c r="B27" s="50" t="s">
        <v>221</v>
      </c>
      <c r="E27" s="52"/>
      <c r="J27" s="50" t="s">
        <v>223</v>
      </c>
      <c r="K27" s="50" t="s">
        <v>209</v>
      </c>
      <c r="L27" s="50" t="s">
        <v>210</v>
      </c>
      <c r="M27" s="50">
        <v>1</v>
      </c>
      <c r="N27" s="50" t="s">
        <v>82</v>
      </c>
      <c r="O27" s="73">
        <v>40620</v>
      </c>
      <c r="P27" s="50">
        <v>6.7000000000000004E-2</v>
      </c>
    </row>
    <row r="28" spans="1:16" ht="1.5" customHeight="1">
      <c r="A28" s="16">
        <v>27</v>
      </c>
      <c r="B28" s="50" t="s">
        <v>227</v>
      </c>
      <c r="E28" s="52"/>
      <c r="J28" s="50" t="s">
        <v>82</v>
      </c>
      <c r="K28" s="50" t="s">
        <v>209</v>
      </c>
      <c r="L28" s="50" t="s">
        <v>121</v>
      </c>
      <c r="M28" s="50">
        <v>1</v>
      </c>
      <c r="N28" s="50" t="s">
        <v>228</v>
      </c>
      <c r="O28" s="73">
        <v>40631</v>
      </c>
      <c r="P28" s="50">
        <v>0.43</v>
      </c>
    </row>
    <row r="29" spans="1:16" ht="1.5" customHeight="1">
      <c r="A29" s="16">
        <v>28</v>
      </c>
      <c r="B29" s="54" t="s">
        <v>229</v>
      </c>
      <c r="E29" s="52"/>
      <c r="J29" s="50" t="s">
        <v>181</v>
      </c>
      <c r="K29" s="50" t="s">
        <v>82</v>
      </c>
      <c r="L29" s="50" t="s">
        <v>230</v>
      </c>
      <c r="M29" s="50">
        <v>2</v>
      </c>
      <c r="N29" s="50" t="s">
        <v>82</v>
      </c>
      <c r="O29" s="73">
        <v>40779</v>
      </c>
      <c r="P29" s="50">
        <v>0.39</v>
      </c>
    </row>
    <row r="30" spans="1:16" ht="1.5" customHeight="1">
      <c r="A30" s="16">
        <v>29</v>
      </c>
      <c r="B30" s="50" t="s">
        <v>231</v>
      </c>
      <c r="E30" s="52"/>
      <c r="J30" s="50" t="s">
        <v>232</v>
      </c>
      <c r="K30" s="50" t="s">
        <v>233</v>
      </c>
      <c r="L30" s="50" t="s">
        <v>230</v>
      </c>
      <c r="M30" s="50">
        <v>2</v>
      </c>
      <c r="N30" s="50" t="s">
        <v>82</v>
      </c>
      <c r="O30" s="50" t="s">
        <v>234</v>
      </c>
      <c r="P30" s="50">
        <v>0.82</v>
      </c>
    </row>
    <row r="31" spans="1:16" ht="1.5" customHeight="1">
      <c r="A31" s="16">
        <v>30</v>
      </c>
      <c r="B31" s="50" t="s">
        <v>235</v>
      </c>
      <c r="E31" s="52"/>
      <c r="J31" s="50" t="s">
        <v>232</v>
      </c>
      <c r="K31" s="50" t="s">
        <v>233</v>
      </c>
      <c r="L31" s="50" t="s">
        <v>230</v>
      </c>
      <c r="M31" s="50" t="s">
        <v>82</v>
      </c>
      <c r="N31" s="50" t="s">
        <v>82</v>
      </c>
      <c r="O31" s="50" t="s">
        <v>236</v>
      </c>
      <c r="P31" s="50">
        <v>0.2</v>
      </c>
    </row>
    <row r="32" spans="1:16" ht="1.5" customHeight="1">
      <c r="A32" s="16">
        <v>31</v>
      </c>
      <c r="B32" s="50" t="s">
        <v>237</v>
      </c>
      <c r="E32" s="52"/>
      <c r="F32" s="50">
        <v>11.6</v>
      </c>
      <c r="K32" s="50" t="s">
        <v>238</v>
      </c>
      <c r="L32" s="50" t="s">
        <v>129</v>
      </c>
      <c r="M32" s="50">
        <v>3</v>
      </c>
      <c r="O32" s="50" t="s">
        <v>239</v>
      </c>
      <c r="P32" s="50">
        <v>1.32</v>
      </c>
    </row>
    <row r="33" spans="1:23" ht="1.5" customHeight="1">
      <c r="A33" s="16">
        <v>32</v>
      </c>
      <c r="B33" s="50" t="s">
        <v>240</v>
      </c>
      <c r="E33" s="52"/>
      <c r="J33" s="50" t="s">
        <v>241</v>
      </c>
      <c r="K33" s="50" t="s">
        <v>95</v>
      </c>
      <c r="L33" s="50" t="s">
        <v>121</v>
      </c>
      <c r="M33" s="50">
        <v>2</v>
      </c>
      <c r="N33" s="50" t="s">
        <v>82</v>
      </c>
      <c r="O33" s="50" t="s">
        <v>243</v>
      </c>
      <c r="P33" s="50">
        <v>0.4</v>
      </c>
    </row>
    <row r="34" spans="1:23" ht="1.5" customHeight="1">
      <c r="A34" s="77">
        <v>33</v>
      </c>
      <c r="B34" s="79" t="s">
        <v>245</v>
      </c>
      <c r="C34" s="80"/>
      <c r="D34" s="80"/>
      <c r="E34" s="52"/>
      <c r="F34" s="80"/>
      <c r="G34" s="79" t="s">
        <v>246</v>
      </c>
      <c r="H34" s="79" t="s">
        <v>247</v>
      </c>
      <c r="I34" s="80"/>
      <c r="J34" s="79" t="s">
        <v>248</v>
      </c>
      <c r="K34" s="79" t="s">
        <v>209</v>
      </c>
      <c r="L34" s="79" t="s">
        <v>96</v>
      </c>
      <c r="M34" s="79" t="s">
        <v>82</v>
      </c>
      <c r="N34" s="79" t="s">
        <v>249</v>
      </c>
      <c r="O34" s="79" t="s">
        <v>250</v>
      </c>
      <c r="P34" s="79" t="s">
        <v>251</v>
      </c>
      <c r="Q34" s="80"/>
      <c r="R34" s="80"/>
      <c r="S34" s="80"/>
      <c r="T34" s="80"/>
      <c r="U34" s="80"/>
      <c r="V34" s="80"/>
      <c r="W34" s="80"/>
    </row>
    <row r="35" spans="1:23" ht="1.5" customHeight="1">
      <c r="A35" s="16">
        <v>34</v>
      </c>
      <c r="B35" s="50" t="s">
        <v>252</v>
      </c>
      <c r="E35" s="52"/>
      <c r="J35" s="50" t="s">
        <v>253</v>
      </c>
      <c r="K35" s="50" t="s">
        <v>95</v>
      </c>
      <c r="L35" s="50" t="s">
        <v>210</v>
      </c>
      <c r="M35" s="50">
        <v>2</v>
      </c>
      <c r="N35" s="50" t="s">
        <v>82</v>
      </c>
      <c r="O35" s="50" t="s">
        <v>254</v>
      </c>
      <c r="P35" s="50">
        <v>0.47</v>
      </c>
    </row>
    <row r="36" spans="1:23" ht="1.5" customHeight="1">
      <c r="A36" s="16">
        <v>35</v>
      </c>
      <c r="B36" s="50" t="s">
        <v>255</v>
      </c>
      <c r="E36" s="52"/>
      <c r="J36" s="50" t="s">
        <v>82</v>
      </c>
      <c r="K36" s="50" t="s">
        <v>82</v>
      </c>
      <c r="L36" s="50" t="s">
        <v>82</v>
      </c>
      <c r="M36" s="50" t="s">
        <v>82</v>
      </c>
      <c r="N36" s="50" t="s">
        <v>82</v>
      </c>
      <c r="O36" s="50" t="s">
        <v>82</v>
      </c>
      <c r="P36" s="50" t="s">
        <v>82</v>
      </c>
    </row>
    <row r="37" spans="1:23" ht="1.5" customHeight="1">
      <c r="A37" s="16">
        <v>36</v>
      </c>
      <c r="B37" s="50" t="s">
        <v>256</v>
      </c>
      <c r="E37" s="52"/>
      <c r="J37" s="50" t="s">
        <v>82</v>
      </c>
      <c r="K37" s="50" t="s">
        <v>95</v>
      </c>
      <c r="L37" s="50" t="s">
        <v>99</v>
      </c>
      <c r="M37" s="50">
        <v>2</v>
      </c>
      <c r="N37" s="50" t="s">
        <v>82</v>
      </c>
      <c r="O37" s="50" t="s">
        <v>257</v>
      </c>
      <c r="P37" s="50">
        <v>0.51500000000000001</v>
      </c>
    </row>
    <row r="38" spans="1:23" ht="1.5" customHeight="1">
      <c r="A38" s="16">
        <v>37</v>
      </c>
      <c r="B38" s="50" t="s">
        <v>258</v>
      </c>
      <c r="E38" s="52"/>
      <c r="J38" s="50" t="s">
        <v>71</v>
      </c>
      <c r="K38" s="50" t="s">
        <v>95</v>
      </c>
      <c r="L38" s="50" t="s">
        <v>210</v>
      </c>
      <c r="M38" s="50">
        <v>2</v>
      </c>
      <c r="N38" s="50" t="s">
        <v>82</v>
      </c>
      <c r="O38" s="50" t="s">
        <v>261</v>
      </c>
      <c r="P38" s="50">
        <v>0.35</v>
      </c>
    </row>
    <row r="39" spans="1:23" ht="1.5" customHeight="1">
      <c r="A39" s="16">
        <v>38</v>
      </c>
      <c r="B39" s="50" t="s">
        <v>262</v>
      </c>
      <c r="E39" s="52"/>
      <c r="J39" s="50" t="s">
        <v>141</v>
      </c>
      <c r="K39" s="50" t="s">
        <v>263</v>
      </c>
      <c r="L39" s="50" t="s">
        <v>264</v>
      </c>
      <c r="M39" s="50">
        <v>2</v>
      </c>
      <c r="N39" s="50" t="s">
        <v>82</v>
      </c>
      <c r="O39" s="50" t="s">
        <v>265</v>
      </c>
      <c r="P39" s="50">
        <v>1.24</v>
      </c>
    </row>
    <row r="40" spans="1:23" ht="1.5" customHeight="1">
      <c r="A40" s="16">
        <v>39</v>
      </c>
      <c r="B40" s="50" t="s">
        <v>266</v>
      </c>
      <c r="E40" s="52"/>
      <c r="J40" s="50" t="s">
        <v>141</v>
      </c>
      <c r="K40" s="50" t="s">
        <v>95</v>
      </c>
      <c r="L40" s="50" t="s">
        <v>82</v>
      </c>
      <c r="M40" s="50">
        <v>2</v>
      </c>
      <c r="N40" s="50" t="s">
        <v>82</v>
      </c>
      <c r="O40" s="50" t="s">
        <v>265</v>
      </c>
      <c r="P40" s="50">
        <v>2.25</v>
      </c>
    </row>
    <row r="41" spans="1:23" ht="1.5" customHeight="1">
      <c r="A41" s="16">
        <v>40</v>
      </c>
      <c r="B41" s="50" t="s">
        <v>267</v>
      </c>
      <c r="E41" s="52"/>
      <c r="J41" s="50" t="s">
        <v>268</v>
      </c>
      <c r="K41" s="50" t="s">
        <v>209</v>
      </c>
      <c r="L41" s="50" t="s">
        <v>82</v>
      </c>
      <c r="M41" s="50" t="s">
        <v>82</v>
      </c>
      <c r="N41" s="50" t="s">
        <v>82</v>
      </c>
      <c r="O41" s="50" t="s">
        <v>269</v>
      </c>
      <c r="P41" s="50">
        <v>1.4</v>
      </c>
    </row>
    <row r="42" spans="1:23" ht="1.5" customHeight="1">
      <c r="A42" s="16">
        <v>41</v>
      </c>
      <c r="B42" s="50" t="s">
        <v>271</v>
      </c>
      <c r="E42" s="52"/>
      <c r="J42" s="50" t="s">
        <v>141</v>
      </c>
      <c r="K42" s="50" t="s">
        <v>274</v>
      </c>
      <c r="L42" s="50" t="s">
        <v>151</v>
      </c>
      <c r="M42" s="50">
        <v>2</v>
      </c>
      <c r="N42" s="50" t="s">
        <v>82</v>
      </c>
      <c r="O42" s="50" t="s">
        <v>276</v>
      </c>
      <c r="P42" s="50">
        <v>0.3</v>
      </c>
    </row>
    <row r="43" spans="1:23" ht="1.5" customHeight="1">
      <c r="A43" s="16">
        <v>42</v>
      </c>
      <c r="B43" s="50" t="s">
        <v>278</v>
      </c>
      <c r="E43" s="52"/>
      <c r="J43" s="50" t="s">
        <v>165</v>
      </c>
      <c r="K43" s="50" t="s">
        <v>95</v>
      </c>
      <c r="L43" s="50" t="s">
        <v>281</v>
      </c>
      <c r="M43" s="50">
        <v>2</v>
      </c>
      <c r="N43" s="50" t="s">
        <v>82</v>
      </c>
      <c r="O43" s="50" t="s">
        <v>283</v>
      </c>
      <c r="P43" s="50">
        <v>0.35</v>
      </c>
    </row>
    <row r="44" spans="1:23" ht="1.5" customHeight="1">
      <c r="A44" s="16">
        <v>43</v>
      </c>
      <c r="B44" s="50" t="s">
        <v>284</v>
      </c>
      <c r="E44" s="52"/>
      <c r="J44" s="50" t="s">
        <v>141</v>
      </c>
      <c r="K44" s="50" t="s">
        <v>286</v>
      </c>
      <c r="L44" s="50" t="s">
        <v>210</v>
      </c>
      <c r="M44" s="50">
        <v>2</v>
      </c>
      <c r="N44" s="50" t="s">
        <v>291</v>
      </c>
      <c r="O44" s="50" t="s">
        <v>293</v>
      </c>
      <c r="P44" s="50">
        <v>0.39</v>
      </c>
    </row>
    <row r="45" spans="1:23" ht="1.5" customHeight="1">
      <c r="A45" s="16">
        <v>44</v>
      </c>
      <c r="B45" s="50" t="s">
        <v>295</v>
      </c>
      <c r="E45" s="52"/>
      <c r="J45" s="50" t="s">
        <v>141</v>
      </c>
      <c r="K45" s="50" t="s">
        <v>286</v>
      </c>
      <c r="L45" s="50" t="s">
        <v>121</v>
      </c>
      <c r="M45" s="50">
        <v>2</v>
      </c>
      <c r="N45" s="50" t="s">
        <v>82</v>
      </c>
      <c r="O45" s="50" t="s">
        <v>296</v>
      </c>
      <c r="P45" s="50">
        <v>2.42</v>
      </c>
    </row>
    <row r="46" spans="1:23" ht="1.5" customHeight="1">
      <c r="A46" s="16">
        <v>45</v>
      </c>
      <c r="B46" s="50" t="s">
        <v>297</v>
      </c>
      <c r="E46" s="52"/>
      <c r="J46" s="50" t="s">
        <v>141</v>
      </c>
      <c r="K46" s="50" t="s">
        <v>286</v>
      </c>
      <c r="L46" s="50" t="s">
        <v>121</v>
      </c>
      <c r="M46" s="50">
        <v>2</v>
      </c>
      <c r="N46" s="50" t="s">
        <v>82</v>
      </c>
      <c r="O46" s="50" t="s">
        <v>296</v>
      </c>
      <c r="P46" s="50">
        <v>2.2000000000000002</v>
      </c>
    </row>
    <row r="47" spans="1:23" ht="1.5" customHeight="1">
      <c r="A47" s="16">
        <v>46</v>
      </c>
      <c r="B47" s="50" t="s">
        <v>300</v>
      </c>
      <c r="E47" s="52"/>
      <c r="J47" s="50" t="s">
        <v>141</v>
      </c>
      <c r="K47" s="50" t="s">
        <v>274</v>
      </c>
      <c r="L47" s="50" t="s">
        <v>121</v>
      </c>
      <c r="M47" s="50">
        <v>2</v>
      </c>
      <c r="N47" s="50" t="s">
        <v>82</v>
      </c>
      <c r="O47" s="50" t="s">
        <v>303</v>
      </c>
      <c r="P47" s="50">
        <v>1.57</v>
      </c>
    </row>
    <row r="48" spans="1:23" ht="1.5" customHeight="1">
      <c r="A48" s="16">
        <v>47</v>
      </c>
      <c r="B48" s="50" t="s">
        <v>305</v>
      </c>
      <c r="E48" s="52"/>
      <c r="J48" s="50" t="s">
        <v>82</v>
      </c>
      <c r="K48" s="50" t="s">
        <v>82</v>
      </c>
      <c r="L48" s="50" t="s">
        <v>82</v>
      </c>
      <c r="M48" s="50" t="s">
        <v>82</v>
      </c>
      <c r="N48" s="50" t="s">
        <v>82</v>
      </c>
      <c r="O48" s="50" t="s">
        <v>308</v>
      </c>
      <c r="P48" s="50" t="s">
        <v>82</v>
      </c>
    </row>
    <row r="49" spans="1:16" ht="1.5" customHeight="1">
      <c r="A49" s="16">
        <v>48</v>
      </c>
      <c r="B49" s="50" t="s">
        <v>309</v>
      </c>
      <c r="E49" s="52"/>
      <c r="J49" s="50" t="s">
        <v>206</v>
      </c>
      <c r="K49" s="50" t="s">
        <v>209</v>
      </c>
      <c r="L49" s="50" t="s">
        <v>210</v>
      </c>
      <c r="M49" s="50">
        <v>2</v>
      </c>
      <c r="N49" s="50" t="s">
        <v>310</v>
      </c>
      <c r="O49" s="73">
        <v>40490</v>
      </c>
      <c r="P49" s="50" t="s">
        <v>141</v>
      </c>
    </row>
    <row r="50" spans="1:16" ht="1.5" customHeight="1">
      <c r="A50" s="16">
        <v>49</v>
      </c>
      <c r="B50" s="50" t="s">
        <v>311</v>
      </c>
      <c r="E50" s="52"/>
      <c r="J50" s="50" t="s">
        <v>141</v>
      </c>
      <c r="K50" s="50" t="s">
        <v>312</v>
      </c>
      <c r="L50" s="50" t="s">
        <v>210</v>
      </c>
      <c r="M50" s="50" t="s">
        <v>82</v>
      </c>
      <c r="N50" s="50" t="s">
        <v>313</v>
      </c>
      <c r="O50" s="50" t="s">
        <v>141</v>
      </c>
      <c r="P50" s="50">
        <v>1</v>
      </c>
    </row>
    <row r="51" spans="1:16" ht="1.5" customHeight="1">
      <c r="A51" s="16">
        <v>50</v>
      </c>
      <c r="B51" s="50" t="s">
        <v>314</v>
      </c>
      <c r="C51" s="50" t="s">
        <v>315</v>
      </c>
      <c r="E51" s="52"/>
      <c r="J51" s="50" t="s">
        <v>82</v>
      </c>
      <c r="K51" s="50" t="s">
        <v>82</v>
      </c>
      <c r="L51" s="50" t="s">
        <v>318</v>
      </c>
      <c r="M51" s="50">
        <v>2</v>
      </c>
      <c r="N51" s="50" t="s">
        <v>82</v>
      </c>
      <c r="O51" s="50" t="s">
        <v>82</v>
      </c>
      <c r="P51" s="50" t="s">
        <v>82</v>
      </c>
    </row>
    <row r="52" spans="1:16" ht="1.5" customHeight="1">
      <c r="A52" s="16">
        <v>51</v>
      </c>
      <c r="B52" s="50" t="s">
        <v>319</v>
      </c>
      <c r="C52" s="50" t="s">
        <v>315</v>
      </c>
      <c r="E52" s="52"/>
      <c r="J52" s="50" t="s">
        <v>82</v>
      </c>
      <c r="K52" s="50" t="s">
        <v>82</v>
      </c>
      <c r="L52" s="50" t="s">
        <v>318</v>
      </c>
      <c r="M52" s="50">
        <v>2</v>
      </c>
      <c r="N52" s="50" t="s">
        <v>82</v>
      </c>
      <c r="O52" s="50" t="s">
        <v>82</v>
      </c>
      <c r="P52" s="50" t="s">
        <v>82</v>
      </c>
    </row>
    <row r="53" spans="1:16" ht="1.5" customHeight="1">
      <c r="A53" s="16">
        <v>52</v>
      </c>
      <c r="B53" s="50" t="s">
        <v>321</v>
      </c>
      <c r="C53" s="50" t="s">
        <v>315</v>
      </c>
      <c r="E53" s="52"/>
      <c r="J53" s="50" t="s">
        <v>253</v>
      </c>
      <c r="K53" s="50" t="s">
        <v>209</v>
      </c>
      <c r="L53" s="50" t="s">
        <v>318</v>
      </c>
      <c r="M53" s="50">
        <v>2</v>
      </c>
      <c r="N53" s="50" t="s">
        <v>82</v>
      </c>
      <c r="O53" s="73">
        <v>40519</v>
      </c>
      <c r="P53" s="50">
        <v>0.2</v>
      </c>
    </row>
    <row r="54" spans="1:16" ht="1.5" customHeight="1">
      <c r="A54" s="16">
        <v>53</v>
      </c>
      <c r="B54" s="50" t="s">
        <v>326</v>
      </c>
      <c r="C54" s="50" t="s">
        <v>315</v>
      </c>
      <c r="E54" s="52"/>
      <c r="J54" s="50" t="s">
        <v>327</v>
      </c>
      <c r="K54" s="50" t="s">
        <v>209</v>
      </c>
      <c r="L54" s="50" t="s">
        <v>96</v>
      </c>
      <c r="M54" s="50">
        <v>2</v>
      </c>
      <c r="N54" s="50" t="s">
        <v>82</v>
      </c>
      <c r="O54" s="73">
        <v>40578</v>
      </c>
      <c r="P54" s="50">
        <v>4.5</v>
      </c>
    </row>
    <row r="55" spans="1:16" ht="1.5" customHeight="1">
      <c r="A55" s="16">
        <v>54</v>
      </c>
      <c r="B55" s="50" t="s">
        <v>328</v>
      </c>
      <c r="E55" s="52"/>
      <c r="J55" s="50" t="s">
        <v>141</v>
      </c>
      <c r="K55" s="50" t="s">
        <v>329</v>
      </c>
      <c r="L55" s="50" t="s">
        <v>281</v>
      </c>
      <c r="M55" s="50">
        <v>2</v>
      </c>
      <c r="N55" s="50" t="s">
        <v>82</v>
      </c>
      <c r="O55" s="50" t="s">
        <v>332</v>
      </c>
      <c r="P55" s="50">
        <v>0.219</v>
      </c>
    </row>
    <row r="56" spans="1:16" ht="1.5" customHeight="1">
      <c r="A56" s="16">
        <v>55</v>
      </c>
      <c r="B56" s="50" t="s">
        <v>333</v>
      </c>
      <c r="E56" s="52"/>
      <c r="J56" s="50" t="s">
        <v>141</v>
      </c>
      <c r="K56" s="50" t="s">
        <v>329</v>
      </c>
      <c r="L56" s="50" t="s">
        <v>281</v>
      </c>
      <c r="M56" s="50">
        <v>2</v>
      </c>
      <c r="N56" s="50" t="s">
        <v>82</v>
      </c>
      <c r="O56" s="50" t="s">
        <v>332</v>
      </c>
      <c r="P56" s="50">
        <v>0.23200000000000001</v>
      </c>
    </row>
    <row r="57" spans="1:16" ht="1.5" customHeight="1">
      <c r="A57" s="16">
        <v>56</v>
      </c>
      <c r="B57" s="50" t="s">
        <v>337</v>
      </c>
      <c r="E57" s="52"/>
      <c r="J57" s="50" t="s">
        <v>141</v>
      </c>
      <c r="K57" s="50" t="s">
        <v>329</v>
      </c>
      <c r="L57" s="50" t="s">
        <v>281</v>
      </c>
      <c r="M57" s="50">
        <v>2</v>
      </c>
      <c r="N57" s="50" t="s">
        <v>82</v>
      </c>
      <c r="O57" s="50" t="s">
        <v>332</v>
      </c>
      <c r="P57" s="50">
        <v>0.21299999999999999</v>
      </c>
    </row>
    <row r="58" spans="1:16" ht="1.5" customHeight="1">
      <c r="A58" s="16">
        <v>57</v>
      </c>
      <c r="B58" s="50" t="s">
        <v>339</v>
      </c>
      <c r="E58" s="52"/>
      <c r="J58" s="50" t="s">
        <v>340</v>
      </c>
      <c r="K58" s="50" t="s">
        <v>82</v>
      </c>
      <c r="L58" s="50" t="s">
        <v>82</v>
      </c>
      <c r="M58" s="50" t="s">
        <v>82</v>
      </c>
      <c r="N58" s="50" t="s">
        <v>82</v>
      </c>
      <c r="O58" s="50" t="s">
        <v>341</v>
      </c>
      <c r="P58" s="50">
        <v>0.45800000000000002</v>
      </c>
    </row>
    <row r="59" spans="1:16" ht="1.5" customHeight="1">
      <c r="A59" s="16">
        <v>58</v>
      </c>
      <c r="B59" s="50" t="s">
        <v>342</v>
      </c>
      <c r="E59" s="52"/>
      <c r="J59" s="50" t="s">
        <v>343</v>
      </c>
      <c r="K59" s="50" t="s">
        <v>209</v>
      </c>
      <c r="L59" s="50" t="s">
        <v>121</v>
      </c>
      <c r="M59" s="50">
        <v>3</v>
      </c>
      <c r="N59" s="50" t="s">
        <v>82</v>
      </c>
      <c r="O59" s="73">
        <v>40644</v>
      </c>
      <c r="P59" s="50">
        <v>3.7</v>
      </c>
    </row>
    <row r="60" spans="1:16" ht="1.5" customHeight="1">
      <c r="A60" s="16">
        <v>59</v>
      </c>
      <c r="B60" s="50" t="s">
        <v>346</v>
      </c>
      <c r="E60" s="52"/>
      <c r="J60" s="50" t="s">
        <v>181</v>
      </c>
      <c r="K60" s="50" t="s">
        <v>82</v>
      </c>
      <c r="L60" s="50" t="s">
        <v>281</v>
      </c>
      <c r="M60" s="50">
        <v>3</v>
      </c>
      <c r="N60" s="50" t="s">
        <v>82</v>
      </c>
      <c r="O60" s="73">
        <v>40682</v>
      </c>
      <c r="P60" s="50">
        <v>0.09</v>
      </c>
    </row>
    <row r="61" spans="1:16" ht="1.5" customHeight="1">
      <c r="A61" s="16">
        <v>60</v>
      </c>
      <c r="B61" s="50" t="s">
        <v>348</v>
      </c>
      <c r="E61" s="52"/>
      <c r="J61" s="50" t="s">
        <v>141</v>
      </c>
      <c r="K61" s="50" t="s">
        <v>274</v>
      </c>
      <c r="L61" s="50" t="s">
        <v>81</v>
      </c>
      <c r="M61" s="50">
        <v>3</v>
      </c>
      <c r="N61" s="50" t="s">
        <v>82</v>
      </c>
      <c r="O61" s="50" t="s">
        <v>349</v>
      </c>
      <c r="P61" s="50">
        <v>1.89</v>
      </c>
    </row>
    <row r="62" spans="1:16" ht="1.5" customHeight="1">
      <c r="A62" s="16">
        <v>61</v>
      </c>
      <c r="B62" s="50" t="s">
        <v>350</v>
      </c>
      <c r="E62" s="52"/>
      <c r="J62" s="50" t="s">
        <v>352</v>
      </c>
      <c r="K62" s="50" t="s">
        <v>263</v>
      </c>
      <c r="L62" s="50" t="s">
        <v>281</v>
      </c>
      <c r="M62" s="50">
        <v>3</v>
      </c>
      <c r="N62" s="50" t="s">
        <v>353</v>
      </c>
      <c r="O62" s="50" t="s">
        <v>354</v>
      </c>
      <c r="P62" s="50">
        <v>0.2</v>
      </c>
    </row>
    <row r="63" spans="1:16" ht="1.5" customHeight="1">
      <c r="A63" s="16">
        <v>62</v>
      </c>
      <c r="B63" s="50" t="s">
        <v>355</v>
      </c>
      <c r="E63" s="52"/>
      <c r="J63" s="50" t="s">
        <v>181</v>
      </c>
      <c r="K63" s="50" t="s">
        <v>209</v>
      </c>
      <c r="L63" s="50" t="s">
        <v>281</v>
      </c>
      <c r="M63" s="50">
        <v>3</v>
      </c>
      <c r="N63" s="50" t="s">
        <v>356</v>
      </c>
      <c r="O63" s="73">
        <v>40683</v>
      </c>
      <c r="P63" s="50">
        <v>0.21</v>
      </c>
    </row>
    <row r="64" spans="1:16" ht="1.5" customHeight="1">
      <c r="A64" s="16">
        <v>63</v>
      </c>
      <c r="B64" s="50" t="s">
        <v>357</v>
      </c>
      <c r="E64" s="52"/>
      <c r="J64" s="50" t="s">
        <v>82</v>
      </c>
      <c r="K64" s="50" t="s">
        <v>82</v>
      </c>
      <c r="L64" s="50" t="s">
        <v>82</v>
      </c>
      <c r="M64" s="50" t="s">
        <v>82</v>
      </c>
      <c r="N64" s="50" t="s">
        <v>82</v>
      </c>
      <c r="O64" s="73">
        <v>40683</v>
      </c>
      <c r="P64" s="50">
        <v>0.48</v>
      </c>
    </row>
    <row r="65" spans="1:16" ht="1.5" customHeight="1">
      <c r="A65" s="16">
        <v>64</v>
      </c>
      <c r="B65" s="50" t="s">
        <v>358</v>
      </c>
      <c r="E65" s="52"/>
      <c r="J65" s="50" t="s">
        <v>359</v>
      </c>
      <c r="K65" s="50" t="s">
        <v>90</v>
      </c>
      <c r="L65" s="50" t="s">
        <v>210</v>
      </c>
      <c r="M65" s="50">
        <v>3</v>
      </c>
      <c r="N65" s="50" t="s">
        <v>82</v>
      </c>
      <c r="O65" s="50" t="s">
        <v>360</v>
      </c>
      <c r="P65" s="50">
        <v>0.4</v>
      </c>
    </row>
    <row r="66" spans="1:16" ht="1.5" customHeight="1">
      <c r="A66" s="16">
        <v>65</v>
      </c>
      <c r="B66" s="50" t="s">
        <v>361</v>
      </c>
      <c r="E66" s="52"/>
      <c r="J66" s="50" t="s">
        <v>115</v>
      </c>
      <c r="K66" s="50" t="s">
        <v>209</v>
      </c>
      <c r="L66" s="50" t="s">
        <v>121</v>
      </c>
      <c r="M66" s="50">
        <v>3</v>
      </c>
      <c r="N66" s="50" t="s">
        <v>82</v>
      </c>
      <c r="O66" s="50" t="s">
        <v>362</v>
      </c>
      <c r="P66" s="50">
        <v>1.9</v>
      </c>
    </row>
    <row r="67" spans="1:16" ht="1.5" customHeight="1">
      <c r="A67" s="16">
        <v>66</v>
      </c>
      <c r="B67" s="50" t="s">
        <v>363</v>
      </c>
      <c r="E67" s="52"/>
      <c r="J67" s="50" t="s">
        <v>268</v>
      </c>
      <c r="K67" s="50" t="s">
        <v>238</v>
      </c>
      <c r="L67" s="50" t="s">
        <v>129</v>
      </c>
      <c r="M67" s="50">
        <v>2</v>
      </c>
      <c r="N67" s="50" t="s">
        <v>82</v>
      </c>
      <c r="O67" s="50" t="s">
        <v>364</v>
      </c>
      <c r="P67" s="50">
        <v>3.5</v>
      </c>
    </row>
    <row r="68" spans="1:16" ht="1.5" customHeight="1">
      <c r="A68" s="16">
        <v>67</v>
      </c>
      <c r="B68" s="50" t="s">
        <v>365</v>
      </c>
      <c r="E68" s="52"/>
      <c r="J68" s="50" t="s">
        <v>268</v>
      </c>
      <c r="K68" s="50" t="s">
        <v>238</v>
      </c>
      <c r="L68" s="50" t="s">
        <v>129</v>
      </c>
      <c r="M68" s="50">
        <v>2</v>
      </c>
      <c r="N68" s="50" t="s">
        <v>82</v>
      </c>
      <c r="O68" s="50" t="s">
        <v>364</v>
      </c>
      <c r="P68" s="50">
        <v>1</v>
      </c>
    </row>
    <row r="69" spans="1:16" ht="1.5" customHeight="1">
      <c r="A69" s="16">
        <v>68</v>
      </c>
      <c r="B69" s="50" t="s">
        <v>366</v>
      </c>
      <c r="E69" s="52"/>
      <c r="J69" s="50" t="s">
        <v>82</v>
      </c>
      <c r="K69" s="50" t="s">
        <v>367</v>
      </c>
      <c r="L69" s="50" t="s">
        <v>82</v>
      </c>
      <c r="M69" s="50" t="s">
        <v>82</v>
      </c>
      <c r="N69" s="50" t="s">
        <v>82</v>
      </c>
      <c r="O69" s="50" t="s">
        <v>368</v>
      </c>
      <c r="P69" s="50">
        <v>0.9</v>
      </c>
    </row>
    <row r="70" spans="1:16" ht="1.5" customHeight="1">
      <c r="A70" s="16">
        <v>69</v>
      </c>
      <c r="B70" s="50" t="s">
        <v>369</v>
      </c>
      <c r="C70" s="50" t="s">
        <v>137</v>
      </c>
      <c r="E70" s="52"/>
      <c r="J70" s="50" t="s">
        <v>370</v>
      </c>
      <c r="K70" s="50" t="s">
        <v>209</v>
      </c>
      <c r="L70" s="50" t="s">
        <v>82</v>
      </c>
      <c r="M70" s="50">
        <v>4</v>
      </c>
      <c r="N70" s="50" t="s">
        <v>371</v>
      </c>
      <c r="O70" s="73">
        <v>40996</v>
      </c>
      <c r="P70" s="50">
        <v>1.38</v>
      </c>
    </row>
    <row r="71" spans="1:16" ht="1.5" customHeight="1">
      <c r="A71" s="16">
        <v>70</v>
      </c>
      <c r="B71" s="50" t="s">
        <v>372</v>
      </c>
      <c r="E71" s="52"/>
      <c r="J71" s="50" t="s">
        <v>71</v>
      </c>
      <c r="K71" s="50" t="s">
        <v>209</v>
      </c>
      <c r="L71" s="50" t="s">
        <v>82</v>
      </c>
      <c r="M71" s="50">
        <v>4</v>
      </c>
      <c r="N71" s="50" t="s">
        <v>371</v>
      </c>
      <c r="O71" s="73">
        <v>40996</v>
      </c>
      <c r="P71" s="50">
        <v>1.73</v>
      </c>
    </row>
    <row r="72" spans="1:16" ht="1.5" customHeight="1">
      <c r="A72" s="16">
        <v>71</v>
      </c>
      <c r="B72" s="50" t="s">
        <v>375</v>
      </c>
      <c r="E72" s="62" t="s">
        <v>376</v>
      </c>
      <c r="J72" s="50" t="s">
        <v>82</v>
      </c>
      <c r="K72" s="50" t="s">
        <v>142</v>
      </c>
      <c r="L72" s="50" t="s">
        <v>121</v>
      </c>
      <c r="M72" s="50">
        <v>3</v>
      </c>
      <c r="N72" s="50" t="s">
        <v>82</v>
      </c>
      <c r="O72" s="50" t="s">
        <v>377</v>
      </c>
      <c r="P72" s="50" t="s">
        <v>141</v>
      </c>
    </row>
    <row r="73" spans="1:16" ht="1.5" customHeight="1">
      <c r="A73" s="16">
        <v>72</v>
      </c>
      <c r="B73" s="50" t="s">
        <v>378</v>
      </c>
      <c r="E73" s="52"/>
      <c r="J73" s="50" t="s">
        <v>82</v>
      </c>
      <c r="K73" s="50" t="s">
        <v>82</v>
      </c>
      <c r="L73" s="50" t="s">
        <v>82</v>
      </c>
      <c r="M73" s="50" t="s">
        <v>82</v>
      </c>
      <c r="N73" s="50" t="s">
        <v>82</v>
      </c>
      <c r="O73" s="50" t="s">
        <v>379</v>
      </c>
      <c r="P73" s="50" t="s">
        <v>82</v>
      </c>
    </row>
    <row r="74" spans="1:16" ht="1.5" customHeight="1">
      <c r="A74" s="16">
        <v>73</v>
      </c>
      <c r="B74" s="50" t="s">
        <v>380</v>
      </c>
      <c r="E74" s="52"/>
      <c r="J74" s="50" t="s">
        <v>141</v>
      </c>
      <c r="K74" s="50" t="s">
        <v>141</v>
      </c>
      <c r="L74" s="50" t="s">
        <v>210</v>
      </c>
      <c r="M74" s="50" t="s">
        <v>82</v>
      </c>
      <c r="N74" s="50" t="s">
        <v>381</v>
      </c>
      <c r="O74" s="50" t="s">
        <v>382</v>
      </c>
      <c r="P74" s="50">
        <v>0.47</v>
      </c>
    </row>
    <row r="75" spans="1:16" ht="1.5" customHeight="1">
      <c r="A75" s="16">
        <v>74</v>
      </c>
      <c r="B75" s="50" t="s">
        <v>383</v>
      </c>
      <c r="E75" s="52"/>
      <c r="J75" s="50" t="s">
        <v>82</v>
      </c>
      <c r="K75" s="50" t="s">
        <v>141</v>
      </c>
      <c r="L75" s="50" t="s">
        <v>81</v>
      </c>
      <c r="M75" s="50" t="s">
        <v>82</v>
      </c>
      <c r="N75" s="50" t="s">
        <v>384</v>
      </c>
      <c r="O75" s="50" t="s">
        <v>141</v>
      </c>
      <c r="P75" s="50">
        <v>0.09</v>
      </c>
    </row>
    <row r="76" spans="1:16" ht="1.5" customHeight="1">
      <c r="A76" s="16">
        <v>75</v>
      </c>
      <c r="B76" s="50" t="s">
        <v>385</v>
      </c>
      <c r="E76" s="52"/>
      <c r="J76" s="50" t="s">
        <v>206</v>
      </c>
      <c r="K76" s="50" t="s">
        <v>95</v>
      </c>
      <c r="L76" s="50" t="s">
        <v>121</v>
      </c>
      <c r="M76" s="50">
        <v>3</v>
      </c>
      <c r="N76" s="50" t="s">
        <v>82</v>
      </c>
      <c r="O76" s="50" t="s">
        <v>386</v>
      </c>
      <c r="P76" s="50">
        <v>0.56399999999999995</v>
      </c>
    </row>
    <row r="77" spans="1:16" ht="1.5" customHeight="1">
      <c r="A77" s="16">
        <v>76</v>
      </c>
      <c r="B77" s="50" t="s">
        <v>387</v>
      </c>
      <c r="E77" s="52"/>
      <c r="J77" s="50" t="s">
        <v>206</v>
      </c>
      <c r="K77" s="50" t="s">
        <v>95</v>
      </c>
      <c r="L77" s="50" t="s">
        <v>121</v>
      </c>
      <c r="M77" s="50">
        <v>1</v>
      </c>
      <c r="N77" s="50" t="s">
        <v>82</v>
      </c>
      <c r="O77" s="50" t="s">
        <v>386</v>
      </c>
      <c r="P77" s="50">
        <v>3.46</v>
      </c>
    </row>
    <row r="78" spans="1:16" ht="1.5" customHeight="1">
      <c r="A78" s="16">
        <v>77</v>
      </c>
      <c r="B78" s="50" t="s">
        <v>388</v>
      </c>
      <c r="E78" s="52"/>
      <c r="J78" s="50" t="s">
        <v>206</v>
      </c>
      <c r="K78" s="50" t="s">
        <v>95</v>
      </c>
      <c r="L78" s="50" t="s">
        <v>121</v>
      </c>
      <c r="M78" s="50">
        <v>1</v>
      </c>
      <c r="N78" s="50" t="s">
        <v>82</v>
      </c>
      <c r="O78" s="50" t="s">
        <v>389</v>
      </c>
      <c r="P78" s="50">
        <v>3.07</v>
      </c>
    </row>
    <row r="79" spans="1:16" ht="1.5" customHeight="1">
      <c r="A79" s="16">
        <v>78</v>
      </c>
      <c r="B79" s="50" t="s">
        <v>390</v>
      </c>
      <c r="E79" s="52"/>
      <c r="J79" s="50" t="s">
        <v>82</v>
      </c>
      <c r="K79" s="50" t="s">
        <v>82</v>
      </c>
      <c r="L79" s="50" t="s">
        <v>82</v>
      </c>
      <c r="M79" s="50" t="s">
        <v>82</v>
      </c>
      <c r="N79" s="50" t="s">
        <v>381</v>
      </c>
      <c r="O79" s="50" t="s">
        <v>141</v>
      </c>
      <c r="P79" s="50">
        <v>1.36</v>
      </c>
    </row>
    <row r="80" spans="1:16" ht="1.5" customHeight="1">
      <c r="A80" s="16">
        <v>79</v>
      </c>
      <c r="B80" s="50" t="s">
        <v>184</v>
      </c>
      <c r="C80" s="50" t="s">
        <v>315</v>
      </c>
      <c r="E80" s="52"/>
      <c r="J80" s="50" t="s">
        <v>391</v>
      </c>
      <c r="K80" s="50" t="s">
        <v>82</v>
      </c>
      <c r="L80" s="50" t="s">
        <v>96</v>
      </c>
      <c r="M80" s="50" t="s">
        <v>82</v>
      </c>
      <c r="N80" s="50" t="s">
        <v>392</v>
      </c>
      <c r="O80" s="73">
        <v>40504</v>
      </c>
      <c r="P80" s="50">
        <v>0.52500000000000002</v>
      </c>
    </row>
    <row r="81" spans="1:16" ht="1.5" customHeight="1">
      <c r="A81" s="16">
        <v>80</v>
      </c>
      <c r="B81" s="50" t="s">
        <v>393</v>
      </c>
      <c r="E81" s="52"/>
      <c r="J81" s="50" t="s">
        <v>206</v>
      </c>
      <c r="K81" s="50" t="s">
        <v>209</v>
      </c>
      <c r="L81" s="50" t="s">
        <v>210</v>
      </c>
      <c r="M81" s="50" t="s">
        <v>82</v>
      </c>
      <c r="N81" s="50" t="s">
        <v>82</v>
      </c>
      <c r="O81" s="73">
        <v>40620</v>
      </c>
      <c r="P81" s="50" t="s">
        <v>82</v>
      </c>
    </row>
    <row r="82" spans="1:16" ht="1.5" customHeight="1">
      <c r="A82" s="16">
        <v>81</v>
      </c>
      <c r="B82" s="50" t="s">
        <v>394</v>
      </c>
      <c r="E82" s="52"/>
      <c r="J82" s="50" t="s">
        <v>223</v>
      </c>
      <c r="K82" s="50" t="s">
        <v>209</v>
      </c>
      <c r="L82" s="50" t="s">
        <v>210</v>
      </c>
      <c r="M82" s="50" t="s">
        <v>82</v>
      </c>
      <c r="N82" s="50" t="s">
        <v>82</v>
      </c>
      <c r="O82" s="73">
        <v>40620</v>
      </c>
      <c r="P82" s="50" t="s">
        <v>82</v>
      </c>
    </row>
    <row r="83" spans="1:16" ht="1.5" customHeight="1">
      <c r="A83" s="16">
        <v>82</v>
      </c>
      <c r="B83" s="50" t="s">
        <v>395</v>
      </c>
      <c r="C83" s="50" t="s">
        <v>137</v>
      </c>
      <c r="E83" s="52"/>
      <c r="L83" s="50" t="s">
        <v>190</v>
      </c>
      <c r="N83" s="50" t="s">
        <v>396</v>
      </c>
      <c r="O83" s="50" t="s">
        <v>397</v>
      </c>
      <c r="P83" s="50">
        <v>1.3</v>
      </c>
    </row>
    <row r="84" spans="1:16" ht="1.5" customHeight="1">
      <c r="A84" s="16">
        <v>83</v>
      </c>
      <c r="B84" s="50" t="s">
        <v>398</v>
      </c>
      <c r="C84" s="50" t="s">
        <v>315</v>
      </c>
      <c r="E84" s="52"/>
      <c r="J84" s="50" t="s">
        <v>82</v>
      </c>
      <c r="K84" s="50" t="s">
        <v>52</v>
      </c>
      <c r="L84" s="50" t="s">
        <v>82</v>
      </c>
      <c r="M84" s="50" t="s">
        <v>82</v>
      </c>
      <c r="N84" s="50" t="s">
        <v>82</v>
      </c>
      <c r="O84" s="50" t="s">
        <v>82</v>
      </c>
      <c r="P84" s="50" t="s">
        <v>82</v>
      </c>
    </row>
    <row r="85" spans="1:16" ht="1.5" customHeight="1">
      <c r="A85" s="16">
        <v>84</v>
      </c>
      <c r="B85" s="50" t="s">
        <v>399</v>
      </c>
      <c r="C85" s="50" t="s">
        <v>315</v>
      </c>
      <c r="E85" s="52"/>
      <c r="G85" s="50" t="s">
        <v>400</v>
      </c>
      <c r="H85" s="50" t="s">
        <v>401</v>
      </c>
      <c r="J85" s="50" t="s">
        <v>82</v>
      </c>
      <c r="K85" s="50" t="s">
        <v>52</v>
      </c>
      <c r="L85" s="50" t="s">
        <v>82</v>
      </c>
      <c r="M85" s="50" t="s">
        <v>82</v>
      </c>
      <c r="N85" s="50" t="s">
        <v>82</v>
      </c>
      <c r="O85" s="50" t="s">
        <v>82</v>
      </c>
      <c r="P85" s="50" t="s">
        <v>82</v>
      </c>
    </row>
    <row r="86" spans="1:16" ht="1.5" customHeight="1">
      <c r="A86" s="16">
        <v>85</v>
      </c>
      <c r="B86" s="50" t="s">
        <v>402</v>
      </c>
      <c r="E86" s="52"/>
      <c r="J86" s="50" t="s">
        <v>82</v>
      </c>
      <c r="K86" s="50" t="s">
        <v>82</v>
      </c>
      <c r="L86" s="50" t="s">
        <v>121</v>
      </c>
      <c r="M86" s="50" t="s">
        <v>82</v>
      </c>
      <c r="N86" s="50" t="s">
        <v>82</v>
      </c>
      <c r="O86" s="73">
        <v>40361</v>
      </c>
      <c r="P86" s="50">
        <v>2.75</v>
      </c>
    </row>
    <row r="87" spans="1:16" ht="1.5" customHeight="1">
      <c r="A87" s="16">
        <v>86</v>
      </c>
      <c r="B87" s="50" t="s">
        <v>403</v>
      </c>
      <c r="E87" s="52"/>
      <c r="J87" s="50" t="s">
        <v>79</v>
      </c>
      <c r="K87" s="50" t="s">
        <v>80</v>
      </c>
      <c r="L87" s="50" t="s">
        <v>121</v>
      </c>
      <c r="M87" s="50" t="s">
        <v>82</v>
      </c>
      <c r="N87" s="50" t="s">
        <v>82</v>
      </c>
      <c r="O87" s="73">
        <v>40225</v>
      </c>
      <c r="P87" s="50">
        <v>0.5</v>
      </c>
    </row>
    <row r="88" spans="1:16" ht="1.5" customHeight="1">
      <c r="A88" s="16">
        <v>87</v>
      </c>
      <c r="B88" s="54" t="s">
        <v>405</v>
      </c>
      <c r="E88" s="52"/>
      <c r="J88" s="50" t="s">
        <v>141</v>
      </c>
      <c r="K88" s="50" t="s">
        <v>406</v>
      </c>
      <c r="L88" s="54" t="s">
        <v>407</v>
      </c>
      <c r="M88" s="50">
        <v>3</v>
      </c>
      <c r="N88" s="50" t="s">
        <v>82</v>
      </c>
      <c r="O88" s="50" t="s">
        <v>141</v>
      </c>
      <c r="P88" s="50" t="s">
        <v>141</v>
      </c>
    </row>
    <row r="89" spans="1:16" ht="1.5" customHeight="1">
      <c r="A89" s="16">
        <v>88</v>
      </c>
      <c r="B89" s="50" t="s">
        <v>408</v>
      </c>
      <c r="E89" s="52"/>
      <c r="J89" s="50" t="s">
        <v>409</v>
      </c>
      <c r="K89" s="50" t="s">
        <v>148</v>
      </c>
      <c r="L89" s="50" t="s">
        <v>190</v>
      </c>
      <c r="M89" s="50">
        <v>3</v>
      </c>
      <c r="N89" s="50" t="s">
        <v>410</v>
      </c>
      <c r="O89" s="73">
        <v>40830</v>
      </c>
      <c r="P89" s="50">
        <v>0.5</v>
      </c>
    </row>
    <row r="90" spans="1:16" ht="1.5" customHeight="1">
      <c r="A90" s="16">
        <v>89</v>
      </c>
      <c r="B90" s="50" t="s">
        <v>411</v>
      </c>
      <c r="C90" s="50" t="s">
        <v>137</v>
      </c>
      <c r="D90" s="50" t="s">
        <v>412</v>
      </c>
      <c r="E90" s="62" t="s">
        <v>138</v>
      </c>
      <c r="J90" s="50" t="s">
        <v>141</v>
      </c>
      <c r="K90" s="50" t="s">
        <v>142</v>
      </c>
      <c r="L90" s="50" t="s">
        <v>96</v>
      </c>
      <c r="M90" s="50" t="s">
        <v>82</v>
      </c>
      <c r="O90" s="50" t="s">
        <v>171</v>
      </c>
      <c r="P90" s="50">
        <v>0.31</v>
      </c>
    </row>
    <row r="91" spans="1:16" ht="1.5" customHeight="1">
      <c r="A91" s="16">
        <v>90</v>
      </c>
      <c r="B91" s="50" t="s">
        <v>413</v>
      </c>
      <c r="C91" s="50" t="s">
        <v>137</v>
      </c>
      <c r="E91" s="62" t="s">
        <v>138</v>
      </c>
      <c r="J91" s="50" t="s">
        <v>141</v>
      </c>
      <c r="K91" s="50" t="s">
        <v>142</v>
      </c>
      <c r="L91" s="50" t="s">
        <v>96</v>
      </c>
      <c r="M91" s="50" t="s">
        <v>82</v>
      </c>
      <c r="O91" s="50" t="s">
        <v>171</v>
      </c>
      <c r="P91" s="50">
        <v>0.42</v>
      </c>
    </row>
    <row r="92" spans="1:16" ht="1.5" customHeight="1">
      <c r="A92" s="16">
        <v>91</v>
      </c>
      <c r="B92" s="50" t="s">
        <v>414</v>
      </c>
      <c r="C92" s="50" t="s">
        <v>137</v>
      </c>
      <c r="E92" s="62" t="s">
        <v>138</v>
      </c>
      <c r="J92" s="50" t="s">
        <v>141</v>
      </c>
      <c r="K92" s="50" t="s">
        <v>142</v>
      </c>
      <c r="L92" s="50" t="s">
        <v>96</v>
      </c>
      <c r="M92" s="50" t="s">
        <v>82</v>
      </c>
      <c r="O92" s="50" t="s">
        <v>415</v>
      </c>
      <c r="P92" s="50">
        <v>1.23</v>
      </c>
    </row>
    <row r="93" spans="1:16" ht="1.5" customHeight="1">
      <c r="A93" s="16">
        <v>92</v>
      </c>
      <c r="B93" s="50" t="s">
        <v>416</v>
      </c>
      <c r="C93" s="50" t="s">
        <v>137</v>
      </c>
      <c r="D93" s="50" t="s">
        <v>417</v>
      </c>
      <c r="E93" s="62" t="s">
        <v>138</v>
      </c>
      <c r="G93" s="50" t="s">
        <v>400</v>
      </c>
      <c r="H93" s="50" t="s">
        <v>418</v>
      </c>
      <c r="J93" s="50" t="s">
        <v>141</v>
      </c>
      <c r="K93" s="50" t="s">
        <v>142</v>
      </c>
      <c r="L93" s="50" t="s">
        <v>96</v>
      </c>
      <c r="M93" s="50" t="s">
        <v>82</v>
      </c>
      <c r="O93" s="50" t="s">
        <v>171</v>
      </c>
      <c r="P93" s="50">
        <v>0.32</v>
      </c>
    </row>
    <row r="94" spans="1:16" ht="1.5" customHeight="1">
      <c r="A94" s="16">
        <v>93</v>
      </c>
      <c r="B94" s="50" t="s">
        <v>419</v>
      </c>
      <c r="C94" s="50" t="s">
        <v>137</v>
      </c>
      <c r="E94" s="52"/>
      <c r="F94" s="50">
        <v>5.2</v>
      </c>
      <c r="G94" s="50" t="s">
        <v>186</v>
      </c>
      <c r="H94" s="50" t="s">
        <v>188</v>
      </c>
      <c r="J94" s="50" t="s">
        <v>141</v>
      </c>
      <c r="K94" s="50" t="s">
        <v>142</v>
      </c>
      <c r="L94" s="50" t="s">
        <v>96</v>
      </c>
      <c r="M94" s="50" t="s">
        <v>82</v>
      </c>
      <c r="O94" s="50" t="s">
        <v>171</v>
      </c>
      <c r="P94" s="50">
        <v>0.49</v>
      </c>
    </row>
    <row r="95" spans="1:16" ht="1.5" customHeight="1">
      <c r="A95" s="16">
        <v>94</v>
      </c>
      <c r="B95" s="50" t="s">
        <v>420</v>
      </c>
      <c r="E95" s="52"/>
      <c r="J95" s="50" t="s">
        <v>141</v>
      </c>
      <c r="K95" s="50" t="s">
        <v>148</v>
      </c>
      <c r="L95" s="50" t="s">
        <v>129</v>
      </c>
      <c r="M95" s="50" t="s">
        <v>82</v>
      </c>
      <c r="N95" s="54" t="s">
        <v>421</v>
      </c>
      <c r="O95" s="50" t="s">
        <v>422</v>
      </c>
      <c r="P95" s="50" t="s">
        <v>141</v>
      </c>
    </row>
    <row r="96" spans="1:16" ht="1.5" customHeight="1">
      <c r="A96" s="16">
        <v>95</v>
      </c>
      <c r="B96" s="50" t="s">
        <v>423</v>
      </c>
      <c r="E96" s="52"/>
      <c r="J96" s="50" t="s">
        <v>165</v>
      </c>
      <c r="K96" s="50" t="s">
        <v>95</v>
      </c>
      <c r="L96" s="50" t="s">
        <v>81</v>
      </c>
      <c r="M96" s="50" t="s">
        <v>82</v>
      </c>
      <c r="N96" s="50" t="s">
        <v>381</v>
      </c>
      <c r="O96" s="50" t="s">
        <v>83</v>
      </c>
      <c r="P96" s="50">
        <v>1.74</v>
      </c>
    </row>
    <row r="97" spans="1:16" ht="1.5" customHeight="1">
      <c r="A97" s="16">
        <v>96</v>
      </c>
      <c r="B97" s="50" t="s">
        <v>424</v>
      </c>
      <c r="E97" s="52"/>
      <c r="J97" s="50" t="s">
        <v>141</v>
      </c>
      <c r="K97" s="50" t="s">
        <v>95</v>
      </c>
      <c r="L97" s="50" t="s">
        <v>425</v>
      </c>
      <c r="M97" s="50" t="s">
        <v>82</v>
      </c>
      <c r="N97" s="50" t="s">
        <v>381</v>
      </c>
      <c r="P97" s="50">
        <v>0.1</v>
      </c>
    </row>
    <row r="98" spans="1:16" ht="1.5" customHeight="1">
      <c r="A98" s="16">
        <v>97</v>
      </c>
      <c r="B98" s="50" t="s">
        <v>426</v>
      </c>
      <c r="E98" s="52"/>
      <c r="J98" s="50" t="s">
        <v>165</v>
      </c>
      <c r="K98" s="54" t="s">
        <v>167</v>
      </c>
      <c r="L98" s="50" t="s">
        <v>129</v>
      </c>
      <c r="M98" s="50">
        <v>3</v>
      </c>
      <c r="N98" s="50" t="s">
        <v>427</v>
      </c>
      <c r="O98" s="50" t="s">
        <v>428</v>
      </c>
      <c r="P98" s="50">
        <v>1.4</v>
      </c>
    </row>
    <row r="99" spans="1:16" ht="1.5" customHeight="1">
      <c r="A99" s="16">
        <v>98</v>
      </c>
      <c r="B99" s="50" t="s">
        <v>429</v>
      </c>
      <c r="E99" s="52"/>
      <c r="J99" s="50" t="s">
        <v>165</v>
      </c>
      <c r="K99" s="54" t="s">
        <v>167</v>
      </c>
      <c r="L99" s="50" t="s">
        <v>129</v>
      </c>
      <c r="M99" s="50" t="s">
        <v>82</v>
      </c>
      <c r="N99" s="50" t="s">
        <v>427</v>
      </c>
      <c r="O99" s="50" t="s">
        <v>428</v>
      </c>
      <c r="P99" s="50">
        <v>0.6</v>
      </c>
    </row>
    <row r="100" spans="1:16" ht="1.5" customHeight="1">
      <c r="A100" s="16">
        <v>99</v>
      </c>
      <c r="B100" s="50" t="s">
        <v>430</v>
      </c>
      <c r="C100" s="50" t="s">
        <v>137</v>
      </c>
      <c r="E100" s="62" t="s">
        <v>138</v>
      </c>
      <c r="G100" s="50" t="s">
        <v>186</v>
      </c>
      <c r="H100" s="50" t="s">
        <v>188</v>
      </c>
      <c r="J100" s="50" t="s">
        <v>206</v>
      </c>
      <c r="K100" s="50" t="s">
        <v>142</v>
      </c>
      <c r="L100" s="50" t="s">
        <v>96</v>
      </c>
      <c r="M100" s="50">
        <v>3</v>
      </c>
      <c r="O100" s="50" t="s">
        <v>431</v>
      </c>
      <c r="P100" s="50">
        <v>0.49099999999999999</v>
      </c>
    </row>
    <row r="101" spans="1:16" ht="1.5" customHeight="1">
      <c r="A101" s="16">
        <v>100</v>
      </c>
      <c r="B101" s="50" t="s">
        <v>432</v>
      </c>
      <c r="C101" s="50" t="s">
        <v>137</v>
      </c>
      <c r="E101" s="62" t="s">
        <v>138</v>
      </c>
      <c r="J101" s="50" t="s">
        <v>433</v>
      </c>
      <c r="K101" s="50" t="s">
        <v>434</v>
      </c>
      <c r="L101" s="50" t="s">
        <v>96</v>
      </c>
      <c r="M101" s="50" t="s">
        <v>82</v>
      </c>
      <c r="N101" s="50" t="s">
        <v>435</v>
      </c>
      <c r="O101" s="50" t="s">
        <v>436</v>
      </c>
      <c r="P101" s="50">
        <v>1.45</v>
      </c>
    </row>
    <row r="102" spans="1:16" ht="1.5" customHeight="1">
      <c r="A102" s="16">
        <v>101</v>
      </c>
      <c r="B102" s="50" t="s">
        <v>437</v>
      </c>
      <c r="C102" s="50" t="s">
        <v>137</v>
      </c>
      <c r="E102" s="62" t="s">
        <v>138</v>
      </c>
      <c r="J102" s="50" t="s">
        <v>141</v>
      </c>
      <c r="K102" s="50" t="s">
        <v>438</v>
      </c>
      <c r="L102" s="50" t="s">
        <v>96</v>
      </c>
      <c r="M102" s="50" t="s">
        <v>82</v>
      </c>
      <c r="N102" s="50" t="s">
        <v>381</v>
      </c>
      <c r="O102" s="73">
        <v>40164</v>
      </c>
      <c r="P102" s="50">
        <v>2.4500000000000002</v>
      </c>
    </row>
    <row r="103" spans="1:16" ht="1.5" customHeight="1">
      <c r="A103" s="16">
        <v>102</v>
      </c>
      <c r="B103" s="50" t="s">
        <v>439</v>
      </c>
      <c r="C103" s="50" t="s">
        <v>315</v>
      </c>
      <c r="E103" s="52"/>
      <c r="J103" s="50" t="s">
        <v>141</v>
      </c>
      <c r="K103" s="50" t="s">
        <v>440</v>
      </c>
      <c r="L103" s="50" t="s">
        <v>96</v>
      </c>
      <c r="M103" s="50" t="s">
        <v>82</v>
      </c>
      <c r="N103" s="54" t="s">
        <v>441</v>
      </c>
      <c r="O103" s="50" t="s">
        <v>141</v>
      </c>
      <c r="P103" s="50">
        <v>2.8</v>
      </c>
    </row>
    <row r="104" spans="1:16" ht="1.5" customHeight="1">
      <c r="A104" s="16">
        <v>103</v>
      </c>
      <c r="B104" s="50" t="s">
        <v>442</v>
      </c>
      <c r="D104" s="50" t="s">
        <v>443</v>
      </c>
      <c r="E104" s="52"/>
      <c r="K104" s="50" t="s">
        <v>444</v>
      </c>
      <c r="N104" s="50" t="s">
        <v>445</v>
      </c>
      <c r="O104" s="50" t="s">
        <v>446</v>
      </c>
      <c r="P104" s="50">
        <v>0.121</v>
      </c>
    </row>
    <row r="105" spans="1:16" ht="1.5" customHeight="1">
      <c r="A105" s="16">
        <v>104</v>
      </c>
      <c r="B105" s="50" t="s">
        <v>447</v>
      </c>
      <c r="D105" s="50" t="s">
        <v>448</v>
      </c>
      <c r="E105" s="52"/>
      <c r="K105" s="50" t="s">
        <v>444</v>
      </c>
      <c r="O105" s="50" t="s">
        <v>446</v>
      </c>
      <c r="P105" s="50">
        <v>0.55000000000000004</v>
      </c>
    </row>
    <row r="106" spans="1:16" ht="1.5" customHeight="1">
      <c r="A106" s="16">
        <v>105</v>
      </c>
      <c r="B106" s="50" t="s">
        <v>449</v>
      </c>
      <c r="D106" s="50" t="s">
        <v>450</v>
      </c>
      <c r="E106" s="52"/>
      <c r="K106" s="50" t="s">
        <v>444</v>
      </c>
      <c r="O106" s="50" t="s">
        <v>446</v>
      </c>
      <c r="P106" s="50">
        <v>8.2000000000000003E-2</v>
      </c>
    </row>
    <row r="107" spans="1:16" ht="1.5" customHeight="1">
      <c r="A107" s="16">
        <v>106</v>
      </c>
      <c r="B107" s="50" t="s">
        <v>451</v>
      </c>
      <c r="D107" s="50" t="s">
        <v>452</v>
      </c>
      <c r="E107" s="52"/>
      <c r="K107" s="50" t="s">
        <v>444</v>
      </c>
      <c r="O107" s="50" t="s">
        <v>446</v>
      </c>
      <c r="P107" s="50">
        <v>0.36</v>
      </c>
    </row>
    <row r="108" spans="1:16" ht="1.5" customHeight="1">
      <c r="A108" s="16">
        <v>107</v>
      </c>
      <c r="B108" s="50" t="s">
        <v>453</v>
      </c>
      <c r="D108" s="50" t="s">
        <v>454</v>
      </c>
      <c r="E108" s="52"/>
      <c r="K108" s="50" t="s">
        <v>52</v>
      </c>
      <c r="O108" s="50" t="s">
        <v>446</v>
      </c>
      <c r="P108" s="50">
        <v>0.29299999999999998</v>
      </c>
    </row>
    <row r="109" spans="1:16" ht="1.5" customHeight="1">
      <c r="A109" s="16">
        <v>108</v>
      </c>
      <c r="B109" s="50" t="s">
        <v>456</v>
      </c>
      <c r="D109" s="50" t="s">
        <v>454</v>
      </c>
      <c r="E109" s="52"/>
      <c r="K109" s="50" t="s">
        <v>52</v>
      </c>
      <c r="O109" s="50" t="s">
        <v>446</v>
      </c>
      <c r="P109" s="50">
        <v>0.28699999999999998</v>
      </c>
    </row>
    <row r="110" spans="1:16" ht="1.5" customHeight="1">
      <c r="A110" s="16">
        <v>109</v>
      </c>
      <c r="B110" s="50" t="s">
        <v>457</v>
      </c>
      <c r="C110" s="50" t="s">
        <v>315</v>
      </c>
      <c r="E110" s="52"/>
      <c r="K110" s="50" t="s">
        <v>52</v>
      </c>
      <c r="O110" s="50" t="s">
        <v>446</v>
      </c>
      <c r="P110" s="50">
        <v>0.30599999999999999</v>
      </c>
    </row>
    <row r="111" spans="1:16" ht="1.5" customHeight="1">
      <c r="A111" s="16">
        <v>110</v>
      </c>
      <c r="B111" s="50" t="s">
        <v>458</v>
      </c>
      <c r="D111" s="50" t="s">
        <v>459</v>
      </c>
      <c r="E111" s="52"/>
      <c r="K111" s="50" t="s">
        <v>444</v>
      </c>
      <c r="L111" s="50" t="s">
        <v>129</v>
      </c>
      <c r="O111" s="50" t="s">
        <v>446</v>
      </c>
      <c r="P111" s="50">
        <v>0.98699999999999999</v>
      </c>
    </row>
    <row r="112" spans="1:16" ht="1.5" customHeight="1">
      <c r="A112" s="16">
        <v>111</v>
      </c>
      <c r="B112" s="50" t="s">
        <v>147</v>
      </c>
      <c r="D112" s="50" t="s">
        <v>460</v>
      </c>
      <c r="E112" s="52"/>
      <c r="F112" s="50">
        <v>7.4</v>
      </c>
      <c r="K112" s="50" t="s">
        <v>444</v>
      </c>
      <c r="L112" s="50" t="s">
        <v>129</v>
      </c>
    </row>
    <row r="113" spans="1:16" ht="1.5" customHeight="1">
      <c r="A113" s="16">
        <v>112</v>
      </c>
      <c r="B113" s="50" t="s">
        <v>180</v>
      </c>
      <c r="D113" s="50" t="s">
        <v>461</v>
      </c>
      <c r="E113" s="52"/>
      <c r="K113" s="50" t="s">
        <v>444</v>
      </c>
      <c r="L113" s="50" t="s">
        <v>129</v>
      </c>
      <c r="O113" s="50" t="s">
        <v>446</v>
      </c>
      <c r="P113" s="50">
        <v>0.219</v>
      </c>
    </row>
    <row r="114" spans="1:16" ht="1.5" customHeight="1">
      <c r="A114" s="16">
        <v>113</v>
      </c>
      <c r="B114" s="50" t="s">
        <v>172</v>
      </c>
      <c r="D114" s="50" t="s">
        <v>462</v>
      </c>
      <c r="E114" s="52"/>
      <c r="K114" s="50" t="s">
        <v>444</v>
      </c>
      <c r="L114" s="50" t="s">
        <v>129</v>
      </c>
      <c r="O114" s="50" t="s">
        <v>446</v>
      </c>
      <c r="P114" s="50">
        <v>0.10299999999999999</v>
      </c>
    </row>
    <row r="115" spans="1:16" ht="1.5" customHeight="1">
      <c r="A115" s="16">
        <v>114</v>
      </c>
      <c r="B115" s="50" t="s">
        <v>463</v>
      </c>
      <c r="D115" s="50" t="s">
        <v>464</v>
      </c>
      <c r="E115" s="52"/>
      <c r="K115" s="50" t="s">
        <v>444</v>
      </c>
      <c r="L115" s="50" t="s">
        <v>129</v>
      </c>
      <c r="O115" s="50" t="s">
        <v>446</v>
      </c>
      <c r="P115" s="50">
        <v>0.73799999999999999</v>
      </c>
    </row>
    <row r="116" spans="1:16" ht="1.5" customHeight="1">
      <c r="A116" s="16">
        <v>115</v>
      </c>
      <c r="B116" s="50" t="s">
        <v>465</v>
      </c>
      <c r="D116" s="54" t="s">
        <v>466</v>
      </c>
      <c r="E116" s="52"/>
      <c r="K116" s="50" t="s">
        <v>444</v>
      </c>
      <c r="L116" s="50" t="s">
        <v>129</v>
      </c>
      <c r="O116" s="50" t="s">
        <v>446</v>
      </c>
      <c r="P116" s="50">
        <v>0.67100000000000004</v>
      </c>
    </row>
    <row r="117" spans="1:16" ht="1.5" customHeight="1">
      <c r="A117" s="16">
        <v>116</v>
      </c>
      <c r="B117" s="50" t="s">
        <v>467</v>
      </c>
      <c r="D117" s="50" t="s">
        <v>468</v>
      </c>
      <c r="E117" s="52"/>
      <c r="K117" s="50" t="s">
        <v>52</v>
      </c>
      <c r="O117" s="50" t="s">
        <v>446</v>
      </c>
      <c r="P117" s="50">
        <v>0.90400000000000003</v>
      </c>
    </row>
    <row r="118" spans="1:16" ht="1.5" customHeight="1">
      <c r="A118" s="16">
        <v>117</v>
      </c>
      <c r="B118" s="50" t="s">
        <v>469</v>
      </c>
      <c r="D118" s="50" t="s">
        <v>470</v>
      </c>
      <c r="E118" s="52"/>
      <c r="K118" s="50" t="s">
        <v>52</v>
      </c>
      <c r="O118" s="50" t="s">
        <v>446</v>
      </c>
      <c r="P118" s="50">
        <v>0.76600000000000001</v>
      </c>
    </row>
    <row r="119" spans="1:16" ht="1.5" customHeight="1">
      <c r="A119" s="16">
        <v>118</v>
      </c>
      <c r="B119" s="50" t="s">
        <v>456</v>
      </c>
      <c r="D119" s="50" t="s">
        <v>471</v>
      </c>
      <c r="E119" s="52"/>
      <c r="K119" s="50" t="s">
        <v>52</v>
      </c>
      <c r="O119" s="50" t="s">
        <v>446</v>
      </c>
      <c r="P119" s="50">
        <v>0.36899999999999999</v>
      </c>
    </row>
    <row r="120" spans="1:16" ht="1.5" customHeight="1">
      <c r="A120" s="16">
        <v>119</v>
      </c>
      <c r="B120" s="50" t="s">
        <v>472</v>
      </c>
      <c r="D120" s="50" t="s">
        <v>470</v>
      </c>
      <c r="E120" s="52"/>
      <c r="K120" s="50" t="s">
        <v>52</v>
      </c>
      <c r="O120" s="50" t="s">
        <v>446</v>
      </c>
      <c r="P120" s="50">
        <v>0.34499999999999997</v>
      </c>
    </row>
    <row r="121" spans="1:16" ht="1.5" customHeight="1">
      <c r="A121" s="16">
        <v>120</v>
      </c>
      <c r="B121" s="50" t="s">
        <v>473</v>
      </c>
      <c r="C121" s="50" t="s">
        <v>315</v>
      </c>
      <c r="E121" s="52"/>
      <c r="F121" s="50">
        <v>5.7</v>
      </c>
      <c r="K121" s="50" t="s">
        <v>52</v>
      </c>
      <c r="N121" s="50" t="s">
        <v>474</v>
      </c>
      <c r="O121" s="50" t="s">
        <v>446</v>
      </c>
      <c r="P121" s="50">
        <v>0.38100000000000001</v>
      </c>
    </row>
    <row r="122" spans="1:16" ht="1.5" customHeight="1">
      <c r="A122" s="16">
        <v>121</v>
      </c>
      <c r="B122" s="50" t="s">
        <v>476</v>
      </c>
      <c r="C122" s="54" t="s">
        <v>477</v>
      </c>
      <c r="E122" s="52"/>
      <c r="K122" s="50" t="s">
        <v>52</v>
      </c>
      <c r="N122" s="50" t="s">
        <v>474</v>
      </c>
      <c r="O122" s="50" t="s">
        <v>446</v>
      </c>
      <c r="P122" s="50">
        <v>0.36699999999999999</v>
      </c>
    </row>
    <row r="123" spans="1:16" ht="1.5" customHeight="1">
      <c r="A123" s="16">
        <v>122</v>
      </c>
      <c r="B123" s="50" t="s">
        <v>478</v>
      </c>
      <c r="E123" s="52"/>
      <c r="K123" s="50" t="s">
        <v>479</v>
      </c>
      <c r="L123" s="50" t="s">
        <v>129</v>
      </c>
      <c r="N123" s="50" t="s">
        <v>474</v>
      </c>
      <c r="O123" s="50" t="s">
        <v>446</v>
      </c>
      <c r="P123" s="50">
        <v>0.80600000000000005</v>
      </c>
    </row>
    <row r="124" spans="1:16" ht="1.5" customHeight="1">
      <c r="A124" s="16">
        <v>123</v>
      </c>
      <c r="B124" s="50" t="s">
        <v>480</v>
      </c>
      <c r="D124" s="54" t="s">
        <v>482</v>
      </c>
      <c r="E124" s="52"/>
      <c r="K124" s="50" t="s">
        <v>479</v>
      </c>
      <c r="L124" s="50" t="s">
        <v>129</v>
      </c>
      <c r="O124" s="50" t="s">
        <v>446</v>
      </c>
      <c r="P124" s="50">
        <v>1.071</v>
      </c>
    </row>
    <row r="125" spans="1:16" ht="1.5" customHeight="1">
      <c r="A125" s="16">
        <v>124</v>
      </c>
      <c r="B125" s="50" t="s">
        <v>484</v>
      </c>
      <c r="E125" s="52"/>
      <c r="K125" s="50" t="s">
        <v>479</v>
      </c>
      <c r="L125" s="50" t="s">
        <v>129</v>
      </c>
      <c r="O125" s="50" t="s">
        <v>446</v>
      </c>
      <c r="P125" s="50">
        <v>0.34499999999999997</v>
      </c>
    </row>
    <row r="126" spans="1:16" ht="1.5" customHeight="1">
      <c r="A126" s="16">
        <v>125</v>
      </c>
      <c r="B126" s="50" t="s">
        <v>486</v>
      </c>
      <c r="E126" s="52"/>
      <c r="K126" s="50" t="s">
        <v>479</v>
      </c>
      <c r="O126" s="50" t="s">
        <v>446</v>
      </c>
      <c r="P126" s="50">
        <v>0.20499999999999999</v>
      </c>
    </row>
    <row r="127" spans="1:16" ht="1.5" customHeight="1">
      <c r="A127" s="16">
        <v>126</v>
      </c>
      <c r="B127" s="50" t="s">
        <v>487</v>
      </c>
      <c r="E127" s="52"/>
      <c r="K127" s="50" t="s">
        <v>52</v>
      </c>
    </row>
    <row r="128" spans="1:16" ht="1.5" customHeight="1">
      <c r="A128" s="16">
        <v>127</v>
      </c>
      <c r="B128" s="50" t="s">
        <v>488</v>
      </c>
      <c r="E128" s="52"/>
      <c r="K128" s="50" t="s">
        <v>52</v>
      </c>
      <c r="O128" s="50" t="s">
        <v>446</v>
      </c>
      <c r="P128" s="50">
        <v>0.59899999999999998</v>
      </c>
    </row>
    <row r="129" spans="1:16" ht="1.5" customHeight="1">
      <c r="A129" s="16">
        <v>128</v>
      </c>
      <c r="B129" s="50" t="s">
        <v>489</v>
      </c>
      <c r="E129" s="52"/>
      <c r="K129" s="50" t="s">
        <v>52</v>
      </c>
      <c r="O129" s="50" t="s">
        <v>446</v>
      </c>
      <c r="P129" s="50">
        <v>0.34899999999999998</v>
      </c>
    </row>
    <row r="130" spans="1:16" ht="1.5" customHeight="1">
      <c r="A130" s="16">
        <v>129</v>
      </c>
      <c r="B130" s="50" t="s">
        <v>491</v>
      </c>
      <c r="E130" s="52"/>
      <c r="K130" s="50" t="s">
        <v>52</v>
      </c>
      <c r="O130" s="50" t="s">
        <v>446</v>
      </c>
      <c r="P130" s="50">
        <v>0.34899999999999998</v>
      </c>
    </row>
    <row r="131" spans="1:16" ht="1.5" customHeight="1">
      <c r="A131" s="16">
        <v>130</v>
      </c>
      <c r="B131" s="50" t="s">
        <v>492</v>
      </c>
      <c r="C131" s="50" t="s">
        <v>315</v>
      </c>
      <c r="E131" s="52"/>
      <c r="K131" s="50" t="s">
        <v>52</v>
      </c>
      <c r="O131" s="50" t="s">
        <v>446</v>
      </c>
      <c r="P131" s="50">
        <v>0.48199999999999998</v>
      </c>
    </row>
    <row r="132" spans="1:16" ht="1.5" customHeight="1">
      <c r="A132" s="16">
        <v>131</v>
      </c>
      <c r="B132" s="50" t="s">
        <v>493</v>
      </c>
      <c r="C132" s="50" t="s">
        <v>315</v>
      </c>
      <c r="E132" s="52"/>
      <c r="K132" s="50" t="s">
        <v>495</v>
      </c>
      <c r="O132" s="50" t="s">
        <v>446</v>
      </c>
      <c r="P132" s="50">
        <v>0.5</v>
      </c>
    </row>
    <row r="133" spans="1:16" ht="1.5" customHeight="1">
      <c r="A133" s="16">
        <v>132</v>
      </c>
      <c r="B133" s="50" t="s">
        <v>496</v>
      </c>
      <c r="E133" s="52"/>
      <c r="K133" s="50" t="s">
        <v>498</v>
      </c>
      <c r="O133" s="50" t="s">
        <v>446</v>
      </c>
    </row>
    <row r="134" spans="1:16" ht="1.5" customHeight="1">
      <c r="A134" s="16">
        <v>133</v>
      </c>
      <c r="B134" s="50" t="s">
        <v>502</v>
      </c>
      <c r="E134" s="52"/>
      <c r="K134" s="50" t="s">
        <v>498</v>
      </c>
      <c r="O134" s="50" t="s">
        <v>446</v>
      </c>
      <c r="P134" s="50">
        <v>1.0309999999999999</v>
      </c>
    </row>
    <row r="135" spans="1:16" ht="1.5" customHeight="1">
      <c r="A135" s="16">
        <v>134</v>
      </c>
      <c r="B135" s="50" t="s">
        <v>505</v>
      </c>
      <c r="D135" s="50" t="s">
        <v>507</v>
      </c>
      <c r="E135" s="52"/>
      <c r="K135" s="50" t="s">
        <v>52</v>
      </c>
      <c r="O135" s="50" t="s">
        <v>446</v>
      </c>
      <c r="P135" s="50">
        <v>1.175</v>
      </c>
    </row>
    <row r="136" spans="1:16" ht="1.5" customHeight="1">
      <c r="A136" s="16">
        <v>135</v>
      </c>
      <c r="B136" s="50" t="s">
        <v>510</v>
      </c>
      <c r="C136" s="54" t="s">
        <v>477</v>
      </c>
      <c r="E136" s="62" t="s">
        <v>138</v>
      </c>
      <c r="K136" s="50" t="s">
        <v>52</v>
      </c>
      <c r="O136" s="50" t="s">
        <v>446</v>
      </c>
      <c r="P136" s="50">
        <v>0.85499999999999998</v>
      </c>
    </row>
    <row r="137" spans="1:16" ht="1.5" customHeight="1">
      <c r="A137" s="16">
        <v>136</v>
      </c>
      <c r="B137" s="50" t="s">
        <v>513</v>
      </c>
      <c r="D137" s="73">
        <v>40825</v>
      </c>
      <c r="E137" s="52"/>
      <c r="K137" s="50" t="s">
        <v>52</v>
      </c>
      <c r="L137" s="50" t="s">
        <v>129</v>
      </c>
      <c r="O137" s="50" t="s">
        <v>446</v>
      </c>
      <c r="P137" s="50">
        <v>0.42</v>
      </c>
    </row>
    <row r="138" spans="1:16" ht="1.5" customHeight="1">
      <c r="A138" s="16">
        <v>137</v>
      </c>
      <c r="B138" s="50" t="s">
        <v>514</v>
      </c>
      <c r="D138" s="73">
        <v>40787</v>
      </c>
      <c r="E138" s="52"/>
      <c r="K138" s="50" t="s">
        <v>52</v>
      </c>
      <c r="N138" s="50" t="s">
        <v>474</v>
      </c>
      <c r="O138" s="50" t="s">
        <v>446</v>
      </c>
      <c r="P138" s="50">
        <v>0.48299999999999998</v>
      </c>
    </row>
    <row r="139" spans="1:16" ht="1.5" customHeight="1">
      <c r="A139" s="16">
        <v>138</v>
      </c>
      <c r="B139" s="50" t="s">
        <v>302</v>
      </c>
      <c r="E139" s="52"/>
      <c r="K139" s="50" t="s">
        <v>52</v>
      </c>
      <c r="L139" s="50" t="s">
        <v>129</v>
      </c>
    </row>
    <row r="140" spans="1:16" ht="1.5" customHeight="1">
      <c r="A140" s="16">
        <v>139</v>
      </c>
      <c r="B140" s="50" t="s">
        <v>458</v>
      </c>
      <c r="D140" s="50" t="s">
        <v>515</v>
      </c>
      <c r="E140" s="52"/>
      <c r="K140" s="50" t="s">
        <v>52</v>
      </c>
      <c r="L140" s="50" t="s">
        <v>129</v>
      </c>
    </row>
    <row r="141" spans="1:16" ht="1.5" customHeight="1">
      <c r="A141" s="16">
        <v>140</v>
      </c>
      <c r="B141" s="50" t="s">
        <v>516</v>
      </c>
      <c r="E141" s="52"/>
      <c r="F141" s="50">
        <v>7.4</v>
      </c>
      <c r="K141" s="50" t="s">
        <v>52</v>
      </c>
      <c r="L141" s="50" t="s">
        <v>129</v>
      </c>
      <c r="N141" s="54"/>
    </row>
    <row r="142" spans="1:16" ht="1.5" customHeight="1">
      <c r="A142" s="16">
        <v>141</v>
      </c>
      <c r="B142" s="50" t="s">
        <v>517</v>
      </c>
      <c r="D142" s="50" t="s">
        <v>518</v>
      </c>
      <c r="E142" s="52"/>
      <c r="F142" s="50">
        <v>7.4</v>
      </c>
      <c r="K142" s="50" t="s">
        <v>52</v>
      </c>
      <c r="L142" s="50" t="s">
        <v>129</v>
      </c>
    </row>
    <row r="143" spans="1:16" ht="1.5" customHeight="1">
      <c r="A143" s="16">
        <v>142</v>
      </c>
      <c r="B143" s="50" t="s">
        <v>520</v>
      </c>
      <c r="D143" s="50" t="s">
        <v>521</v>
      </c>
      <c r="E143" s="52"/>
      <c r="F143" s="50">
        <v>7.4</v>
      </c>
      <c r="K143" s="50" t="s">
        <v>52</v>
      </c>
      <c r="L143" s="50" t="s">
        <v>129</v>
      </c>
      <c r="N143" s="50" t="s">
        <v>474</v>
      </c>
    </row>
    <row r="144" spans="1:16" ht="1.5" customHeight="1">
      <c r="A144" s="16">
        <v>143</v>
      </c>
      <c r="B144" s="50" t="s">
        <v>522</v>
      </c>
      <c r="D144" s="50" t="s">
        <v>523</v>
      </c>
      <c r="E144" s="52"/>
      <c r="F144" s="50">
        <v>7.4</v>
      </c>
      <c r="K144" s="50" t="s">
        <v>52</v>
      </c>
      <c r="L144" s="50" t="s">
        <v>129</v>
      </c>
    </row>
    <row r="145" spans="1:12" ht="1.5" customHeight="1">
      <c r="A145" s="16">
        <v>144</v>
      </c>
      <c r="B145" s="50" t="s">
        <v>524</v>
      </c>
      <c r="D145" s="50" t="s">
        <v>523</v>
      </c>
      <c r="E145" s="52"/>
      <c r="K145" s="50" t="s">
        <v>52</v>
      </c>
      <c r="L145" s="50" t="s">
        <v>129</v>
      </c>
    </row>
    <row r="146" spans="1:12" ht="1.5" customHeight="1">
      <c r="A146" s="16">
        <v>145</v>
      </c>
      <c r="B146" s="50" t="s">
        <v>527</v>
      </c>
      <c r="D146" s="50" t="s">
        <v>529</v>
      </c>
      <c r="E146" s="52"/>
      <c r="K146" s="50" t="s">
        <v>52</v>
      </c>
      <c r="L146" s="50" t="s">
        <v>129</v>
      </c>
    </row>
    <row r="147" spans="1:12" ht="1.5" customHeight="1">
      <c r="A147" s="16">
        <v>146</v>
      </c>
      <c r="B147" s="50" t="s">
        <v>532</v>
      </c>
      <c r="D147" s="50" t="s">
        <v>533</v>
      </c>
      <c r="E147" s="52"/>
      <c r="K147" s="50" t="s">
        <v>52</v>
      </c>
      <c r="L147" s="50" t="s">
        <v>129</v>
      </c>
    </row>
    <row r="148" spans="1:12" ht="1.5" customHeight="1">
      <c r="A148" s="16">
        <v>147</v>
      </c>
      <c r="B148" s="50" t="s">
        <v>534</v>
      </c>
      <c r="D148" s="50" t="s">
        <v>535</v>
      </c>
      <c r="E148" s="52"/>
      <c r="K148" s="50" t="s">
        <v>52</v>
      </c>
      <c r="L148" s="50" t="s">
        <v>129</v>
      </c>
    </row>
    <row r="149" spans="1:12" ht="1.5" customHeight="1">
      <c r="A149" s="16">
        <v>148</v>
      </c>
      <c r="B149" s="50" t="s">
        <v>539</v>
      </c>
      <c r="E149" s="52"/>
      <c r="K149" s="50" t="s">
        <v>52</v>
      </c>
      <c r="L149" s="50" t="s">
        <v>129</v>
      </c>
    </row>
    <row r="150" spans="1:12" ht="1.5" customHeight="1">
      <c r="A150" s="16">
        <v>149</v>
      </c>
      <c r="B150" s="50" t="s">
        <v>540</v>
      </c>
      <c r="E150" s="52"/>
      <c r="K150" s="50" t="s">
        <v>52</v>
      </c>
      <c r="L150" s="50" t="s">
        <v>129</v>
      </c>
    </row>
    <row r="151" spans="1:12" ht="1.5" customHeight="1">
      <c r="A151" s="16">
        <v>150</v>
      </c>
      <c r="B151" s="50" t="s">
        <v>543</v>
      </c>
      <c r="D151" s="50" t="s">
        <v>544</v>
      </c>
      <c r="E151" s="52"/>
      <c r="K151" s="50" t="s">
        <v>52</v>
      </c>
    </row>
    <row r="152" spans="1:12" ht="1.5" customHeight="1">
      <c r="A152" s="16">
        <v>151</v>
      </c>
      <c r="B152" s="50" t="s">
        <v>545</v>
      </c>
      <c r="D152" s="50" t="s">
        <v>546</v>
      </c>
      <c r="E152" s="52"/>
      <c r="K152" s="50" t="s">
        <v>52</v>
      </c>
      <c r="L152" s="50" t="s">
        <v>129</v>
      </c>
    </row>
    <row r="153" spans="1:12" ht="1.5" customHeight="1">
      <c r="A153" s="16">
        <v>152</v>
      </c>
      <c r="B153" s="50" t="s">
        <v>545</v>
      </c>
      <c r="E153" s="52"/>
      <c r="K153" s="50" t="s">
        <v>52</v>
      </c>
      <c r="L153" s="50" t="s">
        <v>129</v>
      </c>
    </row>
    <row r="154" spans="1:12" ht="1.5" customHeight="1">
      <c r="A154" s="16">
        <v>153</v>
      </c>
      <c r="B154" s="50" t="s">
        <v>549</v>
      </c>
      <c r="D154" s="50" t="s">
        <v>515</v>
      </c>
      <c r="E154" s="52"/>
      <c r="K154" s="50" t="s">
        <v>52</v>
      </c>
      <c r="L154" s="50" t="s">
        <v>129</v>
      </c>
    </row>
    <row r="155" spans="1:12" ht="1.5" customHeight="1">
      <c r="A155" s="16">
        <v>154</v>
      </c>
      <c r="B155" s="50" t="s">
        <v>180</v>
      </c>
      <c r="D155" s="73">
        <v>40710</v>
      </c>
      <c r="E155" s="52"/>
      <c r="G155" s="50" t="s">
        <v>552</v>
      </c>
      <c r="H155" s="50" t="s">
        <v>553</v>
      </c>
      <c r="K155" s="50" t="s">
        <v>52</v>
      </c>
      <c r="L155" s="50" t="s">
        <v>129</v>
      </c>
    </row>
    <row r="156" spans="1:12" ht="1.5" customHeight="1">
      <c r="A156" s="16">
        <v>155</v>
      </c>
      <c r="B156" s="50" t="s">
        <v>555</v>
      </c>
      <c r="D156" s="73">
        <v>38960</v>
      </c>
      <c r="E156" s="52"/>
      <c r="K156" s="50" t="s">
        <v>52</v>
      </c>
      <c r="L156" s="50" t="s">
        <v>129</v>
      </c>
    </row>
    <row r="157" spans="1:12" ht="1.5" customHeight="1">
      <c r="A157" s="16">
        <v>156</v>
      </c>
      <c r="B157" s="50" t="s">
        <v>557</v>
      </c>
      <c r="D157" s="50" t="s">
        <v>515</v>
      </c>
      <c r="E157" s="52"/>
      <c r="K157" s="50" t="s">
        <v>52</v>
      </c>
      <c r="L157" s="50" t="s">
        <v>129</v>
      </c>
    </row>
    <row r="158" spans="1:12" ht="1.5" customHeight="1">
      <c r="A158" s="16">
        <v>157</v>
      </c>
      <c r="B158" s="50" t="s">
        <v>561</v>
      </c>
      <c r="E158" s="52"/>
      <c r="K158" s="50" t="s">
        <v>52</v>
      </c>
      <c r="L158" s="50" t="s">
        <v>129</v>
      </c>
    </row>
    <row r="159" spans="1:12" ht="1.5" customHeight="1">
      <c r="A159" s="16">
        <v>158</v>
      </c>
      <c r="B159" s="50" t="s">
        <v>564</v>
      </c>
      <c r="D159" s="50" t="s">
        <v>565</v>
      </c>
      <c r="E159" s="52"/>
      <c r="K159" s="50" t="s">
        <v>52</v>
      </c>
      <c r="L159" s="50" t="s">
        <v>129</v>
      </c>
    </row>
    <row r="160" spans="1:12" ht="1.5" customHeight="1">
      <c r="A160" s="16">
        <v>159</v>
      </c>
      <c r="B160" s="50" t="s">
        <v>572</v>
      </c>
      <c r="E160" s="52"/>
      <c r="K160" s="50" t="s">
        <v>52</v>
      </c>
      <c r="L160" s="50" t="s">
        <v>129</v>
      </c>
    </row>
    <row r="161" spans="1:14" ht="1.5" customHeight="1">
      <c r="A161" s="16">
        <v>160</v>
      </c>
      <c r="B161" s="50" t="s">
        <v>574</v>
      </c>
      <c r="E161" s="52"/>
      <c r="K161" s="50" t="s">
        <v>52</v>
      </c>
      <c r="L161" s="50" t="s">
        <v>129</v>
      </c>
    </row>
    <row r="162" spans="1:14" ht="1.5" customHeight="1">
      <c r="A162" s="16">
        <v>161</v>
      </c>
      <c r="B162" s="50" t="s">
        <v>574</v>
      </c>
      <c r="D162" s="50" t="s">
        <v>515</v>
      </c>
      <c r="E162" s="52"/>
      <c r="K162" s="50" t="s">
        <v>52</v>
      </c>
      <c r="L162" s="50" t="s">
        <v>129</v>
      </c>
    </row>
    <row r="163" spans="1:14" ht="1.5" customHeight="1">
      <c r="A163" s="16">
        <v>162</v>
      </c>
      <c r="B163" s="50" t="s">
        <v>575</v>
      </c>
      <c r="E163" s="52"/>
      <c r="K163" s="50" t="s">
        <v>52</v>
      </c>
      <c r="L163" s="50" t="s">
        <v>129</v>
      </c>
    </row>
    <row r="164" spans="1:14" ht="1.5" customHeight="1">
      <c r="A164" s="16">
        <v>163</v>
      </c>
      <c r="B164" s="50" t="s">
        <v>576</v>
      </c>
      <c r="E164" s="52"/>
      <c r="K164" s="50" t="s">
        <v>52</v>
      </c>
      <c r="L164" s="50" t="s">
        <v>129</v>
      </c>
      <c r="N164" s="50" t="s">
        <v>474</v>
      </c>
    </row>
    <row r="165" spans="1:14" ht="1.5" customHeight="1">
      <c r="A165" s="16">
        <v>164</v>
      </c>
      <c r="B165" s="50" t="s">
        <v>577</v>
      </c>
      <c r="D165" s="73">
        <v>40840</v>
      </c>
      <c r="E165" s="52"/>
      <c r="K165" s="50" t="s">
        <v>52</v>
      </c>
      <c r="L165" s="50" t="s">
        <v>129</v>
      </c>
    </row>
    <row r="166" spans="1:14" ht="1.5" customHeight="1">
      <c r="A166" s="16">
        <v>165</v>
      </c>
      <c r="B166" s="50" t="s">
        <v>578</v>
      </c>
      <c r="D166" s="50" t="s">
        <v>579</v>
      </c>
      <c r="E166" s="52"/>
      <c r="K166" s="50" t="s">
        <v>52</v>
      </c>
      <c r="L166" s="50" t="s">
        <v>129</v>
      </c>
    </row>
    <row r="167" spans="1:14" ht="1.5" customHeight="1">
      <c r="A167" s="16">
        <v>166</v>
      </c>
      <c r="B167" s="50" t="s">
        <v>580</v>
      </c>
      <c r="D167" s="54" t="s">
        <v>582</v>
      </c>
      <c r="E167" s="52"/>
      <c r="J167" s="54" t="s">
        <v>583</v>
      </c>
      <c r="K167" s="50" t="s">
        <v>52</v>
      </c>
      <c r="L167" s="50" t="s">
        <v>129</v>
      </c>
      <c r="N167" s="54" t="s">
        <v>584</v>
      </c>
    </row>
    <row r="168" spans="1:14" ht="1.5" customHeight="1">
      <c r="A168" s="16">
        <v>167</v>
      </c>
      <c r="B168" s="54" t="s">
        <v>585</v>
      </c>
      <c r="E168" s="52"/>
      <c r="K168" s="50" t="s">
        <v>52</v>
      </c>
      <c r="L168" s="50" t="s">
        <v>129</v>
      </c>
    </row>
    <row r="169" spans="1:14" ht="14.25" customHeight="1">
      <c r="A169" s="16">
        <v>168</v>
      </c>
      <c r="B169" s="50" t="s">
        <v>586</v>
      </c>
      <c r="D169" s="54" t="s">
        <v>587</v>
      </c>
      <c r="E169" s="52"/>
      <c r="I169" s="54" t="s">
        <v>588</v>
      </c>
      <c r="K169" s="50" t="s">
        <v>52</v>
      </c>
      <c r="L169" s="50" t="s">
        <v>129</v>
      </c>
      <c r="N169" s="50" t="s">
        <v>589</v>
      </c>
    </row>
    <row r="170" spans="1:14" ht="1.5" customHeight="1">
      <c r="A170" s="16">
        <v>169</v>
      </c>
      <c r="B170" s="54" t="s">
        <v>596</v>
      </c>
      <c r="D170" s="54" t="s">
        <v>598</v>
      </c>
      <c r="E170" s="52"/>
      <c r="K170" s="50" t="s">
        <v>52</v>
      </c>
      <c r="L170" s="50" t="s">
        <v>129</v>
      </c>
      <c r="N170" s="54" t="s">
        <v>602</v>
      </c>
    </row>
    <row r="171" spans="1:14" ht="1.5" customHeight="1">
      <c r="A171" s="16">
        <v>170</v>
      </c>
      <c r="B171" s="54" t="s">
        <v>606</v>
      </c>
      <c r="D171" s="54" t="s">
        <v>598</v>
      </c>
      <c r="E171" s="52"/>
      <c r="K171" s="50" t="s">
        <v>52</v>
      </c>
      <c r="L171" s="50" t="s">
        <v>129</v>
      </c>
      <c r="N171" s="50" t="s">
        <v>608</v>
      </c>
    </row>
    <row r="172" spans="1:14" ht="1.5" customHeight="1">
      <c r="A172" s="16">
        <v>171</v>
      </c>
      <c r="B172" s="50" t="s">
        <v>363</v>
      </c>
      <c r="D172" s="50" t="s">
        <v>609</v>
      </c>
      <c r="E172" s="52"/>
      <c r="K172" s="50" t="s">
        <v>52</v>
      </c>
      <c r="L172" s="50" t="s">
        <v>129</v>
      </c>
      <c r="N172" s="54" t="s">
        <v>610</v>
      </c>
    </row>
    <row r="173" spans="1:14" ht="1.5" customHeight="1">
      <c r="A173" s="16">
        <v>172</v>
      </c>
      <c r="B173" s="54" t="s">
        <v>611</v>
      </c>
      <c r="D173" s="50" t="s">
        <v>609</v>
      </c>
      <c r="E173" s="52"/>
      <c r="K173" s="50" t="s">
        <v>52</v>
      </c>
      <c r="L173" s="50" t="s">
        <v>129</v>
      </c>
    </row>
    <row r="174" spans="1:14" ht="1.5" customHeight="1">
      <c r="A174" s="16">
        <v>173</v>
      </c>
      <c r="B174" s="54" t="s">
        <v>612</v>
      </c>
      <c r="D174" s="50" t="s">
        <v>609</v>
      </c>
      <c r="E174" s="52"/>
      <c r="K174" s="50" t="s">
        <v>52</v>
      </c>
      <c r="L174" s="50" t="s">
        <v>129</v>
      </c>
    </row>
    <row r="175" spans="1:14" ht="1.5" customHeight="1">
      <c r="A175" s="16">
        <v>174</v>
      </c>
      <c r="B175" s="54" t="s">
        <v>613</v>
      </c>
      <c r="D175" s="50" t="s">
        <v>609</v>
      </c>
      <c r="E175" s="52"/>
      <c r="K175" s="50" t="s">
        <v>52</v>
      </c>
      <c r="L175" s="50" t="s">
        <v>129</v>
      </c>
      <c r="N175" s="50" t="s">
        <v>474</v>
      </c>
    </row>
    <row r="176" spans="1:14" ht="1.5" customHeight="1">
      <c r="A176" s="16">
        <v>175</v>
      </c>
      <c r="B176" s="50" t="s">
        <v>615</v>
      </c>
      <c r="E176" s="52"/>
      <c r="K176" s="50" t="s">
        <v>52</v>
      </c>
      <c r="L176" s="50" t="s">
        <v>129</v>
      </c>
    </row>
    <row r="177" spans="1:16" ht="1.5" customHeight="1">
      <c r="A177" s="16">
        <v>176</v>
      </c>
      <c r="B177" s="50" t="s">
        <v>616</v>
      </c>
      <c r="E177" s="52"/>
      <c r="K177" s="50" t="s">
        <v>52</v>
      </c>
      <c r="L177" s="50" t="s">
        <v>129</v>
      </c>
    </row>
    <row r="178" spans="1:16" ht="1.5" customHeight="1">
      <c r="A178" s="16">
        <v>177</v>
      </c>
      <c r="B178" s="50" t="s">
        <v>617</v>
      </c>
      <c r="E178" s="52"/>
      <c r="K178" s="50" t="s">
        <v>52</v>
      </c>
      <c r="L178" s="50" t="s">
        <v>129</v>
      </c>
      <c r="N178" s="50" t="s">
        <v>474</v>
      </c>
    </row>
    <row r="179" spans="1:16" ht="1.5" customHeight="1">
      <c r="A179" s="16">
        <v>178</v>
      </c>
      <c r="B179" s="50" t="s">
        <v>58</v>
      </c>
      <c r="D179" s="50" t="s">
        <v>618</v>
      </c>
      <c r="E179" s="52"/>
      <c r="F179" s="50">
        <v>8.25</v>
      </c>
      <c r="K179" s="50" t="s">
        <v>52</v>
      </c>
      <c r="L179" s="50" t="s">
        <v>129</v>
      </c>
      <c r="N179" s="50" t="s">
        <v>474</v>
      </c>
    </row>
    <row r="180" spans="1:16" ht="1.5" customHeight="1">
      <c r="A180" s="16">
        <v>179</v>
      </c>
      <c r="B180" s="54" t="s">
        <v>619</v>
      </c>
      <c r="D180" s="73">
        <v>40942</v>
      </c>
      <c r="E180" s="52"/>
      <c r="K180" s="50" t="s">
        <v>52</v>
      </c>
      <c r="L180" s="50" t="s">
        <v>129</v>
      </c>
    </row>
    <row r="181" spans="1:16" ht="1.5" customHeight="1">
      <c r="A181" s="16">
        <v>180</v>
      </c>
      <c r="B181" s="50" t="s">
        <v>620</v>
      </c>
      <c r="E181" s="52"/>
      <c r="K181" s="50" t="s">
        <v>52</v>
      </c>
      <c r="L181" s="50" t="s">
        <v>129</v>
      </c>
    </row>
    <row r="182" spans="1:16" ht="1.5" customHeight="1">
      <c r="A182" s="16">
        <v>181</v>
      </c>
      <c r="B182" s="50" t="s">
        <v>621</v>
      </c>
      <c r="D182" s="50" t="s">
        <v>622</v>
      </c>
      <c r="E182" s="52"/>
      <c r="K182" s="50" t="s">
        <v>52</v>
      </c>
      <c r="N182" s="54" t="s">
        <v>623</v>
      </c>
    </row>
    <row r="183" spans="1:16" ht="1.5" customHeight="1">
      <c r="A183" s="16">
        <v>182</v>
      </c>
      <c r="B183" s="50" t="s">
        <v>624</v>
      </c>
      <c r="D183" s="73">
        <v>40814</v>
      </c>
      <c r="E183" s="52"/>
      <c r="K183" s="50" t="s">
        <v>52</v>
      </c>
    </row>
    <row r="184" spans="1:16" ht="1.5" customHeight="1">
      <c r="A184" s="16">
        <v>183</v>
      </c>
      <c r="B184" s="50" t="s">
        <v>627</v>
      </c>
      <c r="C184" s="50" t="s">
        <v>315</v>
      </c>
      <c r="D184" s="50" t="s">
        <v>628</v>
      </c>
      <c r="E184" s="52"/>
      <c r="K184" s="50" t="s">
        <v>52</v>
      </c>
    </row>
    <row r="185" spans="1:16" ht="1.5" customHeight="1">
      <c r="A185" s="16">
        <v>184</v>
      </c>
      <c r="B185" s="50" t="s">
        <v>629</v>
      </c>
      <c r="E185" s="52"/>
      <c r="K185" s="50" t="s">
        <v>52</v>
      </c>
    </row>
    <row r="186" spans="1:16" ht="1.5" customHeight="1">
      <c r="A186" s="16">
        <v>185</v>
      </c>
      <c r="B186" s="50" t="s">
        <v>630</v>
      </c>
      <c r="C186" s="50" t="s">
        <v>315</v>
      </c>
      <c r="D186" s="73">
        <v>40752</v>
      </c>
      <c r="E186" s="52"/>
      <c r="K186" s="50" t="s">
        <v>52</v>
      </c>
      <c r="N186" s="54" t="s">
        <v>631</v>
      </c>
    </row>
    <row r="187" spans="1:16" ht="1.5" customHeight="1">
      <c r="A187" s="16">
        <v>186</v>
      </c>
      <c r="B187" s="50" t="s">
        <v>632</v>
      </c>
      <c r="C187" s="50" t="s">
        <v>315</v>
      </c>
      <c r="E187" s="52"/>
      <c r="K187" s="50" t="s">
        <v>52</v>
      </c>
      <c r="N187" s="54" t="s">
        <v>623</v>
      </c>
    </row>
    <row r="188" spans="1:16" ht="1.5" customHeight="1">
      <c r="A188" s="16">
        <v>187</v>
      </c>
      <c r="B188" s="50" t="s">
        <v>633</v>
      </c>
      <c r="C188" s="50" t="s">
        <v>315</v>
      </c>
      <c r="E188" s="52"/>
      <c r="G188" s="50" t="s">
        <v>400</v>
      </c>
      <c r="H188" s="50" t="s">
        <v>634</v>
      </c>
      <c r="I188" s="54" t="s">
        <v>635</v>
      </c>
      <c r="K188" s="50" t="s">
        <v>52</v>
      </c>
      <c r="N188" s="54" t="s">
        <v>636</v>
      </c>
    </row>
    <row r="189" spans="1:16" ht="1.5" customHeight="1">
      <c r="A189" s="16">
        <v>188</v>
      </c>
      <c r="B189" s="50" t="s">
        <v>638</v>
      </c>
      <c r="D189" s="50" t="s">
        <v>639</v>
      </c>
      <c r="E189" s="52"/>
      <c r="J189" s="50" t="s">
        <v>641</v>
      </c>
      <c r="K189" s="50" t="s">
        <v>641</v>
      </c>
      <c r="L189" s="50" t="s">
        <v>129</v>
      </c>
      <c r="M189" s="50" t="s">
        <v>644</v>
      </c>
      <c r="N189" s="50" t="s">
        <v>646</v>
      </c>
      <c r="O189" s="50" t="s">
        <v>647</v>
      </c>
      <c r="P189" s="50">
        <v>1.7</v>
      </c>
    </row>
    <row r="190" spans="1:16" ht="1.5" customHeight="1">
      <c r="A190" s="16">
        <v>189</v>
      </c>
      <c r="B190" s="50" t="s">
        <v>648</v>
      </c>
      <c r="D190" s="50" t="s">
        <v>650</v>
      </c>
      <c r="E190" s="52"/>
      <c r="M190" s="50">
        <v>4</v>
      </c>
      <c r="N190" s="50" t="s">
        <v>474</v>
      </c>
    </row>
    <row r="191" spans="1:16" ht="1.5" customHeight="1">
      <c r="A191" s="16">
        <v>190</v>
      </c>
      <c r="B191" s="54" t="s">
        <v>651</v>
      </c>
      <c r="D191" s="54" t="s">
        <v>652</v>
      </c>
      <c r="E191" s="62" t="s">
        <v>138</v>
      </c>
      <c r="M191" s="50">
        <v>4</v>
      </c>
      <c r="N191" s="50" t="s">
        <v>474</v>
      </c>
    </row>
    <row r="192" spans="1:16" ht="17.25" customHeight="1">
      <c r="A192" s="16">
        <v>191</v>
      </c>
      <c r="B192" s="50" t="s">
        <v>653</v>
      </c>
      <c r="D192" s="50" t="s">
        <v>654</v>
      </c>
      <c r="E192" s="52"/>
      <c r="M192" s="50">
        <v>4</v>
      </c>
      <c r="N192" s="50" t="s">
        <v>474</v>
      </c>
    </row>
    <row r="193" spans="1:14" ht="1.5" customHeight="1">
      <c r="A193" s="16">
        <v>192</v>
      </c>
      <c r="B193" s="54" t="s">
        <v>656</v>
      </c>
      <c r="C193" s="50" t="s">
        <v>137</v>
      </c>
      <c r="D193" s="50" t="s">
        <v>657</v>
      </c>
      <c r="E193" s="52"/>
      <c r="G193" s="50" t="s">
        <v>400</v>
      </c>
      <c r="H193" s="50" t="s">
        <v>188</v>
      </c>
    </row>
    <row r="194" spans="1:14" ht="1.5" customHeight="1">
      <c r="A194" s="16">
        <v>193</v>
      </c>
      <c r="B194" s="50" t="s">
        <v>658</v>
      </c>
      <c r="D194" s="50" t="s">
        <v>659</v>
      </c>
      <c r="E194" s="52"/>
      <c r="F194" s="50">
        <v>7.5</v>
      </c>
      <c r="K194" s="50" t="s">
        <v>95</v>
      </c>
      <c r="L194" s="50" t="s">
        <v>129</v>
      </c>
      <c r="N194" s="50" t="s">
        <v>660</v>
      </c>
    </row>
    <row r="195" spans="1:14" ht="1.5" customHeight="1">
      <c r="A195" s="16">
        <v>194</v>
      </c>
      <c r="B195" s="50" t="s">
        <v>661</v>
      </c>
      <c r="D195" s="50" t="s">
        <v>659</v>
      </c>
      <c r="E195" s="52"/>
      <c r="F195" s="50">
        <v>7.5</v>
      </c>
      <c r="K195" s="50" t="s">
        <v>95</v>
      </c>
      <c r="L195" s="50" t="s">
        <v>129</v>
      </c>
      <c r="N195" s="50" t="s">
        <v>660</v>
      </c>
    </row>
    <row r="196" spans="1:14" ht="1.5" customHeight="1">
      <c r="A196" s="16">
        <v>195</v>
      </c>
      <c r="B196" s="50" t="s">
        <v>662</v>
      </c>
      <c r="D196" s="50" t="s">
        <v>659</v>
      </c>
      <c r="E196" s="52"/>
      <c r="F196" s="50">
        <v>7.5</v>
      </c>
      <c r="K196" s="50" t="s">
        <v>95</v>
      </c>
      <c r="L196" s="50" t="s">
        <v>129</v>
      </c>
      <c r="N196" s="50" t="s">
        <v>663</v>
      </c>
    </row>
    <row r="197" spans="1:14" ht="1.5" customHeight="1">
      <c r="A197" s="16">
        <v>196</v>
      </c>
      <c r="B197" s="50" t="s">
        <v>664</v>
      </c>
      <c r="D197" s="50" t="s">
        <v>666</v>
      </c>
      <c r="E197" s="52"/>
      <c r="K197" s="50" t="s">
        <v>95</v>
      </c>
      <c r="L197" s="50" t="s">
        <v>129</v>
      </c>
      <c r="N197" s="50" t="s">
        <v>668</v>
      </c>
    </row>
    <row r="198" spans="1:14" ht="1.5" customHeight="1">
      <c r="A198" s="16">
        <v>197</v>
      </c>
      <c r="B198" s="50" t="s">
        <v>670</v>
      </c>
      <c r="D198" s="140" t="s">
        <v>671</v>
      </c>
      <c r="E198" s="52"/>
      <c r="K198" s="50" t="s">
        <v>95</v>
      </c>
      <c r="L198" s="50" t="s">
        <v>129</v>
      </c>
      <c r="N198" s="50" t="s">
        <v>676</v>
      </c>
    </row>
    <row r="199" spans="1:14" ht="1.5" customHeight="1">
      <c r="A199" s="16">
        <v>198</v>
      </c>
      <c r="B199" s="50" t="s">
        <v>678</v>
      </c>
      <c r="D199" s="50" t="s">
        <v>679</v>
      </c>
      <c r="E199" s="52"/>
      <c r="K199" s="50" t="s">
        <v>95</v>
      </c>
      <c r="L199" s="50" t="s">
        <v>129</v>
      </c>
      <c r="N199" s="50" t="s">
        <v>681</v>
      </c>
    </row>
    <row r="200" spans="1:14" ht="1.5" customHeight="1">
      <c r="A200" s="16">
        <v>199</v>
      </c>
      <c r="B200" s="142" t="s">
        <v>682</v>
      </c>
      <c r="C200" s="50" t="s">
        <v>137</v>
      </c>
      <c r="D200" s="50" t="s">
        <v>683</v>
      </c>
      <c r="E200" s="62" t="s">
        <v>138</v>
      </c>
      <c r="F200" s="50">
        <v>6.2</v>
      </c>
      <c r="G200" s="50" t="s">
        <v>552</v>
      </c>
      <c r="H200" s="50" t="s">
        <v>684</v>
      </c>
      <c r="K200" s="50" t="s">
        <v>95</v>
      </c>
      <c r="L200" s="50" t="s">
        <v>686</v>
      </c>
      <c r="N200" s="50" t="s">
        <v>687</v>
      </c>
    </row>
    <row r="201" spans="1:14" ht="1.5" customHeight="1">
      <c r="A201" s="16">
        <v>200</v>
      </c>
      <c r="B201" s="50" t="s">
        <v>689</v>
      </c>
      <c r="D201" s="50" t="s">
        <v>690</v>
      </c>
      <c r="E201" s="52"/>
      <c r="K201" s="50" t="s">
        <v>691</v>
      </c>
      <c r="L201" s="50" t="s">
        <v>96</v>
      </c>
      <c r="M201" s="50">
        <v>4</v>
      </c>
      <c r="N201" s="54" t="s">
        <v>692</v>
      </c>
    </row>
    <row r="202" spans="1:14" ht="1.5" customHeight="1">
      <c r="A202" s="16">
        <v>201</v>
      </c>
      <c r="B202" s="54" t="s">
        <v>693</v>
      </c>
      <c r="E202" s="52"/>
    </row>
    <row r="203" spans="1:14" ht="1.5" customHeight="1">
      <c r="A203" s="16">
        <v>202</v>
      </c>
      <c r="B203" s="50" t="s">
        <v>695</v>
      </c>
      <c r="C203" s="50" t="s">
        <v>137</v>
      </c>
      <c r="E203" s="52"/>
      <c r="F203" s="50">
        <v>7.35</v>
      </c>
      <c r="K203" s="50" t="s">
        <v>697</v>
      </c>
    </row>
    <row r="204" spans="1:14" ht="1.5" customHeight="1">
      <c r="A204" s="16">
        <v>203</v>
      </c>
      <c r="B204" s="50" t="s">
        <v>698</v>
      </c>
      <c r="C204" s="50" t="s">
        <v>137</v>
      </c>
      <c r="E204" s="52"/>
      <c r="J204" s="50" t="s">
        <v>699</v>
      </c>
      <c r="K204" s="50" t="s">
        <v>95</v>
      </c>
    </row>
    <row r="205" spans="1:14" ht="1.5" customHeight="1">
      <c r="A205" s="16">
        <v>204</v>
      </c>
      <c r="B205" s="50" t="s">
        <v>700</v>
      </c>
      <c r="D205" s="50" t="s">
        <v>702</v>
      </c>
      <c r="E205" s="62" t="s">
        <v>138</v>
      </c>
      <c r="J205" s="50" t="s">
        <v>82</v>
      </c>
      <c r="K205" s="54" t="s">
        <v>703</v>
      </c>
      <c r="N205" s="50" t="s">
        <v>702</v>
      </c>
    </row>
    <row r="206" spans="1:14" ht="1.5" customHeight="1">
      <c r="A206" s="16">
        <v>205</v>
      </c>
      <c r="B206" s="50" t="s">
        <v>704</v>
      </c>
      <c r="D206" s="50" t="s">
        <v>705</v>
      </c>
      <c r="E206" s="62" t="s">
        <v>138</v>
      </c>
      <c r="J206" s="50" t="s">
        <v>82</v>
      </c>
      <c r="K206" s="54" t="s">
        <v>703</v>
      </c>
    </row>
    <row r="207" spans="1:14" ht="1.5" customHeight="1">
      <c r="A207" s="16">
        <v>206</v>
      </c>
      <c r="B207" s="50" t="s">
        <v>706</v>
      </c>
      <c r="E207" s="52"/>
      <c r="I207" s="54">
        <v>178</v>
      </c>
      <c r="J207" s="50" t="s">
        <v>699</v>
      </c>
      <c r="K207" s="50" t="s">
        <v>707</v>
      </c>
      <c r="N207" s="54" t="s">
        <v>708</v>
      </c>
    </row>
    <row r="208" spans="1:14" ht="1.5" customHeight="1">
      <c r="A208" s="16">
        <v>207</v>
      </c>
      <c r="B208" s="50" t="s">
        <v>709</v>
      </c>
      <c r="E208" s="52"/>
      <c r="I208" s="54">
        <v>178</v>
      </c>
      <c r="J208" s="50" t="s">
        <v>699</v>
      </c>
      <c r="K208" s="50" t="s">
        <v>707</v>
      </c>
      <c r="N208" s="54" t="s">
        <v>708</v>
      </c>
    </row>
    <row r="209" spans="1:14" ht="1.5" customHeight="1">
      <c r="A209" s="16">
        <v>208</v>
      </c>
      <c r="B209" s="50" t="s">
        <v>710</v>
      </c>
      <c r="E209" s="52"/>
      <c r="I209" s="54">
        <v>178</v>
      </c>
      <c r="J209" s="50" t="s">
        <v>699</v>
      </c>
      <c r="K209" s="50" t="s">
        <v>707</v>
      </c>
      <c r="N209" s="54" t="s">
        <v>708</v>
      </c>
    </row>
    <row r="210" spans="1:14" ht="1.5" customHeight="1">
      <c r="A210" s="16">
        <v>209</v>
      </c>
      <c r="B210" s="50" t="s">
        <v>711</v>
      </c>
      <c r="D210" s="50" t="s">
        <v>712</v>
      </c>
      <c r="E210" s="62" t="s">
        <v>138</v>
      </c>
      <c r="J210" s="50" t="s">
        <v>699</v>
      </c>
      <c r="K210" s="50" t="s">
        <v>95</v>
      </c>
    </row>
    <row r="211" spans="1:14" ht="1.5" customHeight="1">
      <c r="A211" s="16">
        <v>210</v>
      </c>
      <c r="B211" s="50" t="s">
        <v>713</v>
      </c>
      <c r="C211" s="50" t="s">
        <v>137</v>
      </c>
      <c r="E211" s="62" t="s">
        <v>138</v>
      </c>
      <c r="J211" s="50" t="s">
        <v>714</v>
      </c>
    </row>
    <row r="212" spans="1:14" ht="1.5" customHeight="1">
      <c r="A212" s="16">
        <v>211</v>
      </c>
      <c r="B212" s="50" t="s">
        <v>715</v>
      </c>
      <c r="C212" s="50" t="s">
        <v>137</v>
      </c>
      <c r="E212" s="62" t="s">
        <v>138</v>
      </c>
    </row>
    <row r="213" spans="1:14" ht="1.5" customHeight="1">
      <c r="A213" s="16">
        <v>212</v>
      </c>
      <c r="B213" s="50" t="s">
        <v>716</v>
      </c>
      <c r="C213" s="50" t="s">
        <v>137</v>
      </c>
      <c r="D213" s="54" t="s">
        <v>717</v>
      </c>
      <c r="E213" s="52"/>
    </row>
    <row r="214" spans="1:14" ht="1.5" customHeight="1">
      <c r="A214" s="16">
        <v>213</v>
      </c>
      <c r="B214" s="54" t="s">
        <v>719</v>
      </c>
      <c r="C214" s="50" t="s">
        <v>137</v>
      </c>
      <c r="E214" s="62" t="s">
        <v>138</v>
      </c>
      <c r="G214" s="50" t="s">
        <v>720</v>
      </c>
      <c r="H214" s="50" t="s">
        <v>188</v>
      </c>
    </row>
    <row r="215" spans="1:14" ht="1.5" customHeight="1">
      <c r="A215" s="16">
        <v>214</v>
      </c>
      <c r="B215" s="54" t="s">
        <v>721</v>
      </c>
      <c r="C215" s="50" t="s">
        <v>137</v>
      </c>
      <c r="D215" s="50" t="s">
        <v>722</v>
      </c>
      <c r="E215" s="62" t="s">
        <v>138</v>
      </c>
      <c r="M215" s="50" t="s">
        <v>723</v>
      </c>
    </row>
    <row r="216" spans="1:14" ht="1.5" customHeight="1">
      <c r="A216" s="16">
        <v>215</v>
      </c>
      <c r="B216" s="54" t="s">
        <v>724</v>
      </c>
      <c r="C216" s="50" t="s">
        <v>137</v>
      </c>
      <c r="E216" s="62" t="s">
        <v>138</v>
      </c>
    </row>
    <row r="217" spans="1:14" ht="1.5" customHeight="1">
      <c r="A217" s="16">
        <v>216</v>
      </c>
      <c r="B217" s="54" t="s">
        <v>725</v>
      </c>
      <c r="C217" s="50" t="s">
        <v>137</v>
      </c>
      <c r="E217" s="62" t="s">
        <v>138</v>
      </c>
      <c r="M217" s="50" t="s">
        <v>726</v>
      </c>
    </row>
    <row r="218" spans="1:14" ht="1.5" customHeight="1">
      <c r="A218" s="16">
        <v>217</v>
      </c>
      <c r="B218" s="50" t="s">
        <v>727</v>
      </c>
      <c r="D218" s="50" t="s">
        <v>728</v>
      </c>
      <c r="E218" s="52"/>
      <c r="K218" s="50" t="s">
        <v>729</v>
      </c>
      <c r="N218" s="54" t="s">
        <v>730</v>
      </c>
    </row>
    <row r="219" spans="1:14" ht="1.5" customHeight="1">
      <c r="A219" s="16">
        <v>218</v>
      </c>
      <c r="B219" s="50" t="s">
        <v>731</v>
      </c>
      <c r="C219" s="50" t="s">
        <v>137</v>
      </c>
      <c r="E219" s="62" t="s">
        <v>138</v>
      </c>
      <c r="K219" s="50" t="s">
        <v>90</v>
      </c>
    </row>
    <row r="220" spans="1:14" ht="1.5" customHeight="1">
      <c r="A220" s="16">
        <v>219</v>
      </c>
      <c r="B220" s="50" t="s">
        <v>733</v>
      </c>
      <c r="D220" s="50" t="s">
        <v>734</v>
      </c>
      <c r="E220" s="52"/>
      <c r="K220" s="50" t="s">
        <v>735</v>
      </c>
    </row>
    <row r="221" spans="1:14" ht="1.5" customHeight="1">
      <c r="A221" s="16">
        <v>220</v>
      </c>
      <c r="B221" s="50" t="s">
        <v>736</v>
      </c>
      <c r="C221" s="50" t="s">
        <v>315</v>
      </c>
      <c r="D221" s="50" t="s">
        <v>734</v>
      </c>
      <c r="E221" s="52"/>
    </row>
    <row r="222" spans="1:14" ht="1.5" customHeight="1">
      <c r="A222" s="16">
        <v>221</v>
      </c>
      <c r="B222" s="50" t="s">
        <v>738</v>
      </c>
      <c r="C222" s="50" t="s">
        <v>315</v>
      </c>
      <c r="D222" s="50" t="s">
        <v>734</v>
      </c>
      <c r="E222" s="52"/>
    </row>
    <row r="223" spans="1:14" ht="12">
      <c r="A223" s="16">
        <v>222</v>
      </c>
      <c r="B223" s="151" t="s">
        <v>742</v>
      </c>
      <c r="D223" s="50" t="s">
        <v>751</v>
      </c>
      <c r="E223" s="62" t="s">
        <v>138</v>
      </c>
      <c r="F223" s="50">
        <v>8.25</v>
      </c>
      <c r="K223" s="50" t="s">
        <v>754</v>
      </c>
      <c r="N223" s="50" t="s">
        <v>755</v>
      </c>
    </row>
    <row r="224" spans="1:14" ht="12">
      <c r="A224" s="16">
        <v>223</v>
      </c>
      <c r="B224" s="151" t="s">
        <v>757</v>
      </c>
      <c r="D224" s="50" t="s">
        <v>759</v>
      </c>
      <c r="E224" s="62" t="s">
        <v>138</v>
      </c>
      <c r="F224" s="50">
        <v>8.1</v>
      </c>
      <c r="K224" s="50" t="s">
        <v>754</v>
      </c>
    </row>
    <row r="225" spans="1:14" ht="12">
      <c r="A225" s="16">
        <v>224</v>
      </c>
      <c r="B225" s="151" t="s">
        <v>760</v>
      </c>
      <c r="D225" s="50" t="s">
        <v>761</v>
      </c>
      <c r="E225" s="62" t="s">
        <v>138</v>
      </c>
      <c r="F225" s="50">
        <v>8.25</v>
      </c>
      <c r="K225" s="50" t="s">
        <v>754</v>
      </c>
      <c r="N225" s="50" t="s">
        <v>755</v>
      </c>
    </row>
    <row r="226" spans="1:14" ht="12">
      <c r="A226" s="16">
        <v>225</v>
      </c>
      <c r="B226" s="50" t="s">
        <v>762</v>
      </c>
      <c r="E226" s="52"/>
      <c r="K226" s="50" t="s">
        <v>90</v>
      </c>
    </row>
    <row r="227" spans="1:14" ht="24">
      <c r="A227" s="16">
        <v>226</v>
      </c>
      <c r="B227" s="50" t="s">
        <v>763</v>
      </c>
      <c r="D227" s="50">
        <v>-28304</v>
      </c>
      <c r="E227" s="52"/>
      <c r="K227" s="50" t="s">
        <v>764</v>
      </c>
    </row>
    <row r="228" spans="1:14" ht="24">
      <c r="A228" s="16">
        <v>227</v>
      </c>
      <c r="B228" s="50" t="s">
        <v>765</v>
      </c>
      <c r="D228" s="50">
        <v>-22907</v>
      </c>
      <c r="E228" s="52"/>
      <c r="K228" s="50" t="s">
        <v>764</v>
      </c>
    </row>
    <row r="229" spans="1:14" ht="24">
      <c r="A229" s="16">
        <v>228</v>
      </c>
      <c r="B229" s="50" t="s">
        <v>767</v>
      </c>
      <c r="D229" s="50">
        <v>-24593</v>
      </c>
      <c r="E229" s="52"/>
      <c r="K229" s="50" t="s">
        <v>764</v>
      </c>
    </row>
    <row r="230" spans="1:14" ht="24">
      <c r="A230" s="16">
        <v>229</v>
      </c>
      <c r="B230" s="50" t="s">
        <v>771</v>
      </c>
      <c r="D230" s="50">
        <v>-26968</v>
      </c>
      <c r="E230" s="62" t="s">
        <v>138</v>
      </c>
      <c r="K230" s="50" t="s">
        <v>764</v>
      </c>
    </row>
    <row r="231" spans="1:14" ht="24">
      <c r="A231" s="16">
        <v>230</v>
      </c>
      <c r="B231" s="50" t="s">
        <v>775</v>
      </c>
      <c r="D231" s="50" t="s">
        <v>776</v>
      </c>
      <c r="E231" s="52"/>
      <c r="K231" s="50" t="s">
        <v>764</v>
      </c>
    </row>
    <row r="232" spans="1:14" ht="24">
      <c r="A232" s="16">
        <v>231</v>
      </c>
      <c r="B232" s="50" t="s">
        <v>779</v>
      </c>
      <c r="D232" s="50" t="s">
        <v>780</v>
      </c>
      <c r="E232" s="62" t="s">
        <v>138</v>
      </c>
      <c r="K232" s="54" t="s">
        <v>781</v>
      </c>
      <c r="M232" s="50" t="s">
        <v>782</v>
      </c>
    </row>
    <row r="233" spans="1:14" ht="12">
      <c r="A233" s="16">
        <v>232</v>
      </c>
      <c r="B233" s="50" t="s">
        <v>783</v>
      </c>
      <c r="D233" s="50" t="s">
        <v>784</v>
      </c>
      <c r="E233" s="62" t="s">
        <v>138</v>
      </c>
      <c r="K233" s="54" t="s">
        <v>781</v>
      </c>
    </row>
    <row r="234" spans="1:14" ht="12">
      <c r="A234" s="16">
        <v>233</v>
      </c>
      <c r="B234" s="50" t="s">
        <v>785</v>
      </c>
      <c r="C234" s="50" t="s">
        <v>137</v>
      </c>
      <c r="D234" s="50" t="s">
        <v>786</v>
      </c>
      <c r="E234" s="52"/>
      <c r="K234" s="54" t="s">
        <v>781</v>
      </c>
      <c r="N234" s="54" t="s">
        <v>787</v>
      </c>
    </row>
    <row r="235" spans="1:14" ht="24">
      <c r="A235" s="16">
        <v>234</v>
      </c>
      <c r="B235" s="151" t="s">
        <v>788</v>
      </c>
      <c r="C235" s="50" t="s">
        <v>477</v>
      </c>
      <c r="D235" s="50" t="s">
        <v>789</v>
      </c>
      <c r="E235" s="62" t="s">
        <v>138</v>
      </c>
      <c r="K235" s="54" t="s">
        <v>781</v>
      </c>
      <c r="M235" s="50" t="s">
        <v>782</v>
      </c>
      <c r="N235" s="54" t="s">
        <v>790</v>
      </c>
    </row>
    <row r="236" spans="1:14" ht="12">
      <c r="A236" s="16">
        <v>235</v>
      </c>
      <c r="B236" s="50" t="s">
        <v>791</v>
      </c>
      <c r="E236" s="52"/>
    </row>
    <row r="237" spans="1:14" ht="12">
      <c r="A237" s="16">
        <v>236</v>
      </c>
      <c r="B237" s="50" t="s">
        <v>792</v>
      </c>
      <c r="D237" s="50" t="s">
        <v>793</v>
      </c>
      <c r="E237" s="62" t="s">
        <v>138</v>
      </c>
      <c r="K237" s="54" t="s">
        <v>781</v>
      </c>
    </row>
    <row r="238" spans="1:14" ht="12">
      <c r="A238" s="16">
        <v>237</v>
      </c>
      <c r="B238" s="50" t="s">
        <v>794</v>
      </c>
      <c r="C238" s="50" t="s">
        <v>315</v>
      </c>
      <c r="E238" s="52"/>
      <c r="K238" s="50" t="s">
        <v>795</v>
      </c>
      <c r="M238" s="50" t="s">
        <v>796</v>
      </c>
    </row>
    <row r="239" spans="1:14" ht="12">
      <c r="A239" s="16">
        <v>238</v>
      </c>
      <c r="B239" s="50" t="s">
        <v>798</v>
      </c>
      <c r="C239" s="50" t="s">
        <v>315</v>
      </c>
      <c r="E239" s="52"/>
      <c r="K239" s="50" t="s">
        <v>795</v>
      </c>
      <c r="M239" s="50" t="s">
        <v>796</v>
      </c>
    </row>
    <row r="240" spans="1:14" ht="12">
      <c r="A240" s="16">
        <v>239</v>
      </c>
      <c r="B240" s="50" t="s">
        <v>800</v>
      </c>
      <c r="C240" s="50" t="s">
        <v>137</v>
      </c>
      <c r="D240" s="50" t="s">
        <v>801</v>
      </c>
      <c r="E240" s="62" t="s">
        <v>138</v>
      </c>
      <c r="I240" s="50" t="s">
        <v>803</v>
      </c>
      <c r="K240" s="50" t="s">
        <v>804</v>
      </c>
      <c r="L240" s="50" t="s">
        <v>111</v>
      </c>
      <c r="N240" s="54" t="s">
        <v>805</v>
      </c>
    </row>
    <row r="241" spans="1:14" ht="12">
      <c r="A241" s="16">
        <v>240</v>
      </c>
      <c r="B241" s="50" t="s">
        <v>806</v>
      </c>
      <c r="C241" s="50" t="s">
        <v>137</v>
      </c>
      <c r="D241" s="50" t="s">
        <v>807</v>
      </c>
      <c r="E241" s="62" t="s">
        <v>138</v>
      </c>
      <c r="I241" s="50" t="s">
        <v>803</v>
      </c>
      <c r="K241" s="50" t="s">
        <v>804</v>
      </c>
      <c r="L241" s="50" t="s">
        <v>111</v>
      </c>
      <c r="N241" s="54" t="s">
        <v>805</v>
      </c>
    </row>
    <row r="242" spans="1:14" ht="12">
      <c r="A242" s="16">
        <v>241</v>
      </c>
      <c r="B242" s="50" t="s">
        <v>808</v>
      </c>
      <c r="D242" s="54" t="s">
        <v>809</v>
      </c>
      <c r="E242" s="52"/>
      <c r="F242" s="50" t="s">
        <v>810</v>
      </c>
      <c r="K242" s="50" t="s">
        <v>811</v>
      </c>
    </row>
    <row r="243" spans="1:14" ht="12">
      <c r="A243" s="16">
        <v>242</v>
      </c>
      <c r="B243" s="50" t="s">
        <v>812</v>
      </c>
      <c r="D243" s="54" t="s">
        <v>809</v>
      </c>
      <c r="E243" s="52"/>
      <c r="F243" s="50" t="s">
        <v>813</v>
      </c>
      <c r="K243" s="50" t="s">
        <v>811</v>
      </c>
      <c r="N243" s="54" t="s">
        <v>814</v>
      </c>
    </row>
    <row r="244" spans="1:14" ht="12">
      <c r="A244" s="16">
        <v>243</v>
      </c>
      <c r="B244" s="50" t="s">
        <v>815</v>
      </c>
      <c r="C244" s="50" t="s">
        <v>137</v>
      </c>
      <c r="E244" s="52"/>
      <c r="K244" s="50" t="s">
        <v>817</v>
      </c>
    </row>
    <row r="245" spans="1:14" ht="12">
      <c r="A245" s="16">
        <v>244</v>
      </c>
      <c r="B245" s="50" t="s">
        <v>818</v>
      </c>
      <c r="D245" s="50" t="s">
        <v>820</v>
      </c>
      <c r="E245" s="62" t="s">
        <v>138</v>
      </c>
      <c r="K245" s="50" t="s">
        <v>821</v>
      </c>
    </row>
    <row r="246" spans="1:14" ht="12">
      <c r="A246" s="16">
        <v>245</v>
      </c>
      <c r="B246" s="54" t="s">
        <v>822</v>
      </c>
      <c r="E246" s="52"/>
      <c r="K246" s="50" t="s">
        <v>824</v>
      </c>
    </row>
    <row r="247" spans="1:14" ht="12">
      <c r="A247" s="16">
        <v>246</v>
      </c>
      <c r="B247" s="54" t="s">
        <v>825</v>
      </c>
      <c r="E247" s="52"/>
      <c r="K247" s="50" t="s">
        <v>824</v>
      </c>
    </row>
    <row r="248" spans="1:14" ht="12">
      <c r="A248" s="16">
        <v>247</v>
      </c>
      <c r="B248" s="54" t="s">
        <v>827</v>
      </c>
      <c r="E248" s="52"/>
      <c r="K248" s="50" t="s">
        <v>824</v>
      </c>
    </row>
    <row r="249" spans="1:14" ht="12">
      <c r="A249" s="16">
        <v>248</v>
      </c>
      <c r="B249" s="54" t="s">
        <v>829</v>
      </c>
      <c r="E249" s="52"/>
      <c r="K249" s="50" t="s">
        <v>824</v>
      </c>
    </row>
    <row r="250" spans="1:14" ht="12">
      <c r="A250" s="16">
        <v>249</v>
      </c>
      <c r="B250" s="54" t="s">
        <v>830</v>
      </c>
      <c r="E250" s="52"/>
      <c r="K250" s="50" t="s">
        <v>824</v>
      </c>
    </row>
    <row r="251" spans="1:14" ht="12">
      <c r="A251" s="16">
        <v>250</v>
      </c>
      <c r="B251" s="54" t="s">
        <v>832</v>
      </c>
      <c r="E251" s="52"/>
      <c r="K251" s="50" t="s">
        <v>824</v>
      </c>
    </row>
    <row r="252" spans="1:14" ht="12">
      <c r="A252" s="16">
        <v>251</v>
      </c>
      <c r="B252" s="54" t="s">
        <v>834</v>
      </c>
      <c r="E252" s="52"/>
      <c r="G252" s="50" t="s">
        <v>186</v>
      </c>
      <c r="H252" s="50" t="s">
        <v>836</v>
      </c>
      <c r="K252" s="50" t="s">
        <v>824</v>
      </c>
    </row>
    <row r="253" spans="1:14" ht="12">
      <c r="A253" s="16">
        <v>252</v>
      </c>
      <c r="B253" s="54" t="s">
        <v>838</v>
      </c>
      <c r="E253" s="52"/>
      <c r="K253" s="50" t="s">
        <v>824</v>
      </c>
    </row>
    <row r="254" spans="1:14" ht="12">
      <c r="A254" s="16">
        <v>253</v>
      </c>
      <c r="B254" s="50" t="s">
        <v>842</v>
      </c>
      <c r="D254" s="50" t="s">
        <v>844</v>
      </c>
      <c r="E254" s="62" t="s">
        <v>138</v>
      </c>
      <c r="I254" s="50">
        <v>199</v>
      </c>
      <c r="K254" s="50" t="s">
        <v>158</v>
      </c>
      <c r="N254" s="50" t="s">
        <v>846</v>
      </c>
    </row>
    <row r="255" spans="1:14" ht="12">
      <c r="A255" s="16">
        <v>254</v>
      </c>
      <c r="B255" s="50" t="s">
        <v>848</v>
      </c>
      <c r="D255" s="50">
        <v>-2435</v>
      </c>
      <c r="E255" s="52"/>
      <c r="K255" s="50" t="s">
        <v>238</v>
      </c>
    </row>
    <row r="256" spans="1:14" ht="12">
      <c r="A256" s="16">
        <v>255</v>
      </c>
      <c r="B256" s="50" t="s">
        <v>849</v>
      </c>
      <c r="E256" s="52"/>
      <c r="K256" s="50" t="s">
        <v>850</v>
      </c>
    </row>
    <row r="257" spans="1:23" ht="48">
      <c r="A257" s="16">
        <v>256</v>
      </c>
      <c r="B257" s="50" t="s">
        <v>851</v>
      </c>
      <c r="D257" s="50" t="s">
        <v>852</v>
      </c>
      <c r="E257" s="62" t="s">
        <v>138</v>
      </c>
      <c r="G257" s="50" t="s">
        <v>854</v>
      </c>
      <c r="H257" s="50" t="s">
        <v>855</v>
      </c>
      <c r="K257" s="50" t="s">
        <v>856</v>
      </c>
    </row>
    <row r="258" spans="1:23" ht="24">
      <c r="A258" s="159">
        <v>257</v>
      </c>
      <c r="B258" s="161" t="s">
        <v>865</v>
      </c>
      <c r="C258" s="161" t="s">
        <v>137</v>
      </c>
      <c r="D258" s="161" t="s">
        <v>871</v>
      </c>
      <c r="E258" s="161" t="s">
        <v>138</v>
      </c>
      <c r="F258" s="163"/>
      <c r="G258" s="161" t="s">
        <v>246</v>
      </c>
      <c r="H258" s="161" t="s">
        <v>880</v>
      </c>
      <c r="I258" s="161">
        <v>33</v>
      </c>
      <c r="J258" s="161" t="s">
        <v>583</v>
      </c>
      <c r="K258" s="161" t="s">
        <v>881</v>
      </c>
      <c r="L258" s="161" t="s">
        <v>111</v>
      </c>
      <c r="M258" s="161" t="s">
        <v>782</v>
      </c>
      <c r="N258" s="161" t="s">
        <v>883</v>
      </c>
    </row>
    <row r="259" spans="1:23" ht="14.25" customHeight="1">
      <c r="A259" s="16">
        <v>258</v>
      </c>
      <c r="B259" s="50" t="s">
        <v>884</v>
      </c>
      <c r="C259" s="50" t="s">
        <v>137</v>
      </c>
      <c r="D259" s="50" t="s">
        <v>885</v>
      </c>
      <c r="E259" s="52"/>
      <c r="K259" s="50" t="s">
        <v>887</v>
      </c>
    </row>
    <row r="260" spans="1:23" ht="12">
      <c r="A260" s="16">
        <v>259</v>
      </c>
      <c r="B260" s="50" t="s">
        <v>888</v>
      </c>
      <c r="C260" s="50" t="s">
        <v>315</v>
      </c>
      <c r="E260" s="62" t="s">
        <v>141</v>
      </c>
      <c r="K260" s="50" t="s">
        <v>890</v>
      </c>
    </row>
    <row r="261" spans="1:23" ht="12">
      <c r="A261" s="16">
        <v>260</v>
      </c>
      <c r="B261" s="50" t="s">
        <v>892</v>
      </c>
      <c r="C261" s="50" t="s">
        <v>315</v>
      </c>
      <c r="E261" s="52"/>
      <c r="K261" s="50" t="s">
        <v>890</v>
      </c>
    </row>
    <row r="262" spans="1:23" ht="12">
      <c r="A262" s="16">
        <v>261</v>
      </c>
      <c r="B262" s="50" t="s">
        <v>895</v>
      </c>
      <c r="C262" s="50" t="s">
        <v>315</v>
      </c>
      <c r="E262" s="52"/>
      <c r="K262" s="50" t="s">
        <v>890</v>
      </c>
    </row>
    <row r="263" spans="1:23" ht="12">
      <c r="A263" s="16">
        <v>262</v>
      </c>
      <c r="B263" s="50" t="s">
        <v>896</v>
      </c>
      <c r="C263" s="50" t="s">
        <v>315</v>
      </c>
      <c r="E263" s="52"/>
      <c r="K263" s="50" t="s">
        <v>890</v>
      </c>
    </row>
    <row r="264" spans="1:23" ht="12">
      <c r="A264" s="16">
        <v>263</v>
      </c>
      <c r="B264" s="50" t="s">
        <v>899</v>
      </c>
      <c r="C264" s="50" t="s">
        <v>315</v>
      </c>
      <c r="E264" s="52"/>
      <c r="K264" s="50" t="s">
        <v>890</v>
      </c>
    </row>
    <row r="265" spans="1:23" ht="12">
      <c r="A265" s="16">
        <v>264</v>
      </c>
      <c r="B265" s="50" t="s">
        <v>900</v>
      </c>
      <c r="C265" s="50" t="s">
        <v>315</v>
      </c>
      <c r="E265" s="52"/>
      <c r="K265" s="50" t="s">
        <v>890</v>
      </c>
    </row>
    <row r="266" spans="1:23" ht="12">
      <c r="A266" s="16">
        <v>265</v>
      </c>
      <c r="B266" s="50" t="s">
        <v>901</v>
      </c>
      <c r="C266" s="50" t="s">
        <v>315</v>
      </c>
      <c r="E266" s="52"/>
      <c r="K266" s="50" t="s">
        <v>890</v>
      </c>
    </row>
    <row r="267" spans="1:23" ht="12">
      <c r="A267" s="16">
        <v>266</v>
      </c>
      <c r="B267" s="50" t="s">
        <v>905</v>
      </c>
      <c r="C267" s="50" t="s">
        <v>315</v>
      </c>
      <c r="E267" s="52"/>
      <c r="K267" s="50" t="s">
        <v>890</v>
      </c>
    </row>
    <row r="268" spans="1:23" ht="12">
      <c r="A268" s="16">
        <v>267</v>
      </c>
      <c r="B268" s="50" t="s">
        <v>908</v>
      </c>
      <c r="C268" s="50" t="s">
        <v>315</v>
      </c>
      <c r="E268" s="52"/>
      <c r="K268" s="50" t="s">
        <v>890</v>
      </c>
      <c r="M268" s="50" t="s">
        <v>782</v>
      </c>
    </row>
    <row r="269" spans="1:23" ht="24">
      <c r="A269" s="159">
        <v>268</v>
      </c>
      <c r="B269" s="161" t="s">
        <v>910</v>
      </c>
      <c r="C269" s="161" t="s">
        <v>137</v>
      </c>
      <c r="D269" s="163"/>
      <c r="E269" s="163"/>
      <c r="F269" s="163"/>
      <c r="G269" s="163"/>
      <c r="H269" s="163"/>
      <c r="I269" s="163"/>
      <c r="J269" s="163"/>
      <c r="K269" s="161" t="s">
        <v>911</v>
      </c>
      <c r="L269" s="163"/>
      <c r="M269" s="163"/>
      <c r="N269" s="166" t="s">
        <v>912</v>
      </c>
      <c r="O269" s="163"/>
      <c r="P269" s="163"/>
      <c r="Q269" s="163"/>
      <c r="R269" s="163"/>
      <c r="S269" s="163"/>
      <c r="T269" s="163"/>
      <c r="U269" s="163"/>
      <c r="V269" s="163"/>
      <c r="W269" s="163"/>
    </row>
    <row r="270" spans="1:23" ht="24">
      <c r="A270" s="16">
        <v>269</v>
      </c>
      <c r="B270" s="50" t="s">
        <v>913</v>
      </c>
      <c r="D270" s="50" t="s">
        <v>914</v>
      </c>
      <c r="E270" s="52"/>
      <c r="K270" s="50" t="s">
        <v>915</v>
      </c>
    </row>
    <row r="271" spans="1:23" ht="12">
      <c r="A271" s="16">
        <v>270</v>
      </c>
      <c r="B271" s="50" t="s">
        <v>916</v>
      </c>
      <c r="E271" s="52"/>
      <c r="K271" s="50" t="s">
        <v>917</v>
      </c>
    </row>
    <row r="272" spans="1:23" ht="12">
      <c r="A272" s="16">
        <v>271</v>
      </c>
      <c r="B272" s="50" t="s">
        <v>918</v>
      </c>
      <c r="E272" s="52"/>
      <c r="K272" s="50" t="s">
        <v>917</v>
      </c>
    </row>
    <row r="273" spans="1:14" ht="12">
      <c r="A273" s="16">
        <v>272</v>
      </c>
      <c r="B273" s="50" t="s">
        <v>919</v>
      </c>
      <c r="E273" s="62" t="s">
        <v>141</v>
      </c>
      <c r="K273" s="50" t="s">
        <v>920</v>
      </c>
      <c r="N273" s="54" t="s">
        <v>921</v>
      </c>
    </row>
    <row r="274" spans="1:14" ht="12">
      <c r="A274" s="168">
        <v>273</v>
      </c>
      <c r="B274" s="170" t="s">
        <v>922</v>
      </c>
      <c r="C274" s="170" t="s">
        <v>137</v>
      </c>
      <c r="D274" s="172" t="s">
        <v>924</v>
      </c>
      <c r="E274" s="170" t="s">
        <v>138</v>
      </c>
      <c r="F274" s="174"/>
      <c r="G274" s="174"/>
      <c r="H274" s="174"/>
      <c r="I274" s="174"/>
      <c r="J274" s="174"/>
      <c r="K274" s="170" t="s">
        <v>925</v>
      </c>
      <c r="L274" s="174"/>
      <c r="M274" s="174"/>
      <c r="N274" s="170" t="s">
        <v>926</v>
      </c>
    </row>
    <row r="275" spans="1:14" ht="12">
      <c r="A275" s="16">
        <v>274</v>
      </c>
      <c r="B275" s="50" t="s">
        <v>927</v>
      </c>
      <c r="D275" s="50" t="s">
        <v>928</v>
      </c>
      <c r="E275" s="62" t="s">
        <v>138</v>
      </c>
      <c r="G275" s="50" t="s">
        <v>929</v>
      </c>
      <c r="H275" s="50" t="s">
        <v>930</v>
      </c>
      <c r="K275" s="50" t="s">
        <v>872</v>
      </c>
    </row>
    <row r="276" spans="1:14" ht="12">
      <c r="A276" s="16">
        <v>275</v>
      </c>
      <c r="B276" s="50" t="s">
        <v>931</v>
      </c>
      <c r="C276" s="50" t="s">
        <v>137</v>
      </c>
      <c r="D276" s="50" t="s">
        <v>932</v>
      </c>
      <c r="E276" s="62" t="s">
        <v>138</v>
      </c>
      <c r="J276" s="50" t="s">
        <v>583</v>
      </c>
      <c r="K276" s="50" t="s">
        <v>881</v>
      </c>
      <c r="L276" s="50" t="s">
        <v>111</v>
      </c>
      <c r="M276" s="50" t="s">
        <v>782</v>
      </c>
      <c r="N276" s="180" t="s">
        <v>933</v>
      </c>
    </row>
    <row r="277" spans="1:14" ht="12">
      <c r="A277" s="16">
        <v>276</v>
      </c>
      <c r="B277" s="50" t="s">
        <v>941</v>
      </c>
      <c r="E277" s="62" t="s">
        <v>138</v>
      </c>
      <c r="G277" s="50" t="s">
        <v>552</v>
      </c>
      <c r="H277" s="50" t="s">
        <v>836</v>
      </c>
      <c r="J277" s="50" t="s">
        <v>583</v>
      </c>
      <c r="K277" s="50" t="s">
        <v>881</v>
      </c>
      <c r="M277" s="50" t="s">
        <v>782</v>
      </c>
      <c r="N277" s="50" t="s">
        <v>943</v>
      </c>
    </row>
    <row r="278" spans="1:14" ht="12">
      <c r="A278" s="16">
        <v>277</v>
      </c>
      <c r="B278" s="50" t="s">
        <v>944</v>
      </c>
      <c r="C278" s="50" t="s">
        <v>137</v>
      </c>
      <c r="D278" s="50" t="s">
        <v>945</v>
      </c>
      <c r="E278" s="62" t="s">
        <v>138</v>
      </c>
      <c r="J278" s="50" t="s">
        <v>583</v>
      </c>
      <c r="K278" s="50" t="s">
        <v>881</v>
      </c>
      <c r="L278" s="50" t="s">
        <v>111</v>
      </c>
      <c r="M278" s="50" t="s">
        <v>796</v>
      </c>
      <c r="N278" s="50" t="s">
        <v>947</v>
      </c>
    </row>
    <row r="279" spans="1:14" ht="12">
      <c r="A279" s="16">
        <v>278</v>
      </c>
      <c r="B279" s="50" t="s">
        <v>948</v>
      </c>
      <c r="D279" s="54" t="s">
        <v>949</v>
      </c>
      <c r="E279" s="62" t="s">
        <v>138</v>
      </c>
      <c r="J279" s="50" t="s">
        <v>583</v>
      </c>
      <c r="K279" s="50" t="s">
        <v>881</v>
      </c>
      <c r="M279" s="50" t="s">
        <v>796</v>
      </c>
      <c r="N279" s="50" t="s">
        <v>951</v>
      </c>
    </row>
    <row r="280" spans="1:14" ht="24">
      <c r="A280" s="159">
        <v>279</v>
      </c>
      <c r="B280" s="161" t="s">
        <v>952</v>
      </c>
      <c r="C280" s="161" t="s">
        <v>137</v>
      </c>
      <c r="D280" s="166" t="s">
        <v>954</v>
      </c>
      <c r="E280" s="161" t="s">
        <v>138</v>
      </c>
      <c r="F280" s="163"/>
      <c r="G280" s="161" t="s">
        <v>956</v>
      </c>
      <c r="H280" s="161" t="s">
        <v>957</v>
      </c>
      <c r="I280" s="161">
        <v>257</v>
      </c>
      <c r="J280" s="161" t="s">
        <v>583</v>
      </c>
      <c r="K280" s="161" t="s">
        <v>881</v>
      </c>
      <c r="L280" s="161" t="s">
        <v>111</v>
      </c>
      <c r="M280" s="161" t="s">
        <v>782</v>
      </c>
      <c r="N280" s="161" t="s">
        <v>958</v>
      </c>
    </row>
    <row r="281" spans="1:14" ht="24">
      <c r="A281" s="16">
        <v>280</v>
      </c>
      <c r="B281" s="50" t="s">
        <v>960</v>
      </c>
      <c r="D281" s="184" t="s">
        <v>962</v>
      </c>
      <c r="E281" s="52"/>
      <c r="K281" s="50" t="s">
        <v>964</v>
      </c>
      <c r="M281" s="50" t="s">
        <v>782</v>
      </c>
      <c r="N281" s="50" t="s">
        <v>965</v>
      </c>
    </row>
    <row r="282" spans="1:14" ht="24">
      <c r="A282" s="16">
        <v>281</v>
      </c>
      <c r="B282" s="50" t="s">
        <v>966</v>
      </c>
      <c r="D282" s="184" t="s">
        <v>962</v>
      </c>
      <c r="E282" s="52"/>
      <c r="K282" s="50" t="s">
        <v>967</v>
      </c>
      <c r="M282" s="50" t="s">
        <v>782</v>
      </c>
      <c r="N282" s="50" t="s">
        <v>965</v>
      </c>
    </row>
    <row r="283" spans="1:14" ht="24">
      <c r="A283" s="16">
        <v>282</v>
      </c>
      <c r="B283" s="50" t="s">
        <v>1048</v>
      </c>
      <c r="D283" s="184" t="s">
        <v>962</v>
      </c>
      <c r="E283" s="52"/>
      <c r="K283" s="50" t="s">
        <v>1049</v>
      </c>
      <c r="M283" s="50" t="s">
        <v>782</v>
      </c>
      <c r="N283" s="50" t="s">
        <v>965</v>
      </c>
    </row>
    <row r="284" spans="1:14" ht="24">
      <c r="A284" s="16">
        <v>283</v>
      </c>
      <c r="B284" s="50" t="s">
        <v>1051</v>
      </c>
      <c r="E284" s="52"/>
      <c r="K284" s="50" t="s">
        <v>1052</v>
      </c>
      <c r="M284" s="50" t="s">
        <v>782</v>
      </c>
      <c r="N284" s="50" t="s">
        <v>965</v>
      </c>
    </row>
    <row r="285" spans="1:14" ht="24">
      <c r="A285" s="16">
        <v>284</v>
      </c>
      <c r="B285" s="50" t="s">
        <v>1056</v>
      </c>
      <c r="E285" s="62" t="s">
        <v>138</v>
      </c>
      <c r="G285" s="50" t="s">
        <v>400</v>
      </c>
      <c r="H285" s="50" t="s">
        <v>1057</v>
      </c>
      <c r="I285" s="50">
        <v>202</v>
      </c>
      <c r="J285" s="50" t="s">
        <v>583</v>
      </c>
      <c r="K285" s="50" t="s">
        <v>881</v>
      </c>
      <c r="L285" s="50" t="s">
        <v>111</v>
      </c>
      <c r="M285" s="50" t="s">
        <v>782</v>
      </c>
      <c r="N285" s="50" t="s">
        <v>1059</v>
      </c>
    </row>
    <row r="286" spans="1:14" ht="60">
      <c r="A286" s="16">
        <v>285</v>
      </c>
      <c r="B286" s="50" t="s">
        <v>1063</v>
      </c>
      <c r="D286" s="50" t="s">
        <v>1064</v>
      </c>
      <c r="E286" s="62" t="s">
        <v>138</v>
      </c>
      <c r="G286" s="50" t="s">
        <v>1067</v>
      </c>
      <c r="H286" s="50" t="s">
        <v>1068</v>
      </c>
      <c r="I286" s="50">
        <v>202</v>
      </c>
      <c r="J286" s="50" t="s">
        <v>583</v>
      </c>
      <c r="K286" s="50" t="s">
        <v>1070</v>
      </c>
      <c r="L286" s="50" t="s">
        <v>111</v>
      </c>
      <c r="M286" s="50" t="s">
        <v>782</v>
      </c>
      <c r="N286" s="50" t="s">
        <v>1071</v>
      </c>
    </row>
    <row r="287" spans="1:14" ht="12">
      <c r="A287" s="16">
        <v>286</v>
      </c>
      <c r="B287" s="50" t="s">
        <v>1073</v>
      </c>
      <c r="C287" s="50" t="s">
        <v>315</v>
      </c>
      <c r="E287" s="52"/>
      <c r="G287" s="50" t="s">
        <v>929</v>
      </c>
      <c r="H287" s="50" t="s">
        <v>1075</v>
      </c>
      <c r="I287" s="50">
        <v>120</v>
      </c>
      <c r="J287" s="50" t="s">
        <v>583</v>
      </c>
      <c r="K287" s="50" t="s">
        <v>1070</v>
      </c>
      <c r="L287" s="50" t="s">
        <v>111</v>
      </c>
      <c r="M287" s="50" t="s">
        <v>782</v>
      </c>
      <c r="N287" s="50" t="s">
        <v>1078</v>
      </c>
    </row>
    <row r="288" spans="1:14" ht="12">
      <c r="A288" s="16">
        <v>287</v>
      </c>
      <c r="B288" s="50" t="s">
        <v>1079</v>
      </c>
      <c r="C288" s="50" t="s">
        <v>315</v>
      </c>
      <c r="E288" s="52"/>
      <c r="G288" s="50" t="s">
        <v>929</v>
      </c>
      <c r="H288" s="50" t="s">
        <v>1075</v>
      </c>
      <c r="I288" s="50">
        <v>120</v>
      </c>
      <c r="J288" s="50" t="s">
        <v>583</v>
      </c>
      <c r="K288" s="50" t="s">
        <v>1070</v>
      </c>
      <c r="L288" s="50" t="s">
        <v>111</v>
      </c>
      <c r="M288" s="50" t="s">
        <v>782</v>
      </c>
      <c r="N288" s="50" t="s">
        <v>1080</v>
      </c>
    </row>
    <row r="289" spans="1:14" ht="24">
      <c r="A289" s="16">
        <v>288</v>
      </c>
      <c r="B289" s="50" t="s">
        <v>1081</v>
      </c>
      <c r="D289" s="50" t="s">
        <v>1082</v>
      </c>
      <c r="E289" s="62" t="s">
        <v>138</v>
      </c>
    </row>
    <row r="290" spans="1:14" ht="12">
      <c r="A290" s="16">
        <v>289</v>
      </c>
      <c r="B290" s="50" t="s">
        <v>1083</v>
      </c>
      <c r="C290" s="50" t="s">
        <v>137</v>
      </c>
      <c r="D290" s="50" t="s">
        <v>1084</v>
      </c>
      <c r="E290" s="62" t="s">
        <v>138</v>
      </c>
      <c r="G290" s="50" t="s">
        <v>400</v>
      </c>
      <c r="H290" s="50" t="s">
        <v>1085</v>
      </c>
      <c r="I290" s="50">
        <v>92</v>
      </c>
      <c r="K290" s="50" t="s">
        <v>1086</v>
      </c>
      <c r="M290" s="50" t="s">
        <v>782</v>
      </c>
      <c r="N290" s="50" t="s">
        <v>1087</v>
      </c>
    </row>
    <row r="291" spans="1:14" ht="12">
      <c r="A291" s="16">
        <v>290</v>
      </c>
      <c r="B291" s="50" t="s">
        <v>1089</v>
      </c>
      <c r="E291" s="62" t="s">
        <v>138</v>
      </c>
      <c r="G291" s="50" t="s">
        <v>400</v>
      </c>
      <c r="H291" s="50" t="s">
        <v>1090</v>
      </c>
      <c r="K291" s="50" t="s">
        <v>1091</v>
      </c>
      <c r="M291" s="50" t="s">
        <v>1092</v>
      </c>
    </row>
    <row r="292" spans="1:14" ht="24">
      <c r="A292" s="16">
        <v>291</v>
      </c>
      <c r="B292" s="50" t="s">
        <v>1094</v>
      </c>
      <c r="E292" s="62" t="s">
        <v>138</v>
      </c>
      <c r="G292" s="50" t="s">
        <v>1096</v>
      </c>
      <c r="H292" s="50" t="s">
        <v>1090</v>
      </c>
      <c r="K292" s="50" t="s">
        <v>1091</v>
      </c>
      <c r="M292" s="50" t="s">
        <v>1092</v>
      </c>
    </row>
    <row r="293" spans="1:14" ht="24">
      <c r="A293" s="16">
        <v>292</v>
      </c>
      <c r="B293" s="50" t="s">
        <v>1097</v>
      </c>
      <c r="D293" s="50" t="s">
        <v>1099</v>
      </c>
      <c r="E293" s="62" t="s">
        <v>138</v>
      </c>
      <c r="G293" s="50" t="s">
        <v>1101</v>
      </c>
      <c r="H293" s="50" t="s">
        <v>1102</v>
      </c>
      <c r="K293" s="50" t="s">
        <v>1091</v>
      </c>
      <c r="M293" s="50" t="s">
        <v>1092</v>
      </c>
    </row>
    <row r="294" spans="1:14" ht="12">
      <c r="A294" s="16">
        <v>293</v>
      </c>
      <c r="B294" s="50" t="s">
        <v>1105</v>
      </c>
      <c r="C294" s="50" t="s">
        <v>315</v>
      </c>
      <c r="E294" s="52"/>
      <c r="G294" s="50" t="s">
        <v>400</v>
      </c>
      <c r="H294" s="50" t="s">
        <v>1106</v>
      </c>
      <c r="I294" s="50">
        <v>185</v>
      </c>
      <c r="J294" s="50" t="s">
        <v>583</v>
      </c>
      <c r="K294" s="50" t="s">
        <v>881</v>
      </c>
      <c r="L294" s="50" t="s">
        <v>111</v>
      </c>
      <c r="M294" s="50" t="s">
        <v>782</v>
      </c>
      <c r="N294" s="50" t="s">
        <v>1108</v>
      </c>
    </row>
    <row r="295" spans="1:14" ht="12">
      <c r="A295" s="16">
        <v>294</v>
      </c>
      <c r="B295" s="50" t="s">
        <v>1110</v>
      </c>
      <c r="C295" s="50" t="s">
        <v>315</v>
      </c>
      <c r="E295" s="52"/>
      <c r="I295" s="50">
        <v>185</v>
      </c>
      <c r="J295" s="50" t="s">
        <v>583</v>
      </c>
      <c r="K295" s="50" t="s">
        <v>881</v>
      </c>
      <c r="L295" s="50" t="s">
        <v>111</v>
      </c>
      <c r="M295" s="50" t="s">
        <v>782</v>
      </c>
      <c r="N295" s="50" t="s">
        <v>1114</v>
      </c>
    </row>
    <row r="296" spans="1:14" ht="12">
      <c r="A296" s="16">
        <v>295</v>
      </c>
      <c r="B296" s="50" t="s">
        <v>1115</v>
      </c>
      <c r="C296" s="50" t="s">
        <v>315</v>
      </c>
      <c r="D296" s="54" t="s">
        <v>1116</v>
      </c>
      <c r="E296" s="62" t="s">
        <v>138</v>
      </c>
      <c r="I296" s="50">
        <v>120</v>
      </c>
      <c r="J296" s="50" t="s">
        <v>583</v>
      </c>
      <c r="K296" s="50" t="s">
        <v>881</v>
      </c>
      <c r="L296" s="50" t="s">
        <v>111</v>
      </c>
      <c r="M296" s="50" t="s">
        <v>782</v>
      </c>
      <c r="N296" s="50" t="s">
        <v>1117</v>
      </c>
    </row>
    <row r="297" spans="1:14" ht="12">
      <c r="A297" s="16">
        <v>296</v>
      </c>
      <c r="B297" s="50" t="s">
        <v>1118</v>
      </c>
      <c r="C297" s="50" t="s">
        <v>315</v>
      </c>
      <c r="D297" s="50" t="s">
        <v>1119</v>
      </c>
      <c r="E297" s="62" t="s">
        <v>138</v>
      </c>
      <c r="I297" s="50">
        <v>120</v>
      </c>
      <c r="J297" s="50" t="s">
        <v>583</v>
      </c>
      <c r="K297" s="50" t="s">
        <v>881</v>
      </c>
      <c r="L297" s="50" t="s">
        <v>111</v>
      </c>
      <c r="M297" s="50" t="s">
        <v>782</v>
      </c>
      <c r="N297" s="50" t="s">
        <v>1120</v>
      </c>
    </row>
    <row r="298" spans="1:14" ht="12">
      <c r="A298" s="16">
        <v>297</v>
      </c>
      <c r="B298" s="50" t="s">
        <v>1121</v>
      </c>
      <c r="C298" s="50" t="s">
        <v>315</v>
      </c>
      <c r="D298" s="50" t="s">
        <v>1119</v>
      </c>
      <c r="E298" s="62" t="s">
        <v>138</v>
      </c>
      <c r="I298" s="50">
        <v>120</v>
      </c>
      <c r="J298" s="50" t="s">
        <v>583</v>
      </c>
      <c r="K298" s="50" t="s">
        <v>881</v>
      </c>
      <c r="L298" s="50" t="s">
        <v>111</v>
      </c>
      <c r="M298" s="50" t="s">
        <v>782</v>
      </c>
      <c r="N298" s="50" t="s">
        <v>1123</v>
      </c>
    </row>
    <row r="299" spans="1:14" ht="24">
      <c r="A299" s="16">
        <v>298</v>
      </c>
      <c r="B299" s="50" t="s">
        <v>1124</v>
      </c>
      <c r="E299" s="52"/>
      <c r="K299" s="50" t="s">
        <v>1126</v>
      </c>
      <c r="M299" s="50" t="s">
        <v>1127</v>
      </c>
    </row>
    <row r="300" spans="1:14" ht="24">
      <c r="A300" s="16">
        <v>299</v>
      </c>
      <c r="B300" s="50" t="s">
        <v>1128</v>
      </c>
      <c r="E300" s="52"/>
      <c r="K300" s="50" t="s">
        <v>1126</v>
      </c>
      <c r="M300" s="50" t="s">
        <v>1127</v>
      </c>
    </row>
    <row r="301" spans="1:14" ht="24">
      <c r="A301" s="16">
        <v>300</v>
      </c>
      <c r="B301" s="50" t="s">
        <v>1129</v>
      </c>
      <c r="E301" s="52"/>
      <c r="K301" s="50" t="s">
        <v>1126</v>
      </c>
      <c r="M301" s="50" t="s">
        <v>1127</v>
      </c>
    </row>
    <row r="302" spans="1:14" ht="60">
      <c r="A302" s="16">
        <v>301</v>
      </c>
      <c r="B302" s="50" t="s">
        <v>1130</v>
      </c>
      <c r="C302" s="50" t="s">
        <v>137</v>
      </c>
      <c r="E302" s="52"/>
      <c r="G302" s="50" t="s">
        <v>1131</v>
      </c>
      <c r="H302" s="50" t="s">
        <v>836</v>
      </c>
      <c r="I302" s="50">
        <v>253</v>
      </c>
      <c r="J302" s="50" t="s">
        <v>583</v>
      </c>
      <c r="K302" s="50" t="s">
        <v>881</v>
      </c>
      <c r="L302" s="50" t="s">
        <v>111</v>
      </c>
      <c r="M302" s="50" t="s">
        <v>782</v>
      </c>
      <c r="N302" s="50" t="s">
        <v>1133</v>
      </c>
    </row>
    <row r="303" spans="1:14" ht="12">
      <c r="A303" s="16">
        <v>302</v>
      </c>
      <c r="B303" s="50" t="s">
        <v>1135</v>
      </c>
      <c r="C303" s="50" t="s">
        <v>137</v>
      </c>
      <c r="D303" s="50" t="s">
        <v>1136</v>
      </c>
      <c r="E303" s="62" t="s">
        <v>138</v>
      </c>
      <c r="G303" s="50" t="s">
        <v>552</v>
      </c>
      <c r="H303" s="50" t="s">
        <v>836</v>
      </c>
      <c r="I303" s="50">
        <v>289</v>
      </c>
      <c r="J303" s="50" t="s">
        <v>583</v>
      </c>
      <c r="K303" s="50" t="s">
        <v>881</v>
      </c>
      <c r="L303" s="50" t="s">
        <v>111</v>
      </c>
      <c r="M303" s="50" t="s">
        <v>782</v>
      </c>
      <c r="N303" s="50" t="s">
        <v>1138</v>
      </c>
    </row>
    <row r="304" spans="1:14" ht="12">
      <c r="A304" s="16">
        <v>303</v>
      </c>
      <c r="B304" s="50" t="s">
        <v>1140</v>
      </c>
      <c r="C304" s="50" t="s">
        <v>137</v>
      </c>
      <c r="D304" s="50" t="s">
        <v>1141</v>
      </c>
      <c r="E304" s="52"/>
      <c r="K304" s="50" t="s">
        <v>1142</v>
      </c>
      <c r="M304" s="54" t="s">
        <v>782</v>
      </c>
    </row>
    <row r="305" spans="1:14" ht="12">
      <c r="A305" s="16">
        <v>304</v>
      </c>
      <c r="B305" s="50" t="s">
        <v>1143</v>
      </c>
      <c r="C305" s="50" t="s">
        <v>137</v>
      </c>
      <c r="E305" s="62" t="s">
        <v>138</v>
      </c>
      <c r="G305" s="50" t="s">
        <v>400</v>
      </c>
      <c r="H305" s="50" t="s">
        <v>1106</v>
      </c>
      <c r="K305" s="50" t="s">
        <v>1142</v>
      </c>
      <c r="M305" s="50" t="s">
        <v>782</v>
      </c>
      <c r="N305" s="54" t="s">
        <v>1144</v>
      </c>
    </row>
    <row r="306" spans="1:14" ht="12">
      <c r="A306" s="16">
        <v>305</v>
      </c>
      <c r="B306" s="50" t="s">
        <v>1145</v>
      </c>
      <c r="C306" s="50" t="s">
        <v>137</v>
      </c>
      <c r="E306" s="62" t="s">
        <v>138</v>
      </c>
      <c r="H306" s="50" t="s">
        <v>1146</v>
      </c>
      <c r="K306" s="50" t="s">
        <v>1142</v>
      </c>
      <c r="M306" s="50" t="s">
        <v>782</v>
      </c>
    </row>
    <row r="307" spans="1:14" ht="24">
      <c r="A307" s="226">
        <v>306</v>
      </c>
      <c r="B307" s="228" t="s">
        <v>1154</v>
      </c>
      <c r="C307" s="229"/>
      <c r="D307" s="231" t="s">
        <v>1160</v>
      </c>
      <c r="E307" s="231" t="s">
        <v>138</v>
      </c>
      <c r="F307" s="231">
        <v>6.25</v>
      </c>
      <c r="G307" s="231" t="s">
        <v>246</v>
      </c>
      <c r="H307" s="231" t="s">
        <v>1106</v>
      </c>
      <c r="I307" s="229"/>
      <c r="J307" s="229"/>
      <c r="K307" s="231" t="s">
        <v>1168</v>
      </c>
      <c r="L307" s="229"/>
      <c r="M307" s="229"/>
      <c r="N307" s="228" t="s">
        <v>1169</v>
      </c>
    </row>
    <row r="308" spans="1:14" ht="24">
      <c r="A308" s="16">
        <v>307</v>
      </c>
      <c r="B308" s="50" t="s">
        <v>1173</v>
      </c>
      <c r="E308" s="62" t="s">
        <v>138</v>
      </c>
      <c r="K308" s="50" t="s">
        <v>1174</v>
      </c>
    </row>
    <row r="309" spans="1:14" ht="24">
      <c r="A309" s="16">
        <v>308</v>
      </c>
      <c r="B309" s="50" t="s">
        <v>1175</v>
      </c>
      <c r="E309" s="62" t="s">
        <v>138</v>
      </c>
      <c r="K309" s="50" t="s">
        <v>1174</v>
      </c>
    </row>
    <row r="310" spans="1:14" ht="24">
      <c r="A310" s="16">
        <v>309</v>
      </c>
      <c r="B310" s="50" t="s">
        <v>1176</v>
      </c>
      <c r="E310" s="62" t="s">
        <v>138</v>
      </c>
      <c r="K310" s="50" t="s">
        <v>1174</v>
      </c>
    </row>
    <row r="311" spans="1:14" ht="24">
      <c r="A311" s="16">
        <v>310</v>
      </c>
      <c r="B311" s="50" t="s">
        <v>1177</v>
      </c>
      <c r="E311" s="62" t="s">
        <v>138</v>
      </c>
      <c r="K311" s="50" t="s">
        <v>1174</v>
      </c>
    </row>
    <row r="312" spans="1:14" ht="24">
      <c r="A312" s="16">
        <v>311</v>
      </c>
      <c r="B312" s="50" t="s">
        <v>1178</v>
      </c>
      <c r="E312" s="62" t="s">
        <v>138</v>
      </c>
      <c r="K312" s="50" t="s">
        <v>1174</v>
      </c>
    </row>
    <row r="313" spans="1:14" ht="24">
      <c r="A313" s="16">
        <v>312</v>
      </c>
      <c r="B313" s="50" t="s">
        <v>1179</v>
      </c>
      <c r="E313" s="62" t="s">
        <v>138</v>
      </c>
      <c r="K313" s="50" t="s">
        <v>1174</v>
      </c>
    </row>
    <row r="314" spans="1:14" ht="24">
      <c r="A314" s="16">
        <v>313</v>
      </c>
      <c r="B314" s="50" t="s">
        <v>1180</v>
      </c>
      <c r="E314" s="62" t="s">
        <v>138</v>
      </c>
      <c r="K314" s="50" t="s">
        <v>1174</v>
      </c>
    </row>
    <row r="315" spans="1:14" ht="24">
      <c r="A315" s="16">
        <v>314</v>
      </c>
      <c r="B315" s="50" t="s">
        <v>1181</v>
      </c>
      <c r="E315" s="62" t="s">
        <v>138</v>
      </c>
      <c r="K315" s="50" t="s">
        <v>1174</v>
      </c>
      <c r="M315" s="50" t="s">
        <v>1092</v>
      </c>
    </row>
    <row r="316" spans="1:14" ht="24">
      <c r="A316" s="16">
        <v>315</v>
      </c>
      <c r="B316" s="50" t="s">
        <v>1182</v>
      </c>
      <c r="E316" s="62" t="s">
        <v>138</v>
      </c>
      <c r="K316" s="50" t="s">
        <v>1174</v>
      </c>
    </row>
    <row r="317" spans="1:14" ht="24">
      <c r="A317" s="16">
        <v>316</v>
      </c>
      <c r="B317" s="50" t="s">
        <v>1184</v>
      </c>
      <c r="E317" s="62" t="s">
        <v>138</v>
      </c>
      <c r="K317" s="50" t="s">
        <v>1174</v>
      </c>
    </row>
    <row r="318" spans="1:14" ht="24">
      <c r="A318" s="16">
        <v>317</v>
      </c>
      <c r="B318" s="50" t="s">
        <v>1186</v>
      </c>
      <c r="E318" s="62" t="s">
        <v>138</v>
      </c>
      <c r="K318" s="50" t="s">
        <v>1174</v>
      </c>
    </row>
    <row r="319" spans="1:14" ht="24">
      <c r="A319" s="16">
        <v>318</v>
      </c>
      <c r="B319" s="50" t="s">
        <v>1190</v>
      </c>
      <c r="E319" s="62" t="s">
        <v>138</v>
      </c>
      <c r="K319" s="50" t="s">
        <v>1174</v>
      </c>
    </row>
    <row r="320" spans="1:14" ht="24">
      <c r="A320" s="16">
        <v>319</v>
      </c>
      <c r="B320" s="50" t="s">
        <v>1192</v>
      </c>
      <c r="E320" s="62" t="s">
        <v>138</v>
      </c>
      <c r="K320" s="50" t="s">
        <v>1174</v>
      </c>
    </row>
    <row r="321" spans="1:14" ht="24">
      <c r="A321" s="16">
        <v>320</v>
      </c>
      <c r="B321" s="50" t="s">
        <v>1194</v>
      </c>
      <c r="E321" s="62" t="s">
        <v>138</v>
      </c>
      <c r="K321" s="50" t="s">
        <v>1174</v>
      </c>
    </row>
    <row r="322" spans="1:14" ht="24">
      <c r="A322" s="16">
        <v>321</v>
      </c>
      <c r="B322" s="50" t="s">
        <v>1196</v>
      </c>
      <c r="E322" s="62" t="s">
        <v>138</v>
      </c>
      <c r="K322" s="50" t="s">
        <v>1174</v>
      </c>
    </row>
    <row r="323" spans="1:14" ht="24">
      <c r="A323" s="16">
        <v>322</v>
      </c>
      <c r="B323" s="50" t="s">
        <v>1199</v>
      </c>
      <c r="E323" s="62" t="s">
        <v>138</v>
      </c>
      <c r="K323" s="50" t="s">
        <v>1174</v>
      </c>
    </row>
    <row r="324" spans="1:14" ht="24">
      <c r="A324" s="16">
        <v>323</v>
      </c>
      <c r="B324" s="50" t="s">
        <v>1200</v>
      </c>
      <c r="E324" s="62" t="s">
        <v>138</v>
      </c>
      <c r="K324" s="50" t="s">
        <v>1174</v>
      </c>
    </row>
    <row r="325" spans="1:14" ht="24">
      <c r="A325" s="16">
        <v>324</v>
      </c>
      <c r="B325" s="50" t="s">
        <v>1203</v>
      </c>
      <c r="E325" s="62" t="s">
        <v>138</v>
      </c>
      <c r="K325" s="50" t="s">
        <v>1174</v>
      </c>
    </row>
    <row r="326" spans="1:14" ht="24">
      <c r="A326" s="16">
        <v>325</v>
      </c>
      <c r="B326" s="50" t="s">
        <v>1205</v>
      </c>
      <c r="E326" s="62" t="s">
        <v>138</v>
      </c>
      <c r="K326" s="50" t="s">
        <v>1174</v>
      </c>
    </row>
    <row r="327" spans="1:14" ht="24">
      <c r="A327" s="16">
        <v>326</v>
      </c>
      <c r="B327" s="50" t="s">
        <v>1208</v>
      </c>
      <c r="E327" s="62" t="s">
        <v>138</v>
      </c>
      <c r="K327" s="50" t="s">
        <v>1174</v>
      </c>
    </row>
    <row r="328" spans="1:14" ht="24">
      <c r="A328" s="16">
        <v>327</v>
      </c>
      <c r="B328" s="50" t="s">
        <v>1209</v>
      </c>
      <c r="E328" s="62" t="s">
        <v>138</v>
      </c>
      <c r="K328" s="50" t="s">
        <v>1174</v>
      </c>
    </row>
    <row r="329" spans="1:14" ht="24">
      <c r="A329" s="16">
        <v>328</v>
      </c>
      <c r="B329" s="50" t="s">
        <v>1210</v>
      </c>
      <c r="E329" s="62" t="s">
        <v>138</v>
      </c>
      <c r="K329" s="50" t="s">
        <v>1174</v>
      </c>
    </row>
    <row r="330" spans="1:14" ht="24">
      <c r="A330" s="16">
        <v>329</v>
      </c>
      <c r="B330" s="50" t="s">
        <v>1211</v>
      </c>
      <c r="E330" s="62" t="s">
        <v>138</v>
      </c>
      <c r="K330" s="50" t="s">
        <v>1174</v>
      </c>
    </row>
    <row r="331" spans="1:14" ht="12">
      <c r="A331" s="16">
        <v>330</v>
      </c>
      <c r="B331" s="151" t="s">
        <v>1212</v>
      </c>
      <c r="D331" s="50" t="s">
        <v>1213</v>
      </c>
      <c r="E331" s="62" t="s">
        <v>138</v>
      </c>
      <c r="K331" s="50" t="s">
        <v>1214</v>
      </c>
      <c r="N331" s="50" t="s">
        <v>1215</v>
      </c>
    </row>
    <row r="332" spans="1:14" ht="12">
      <c r="A332" s="16">
        <v>331</v>
      </c>
      <c r="B332" s="142" t="s">
        <v>1216</v>
      </c>
      <c r="D332" s="50" t="s">
        <v>1217</v>
      </c>
      <c r="E332" s="62" t="s">
        <v>138</v>
      </c>
      <c r="K332" s="50" t="s">
        <v>1214</v>
      </c>
      <c r="N332" s="54" t="s">
        <v>1218</v>
      </c>
    </row>
    <row r="333" spans="1:14" ht="12">
      <c r="A333" s="16">
        <v>332</v>
      </c>
      <c r="B333" s="151" t="s">
        <v>1219</v>
      </c>
      <c r="D333" s="50" t="s">
        <v>1220</v>
      </c>
      <c r="E333" s="62" t="s">
        <v>138</v>
      </c>
      <c r="K333" s="50" t="s">
        <v>1214</v>
      </c>
      <c r="M333" s="50" t="s">
        <v>782</v>
      </c>
      <c r="N333" s="50" t="s">
        <v>1215</v>
      </c>
    </row>
    <row r="334" spans="1:14" ht="24">
      <c r="A334" s="16">
        <v>333</v>
      </c>
      <c r="B334" s="142" t="s">
        <v>1221</v>
      </c>
      <c r="D334" s="50" t="s">
        <v>1222</v>
      </c>
      <c r="E334" s="62" t="s">
        <v>138</v>
      </c>
      <c r="K334" s="50" t="s">
        <v>1214</v>
      </c>
      <c r="M334" s="50" t="s">
        <v>782</v>
      </c>
    </row>
    <row r="335" spans="1:14" ht="12">
      <c r="A335" s="16">
        <v>334</v>
      </c>
      <c r="B335" s="50" t="s">
        <v>1223</v>
      </c>
      <c r="C335" s="50" t="s">
        <v>315</v>
      </c>
      <c r="E335" s="52"/>
      <c r="I335" s="50">
        <v>185</v>
      </c>
      <c r="J335" s="50" t="s">
        <v>583</v>
      </c>
      <c r="K335" s="50" t="s">
        <v>881</v>
      </c>
      <c r="L335" s="50" t="s">
        <v>111</v>
      </c>
      <c r="M335" s="50" t="s">
        <v>782</v>
      </c>
      <c r="N335" s="50" t="s">
        <v>1224</v>
      </c>
    </row>
    <row r="336" spans="1:14" ht="12">
      <c r="A336" s="159">
        <v>335</v>
      </c>
      <c r="B336" s="161" t="s">
        <v>1225</v>
      </c>
      <c r="C336" s="161" t="s">
        <v>137</v>
      </c>
      <c r="D336" s="161" t="s">
        <v>1227</v>
      </c>
      <c r="E336" s="161" t="s">
        <v>138</v>
      </c>
      <c r="F336" s="163"/>
      <c r="G336" s="161" t="s">
        <v>246</v>
      </c>
      <c r="H336" s="161" t="s">
        <v>1228</v>
      </c>
      <c r="I336" s="161">
        <v>257</v>
      </c>
      <c r="J336" s="161" t="s">
        <v>583</v>
      </c>
      <c r="K336" s="161" t="s">
        <v>881</v>
      </c>
      <c r="L336" s="161" t="s">
        <v>111</v>
      </c>
      <c r="M336" s="161" t="s">
        <v>782</v>
      </c>
      <c r="N336" s="161" t="s">
        <v>1229</v>
      </c>
    </row>
    <row r="337" spans="1:14" ht="12">
      <c r="A337" s="159">
        <v>336</v>
      </c>
      <c r="B337" s="161" t="s">
        <v>1230</v>
      </c>
      <c r="C337" s="161" t="s">
        <v>137</v>
      </c>
      <c r="D337" s="163"/>
      <c r="E337" s="161" t="s">
        <v>138</v>
      </c>
      <c r="F337" s="163"/>
      <c r="G337" s="161" t="s">
        <v>246</v>
      </c>
      <c r="H337" s="161" t="s">
        <v>1228</v>
      </c>
      <c r="I337" s="161">
        <v>279</v>
      </c>
      <c r="J337" s="161" t="s">
        <v>583</v>
      </c>
      <c r="K337" s="161" t="s">
        <v>881</v>
      </c>
      <c r="L337" s="161" t="s">
        <v>111</v>
      </c>
      <c r="M337" s="161" t="s">
        <v>782</v>
      </c>
      <c r="N337" s="161" t="s">
        <v>1231</v>
      </c>
    </row>
    <row r="338" spans="1:14" ht="12">
      <c r="A338" s="16">
        <v>337</v>
      </c>
      <c r="B338" s="50" t="s">
        <v>1232</v>
      </c>
      <c r="C338" s="50" t="s">
        <v>315</v>
      </c>
      <c r="E338" s="52"/>
      <c r="I338" s="50">
        <v>120</v>
      </c>
      <c r="J338" s="50" t="s">
        <v>583</v>
      </c>
      <c r="K338" s="50" t="s">
        <v>881</v>
      </c>
      <c r="L338" s="50" t="s">
        <v>111</v>
      </c>
      <c r="M338" s="50" t="s">
        <v>782</v>
      </c>
      <c r="N338" s="50" t="s">
        <v>1233</v>
      </c>
    </row>
    <row r="339" spans="1:14" ht="24">
      <c r="A339" s="16">
        <v>338</v>
      </c>
      <c r="B339" s="243" t="s">
        <v>1234</v>
      </c>
      <c r="C339" s="243" t="s">
        <v>315</v>
      </c>
      <c r="D339" s="257" t="s">
        <v>1235</v>
      </c>
      <c r="E339" s="259"/>
      <c r="F339" s="261"/>
      <c r="G339" s="261"/>
      <c r="H339" s="261"/>
      <c r="I339" s="243">
        <v>120</v>
      </c>
      <c r="J339" s="243" t="s">
        <v>583</v>
      </c>
      <c r="K339" s="243" t="s">
        <v>881</v>
      </c>
      <c r="L339" s="243" t="s">
        <v>111</v>
      </c>
      <c r="M339" s="243" t="s">
        <v>782</v>
      </c>
      <c r="N339" s="243" t="s">
        <v>1251</v>
      </c>
    </row>
    <row r="340" spans="1:14" ht="24">
      <c r="A340" s="16">
        <v>339</v>
      </c>
      <c r="B340" s="50" t="s">
        <v>1252</v>
      </c>
      <c r="C340" s="50" t="s">
        <v>137</v>
      </c>
      <c r="D340" s="50" t="s">
        <v>1253</v>
      </c>
      <c r="E340" s="62" t="s">
        <v>138</v>
      </c>
      <c r="I340" s="50">
        <v>360</v>
      </c>
      <c r="J340" s="50" t="s">
        <v>1257</v>
      </c>
      <c r="K340" s="50" t="s">
        <v>881</v>
      </c>
      <c r="L340" s="50" t="s">
        <v>111</v>
      </c>
      <c r="M340" s="50" t="s">
        <v>782</v>
      </c>
      <c r="N340" s="50" t="s">
        <v>1258</v>
      </c>
    </row>
    <row r="341" spans="1:14" ht="12">
      <c r="A341" s="159">
        <v>340</v>
      </c>
      <c r="B341" s="161" t="s">
        <v>1259</v>
      </c>
      <c r="C341" s="163"/>
      <c r="D341" s="163"/>
      <c r="E341" s="161" t="s">
        <v>138</v>
      </c>
      <c r="F341" s="163"/>
      <c r="G341" s="163"/>
      <c r="H341" s="163"/>
      <c r="I341" s="161">
        <v>335</v>
      </c>
      <c r="J341" s="161" t="s">
        <v>583</v>
      </c>
      <c r="K341" s="161" t="s">
        <v>881</v>
      </c>
      <c r="L341" s="161" t="s">
        <v>111</v>
      </c>
      <c r="M341" s="161" t="s">
        <v>782</v>
      </c>
      <c r="N341" s="161" t="s">
        <v>1260</v>
      </c>
    </row>
    <row r="342" spans="1:14" ht="12">
      <c r="A342" s="16">
        <v>341</v>
      </c>
      <c r="B342" s="50" t="s">
        <v>1261</v>
      </c>
      <c r="D342" s="50" t="s">
        <v>1263</v>
      </c>
      <c r="E342" s="52"/>
      <c r="I342" s="50">
        <v>285</v>
      </c>
      <c r="J342" s="50" t="s">
        <v>1264</v>
      </c>
      <c r="K342" s="50" t="s">
        <v>872</v>
      </c>
      <c r="L342" s="50" t="s">
        <v>111</v>
      </c>
      <c r="M342" s="50" t="s">
        <v>782</v>
      </c>
      <c r="N342" s="50" t="s">
        <v>1265</v>
      </c>
    </row>
    <row r="343" spans="1:14" ht="12">
      <c r="A343" s="16">
        <v>342</v>
      </c>
      <c r="B343" s="50" t="s">
        <v>1266</v>
      </c>
      <c r="C343" s="50" t="s">
        <v>315</v>
      </c>
      <c r="E343" s="52"/>
      <c r="G343" s="50" t="s">
        <v>400</v>
      </c>
      <c r="H343" s="50" t="s">
        <v>1267</v>
      </c>
      <c r="K343" s="50" t="s">
        <v>1268</v>
      </c>
    </row>
    <row r="344" spans="1:14" ht="12">
      <c r="A344" s="16">
        <v>343</v>
      </c>
      <c r="B344" s="50" t="s">
        <v>1269</v>
      </c>
      <c r="C344" s="50" t="s">
        <v>315</v>
      </c>
      <c r="E344" s="52"/>
      <c r="G344" s="50" t="s">
        <v>400</v>
      </c>
      <c r="H344" s="50" t="s">
        <v>1267</v>
      </c>
      <c r="K344" s="50" t="s">
        <v>1268</v>
      </c>
    </row>
    <row r="345" spans="1:14" ht="12">
      <c r="A345" s="16">
        <v>344</v>
      </c>
      <c r="B345" s="50" t="s">
        <v>1270</v>
      </c>
      <c r="C345" s="50" t="s">
        <v>315</v>
      </c>
      <c r="E345" s="52"/>
      <c r="K345" s="50" t="s">
        <v>1271</v>
      </c>
    </row>
    <row r="346" spans="1:14" ht="12">
      <c r="A346" s="16">
        <v>345</v>
      </c>
      <c r="B346" s="50" t="s">
        <v>1272</v>
      </c>
      <c r="C346" s="50" t="s">
        <v>315</v>
      </c>
      <c r="E346" s="52"/>
      <c r="K346" s="50" t="s">
        <v>1271</v>
      </c>
    </row>
    <row r="347" spans="1:14" ht="12">
      <c r="A347" s="16">
        <v>346</v>
      </c>
      <c r="B347" s="50" t="s">
        <v>1273</v>
      </c>
      <c r="C347" s="50" t="s">
        <v>315</v>
      </c>
      <c r="E347" s="52"/>
      <c r="I347" s="50">
        <v>293</v>
      </c>
      <c r="J347" s="50" t="s">
        <v>1264</v>
      </c>
      <c r="K347" s="50" t="s">
        <v>881</v>
      </c>
      <c r="L347" s="50" t="s">
        <v>111</v>
      </c>
      <c r="M347" s="50" t="s">
        <v>782</v>
      </c>
      <c r="N347" s="50" t="s">
        <v>1276</v>
      </c>
    </row>
    <row r="348" spans="1:14" ht="12">
      <c r="A348" s="266">
        <v>347</v>
      </c>
      <c r="B348" s="268" t="s">
        <v>1278</v>
      </c>
      <c r="C348" s="268" t="s">
        <v>137</v>
      </c>
      <c r="D348" s="268" t="s">
        <v>1287</v>
      </c>
      <c r="E348" s="268" t="s">
        <v>138</v>
      </c>
      <c r="F348" s="273"/>
      <c r="G348" s="273"/>
      <c r="H348" s="273"/>
      <c r="I348" s="268">
        <v>336</v>
      </c>
      <c r="J348" s="268" t="s">
        <v>1303</v>
      </c>
      <c r="K348" s="268" t="s">
        <v>881</v>
      </c>
      <c r="L348" s="268" t="s">
        <v>111</v>
      </c>
      <c r="M348" s="268" t="s">
        <v>796</v>
      </c>
      <c r="N348" s="268" t="s">
        <v>1305</v>
      </c>
    </row>
    <row r="349" spans="1:14" ht="12">
      <c r="A349" s="159">
        <v>348</v>
      </c>
      <c r="B349" s="161" t="s">
        <v>1306</v>
      </c>
      <c r="C349" s="161" t="s">
        <v>137</v>
      </c>
      <c r="D349" s="161" t="s">
        <v>1309</v>
      </c>
      <c r="E349" s="161" t="s">
        <v>138</v>
      </c>
      <c r="F349" s="163"/>
      <c r="G349" s="163"/>
      <c r="H349" s="163"/>
      <c r="I349" s="161">
        <v>335</v>
      </c>
      <c r="J349" s="161" t="s">
        <v>1303</v>
      </c>
      <c r="K349" s="161" t="s">
        <v>881</v>
      </c>
      <c r="L349" s="161" t="s">
        <v>111</v>
      </c>
      <c r="M349" s="161" t="s">
        <v>796</v>
      </c>
      <c r="N349" s="161" t="s">
        <v>1313</v>
      </c>
    </row>
    <row r="350" spans="1:14" ht="24">
      <c r="A350" s="16">
        <v>349</v>
      </c>
      <c r="B350" s="50" t="s">
        <v>1314</v>
      </c>
      <c r="C350" s="50" t="s">
        <v>137</v>
      </c>
      <c r="D350" s="54" t="s">
        <v>1315</v>
      </c>
      <c r="E350" s="62" t="s">
        <v>138</v>
      </c>
      <c r="G350" s="50" t="s">
        <v>1316</v>
      </c>
      <c r="H350" s="50" t="s">
        <v>1317</v>
      </c>
      <c r="I350" s="50">
        <v>93</v>
      </c>
      <c r="J350" s="50" t="s">
        <v>1303</v>
      </c>
      <c r="K350" s="50" t="s">
        <v>881</v>
      </c>
      <c r="L350" s="50" t="s">
        <v>111</v>
      </c>
      <c r="M350" s="54" t="s">
        <v>1092</v>
      </c>
      <c r="N350" s="50" t="s">
        <v>1318</v>
      </c>
    </row>
    <row r="351" spans="1:14" ht="24">
      <c r="A351" s="159">
        <v>350</v>
      </c>
      <c r="B351" s="161" t="s">
        <v>1319</v>
      </c>
      <c r="C351" s="161" t="s">
        <v>137</v>
      </c>
      <c r="D351" s="161" t="s">
        <v>1320</v>
      </c>
      <c r="E351" s="163"/>
      <c r="F351" s="163"/>
      <c r="G351" s="161" t="s">
        <v>246</v>
      </c>
      <c r="H351" s="161" t="s">
        <v>1321</v>
      </c>
      <c r="I351" s="161">
        <v>348</v>
      </c>
      <c r="J351" s="161" t="s">
        <v>1303</v>
      </c>
      <c r="K351" s="161" t="s">
        <v>881</v>
      </c>
      <c r="L351" s="161" t="s">
        <v>111</v>
      </c>
      <c r="M351" s="161" t="s">
        <v>796</v>
      </c>
      <c r="N351" s="161" t="s">
        <v>1322</v>
      </c>
    </row>
    <row r="352" spans="1:14" ht="12">
      <c r="A352" s="266">
        <v>351</v>
      </c>
      <c r="B352" s="268" t="s">
        <v>1323</v>
      </c>
      <c r="C352" s="268" t="s">
        <v>137</v>
      </c>
      <c r="D352" s="268" t="s">
        <v>1287</v>
      </c>
      <c r="E352" s="268" t="s">
        <v>138</v>
      </c>
      <c r="F352" s="273"/>
      <c r="G352" s="273"/>
      <c r="H352" s="273"/>
      <c r="I352" s="268">
        <v>339</v>
      </c>
      <c r="J352" s="268" t="s">
        <v>1303</v>
      </c>
      <c r="K352" s="268" t="s">
        <v>881</v>
      </c>
      <c r="L352" s="268" t="s">
        <v>111</v>
      </c>
      <c r="M352" s="268" t="s">
        <v>782</v>
      </c>
      <c r="N352" s="268" t="s">
        <v>1325</v>
      </c>
    </row>
    <row r="353" spans="1:15" ht="12">
      <c r="A353" s="266">
        <v>352</v>
      </c>
      <c r="B353" s="268" t="s">
        <v>1327</v>
      </c>
      <c r="C353" s="268" t="s">
        <v>137</v>
      </c>
      <c r="D353" s="268" t="s">
        <v>1329</v>
      </c>
      <c r="E353" s="268" t="s">
        <v>138</v>
      </c>
      <c r="F353" s="273"/>
      <c r="G353" s="273"/>
      <c r="H353" s="273"/>
      <c r="I353" s="268">
        <v>351</v>
      </c>
      <c r="J353" s="268" t="s">
        <v>1303</v>
      </c>
      <c r="K353" s="268" t="s">
        <v>881</v>
      </c>
      <c r="L353" s="268" t="s">
        <v>111</v>
      </c>
      <c r="M353" s="268" t="s">
        <v>796</v>
      </c>
      <c r="N353" s="268" t="s">
        <v>1330</v>
      </c>
    </row>
    <row r="354" spans="1:15" ht="12">
      <c r="A354" s="16">
        <v>353</v>
      </c>
      <c r="B354" s="151" t="s">
        <v>1331</v>
      </c>
      <c r="C354" s="50" t="s">
        <v>315</v>
      </c>
      <c r="E354" s="62" t="s">
        <v>138</v>
      </c>
      <c r="G354" s="50" t="s">
        <v>400</v>
      </c>
      <c r="H354" s="50" t="s">
        <v>1332</v>
      </c>
      <c r="I354" s="50">
        <v>120</v>
      </c>
      <c r="J354" s="50" t="s">
        <v>1303</v>
      </c>
      <c r="K354" s="50" t="s">
        <v>881</v>
      </c>
      <c r="L354" s="50" t="s">
        <v>111</v>
      </c>
      <c r="M354" s="50" t="s">
        <v>796</v>
      </c>
      <c r="N354" s="54" t="s">
        <v>1333</v>
      </c>
    </row>
    <row r="355" spans="1:15" ht="12">
      <c r="A355" s="16">
        <v>354</v>
      </c>
      <c r="B355" s="151" t="s">
        <v>1334</v>
      </c>
      <c r="C355" s="50" t="s">
        <v>315</v>
      </c>
      <c r="E355" s="62" t="s">
        <v>138</v>
      </c>
      <c r="G355" s="50" t="s">
        <v>400</v>
      </c>
      <c r="H355" s="50" t="s">
        <v>1332</v>
      </c>
      <c r="I355" s="50">
        <v>120</v>
      </c>
      <c r="J355" s="50" t="s">
        <v>1303</v>
      </c>
      <c r="K355" s="50" t="s">
        <v>881</v>
      </c>
      <c r="L355" s="50" t="s">
        <v>111</v>
      </c>
      <c r="M355" s="50" t="s">
        <v>782</v>
      </c>
      <c r="N355" s="50" t="s">
        <v>1335</v>
      </c>
      <c r="O355" s="50" t="s">
        <v>1336</v>
      </c>
    </row>
    <row r="356" spans="1:15" ht="12">
      <c r="A356" s="16">
        <v>355</v>
      </c>
      <c r="B356" s="50" t="s">
        <v>536</v>
      </c>
      <c r="C356" s="50" t="s">
        <v>315</v>
      </c>
      <c r="D356" s="50" t="s">
        <v>1337</v>
      </c>
      <c r="E356" s="62" t="s">
        <v>138</v>
      </c>
      <c r="G356" s="50" t="s">
        <v>400</v>
      </c>
      <c r="H356" s="50" t="s">
        <v>1332</v>
      </c>
      <c r="I356" s="50">
        <v>120</v>
      </c>
      <c r="J356" s="50" t="s">
        <v>1303</v>
      </c>
      <c r="K356" s="50" t="s">
        <v>881</v>
      </c>
      <c r="L356" s="50" t="s">
        <v>111</v>
      </c>
      <c r="M356" s="50" t="s">
        <v>782</v>
      </c>
      <c r="N356" s="50" t="s">
        <v>1339</v>
      </c>
    </row>
    <row r="357" spans="1:15" ht="12">
      <c r="A357" s="16">
        <v>356</v>
      </c>
      <c r="B357" s="50" t="s">
        <v>1340</v>
      </c>
      <c r="E357" s="62" t="s">
        <v>141</v>
      </c>
      <c r="K357" s="50" t="s">
        <v>1342</v>
      </c>
      <c r="M357" s="50" t="s">
        <v>796</v>
      </c>
    </row>
    <row r="358" spans="1:15" ht="12">
      <c r="A358" s="16">
        <v>357</v>
      </c>
      <c r="B358" s="50" t="s">
        <v>1344</v>
      </c>
      <c r="E358" s="52"/>
      <c r="K358" s="50" t="s">
        <v>1345</v>
      </c>
      <c r="L358" s="50" t="s">
        <v>1346</v>
      </c>
      <c r="M358" s="50" t="s">
        <v>782</v>
      </c>
      <c r="N358" s="50" t="s">
        <v>1347</v>
      </c>
    </row>
    <row r="359" spans="1:15" ht="12">
      <c r="A359" s="283">
        <v>358</v>
      </c>
      <c r="B359" s="285" t="s">
        <v>950</v>
      </c>
      <c r="C359" s="285" t="s">
        <v>315</v>
      </c>
      <c r="D359" s="285" t="s">
        <v>1352</v>
      </c>
      <c r="E359" s="285" t="s">
        <v>138</v>
      </c>
      <c r="F359" s="287"/>
      <c r="G359" s="285" t="s">
        <v>400</v>
      </c>
      <c r="H359" s="289">
        <v>41684</v>
      </c>
      <c r="I359" s="285">
        <v>120</v>
      </c>
      <c r="J359" s="285" t="s">
        <v>1303</v>
      </c>
      <c r="K359" s="285" t="s">
        <v>881</v>
      </c>
      <c r="L359" s="285" t="s">
        <v>111</v>
      </c>
      <c r="M359" s="285" t="s">
        <v>782</v>
      </c>
      <c r="N359" s="285" t="s">
        <v>1365</v>
      </c>
    </row>
    <row r="360" spans="1:15" ht="24">
      <c r="A360" s="16">
        <v>359</v>
      </c>
      <c r="B360" s="291" t="s">
        <v>1366</v>
      </c>
      <c r="C360" s="297" t="s">
        <v>137</v>
      </c>
      <c r="D360" s="257" t="s">
        <v>1235</v>
      </c>
      <c r="E360" s="259"/>
      <c r="F360" s="261"/>
      <c r="G360" s="243" t="s">
        <v>400</v>
      </c>
      <c r="H360" s="298">
        <v>41696</v>
      </c>
      <c r="I360" s="243">
        <v>301</v>
      </c>
      <c r="J360" s="243" t="s">
        <v>1303</v>
      </c>
      <c r="K360" s="243" t="s">
        <v>881</v>
      </c>
      <c r="L360" s="243" t="s">
        <v>111</v>
      </c>
      <c r="M360" s="243" t="s">
        <v>782</v>
      </c>
      <c r="N360" s="243" t="s">
        <v>1381</v>
      </c>
    </row>
    <row r="361" spans="1:15" ht="24">
      <c r="A361" s="16">
        <v>360</v>
      </c>
      <c r="B361" s="50" t="s">
        <v>1382</v>
      </c>
      <c r="C361" s="50" t="s">
        <v>137</v>
      </c>
      <c r="D361" s="50" t="s">
        <v>1383</v>
      </c>
      <c r="E361" s="62" t="s">
        <v>138</v>
      </c>
      <c r="G361" s="50" t="s">
        <v>400</v>
      </c>
      <c r="H361" s="73">
        <v>41696</v>
      </c>
      <c r="I361" s="50">
        <v>93</v>
      </c>
      <c r="J361" s="50" t="s">
        <v>1384</v>
      </c>
      <c r="K361" s="50" t="s">
        <v>881</v>
      </c>
      <c r="L361" s="50" t="s">
        <v>111</v>
      </c>
      <c r="M361" s="50" t="s">
        <v>782</v>
      </c>
      <c r="N361" s="54" t="s">
        <v>1385</v>
      </c>
    </row>
    <row r="362" spans="1:15" ht="26">
      <c r="A362" s="16">
        <v>361</v>
      </c>
      <c r="B362" s="300" t="s">
        <v>1386</v>
      </c>
      <c r="C362" s="50" t="s">
        <v>137</v>
      </c>
      <c r="E362" s="52"/>
      <c r="I362" s="50">
        <v>301</v>
      </c>
      <c r="J362" s="50" t="s">
        <v>1303</v>
      </c>
      <c r="K362" s="50" t="s">
        <v>881</v>
      </c>
      <c r="L362" s="50" t="s">
        <v>111</v>
      </c>
      <c r="M362" s="50" t="s">
        <v>782</v>
      </c>
      <c r="N362" s="50" t="s">
        <v>1388</v>
      </c>
    </row>
    <row r="363" spans="1:15" ht="12">
      <c r="A363" s="16">
        <v>362</v>
      </c>
      <c r="B363" s="50" t="s">
        <v>1391</v>
      </c>
      <c r="E363" s="62" t="s">
        <v>138</v>
      </c>
      <c r="K363" s="50" t="s">
        <v>1091</v>
      </c>
      <c r="M363" s="50" t="s">
        <v>796</v>
      </c>
    </row>
    <row r="364" spans="1:15" ht="12">
      <c r="A364" s="16">
        <v>363</v>
      </c>
      <c r="B364" s="50" t="s">
        <v>1393</v>
      </c>
      <c r="E364" s="62" t="s">
        <v>138</v>
      </c>
      <c r="K364" s="50" t="s">
        <v>1091</v>
      </c>
      <c r="M364" s="50" t="s">
        <v>796</v>
      </c>
    </row>
    <row r="365" spans="1:15" ht="12">
      <c r="A365" s="16">
        <v>364</v>
      </c>
      <c r="B365" s="142" t="s">
        <v>1396</v>
      </c>
      <c r="C365" s="50" t="s">
        <v>137</v>
      </c>
      <c r="E365" s="62" t="s">
        <v>138</v>
      </c>
      <c r="I365" s="50">
        <v>93</v>
      </c>
      <c r="J365" s="50" t="s">
        <v>1303</v>
      </c>
      <c r="K365" s="50" t="s">
        <v>881</v>
      </c>
      <c r="L365" s="50" t="s">
        <v>111</v>
      </c>
      <c r="M365" s="50" t="s">
        <v>782</v>
      </c>
      <c r="N365" s="50" t="s">
        <v>1397</v>
      </c>
    </row>
    <row r="366" spans="1:15" ht="24">
      <c r="A366" s="16">
        <v>365</v>
      </c>
      <c r="B366" s="243" t="s">
        <v>1398</v>
      </c>
      <c r="C366" s="243" t="s">
        <v>315</v>
      </c>
      <c r="D366" s="257" t="s">
        <v>1235</v>
      </c>
      <c r="E366" s="303" t="s">
        <v>138</v>
      </c>
      <c r="F366" s="261"/>
      <c r="G366" s="261"/>
      <c r="H366" s="261"/>
      <c r="I366" s="243">
        <v>338</v>
      </c>
      <c r="J366" s="243" t="s">
        <v>1303</v>
      </c>
      <c r="K366" s="243" t="s">
        <v>862</v>
      </c>
      <c r="L366" s="243" t="s">
        <v>111</v>
      </c>
      <c r="M366" s="261"/>
      <c r="N366" s="243" t="s">
        <v>1406</v>
      </c>
    </row>
    <row r="367" spans="1:15" ht="12">
      <c r="A367" s="16">
        <v>366</v>
      </c>
      <c r="B367" s="50" t="s">
        <v>1408</v>
      </c>
      <c r="C367" s="50" t="s">
        <v>137</v>
      </c>
      <c r="D367" s="50" t="s">
        <v>1409</v>
      </c>
      <c r="E367" s="52"/>
      <c r="K367" s="50" t="s">
        <v>1410</v>
      </c>
      <c r="L367" s="50" t="s">
        <v>111</v>
      </c>
      <c r="M367" s="50" t="s">
        <v>796</v>
      </c>
    </row>
    <row r="368" spans="1:15" ht="12">
      <c r="A368" s="16">
        <v>367</v>
      </c>
      <c r="B368" s="50" t="s">
        <v>1414</v>
      </c>
      <c r="C368" s="50" t="s">
        <v>137</v>
      </c>
      <c r="D368" s="50" t="s">
        <v>1416</v>
      </c>
      <c r="E368" s="52"/>
      <c r="K368" s="50" t="s">
        <v>1410</v>
      </c>
      <c r="L368" s="50" t="s">
        <v>111</v>
      </c>
      <c r="M368" s="50" t="s">
        <v>796</v>
      </c>
    </row>
    <row r="369" spans="1:14" ht="24">
      <c r="A369" s="16">
        <v>368</v>
      </c>
      <c r="B369" s="306" t="s">
        <v>1418</v>
      </c>
      <c r="C369" s="50" t="s">
        <v>137</v>
      </c>
      <c r="D369" s="54" t="s">
        <v>1426</v>
      </c>
      <c r="E369" s="62" t="s">
        <v>138</v>
      </c>
      <c r="I369" s="50">
        <v>190</v>
      </c>
      <c r="J369" s="50" t="s">
        <v>1303</v>
      </c>
      <c r="K369" s="50" t="s">
        <v>881</v>
      </c>
      <c r="L369" s="50" t="s">
        <v>111</v>
      </c>
      <c r="M369" s="50" t="s">
        <v>782</v>
      </c>
      <c r="N369" s="50" t="s">
        <v>1429</v>
      </c>
    </row>
    <row r="370" spans="1:14" ht="24">
      <c r="A370" s="16">
        <v>369</v>
      </c>
      <c r="B370" s="306" t="s">
        <v>1431</v>
      </c>
      <c r="C370" s="50" t="s">
        <v>137</v>
      </c>
      <c r="D370" s="54" t="s">
        <v>1432</v>
      </c>
      <c r="E370" s="62" t="s">
        <v>138</v>
      </c>
      <c r="I370" s="50">
        <v>231</v>
      </c>
      <c r="J370" s="50" t="s">
        <v>1434</v>
      </c>
      <c r="K370" s="50" t="s">
        <v>881</v>
      </c>
      <c r="L370" s="50" t="s">
        <v>111</v>
      </c>
      <c r="M370" s="50" t="s">
        <v>782</v>
      </c>
      <c r="N370" s="50" t="s">
        <v>1435</v>
      </c>
    </row>
    <row r="371" spans="1:14" ht="12">
      <c r="A371" s="16">
        <v>370</v>
      </c>
      <c r="B371" s="310" t="s">
        <v>1436</v>
      </c>
      <c r="C371" s="50" t="s">
        <v>137</v>
      </c>
      <c r="E371" s="62" t="s">
        <v>138</v>
      </c>
      <c r="I371" s="50">
        <v>93</v>
      </c>
      <c r="J371" s="50" t="s">
        <v>1303</v>
      </c>
      <c r="K371" s="50" t="s">
        <v>881</v>
      </c>
      <c r="L371" s="50" t="s">
        <v>111</v>
      </c>
      <c r="M371" s="50" t="s">
        <v>782</v>
      </c>
      <c r="N371" s="50" t="s">
        <v>1437</v>
      </c>
    </row>
    <row r="372" spans="1:14" ht="12">
      <c r="A372" s="16">
        <v>371</v>
      </c>
      <c r="B372" s="180" t="s">
        <v>1438</v>
      </c>
      <c r="C372" s="50" t="s">
        <v>315</v>
      </c>
      <c r="E372" s="62" t="s">
        <v>138</v>
      </c>
      <c r="I372" s="50">
        <v>120</v>
      </c>
      <c r="J372" s="50" t="s">
        <v>1303</v>
      </c>
      <c r="K372" s="50" t="s">
        <v>881</v>
      </c>
      <c r="L372" s="50" t="s">
        <v>111</v>
      </c>
      <c r="M372" s="50" t="s">
        <v>782</v>
      </c>
      <c r="N372" s="50" t="s">
        <v>1439</v>
      </c>
    </row>
    <row r="373" spans="1:14" ht="12">
      <c r="A373" s="16">
        <v>372</v>
      </c>
      <c r="B373" s="50" t="s">
        <v>1440</v>
      </c>
      <c r="C373" s="50" t="s">
        <v>137</v>
      </c>
      <c r="D373" s="50" t="s">
        <v>1441</v>
      </c>
      <c r="E373" s="62" t="s">
        <v>138</v>
      </c>
      <c r="I373" s="50">
        <v>360</v>
      </c>
      <c r="J373" s="50" t="s">
        <v>1442</v>
      </c>
      <c r="K373" s="50" t="s">
        <v>881</v>
      </c>
      <c r="L373" s="50" t="s">
        <v>111</v>
      </c>
      <c r="M373" s="50" t="s">
        <v>796</v>
      </c>
      <c r="N373" s="50" t="s">
        <v>1443</v>
      </c>
    </row>
    <row r="374" spans="1:14" ht="12">
      <c r="A374" s="16">
        <v>373</v>
      </c>
      <c r="B374" s="50" t="s">
        <v>1444</v>
      </c>
      <c r="C374" s="50" t="s">
        <v>137</v>
      </c>
      <c r="D374" s="50" t="s">
        <v>1445</v>
      </c>
      <c r="E374" s="62" t="s">
        <v>138</v>
      </c>
      <c r="I374" s="50">
        <v>360</v>
      </c>
      <c r="J374" s="50" t="s">
        <v>583</v>
      </c>
      <c r="K374" s="50" t="s">
        <v>881</v>
      </c>
      <c r="L374" s="50" t="s">
        <v>111</v>
      </c>
      <c r="M374" s="50" t="s">
        <v>782</v>
      </c>
      <c r="N374" s="50" t="s">
        <v>1446</v>
      </c>
    </row>
    <row r="375" spans="1:14" ht="12">
      <c r="A375" s="16">
        <v>374</v>
      </c>
      <c r="B375" s="50" t="s">
        <v>1447</v>
      </c>
      <c r="E375" s="52"/>
      <c r="I375" s="50">
        <v>402</v>
      </c>
      <c r="K375" s="50" t="s">
        <v>1268</v>
      </c>
      <c r="M375" s="50" t="s">
        <v>782</v>
      </c>
      <c r="N375" s="50" t="s">
        <v>1448</v>
      </c>
    </row>
    <row r="376" spans="1:14" ht="12">
      <c r="A376" s="16">
        <v>375</v>
      </c>
      <c r="B376" s="50" t="s">
        <v>1449</v>
      </c>
      <c r="E376" s="52"/>
      <c r="I376" s="50">
        <v>402</v>
      </c>
      <c r="K376" s="50" t="s">
        <v>1268</v>
      </c>
      <c r="M376" s="50" t="s">
        <v>782</v>
      </c>
      <c r="N376" s="50" t="s">
        <v>1448</v>
      </c>
    </row>
    <row r="377" spans="1:14" ht="12">
      <c r="A377" s="16">
        <v>376</v>
      </c>
      <c r="B377" s="50" t="s">
        <v>1450</v>
      </c>
      <c r="E377" s="52"/>
      <c r="I377" s="50">
        <v>402</v>
      </c>
      <c r="K377" s="50" t="s">
        <v>1268</v>
      </c>
      <c r="M377" s="50" t="s">
        <v>782</v>
      </c>
      <c r="N377" s="50" t="s">
        <v>1448</v>
      </c>
    </row>
    <row r="378" spans="1:14" ht="12">
      <c r="A378" s="16">
        <v>377</v>
      </c>
      <c r="B378" s="151" t="s">
        <v>1451</v>
      </c>
      <c r="C378" s="50" t="s">
        <v>137</v>
      </c>
      <c r="D378" s="50" t="s">
        <v>1452</v>
      </c>
      <c r="E378" s="62" t="s">
        <v>138</v>
      </c>
      <c r="I378" s="50">
        <v>360</v>
      </c>
      <c r="J378" s="50" t="s">
        <v>583</v>
      </c>
      <c r="K378" s="50" t="s">
        <v>881</v>
      </c>
      <c r="L378" s="50" t="s">
        <v>111</v>
      </c>
      <c r="M378" s="50" t="s">
        <v>1453</v>
      </c>
      <c r="N378" s="50" t="s">
        <v>1454</v>
      </c>
    </row>
    <row r="379" spans="1:14" ht="24">
      <c r="A379" s="16">
        <v>378</v>
      </c>
      <c r="B379" s="54" t="s">
        <v>1455</v>
      </c>
      <c r="C379" s="50" t="s">
        <v>137</v>
      </c>
      <c r="D379" s="54" t="s">
        <v>1456</v>
      </c>
      <c r="E379" s="62" t="s">
        <v>138</v>
      </c>
      <c r="I379" s="50">
        <v>92</v>
      </c>
      <c r="J379" s="50" t="s">
        <v>583</v>
      </c>
      <c r="K379" s="50" t="s">
        <v>881</v>
      </c>
      <c r="L379" s="50" t="s">
        <v>111</v>
      </c>
      <c r="M379" s="50" t="s">
        <v>1453</v>
      </c>
      <c r="N379" s="50" t="s">
        <v>1457</v>
      </c>
    </row>
    <row r="380" spans="1:14" ht="12">
      <c r="A380" s="16">
        <v>379</v>
      </c>
      <c r="B380" s="54" t="s">
        <v>1458</v>
      </c>
      <c r="C380" s="50" t="s">
        <v>137</v>
      </c>
      <c r="D380" s="50" t="s">
        <v>1459</v>
      </c>
      <c r="E380" s="62" t="s">
        <v>138</v>
      </c>
      <c r="I380" s="50">
        <v>289</v>
      </c>
      <c r="J380" s="50" t="s">
        <v>583</v>
      </c>
      <c r="K380" s="50" t="s">
        <v>881</v>
      </c>
      <c r="L380" s="50" t="s">
        <v>111</v>
      </c>
      <c r="M380" s="50" t="s">
        <v>1453</v>
      </c>
      <c r="N380" s="50" t="s">
        <v>1460</v>
      </c>
    </row>
    <row r="381" spans="1:14" ht="12">
      <c r="A381" s="16">
        <v>380</v>
      </c>
      <c r="B381" s="54" t="s">
        <v>1461</v>
      </c>
      <c r="C381" s="50" t="s">
        <v>137</v>
      </c>
      <c r="D381" s="50" t="s">
        <v>1459</v>
      </c>
      <c r="E381" s="62" t="s">
        <v>138</v>
      </c>
      <c r="I381" s="50">
        <v>302</v>
      </c>
      <c r="J381" s="50" t="s">
        <v>583</v>
      </c>
      <c r="K381" s="50" t="s">
        <v>881</v>
      </c>
      <c r="L381" s="50" t="s">
        <v>111</v>
      </c>
      <c r="M381" s="50" t="s">
        <v>1453</v>
      </c>
      <c r="N381" s="50" t="s">
        <v>1464</v>
      </c>
    </row>
    <row r="382" spans="1:14" ht="12">
      <c r="A382" s="16">
        <v>381</v>
      </c>
      <c r="B382" s="50" t="s">
        <v>1465</v>
      </c>
      <c r="D382" s="50" t="s">
        <v>1466</v>
      </c>
      <c r="E382" s="62" t="s">
        <v>138</v>
      </c>
      <c r="K382" s="50" t="s">
        <v>142</v>
      </c>
      <c r="L382" s="50" t="s">
        <v>111</v>
      </c>
      <c r="M382" s="50" t="s">
        <v>782</v>
      </c>
      <c r="N382" s="50" t="s">
        <v>1469</v>
      </c>
    </row>
    <row r="383" spans="1:14" ht="12">
      <c r="A383" s="159">
        <v>382</v>
      </c>
      <c r="B383" s="161" t="s">
        <v>1471</v>
      </c>
      <c r="C383" s="161" t="s">
        <v>137</v>
      </c>
      <c r="D383" s="161" t="s">
        <v>1472</v>
      </c>
      <c r="E383" s="161" t="s">
        <v>138</v>
      </c>
      <c r="F383" s="163"/>
      <c r="G383" s="163"/>
      <c r="H383" s="163"/>
      <c r="I383" s="159">
        <v>279</v>
      </c>
      <c r="J383" s="161" t="s">
        <v>583</v>
      </c>
      <c r="K383" s="161" t="s">
        <v>881</v>
      </c>
      <c r="L383" s="161" t="s">
        <v>111</v>
      </c>
      <c r="M383" s="161" t="s">
        <v>1453</v>
      </c>
      <c r="N383" s="161" t="s">
        <v>1478</v>
      </c>
    </row>
    <row r="384" spans="1:14" ht="12">
      <c r="A384" s="16">
        <v>383</v>
      </c>
      <c r="B384" s="180" t="s">
        <v>1479</v>
      </c>
      <c r="C384" s="50" t="s">
        <v>137</v>
      </c>
      <c r="E384" s="62" t="s">
        <v>138</v>
      </c>
      <c r="I384" s="50">
        <v>231</v>
      </c>
      <c r="J384" s="50" t="s">
        <v>583</v>
      </c>
      <c r="K384" s="50" t="s">
        <v>881</v>
      </c>
      <c r="L384" s="50" t="s">
        <v>111</v>
      </c>
      <c r="M384" s="50" t="s">
        <v>1453</v>
      </c>
      <c r="N384" s="50" t="s">
        <v>1482</v>
      </c>
    </row>
    <row r="385" spans="1:17" ht="12">
      <c r="A385" s="16">
        <v>384</v>
      </c>
      <c r="B385" s="180" t="s">
        <v>1483</v>
      </c>
      <c r="C385" s="50" t="s">
        <v>137</v>
      </c>
      <c r="D385" s="54" t="s">
        <v>1484</v>
      </c>
      <c r="E385" s="62" t="s">
        <v>138</v>
      </c>
      <c r="I385" s="50">
        <v>190</v>
      </c>
      <c r="J385" s="50" t="s">
        <v>583</v>
      </c>
      <c r="K385" s="50" t="s">
        <v>881</v>
      </c>
      <c r="L385" s="50" t="s">
        <v>111</v>
      </c>
      <c r="M385" s="50" t="s">
        <v>1453</v>
      </c>
      <c r="N385" s="50" t="s">
        <v>1485</v>
      </c>
    </row>
    <row r="386" spans="1:17" ht="12">
      <c r="A386" s="16">
        <v>385</v>
      </c>
      <c r="B386" s="54" t="s">
        <v>1486</v>
      </c>
      <c r="C386" s="50" t="s">
        <v>137</v>
      </c>
      <c r="D386" s="50" t="s">
        <v>1487</v>
      </c>
      <c r="E386" s="62" t="s">
        <v>138</v>
      </c>
      <c r="I386" s="50">
        <v>380</v>
      </c>
      <c r="J386" s="50" t="s">
        <v>583</v>
      </c>
      <c r="K386" s="50" t="s">
        <v>881</v>
      </c>
      <c r="L386" s="50" t="s">
        <v>111</v>
      </c>
      <c r="M386" s="50" t="s">
        <v>1453</v>
      </c>
      <c r="N386" s="50" t="s">
        <v>1489</v>
      </c>
    </row>
    <row r="387" spans="1:17" ht="12">
      <c r="A387" s="16">
        <v>386</v>
      </c>
      <c r="B387" s="54" t="s">
        <v>1490</v>
      </c>
      <c r="C387" s="50" t="s">
        <v>137</v>
      </c>
      <c r="D387" s="50" t="s">
        <v>1487</v>
      </c>
      <c r="E387" s="62" t="s">
        <v>138</v>
      </c>
      <c r="I387" s="50">
        <v>379</v>
      </c>
      <c r="J387" s="50" t="s">
        <v>583</v>
      </c>
      <c r="K387" s="50" t="s">
        <v>881</v>
      </c>
      <c r="L387" s="50" t="s">
        <v>111</v>
      </c>
      <c r="M387" s="50" t="s">
        <v>1453</v>
      </c>
      <c r="N387" s="50" t="s">
        <v>1491</v>
      </c>
    </row>
    <row r="388" spans="1:17" ht="13">
      <c r="A388" s="16">
        <v>387</v>
      </c>
      <c r="B388" s="331" t="s">
        <v>1492</v>
      </c>
      <c r="C388" s="333" t="s">
        <v>137</v>
      </c>
      <c r="D388" s="50" t="s">
        <v>1496</v>
      </c>
      <c r="E388" s="62" t="s">
        <v>138</v>
      </c>
      <c r="I388" s="50">
        <v>301</v>
      </c>
      <c r="J388" s="50" t="s">
        <v>583</v>
      </c>
      <c r="K388" s="50" t="s">
        <v>881</v>
      </c>
      <c r="L388" s="50" t="s">
        <v>111</v>
      </c>
      <c r="M388" s="50" t="s">
        <v>1453</v>
      </c>
      <c r="N388" s="50" t="s">
        <v>1497</v>
      </c>
    </row>
    <row r="389" spans="1:17" ht="24">
      <c r="A389" s="335">
        <v>388</v>
      </c>
      <c r="B389" s="337" t="s">
        <v>1498</v>
      </c>
      <c r="C389" s="339" t="s">
        <v>315</v>
      </c>
      <c r="D389" s="337" t="s">
        <v>1500</v>
      </c>
      <c r="E389" s="341"/>
      <c r="F389" s="342"/>
      <c r="G389" s="342"/>
      <c r="H389" s="342"/>
      <c r="I389" s="339">
        <v>295</v>
      </c>
      <c r="J389" s="339" t="s">
        <v>583</v>
      </c>
      <c r="K389" s="339" t="s">
        <v>881</v>
      </c>
      <c r="L389" s="339" t="s">
        <v>111</v>
      </c>
      <c r="M389" s="339" t="s">
        <v>1453</v>
      </c>
      <c r="N389" s="50" t="s">
        <v>1504</v>
      </c>
    </row>
    <row r="390" spans="1:17" ht="12">
      <c r="A390" s="16">
        <v>389</v>
      </c>
      <c r="B390" s="54" t="s">
        <v>1506</v>
      </c>
      <c r="C390" s="50" t="s">
        <v>315</v>
      </c>
      <c r="D390" s="50" t="s">
        <v>1459</v>
      </c>
      <c r="E390" s="62" t="s">
        <v>138</v>
      </c>
      <c r="I390" s="50">
        <v>355</v>
      </c>
      <c r="J390" s="50" t="s">
        <v>583</v>
      </c>
      <c r="K390" s="50" t="s">
        <v>881</v>
      </c>
      <c r="L390" s="50" t="s">
        <v>111</v>
      </c>
      <c r="M390" s="50" t="s">
        <v>1453</v>
      </c>
      <c r="N390" s="50" t="s">
        <v>1507</v>
      </c>
    </row>
    <row r="391" spans="1:17" ht="24">
      <c r="A391" s="16">
        <v>390</v>
      </c>
      <c r="B391" s="180" t="s">
        <v>1508</v>
      </c>
      <c r="C391" s="50" t="s">
        <v>137</v>
      </c>
      <c r="D391" s="54" t="s">
        <v>1509</v>
      </c>
      <c r="E391" s="62" t="s">
        <v>138</v>
      </c>
      <c r="I391" s="50">
        <v>360</v>
      </c>
      <c r="J391" s="50" t="s">
        <v>583</v>
      </c>
      <c r="K391" s="50" t="s">
        <v>881</v>
      </c>
      <c r="L391" s="50" t="s">
        <v>111</v>
      </c>
      <c r="M391" s="50" t="s">
        <v>1453</v>
      </c>
      <c r="N391" s="50" t="s">
        <v>1510</v>
      </c>
    </row>
    <row r="392" spans="1:17" ht="24">
      <c r="A392" s="16">
        <v>391</v>
      </c>
      <c r="B392" s="142" t="s">
        <v>1511</v>
      </c>
      <c r="D392" s="50" t="s">
        <v>1512</v>
      </c>
      <c r="E392" s="62" t="s">
        <v>138</v>
      </c>
      <c r="K392" s="50" t="s">
        <v>1174</v>
      </c>
      <c r="L392" s="50" t="s">
        <v>111</v>
      </c>
      <c r="M392" s="50" t="s">
        <v>1453</v>
      </c>
      <c r="N392" s="50" t="s">
        <v>1513</v>
      </c>
      <c r="Q392" s="50" t="s">
        <v>1336</v>
      </c>
    </row>
    <row r="393" spans="1:17" ht="24">
      <c r="A393" s="16">
        <v>392</v>
      </c>
      <c r="B393" s="50" t="s">
        <v>1514</v>
      </c>
      <c r="D393" s="50" t="s">
        <v>1515</v>
      </c>
      <c r="E393" s="62" t="s">
        <v>138</v>
      </c>
      <c r="K393" s="50" t="s">
        <v>1516</v>
      </c>
      <c r="L393" s="50" t="s">
        <v>111</v>
      </c>
      <c r="M393" s="50" t="s">
        <v>796</v>
      </c>
      <c r="N393" s="50" t="s">
        <v>1518</v>
      </c>
    </row>
    <row r="394" spans="1:17" ht="24">
      <c r="A394" s="16">
        <v>393</v>
      </c>
      <c r="B394" s="50" t="s">
        <v>1519</v>
      </c>
      <c r="C394" s="50" t="s">
        <v>315</v>
      </c>
      <c r="E394" s="52"/>
      <c r="K394" s="50" t="s">
        <v>1520</v>
      </c>
      <c r="L394" s="50" t="s">
        <v>111</v>
      </c>
      <c r="M394" s="50" t="s">
        <v>1092</v>
      </c>
      <c r="N394" s="54" t="s">
        <v>1523</v>
      </c>
    </row>
    <row r="395" spans="1:17" ht="12">
      <c r="A395" s="16">
        <v>394</v>
      </c>
      <c r="B395" s="54" t="s">
        <v>1524</v>
      </c>
      <c r="C395" s="50" t="s">
        <v>137</v>
      </c>
      <c r="D395" s="50" t="s">
        <v>1525</v>
      </c>
      <c r="E395" s="62" t="s">
        <v>138</v>
      </c>
      <c r="I395" s="50">
        <v>387</v>
      </c>
      <c r="J395" s="50" t="s">
        <v>583</v>
      </c>
      <c r="K395" s="50" t="s">
        <v>881</v>
      </c>
      <c r="L395" s="50" t="s">
        <v>111</v>
      </c>
      <c r="M395" s="50" t="s">
        <v>1453</v>
      </c>
      <c r="N395" s="50" t="s">
        <v>1526</v>
      </c>
    </row>
    <row r="396" spans="1:17" ht="36">
      <c r="A396" s="16">
        <v>395</v>
      </c>
      <c r="B396" s="54" t="s">
        <v>1527</v>
      </c>
      <c r="C396" s="50" t="s">
        <v>137</v>
      </c>
      <c r="D396" s="50" t="s">
        <v>1528</v>
      </c>
      <c r="E396" s="62" t="s">
        <v>138</v>
      </c>
      <c r="I396" s="50">
        <v>380</v>
      </c>
      <c r="J396" s="50" t="s">
        <v>583</v>
      </c>
      <c r="K396" s="50" t="s">
        <v>881</v>
      </c>
      <c r="L396" s="50" t="s">
        <v>111</v>
      </c>
      <c r="M396" s="50" t="s">
        <v>1453</v>
      </c>
      <c r="N396" s="50" t="s">
        <v>1529</v>
      </c>
    </row>
    <row r="397" spans="1:17" ht="24">
      <c r="A397" s="16">
        <v>396</v>
      </c>
      <c r="B397" s="243" t="s">
        <v>1530</v>
      </c>
      <c r="C397" s="261"/>
      <c r="D397" s="257" t="s">
        <v>1235</v>
      </c>
      <c r="E397" s="259"/>
      <c r="F397" s="261"/>
      <c r="G397" s="261"/>
      <c r="H397" s="261"/>
      <c r="I397" s="261"/>
      <c r="J397" s="243" t="s">
        <v>583</v>
      </c>
      <c r="K397" s="243" t="s">
        <v>1531</v>
      </c>
      <c r="L397" s="243" t="s">
        <v>111</v>
      </c>
      <c r="M397" s="243" t="s">
        <v>796</v>
      </c>
      <c r="N397" s="261"/>
    </row>
    <row r="398" spans="1:17" ht="24">
      <c r="A398" s="16">
        <v>397</v>
      </c>
      <c r="B398" s="243" t="s">
        <v>1532</v>
      </c>
      <c r="C398" s="261"/>
      <c r="D398" s="257" t="s">
        <v>1235</v>
      </c>
      <c r="E398" s="259"/>
      <c r="F398" s="261"/>
      <c r="G398" s="261"/>
      <c r="H398" s="261"/>
      <c r="I398" s="261"/>
      <c r="J398" s="243" t="s">
        <v>583</v>
      </c>
      <c r="K398" s="243" t="s">
        <v>1531</v>
      </c>
      <c r="L398" s="243" t="s">
        <v>111</v>
      </c>
      <c r="M398" s="243" t="s">
        <v>796</v>
      </c>
      <c r="N398" s="261"/>
    </row>
    <row r="399" spans="1:17" ht="12">
      <c r="A399" s="16">
        <v>398</v>
      </c>
      <c r="B399" s="54" t="s">
        <v>1533</v>
      </c>
      <c r="C399" s="50" t="s">
        <v>137</v>
      </c>
      <c r="D399" s="50" t="s">
        <v>1525</v>
      </c>
      <c r="E399" s="62" t="s">
        <v>138</v>
      </c>
      <c r="I399" s="50">
        <v>378</v>
      </c>
      <c r="J399" s="50" t="s">
        <v>1534</v>
      </c>
      <c r="K399" s="50" t="s">
        <v>881</v>
      </c>
      <c r="L399" s="50" t="s">
        <v>111</v>
      </c>
      <c r="M399" s="50" t="s">
        <v>796</v>
      </c>
      <c r="N399" s="50" t="s">
        <v>1535</v>
      </c>
    </row>
    <row r="400" spans="1:17" ht="12">
      <c r="A400" s="16">
        <v>399</v>
      </c>
      <c r="B400" s="54" t="s">
        <v>1536</v>
      </c>
      <c r="C400" s="50" t="s">
        <v>137</v>
      </c>
      <c r="D400" s="50" t="s">
        <v>1537</v>
      </c>
      <c r="E400" s="62" t="s">
        <v>138</v>
      </c>
      <c r="I400" s="50">
        <v>379</v>
      </c>
      <c r="J400" s="50" t="s">
        <v>1534</v>
      </c>
      <c r="K400" s="50" t="s">
        <v>881</v>
      </c>
      <c r="L400" s="50" t="s">
        <v>111</v>
      </c>
      <c r="M400" s="50" t="s">
        <v>796</v>
      </c>
      <c r="N400" s="50" t="s">
        <v>1539</v>
      </c>
    </row>
    <row r="401" spans="1:14" ht="36">
      <c r="A401" s="16">
        <v>400</v>
      </c>
      <c r="B401" s="50" t="s">
        <v>1540</v>
      </c>
      <c r="C401" s="50" t="s">
        <v>137</v>
      </c>
      <c r="D401" s="54" t="s">
        <v>1541</v>
      </c>
      <c r="E401" s="62" t="s">
        <v>138</v>
      </c>
      <c r="I401" s="50">
        <v>92</v>
      </c>
      <c r="J401" s="50" t="s">
        <v>1534</v>
      </c>
      <c r="K401" s="50" t="s">
        <v>881</v>
      </c>
      <c r="L401" s="50" t="s">
        <v>111</v>
      </c>
      <c r="M401" s="50" t="s">
        <v>1453</v>
      </c>
      <c r="N401" s="50" t="s">
        <v>1542</v>
      </c>
    </row>
    <row r="402" spans="1:14" ht="12">
      <c r="A402" s="16">
        <v>401</v>
      </c>
      <c r="B402" s="354" t="s">
        <v>1543</v>
      </c>
      <c r="C402" s="333" t="s">
        <v>137</v>
      </c>
      <c r="D402" s="50" t="s">
        <v>1544</v>
      </c>
      <c r="E402" s="62" t="s">
        <v>138</v>
      </c>
      <c r="I402" s="50">
        <v>304</v>
      </c>
      <c r="J402" s="50" t="s">
        <v>1545</v>
      </c>
      <c r="K402" s="50" t="s">
        <v>881</v>
      </c>
      <c r="L402" s="50" t="s">
        <v>111</v>
      </c>
      <c r="M402" s="50" t="s">
        <v>1453</v>
      </c>
      <c r="N402" s="50" t="s">
        <v>1546</v>
      </c>
    </row>
    <row r="403" spans="1:14" ht="24">
      <c r="A403" s="16">
        <v>402</v>
      </c>
      <c r="B403" s="50" t="s">
        <v>1547</v>
      </c>
      <c r="D403" s="50" t="s">
        <v>1548</v>
      </c>
      <c r="E403" s="52"/>
      <c r="J403" s="50" t="s">
        <v>583</v>
      </c>
      <c r="K403" s="50" t="s">
        <v>1549</v>
      </c>
      <c r="M403" s="50" t="s">
        <v>796</v>
      </c>
      <c r="N403" s="50" t="s">
        <v>1550</v>
      </c>
    </row>
    <row r="404" spans="1:14" ht="12">
      <c r="A404" s="16">
        <v>403</v>
      </c>
      <c r="B404" s="142" t="s">
        <v>1551</v>
      </c>
      <c r="E404" s="62" t="s">
        <v>138</v>
      </c>
      <c r="I404" s="50">
        <v>391</v>
      </c>
      <c r="J404" s="50" t="s">
        <v>583</v>
      </c>
      <c r="K404" s="50" t="s">
        <v>881</v>
      </c>
      <c r="L404" s="50" t="s">
        <v>111</v>
      </c>
      <c r="M404" s="50" t="s">
        <v>1453</v>
      </c>
      <c r="N404" s="50" t="s">
        <v>1552</v>
      </c>
    </row>
    <row r="405" spans="1:14" ht="12">
      <c r="A405" s="16">
        <v>404</v>
      </c>
      <c r="B405" s="50" t="s">
        <v>1553</v>
      </c>
      <c r="D405" s="50" t="s">
        <v>1554</v>
      </c>
      <c r="E405" s="52"/>
      <c r="I405" s="50">
        <v>11</v>
      </c>
      <c r="J405" s="50" t="s">
        <v>583</v>
      </c>
      <c r="K405" s="50" t="s">
        <v>158</v>
      </c>
      <c r="L405" s="50" t="s">
        <v>129</v>
      </c>
      <c r="M405" s="50" t="s">
        <v>1453</v>
      </c>
      <c r="N405" s="50" t="s">
        <v>1556</v>
      </c>
    </row>
    <row r="406" spans="1:14" ht="12">
      <c r="A406" s="16">
        <v>405</v>
      </c>
      <c r="B406" s="50" t="s">
        <v>1558</v>
      </c>
      <c r="D406" s="50" t="s">
        <v>1559</v>
      </c>
      <c r="E406" s="52"/>
      <c r="I406" s="50">
        <v>11</v>
      </c>
      <c r="J406" s="50" t="s">
        <v>583</v>
      </c>
      <c r="K406" s="50" t="s">
        <v>158</v>
      </c>
      <c r="L406" s="50" t="s">
        <v>129</v>
      </c>
      <c r="M406" s="50" t="s">
        <v>1453</v>
      </c>
      <c r="N406" s="50" t="s">
        <v>1560</v>
      </c>
    </row>
    <row r="407" spans="1:14" ht="12">
      <c r="A407" s="16">
        <v>406</v>
      </c>
      <c r="B407" s="50" t="s">
        <v>1561</v>
      </c>
      <c r="D407" s="50" t="s">
        <v>1562</v>
      </c>
      <c r="E407" s="52"/>
      <c r="I407" s="50">
        <v>11</v>
      </c>
      <c r="J407" s="50" t="s">
        <v>583</v>
      </c>
      <c r="K407" s="50" t="s">
        <v>158</v>
      </c>
      <c r="L407" s="50" t="s">
        <v>129</v>
      </c>
      <c r="M407" s="50" t="s">
        <v>1453</v>
      </c>
      <c r="N407" s="50" t="s">
        <v>1563</v>
      </c>
    </row>
    <row r="408" spans="1:14" ht="12">
      <c r="A408" s="16">
        <v>407</v>
      </c>
      <c r="B408" s="50" t="s">
        <v>1564</v>
      </c>
      <c r="E408" s="52"/>
      <c r="K408" s="50" t="s">
        <v>1268</v>
      </c>
      <c r="M408" s="50" t="s">
        <v>1453</v>
      </c>
    </row>
    <row r="409" spans="1:14" ht="12">
      <c r="A409" s="16">
        <v>408</v>
      </c>
      <c r="B409" s="50" t="s">
        <v>1565</v>
      </c>
      <c r="C409" s="50" t="s">
        <v>137</v>
      </c>
      <c r="E409" s="62" t="s">
        <v>138</v>
      </c>
      <c r="I409" s="50">
        <v>394</v>
      </c>
      <c r="K409" s="50" t="s">
        <v>1268</v>
      </c>
      <c r="M409" s="50" t="s">
        <v>1453</v>
      </c>
    </row>
    <row r="410" spans="1:14" ht="12">
      <c r="A410" s="16">
        <v>409</v>
      </c>
      <c r="B410" s="50" t="s">
        <v>1566</v>
      </c>
      <c r="C410" s="50" t="s">
        <v>137</v>
      </c>
      <c r="E410" s="62" t="s">
        <v>138</v>
      </c>
      <c r="I410" s="50">
        <v>395</v>
      </c>
      <c r="K410" s="50" t="s">
        <v>1070</v>
      </c>
      <c r="M410" s="50" t="s">
        <v>1453</v>
      </c>
      <c r="N410" s="50" t="s">
        <v>1567</v>
      </c>
    </row>
    <row r="411" spans="1:14" ht="12">
      <c r="A411" s="16">
        <v>410</v>
      </c>
      <c r="B411" s="50" t="s">
        <v>1568</v>
      </c>
      <c r="C411" s="50" t="s">
        <v>137</v>
      </c>
      <c r="E411" s="62" t="s">
        <v>138</v>
      </c>
      <c r="I411" s="50">
        <v>387</v>
      </c>
      <c r="K411" s="50" t="s">
        <v>1268</v>
      </c>
      <c r="M411" s="50" t="s">
        <v>1453</v>
      </c>
    </row>
    <row r="412" spans="1:14" ht="12">
      <c r="A412" s="16">
        <v>411</v>
      </c>
      <c r="B412" s="50" t="s">
        <v>1569</v>
      </c>
      <c r="C412" s="50" t="s">
        <v>137</v>
      </c>
      <c r="E412" s="62" t="s">
        <v>138</v>
      </c>
      <c r="I412" s="50">
        <v>380</v>
      </c>
      <c r="K412" s="50" t="s">
        <v>1268</v>
      </c>
      <c r="M412" s="50" t="s">
        <v>1453</v>
      </c>
    </row>
    <row r="413" spans="1:14" ht="24">
      <c r="A413" s="16">
        <v>412</v>
      </c>
      <c r="B413" s="339" t="s">
        <v>1570</v>
      </c>
      <c r="C413" s="50" t="s">
        <v>137</v>
      </c>
      <c r="D413" s="54" t="s">
        <v>1571</v>
      </c>
      <c r="E413" s="62" t="s">
        <v>138</v>
      </c>
      <c r="I413" s="50">
        <v>394</v>
      </c>
      <c r="K413" s="50" t="s">
        <v>1268</v>
      </c>
      <c r="M413" s="50" t="s">
        <v>1453</v>
      </c>
    </row>
    <row r="414" spans="1:14" ht="24">
      <c r="A414" s="16">
        <v>413</v>
      </c>
      <c r="B414" s="339" t="s">
        <v>1572</v>
      </c>
      <c r="C414" s="50" t="s">
        <v>137</v>
      </c>
      <c r="D414" s="54" t="s">
        <v>1573</v>
      </c>
      <c r="E414" s="62" t="s">
        <v>138</v>
      </c>
      <c r="I414" s="50">
        <v>395</v>
      </c>
      <c r="K414" s="50" t="s">
        <v>881</v>
      </c>
      <c r="M414" s="50" t="s">
        <v>1453</v>
      </c>
      <c r="N414" s="50" t="s">
        <v>1574</v>
      </c>
    </row>
    <row r="415" spans="1:14" ht="12">
      <c r="A415" s="16">
        <v>414</v>
      </c>
      <c r="B415" s="339" t="s">
        <v>1575</v>
      </c>
      <c r="C415" s="50" t="s">
        <v>137</v>
      </c>
      <c r="D415" s="50" t="s">
        <v>1576</v>
      </c>
      <c r="E415" s="62" t="s">
        <v>138</v>
      </c>
      <c r="I415" s="50">
        <v>397</v>
      </c>
      <c r="K415" s="50" t="s">
        <v>1268</v>
      </c>
      <c r="M415" s="50" t="s">
        <v>1453</v>
      </c>
    </row>
    <row r="416" spans="1:14" ht="12">
      <c r="A416" s="16">
        <v>415</v>
      </c>
      <c r="B416" s="339" t="s">
        <v>1577</v>
      </c>
      <c r="C416" s="50" t="s">
        <v>137</v>
      </c>
      <c r="D416" s="50" t="s">
        <v>1576</v>
      </c>
      <c r="E416" s="62" t="s">
        <v>138</v>
      </c>
      <c r="I416" s="50">
        <v>380</v>
      </c>
      <c r="K416" s="50" t="s">
        <v>1268</v>
      </c>
      <c r="M416" s="50" t="s">
        <v>1453</v>
      </c>
    </row>
    <row r="417" spans="1:14" ht="12">
      <c r="A417" s="16">
        <v>416</v>
      </c>
      <c r="B417" s="50" t="s">
        <v>1578</v>
      </c>
      <c r="D417" s="50" t="s">
        <v>1576</v>
      </c>
      <c r="E417" s="52"/>
      <c r="K417" s="50" t="s">
        <v>1268</v>
      </c>
      <c r="M417" s="50" t="s">
        <v>1453</v>
      </c>
    </row>
    <row r="418" spans="1:14" ht="12">
      <c r="A418" s="16">
        <v>417</v>
      </c>
      <c r="B418" s="54" t="s">
        <v>1498</v>
      </c>
      <c r="C418" s="50" t="s">
        <v>315</v>
      </c>
      <c r="E418" s="62" t="s">
        <v>138</v>
      </c>
      <c r="I418" s="54">
        <v>295</v>
      </c>
      <c r="J418" s="50" t="s">
        <v>583</v>
      </c>
      <c r="K418" s="50" t="s">
        <v>881</v>
      </c>
      <c r="L418" s="50" t="s">
        <v>111</v>
      </c>
      <c r="M418" s="50" t="s">
        <v>1453</v>
      </c>
      <c r="N418" s="50" t="s">
        <v>1579</v>
      </c>
    </row>
    <row r="419" spans="1:14" ht="24">
      <c r="A419" s="16">
        <v>418</v>
      </c>
      <c r="B419" s="50" t="s">
        <v>1580</v>
      </c>
      <c r="D419" s="50" t="s">
        <v>1581</v>
      </c>
      <c r="E419" s="52"/>
      <c r="K419" s="50" t="s">
        <v>1268</v>
      </c>
      <c r="M419" s="50" t="s">
        <v>1453</v>
      </c>
      <c r="N419" s="50" t="s">
        <v>1582</v>
      </c>
    </row>
    <row r="420" spans="1:14" ht="12">
      <c r="A420" s="16">
        <v>419</v>
      </c>
      <c r="B420" s="180" t="s">
        <v>1583</v>
      </c>
      <c r="C420" s="50" t="s">
        <v>137</v>
      </c>
      <c r="E420" s="62" t="s">
        <v>138</v>
      </c>
      <c r="I420" s="50">
        <v>304</v>
      </c>
      <c r="J420" s="50" t="s">
        <v>583</v>
      </c>
      <c r="K420" s="50" t="s">
        <v>881</v>
      </c>
      <c r="L420" s="50" t="s">
        <v>111</v>
      </c>
      <c r="M420" s="50" t="s">
        <v>1453</v>
      </c>
      <c r="N420" s="50" t="s">
        <v>1584</v>
      </c>
    </row>
    <row r="421" spans="1:14" ht="12">
      <c r="A421" s="16">
        <v>420</v>
      </c>
      <c r="B421" s="50" t="s">
        <v>1585</v>
      </c>
      <c r="C421" s="50" t="s">
        <v>137</v>
      </c>
      <c r="E421" s="62" t="s">
        <v>138</v>
      </c>
      <c r="I421" s="50">
        <v>389</v>
      </c>
      <c r="K421" s="50" t="s">
        <v>1268</v>
      </c>
      <c r="L421" s="50" t="s">
        <v>111</v>
      </c>
      <c r="M421" s="50" t="s">
        <v>1453</v>
      </c>
    </row>
    <row r="422" spans="1:14" ht="12">
      <c r="A422" s="16">
        <v>421</v>
      </c>
      <c r="B422" s="50" t="s">
        <v>1586</v>
      </c>
      <c r="C422" s="50" t="s">
        <v>137</v>
      </c>
      <c r="D422" s="50" t="s">
        <v>1576</v>
      </c>
      <c r="E422" s="62" t="s">
        <v>138</v>
      </c>
      <c r="I422" s="50">
        <v>389</v>
      </c>
      <c r="K422" s="50" t="s">
        <v>1268</v>
      </c>
      <c r="L422" s="50" t="s">
        <v>111</v>
      </c>
      <c r="M422" s="50" t="s">
        <v>1453</v>
      </c>
    </row>
    <row r="423" spans="1:14" ht="24">
      <c r="A423" s="16">
        <v>422</v>
      </c>
      <c r="B423" s="50" t="s">
        <v>1587</v>
      </c>
      <c r="D423" s="50" t="s">
        <v>1588</v>
      </c>
      <c r="E423" s="52"/>
      <c r="I423" s="50" t="s">
        <v>1589</v>
      </c>
      <c r="J423" s="50" t="s">
        <v>98</v>
      </c>
      <c r="K423" s="50" t="s">
        <v>158</v>
      </c>
      <c r="M423" s="50" t="s">
        <v>1453</v>
      </c>
      <c r="N423" s="50" t="s">
        <v>1590</v>
      </c>
    </row>
    <row r="424" spans="1:14" ht="12">
      <c r="A424" s="16">
        <v>423</v>
      </c>
      <c r="B424" s="50" t="s">
        <v>1591</v>
      </c>
      <c r="E424" s="52"/>
      <c r="K424" s="50" t="s">
        <v>1592</v>
      </c>
      <c r="M424" s="50" t="s">
        <v>796</v>
      </c>
    </row>
    <row r="425" spans="1:14" ht="12">
      <c r="A425" s="16">
        <v>424</v>
      </c>
      <c r="B425" s="54" t="s">
        <v>1593</v>
      </c>
      <c r="E425" s="52"/>
      <c r="K425" s="50" t="s">
        <v>1592</v>
      </c>
      <c r="M425" s="50" t="s">
        <v>796</v>
      </c>
    </row>
    <row r="426" spans="1:14" ht="12">
      <c r="A426" s="16">
        <v>425</v>
      </c>
      <c r="B426" s="50" t="s">
        <v>1594</v>
      </c>
      <c r="E426" s="52"/>
      <c r="K426" s="50" t="s">
        <v>1592</v>
      </c>
      <c r="M426" s="50" t="s">
        <v>796</v>
      </c>
    </row>
    <row r="427" spans="1:14" ht="24">
      <c r="A427" s="16">
        <v>426</v>
      </c>
      <c r="B427" s="50" t="s">
        <v>1595</v>
      </c>
      <c r="D427" s="50" t="s">
        <v>1596</v>
      </c>
      <c r="E427" s="52"/>
      <c r="K427" s="50" t="s">
        <v>1597</v>
      </c>
      <c r="M427" s="50" t="s">
        <v>1453</v>
      </c>
      <c r="N427" s="54" t="s">
        <v>1598</v>
      </c>
    </row>
    <row r="428" spans="1:14" ht="12">
      <c r="A428" s="16">
        <v>427</v>
      </c>
      <c r="B428" s="50" t="s">
        <v>1599</v>
      </c>
      <c r="D428" s="50" t="s">
        <v>1600</v>
      </c>
      <c r="E428" s="52"/>
      <c r="K428" s="50" t="s">
        <v>1601</v>
      </c>
      <c r="M428" s="50" t="s">
        <v>1453</v>
      </c>
    </row>
    <row r="429" spans="1:14" ht="12">
      <c r="A429" s="16">
        <v>428</v>
      </c>
      <c r="B429" s="50" t="s">
        <v>1602</v>
      </c>
      <c r="D429" s="50" t="s">
        <v>1603</v>
      </c>
      <c r="E429" s="52"/>
      <c r="K429" s="50" t="s">
        <v>1604</v>
      </c>
      <c r="M429" s="50" t="s">
        <v>1453</v>
      </c>
    </row>
    <row r="430" spans="1:14" ht="12">
      <c r="A430" s="16">
        <v>429</v>
      </c>
      <c r="B430" s="50" t="s">
        <v>1605</v>
      </c>
      <c r="D430" s="184" t="s">
        <v>962</v>
      </c>
      <c r="E430" s="52"/>
      <c r="K430" s="50" t="s">
        <v>1606</v>
      </c>
      <c r="M430" s="50" t="s">
        <v>1453</v>
      </c>
    </row>
    <row r="431" spans="1:14" ht="12">
      <c r="A431" s="16">
        <v>430</v>
      </c>
      <c r="B431" s="50" t="s">
        <v>1607</v>
      </c>
      <c r="E431" s="52"/>
      <c r="K431" s="50" t="s">
        <v>1608</v>
      </c>
      <c r="M431" s="50" t="s">
        <v>1453</v>
      </c>
    </row>
    <row r="432" spans="1:14" ht="12">
      <c r="A432" s="16">
        <v>431</v>
      </c>
      <c r="B432" s="50" t="s">
        <v>1609</v>
      </c>
      <c r="D432" s="184" t="s">
        <v>962</v>
      </c>
      <c r="E432" s="52"/>
      <c r="K432" s="50" t="s">
        <v>1610</v>
      </c>
      <c r="M432" s="50" t="s">
        <v>1453</v>
      </c>
    </row>
    <row r="433" spans="1:14" ht="12">
      <c r="A433" s="16">
        <v>432</v>
      </c>
      <c r="B433" s="142" t="s">
        <v>1611</v>
      </c>
      <c r="C433" s="50" t="s">
        <v>137</v>
      </c>
      <c r="E433" s="62" t="s">
        <v>138</v>
      </c>
      <c r="I433" s="50">
        <v>304</v>
      </c>
      <c r="J433" s="50" t="s">
        <v>98</v>
      </c>
      <c r="K433" s="50" t="s">
        <v>881</v>
      </c>
      <c r="L433" s="50" t="s">
        <v>111</v>
      </c>
      <c r="N433" s="50" t="s">
        <v>1612</v>
      </c>
    </row>
    <row r="434" spans="1:14" ht="12">
      <c r="A434" s="16">
        <v>433</v>
      </c>
      <c r="B434" s="151" t="s">
        <v>1614</v>
      </c>
      <c r="C434" s="50" t="s">
        <v>137</v>
      </c>
      <c r="E434" s="62" t="s">
        <v>138</v>
      </c>
      <c r="I434" s="50">
        <v>364</v>
      </c>
      <c r="J434" s="50" t="s">
        <v>98</v>
      </c>
      <c r="K434" s="50" t="s">
        <v>881</v>
      </c>
      <c r="L434" s="50" t="s">
        <v>111</v>
      </c>
      <c r="N434" s="50" t="s">
        <v>1615</v>
      </c>
    </row>
    <row r="435" spans="1:14" ht="12">
      <c r="A435" s="16">
        <v>434</v>
      </c>
      <c r="B435" s="354" t="s">
        <v>1616</v>
      </c>
      <c r="C435" s="333" t="s">
        <v>315</v>
      </c>
      <c r="E435" s="52"/>
      <c r="I435" s="50">
        <v>393</v>
      </c>
      <c r="J435" s="50" t="s">
        <v>98</v>
      </c>
      <c r="K435" s="50" t="s">
        <v>881</v>
      </c>
      <c r="L435" s="50" t="s">
        <v>111</v>
      </c>
      <c r="M435" s="50" t="s">
        <v>1092</v>
      </c>
      <c r="N435" s="50" t="s">
        <v>1617</v>
      </c>
    </row>
    <row r="436" spans="1:14" ht="12">
      <c r="A436" s="16">
        <v>435</v>
      </c>
      <c r="B436" s="354" t="s">
        <v>845</v>
      </c>
      <c r="C436" s="380"/>
      <c r="D436" s="54" t="s">
        <v>1623</v>
      </c>
      <c r="E436" s="52"/>
      <c r="I436" s="50">
        <v>242</v>
      </c>
      <c r="J436" s="50" t="s">
        <v>98</v>
      </c>
      <c r="K436" s="50" t="s">
        <v>881</v>
      </c>
      <c r="L436" s="50" t="s">
        <v>111</v>
      </c>
      <c r="M436" s="50" t="s">
        <v>1453</v>
      </c>
      <c r="N436" s="54" t="s">
        <v>1624</v>
      </c>
    </row>
    <row r="437" spans="1:14" ht="12">
      <c r="A437" s="16">
        <v>436</v>
      </c>
      <c r="B437" s="50" t="s">
        <v>1625</v>
      </c>
      <c r="C437" s="50" t="s">
        <v>137</v>
      </c>
      <c r="D437" s="50" t="s">
        <v>1626</v>
      </c>
      <c r="E437" s="62" t="s">
        <v>138</v>
      </c>
      <c r="I437" s="50">
        <v>360</v>
      </c>
      <c r="J437" s="50" t="s">
        <v>98</v>
      </c>
      <c r="K437" s="50" t="s">
        <v>881</v>
      </c>
      <c r="L437" s="50" t="s">
        <v>111</v>
      </c>
      <c r="M437" s="50" t="s">
        <v>1453</v>
      </c>
      <c r="N437" s="50" t="s">
        <v>1627</v>
      </c>
    </row>
    <row r="438" spans="1:14" ht="12">
      <c r="A438" s="16">
        <v>437</v>
      </c>
      <c r="B438" s="50" t="s">
        <v>1628</v>
      </c>
      <c r="C438" s="50" t="s">
        <v>315</v>
      </c>
      <c r="E438" s="62" t="s">
        <v>138</v>
      </c>
      <c r="I438" s="50">
        <v>417</v>
      </c>
      <c r="K438" s="50" t="s">
        <v>1268</v>
      </c>
      <c r="M438" s="50" t="s">
        <v>1453</v>
      </c>
    </row>
    <row r="439" spans="1:14" ht="24">
      <c r="A439" s="16">
        <v>438</v>
      </c>
      <c r="B439" s="50" t="s">
        <v>1629</v>
      </c>
      <c r="C439" s="50" t="s">
        <v>315</v>
      </c>
      <c r="D439" s="54" t="s">
        <v>1630</v>
      </c>
      <c r="E439" s="62" t="s">
        <v>138</v>
      </c>
      <c r="I439" s="50">
        <v>417</v>
      </c>
      <c r="K439" s="50" t="s">
        <v>1268</v>
      </c>
      <c r="M439" s="50" t="s">
        <v>1453</v>
      </c>
    </row>
    <row r="440" spans="1:14" ht="12">
      <c r="A440" s="16">
        <v>439</v>
      </c>
      <c r="B440" s="142" t="s">
        <v>1631</v>
      </c>
      <c r="D440" s="50" t="s">
        <v>1632</v>
      </c>
      <c r="E440" s="62" t="s">
        <v>138</v>
      </c>
      <c r="I440" s="50">
        <v>433</v>
      </c>
      <c r="J440" s="50" t="s">
        <v>98</v>
      </c>
      <c r="K440" s="50" t="s">
        <v>881</v>
      </c>
      <c r="L440" s="50" t="s">
        <v>111</v>
      </c>
      <c r="M440" s="50" t="s">
        <v>1453</v>
      </c>
      <c r="N440" s="50" t="s">
        <v>1633</v>
      </c>
    </row>
    <row r="441" spans="1:14" ht="12">
      <c r="A441" s="16">
        <v>440</v>
      </c>
      <c r="B441" s="50" t="s">
        <v>1634</v>
      </c>
      <c r="E441" s="52"/>
      <c r="K441" s="50" t="s">
        <v>1592</v>
      </c>
      <c r="L441" s="50" t="s">
        <v>111</v>
      </c>
      <c r="N441" s="50" t="s">
        <v>1635</v>
      </c>
    </row>
    <row r="442" spans="1:14" ht="12">
      <c r="A442" s="16">
        <v>441</v>
      </c>
      <c r="B442" s="50" t="s">
        <v>1636</v>
      </c>
      <c r="E442" s="52"/>
      <c r="K442" s="50" t="s">
        <v>1592</v>
      </c>
      <c r="L442" s="50" t="s">
        <v>111</v>
      </c>
      <c r="N442" s="50" t="s">
        <v>1635</v>
      </c>
    </row>
    <row r="443" spans="1:14" ht="12">
      <c r="A443" s="16">
        <v>442</v>
      </c>
      <c r="B443" s="50" t="s">
        <v>1637</v>
      </c>
      <c r="E443" s="52"/>
      <c r="K443" s="50" t="s">
        <v>1592</v>
      </c>
      <c r="L443" s="50" t="s">
        <v>111</v>
      </c>
      <c r="N443" s="50" t="s">
        <v>1635</v>
      </c>
    </row>
    <row r="444" spans="1:14" ht="12">
      <c r="A444" s="16">
        <v>443</v>
      </c>
      <c r="B444" s="50" t="s">
        <v>1638</v>
      </c>
      <c r="E444" s="52"/>
      <c r="I444" s="50">
        <v>276</v>
      </c>
      <c r="J444" s="50" t="s">
        <v>1639</v>
      </c>
      <c r="K444" s="50" t="s">
        <v>95</v>
      </c>
      <c r="L444" s="50" t="s">
        <v>111</v>
      </c>
      <c r="M444" s="50" t="s">
        <v>1453</v>
      </c>
      <c r="N444" s="50" t="s">
        <v>1640</v>
      </c>
    </row>
    <row r="445" spans="1:14" ht="12">
      <c r="A445" s="16">
        <v>444</v>
      </c>
      <c r="B445" s="54" t="s">
        <v>1641</v>
      </c>
      <c r="E445" s="52"/>
      <c r="I445" s="54" t="s">
        <v>1642</v>
      </c>
      <c r="K445" s="50" t="s">
        <v>1643</v>
      </c>
      <c r="M445" s="50" t="s">
        <v>1453</v>
      </c>
      <c r="N445" s="50" t="s">
        <v>1644</v>
      </c>
    </row>
    <row r="446" spans="1:14" ht="12">
      <c r="A446" s="16">
        <v>445</v>
      </c>
      <c r="B446" s="54" t="s">
        <v>1645</v>
      </c>
      <c r="E446" s="52"/>
      <c r="I446" s="54" t="s">
        <v>1642</v>
      </c>
      <c r="K446" s="50" t="s">
        <v>1643</v>
      </c>
      <c r="M446" s="50" t="s">
        <v>1453</v>
      </c>
      <c r="N446" s="50" t="s">
        <v>1644</v>
      </c>
    </row>
    <row r="447" spans="1:14" ht="12">
      <c r="A447" s="16">
        <v>446</v>
      </c>
      <c r="B447" s="50" t="s">
        <v>1646</v>
      </c>
      <c r="D447" s="50" t="s">
        <v>1647</v>
      </c>
      <c r="E447" s="52"/>
      <c r="K447" s="50" t="s">
        <v>1648</v>
      </c>
      <c r="M447" s="50" t="s">
        <v>1453</v>
      </c>
      <c r="N447" s="50" t="s">
        <v>1649</v>
      </c>
    </row>
    <row r="448" spans="1:14" ht="12">
      <c r="A448" s="16">
        <v>447</v>
      </c>
      <c r="B448" s="50" t="s">
        <v>1650</v>
      </c>
      <c r="D448" s="50" t="s">
        <v>1651</v>
      </c>
      <c r="E448" s="52"/>
      <c r="K448" s="50" t="s">
        <v>1648</v>
      </c>
      <c r="M448" s="50" t="s">
        <v>1453</v>
      </c>
      <c r="N448" s="50" t="s">
        <v>1649</v>
      </c>
    </row>
    <row r="449" spans="1:14" ht="36">
      <c r="A449" s="16">
        <v>448</v>
      </c>
      <c r="B449" s="50" t="s">
        <v>1652</v>
      </c>
      <c r="D449" s="50" t="s">
        <v>1653</v>
      </c>
      <c r="E449" s="52"/>
      <c r="K449" s="50" t="s">
        <v>1654</v>
      </c>
      <c r="L449" s="54" t="s">
        <v>1655</v>
      </c>
      <c r="M449" s="50" t="s">
        <v>1453</v>
      </c>
      <c r="N449" s="50" t="s">
        <v>1649</v>
      </c>
    </row>
    <row r="450" spans="1:14" ht="24">
      <c r="A450" s="16">
        <v>449</v>
      </c>
      <c r="B450" s="50" t="s">
        <v>1656</v>
      </c>
      <c r="D450" s="50" t="s">
        <v>1657</v>
      </c>
      <c r="E450" s="52"/>
      <c r="K450" s="50" t="s">
        <v>1654</v>
      </c>
      <c r="L450" s="54" t="s">
        <v>1655</v>
      </c>
      <c r="M450" s="50" t="s">
        <v>1453</v>
      </c>
      <c r="N450" s="50" t="s">
        <v>1649</v>
      </c>
    </row>
    <row r="451" spans="1:14" ht="12">
      <c r="A451" s="16">
        <v>450</v>
      </c>
      <c r="B451" s="50" t="s">
        <v>1572</v>
      </c>
      <c r="C451" s="50" t="s">
        <v>137</v>
      </c>
      <c r="D451" s="50" t="s">
        <v>1658</v>
      </c>
      <c r="E451" s="52"/>
      <c r="I451" s="50">
        <v>413</v>
      </c>
      <c r="J451" s="50" t="s">
        <v>98</v>
      </c>
      <c r="K451" s="50" t="s">
        <v>881</v>
      </c>
      <c r="L451" s="50" t="s">
        <v>111</v>
      </c>
      <c r="M451" s="50" t="s">
        <v>1453</v>
      </c>
      <c r="N451" s="50" t="s">
        <v>1659</v>
      </c>
    </row>
    <row r="452" spans="1:14" ht="12">
      <c r="A452" s="16">
        <v>451</v>
      </c>
      <c r="B452" s="50" t="s">
        <v>1629</v>
      </c>
      <c r="C452" s="50" t="s">
        <v>315</v>
      </c>
      <c r="D452" s="50" t="s">
        <v>1658</v>
      </c>
      <c r="E452" s="52"/>
      <c r="I452" s="50">
        <v>438</v>
      </c>
      <c r="J452" s="50" t="s">
        <v>98</v>
      </c>
      <c r="K452" s="50" t="s">
        <v>881</v>
      </c>
      <c r="L452" s="50" t="s">
        <v>111</v>
      </c>
      <c r="M452" s="50" t="s">
        <v>1453</v>
      </c>
      <c r="N452" s="50" t="s">
        <v>1660</v>
      </c>
    </row>
    <row r="453" spans="1:14" ht="12">
      <c r="A453" s="16">
        <v>452</v>
      </c>
      <c r="B453" s="50" t="s">
        <v>1661</v>
      </c>
      <c r="E453" s="52"/>
      <c r="K453" s="50" t="s">
        <v>1662</v>
      </c>
      <c r="L453" s="50" t="s">
        <v>111</v>
      </c>
      <c r="M453" s="50" t="s">
        <v>1453</v>
      </c>
      <c r="N453" s="50" t="s">
        <v>1644</v>
      </c>
    </row>
    <row r="454" spans="1:14" ht="12">
      <c r="A454" s="16">
        <v>453</v>
      </c>
      <c r="B454" s="50" t="s">
        <v>1663</v>
      </c>
      <c r="D454" s="50">
        <v>545</v>
      </c>
      <c r="E454" s="52"/>
      <c r="K454" s="50" t="s">
        <v>1664</v>
      </c>
      <c r="L454" s="50" t="s">
        <v>111</v>
      </c>
      <c r="M454" s="50" t="s">
        <v>1453</v>
      </c>
      <c r="N454" s="50" t="s">
        <v>1649</v>
      </c>
    </row>
    <row r="455" spans="1:14" ht="24">
      <c r="A455" s="16">
        <v>454</v>
      </c>
      <c r="B455" s="180" t="s">
        <v>1665</v>
      </c>
      <c r="C455" s="50" t="s">
        <v>315</v>
      </c>
      <c r="E455" s="52"/>
      <c r="I455" s="50">
        <v>120</v>
      </c>
      <c r="J455" s="50" t="s">
        <v>98</v>
      </c>
      <c r="K455" s="50" t="s">
        <v>881</v>
      </c>
      <c r="L455" s="50" t="s">
        <v>1666</v>
      </c>
      <c r="M455" s="50" t="s">
        <v>1453</v>
      </c>
      <c r="N455" s="50" t="s">
        <v>1667</v>
      </c>
    </row>
    <row r="456" spans="1:14" ht="24">
      <c r="A456" s="16">
        <v>455</v>
      </c>
      <c r="B456" s="180" t="s">
        <v>1668</v>
      </c>
      <c r="C456" s="50" t="s">
        <v>315</v>
      </c>
      <c r="E456" s="52"/>
      <c r="I456" s="50">
        <v>120</v>
      </c>
      <c r="J456" s="50" t="s">
        <v>98</v>
      </c>
      <c r="K456" s="50" t="s">
        <v>881</v>
      </c>
      <c r="L456" s="50" t="s">
        <v>1666</v>
      </c>
      <c r="M456" s="50" t="s">
        <v>1453</v>
      </c>
      <c r="N456" s="50" t="s">
        <v>1669</v>
      </c>
    </row>
    <row r="457" spans="1:14" ht="12">
      <c r="A457" s="16">
        <v>456</v>
      </c>
      <c r="B457" s="50" t="s">
        <v>1570</v>
      </c>
      <c r="C457" s="50" t="s">
        <v>137</v>
      </c>
      <c r="D457" s="50" t="s">
        <v>1658</v>
      </c>
      <c r="E457" s="52"/>
      <c r="I457" s="50">
        <v>412</v>
      </c>
      <c r="J457" s="50" t="s">
        <v>98</v>
      </c>
      <c r="K457" s="50" t="s">
        <v>881</v>
      </c>
      <c r="L457" s="50" t="s">
        <v>111</v>
      </c>
      <c r="M457" s="50" t="s">
        <v>1453</v>
      </c>
      <c r="N457" s="50" t="s">
        <v>1671</v>
      </c>
    </row>
    <row r="458" spans="1:14" ht="13">
      <c r="A458" s="16">
        <v>457</v>
      </c>
      <c r="B458" s="391" t="s">
        <v>1672</v>
      </c>
      <c r="C458" s="333" t="s">
        <v>137</v>
      </c>
      <c r="E458" s="52"/>
      <c r="I458" s="50">
        <v>93</v>
      </c>
      <c r="J458" s="50" t="s">
        <v>98</v>
      </c>
      <c r="K458" s="50" t="s">
        <v>881</v>
      </c>
      <c r="L458" s="50" t="s">
        <v>111</v>
      </c>
      <c r="M458" s="50" t="s">
        <v>1453</v>
      </c>
      <c r="N458" s="50" t="s">
        <v>1676</v>
      </c>
    </row>
    <row r="459" spans="1:14" ht="12">
      <c r="A459" s="16">
        <v>458</v>
      </c>
      <c r="B459" s="310" t="s">
        <v>1677</v>
      </c>
      <c r="C459" s="50" t="s">
        <v>137</v>
      </c>
      <c r="E459" s="52"/>
      <c r="I459" s="50">
        <v>409</v>
      </c>
      <c r="J459" s="50" t="s">
        <v>98</v>
      </c>
      <c r="K459" s="50" t="s">
        <v>881</v>
      </c>
      <c r="L459" s="50" t="s">
        <v>111</v>
      </c>
      <c r="M459" s="50" t="s">
        <v>1453</v>
      </c>
      <c r="N459" s="50" t="s">
        <v>1678</v>
      </c>
    </row>
    <row r="460" spans="1:14" ht="12">
      <c r="A460" s="16">
        <v>459</v>
      </c>
      <c r="B460" s="50" t="s">
        <v>1679</v>
      </c>
      <c r="D460" s="50" t="s">
        <v>1680</v>
      </c>
      <c r="E460" s="52"/>
      <c r="I460" s="54" t="s">
        <v>1681</v>
      </c>
      <c r="K460" s="50" t="s">
        <v>1682</v>
      </c>
      <c r="L460" s="50" t="s">
        <v>1683</v>
      </c>
      <c r="M460" s="50" t="s">
        <v>1453</v>
      </c>
      <c r="N460" s="50" t="s">
        <v>1684</v>
      </c>
    </row>
    <row r="461" spans="1:14" ht="24">
      <c r="A461" s="283">
        <v>460</v>
      </c>
      <c r="B461" s="393" t="s">
        <v>874</v>
      </c>
      <c r="C461" s="285" t="s">
        <v>315</v>
      </c>
      <c r="D461" s="395" t="s">
        <v>1685</v>
      </c>
      <c r="E461" s="287"/>
      <c r="F461" s="287"/>
      <c r="G461" s="287"/>
      <c r="H461" s="287"/>
      <c r="I461" s="285">
        <v>120</v>
      </c>
      <c r="J461" s="285" t="s">
        <v>98</v>
      </c>
      <c r="K461" s="285" t="s">
        <v>881</v>
      </c>
      <c r="L461" s="285" t="s">
        <v>111</v>
      </c>
      <c r="M461" s="285" t="s">
        <v>796</v>
      </c>
      <c r="N461" s="285" t="s">
        <v>1686</v>
      </c>
    </row>
    <row r="462" spans="1:14" ht="24">
      <c r="A462" s="16">
        <v>461</v>
      </c>
      <c r="B462" s="180" t="s">
        <v>1687</v>
      </c>
      <c r="C462" s="50" t="s">
        <v>315</v>
      </c>
      <c r="E462" s="52"/>
      <c r="I462" s="50">
        <v>120</v>
      </c>
      <c r="J462" s="50" t="s">
        <v>98</v>
      </c>
      <c r="K462" s="50" t="s">
        <v>881</v>
      </c>
      <c r="L462" s="50" t="s">
        <v>1666</v>
      </c>
      <c r="M462" s="50" t="s">
        <v>796</v>
      </c>
      <c r="N462" s="50" t="s">
        <v>1690</v>
      </c>
    </row>
    <row r="463" spans="1:14" ht="24">
      <c r="A463" s="16">
        <v>462</v>
      </c>
      <c r="B463" s="180" t="s">
        <v>1691</v>
      </c>
      <c r="C463" s="50" t="s">
        <v>315</v>
      </c>
      <c r="E463" s="52"/>
      <c r="I463" s="50">
        <v>120</v>
      </c>
      <c r="J463" s="50" t="s">
        <v>98</v>
      </c>
      <c r="K463" s="50" t="s">
        <v>881</v>
      </c>
      <c r="L463" s="50" t="s">
        <v>1666</v>
      </c>
      <c r="M463" s="50" t="s">
        <v>796</v>
      </c>
      <c r="N463" s="50" t="s">
        <v>1693</v>
      </c>
    </row>
    <row r="464" spans="1:14" ht="24">
      <c r="A464" s="16">
        <v>463</v>
      </c>
      <c r="B464" s="180" t="s">
        <v>1694</v>
      </c>
      <c r="C464" s="50" t="s">
        <v>315</v>
      </c>
      <c r="E464" s="52"/>
      <c r="I464" s="50">
        <v>120</v>
      </c>
      <c r="J464" s="50" t="s">
        <v>98</v>
      </c>
      <c r="K464" s="50" t="s">
        <v>881</v>
      </c>
      <c r="L464" s="50" t="s">
        <v>1666</v>
      </c>
      <c r="M464" s="50" t="s">
        <v>796</v>
      </c>
      <c r="N464" s="50" t="s">
        <v>1695</v>
      </c>
    </row>
    <row r="465" spans="1:14" ht="12">
      <c r="A465" s="16">
        <v>464</v>
      </c>
      <c r="B465" s="50" t="s">
        <v>1696</v>
      </c>
      <c r="D465" s="50" t="s">
        <v>1697</v>
      </c>
      <c r="E465" s="52"/>
      <c r="I465" s="50">
        <v>459</v>
      </c>
      <c r="J465" s="50" t="s">
        <v>1698</v>
      </c>
      <c r="K465" s="50" t="s">
        <v>1549</v>
      </c>
      <c r="L465" s="50" t="s">
        <v>1683</v>
      </c>
      <c r="M465" s="50" t="s">
        <v>1453</v>
      </c>
      <c r="N465" s="50" t="s">
        <v>1699</v>
      </c>
    </row>
    <row r="466" spans="1:14" ht="12">
      <c r="A466" s="16">
        <v>465</v>
      </c>
      <c r="B466" s="50" t="s">
        <v>1700</v>
      </c>
      <c r="C466" s="50" t="s">
        <v>137</v>
      </c>
      <c r="E466" s="52"/>
      <c r="K466" s="50" t="s">
        <v>1701</v>
      </c>
      <c r="M466" s="50" t="s">
        <v>1092</v>
      </c>
    </row>
    <row r="467" spans="1:14" ht="12">
      <c r="A467" s="16">
        <v>466</v>
      </c>
      <c r="B467" s="50" t="s">
        <v>1702</v>
      </c>
      <c r="E467" s="52"/>
      <c r="K467" s="50" t="s">
        <v>1703</v>
      </c>
      <c r="M467" s="50" t="s">
        <v>1453</v>
      </c>
    </row>
    <row r="468" spans="1:14" ht="12">
      <c r="A468" s="16">
        <v>467</v>
      </c>
      <c r="B468" s="50" t="s">
        <v>1704</v>
      </c>
      <c r="E468" s="52"/>
      <c r="I468" s="50">
        <v>408</v>
      </c>
      <c r="K468" s="50" t="s">
        <v>1703</v>
      </c>
      <c r="L468" s="50" t="s">
        <v>111</v>
      </c>
      <c r="M468" s="50" t="s">
        <v>1092</v>
      </c>
    </row>
    <row r="469" spans="1:14" ht="12">
      <c r="A469" s="16">
        <v>468</v>
      </c>
      <c r="B469" s="50" t="s">
        <v>1705</v>
      </c>
      <c r="E469" s="52"/>
      <c r="I469" s="50">
        <v>409</v>
      </c>
      <c r="K469" s="50" t="s">
        <v>1703</v>
      </c>
      <c r="L469" s="50" t="s">
        <v>111</v>
      </c>
      <c r="M469" s="50" t="s">
        <v>1453</v>
      </c>
    </row>
    <row r="470" spans="1:14" ht="12">
      <c r="A470" s="16">
        <v>469</v>
      </c>
      <c r="B470" s="50" t="s">
        <v>1706</v>
      </c>
      <c r="E470" s="52"/>
      <c r="K470" s="50" t="s">
        <v>1703</v>
      </c>
      <c r="M470" s="50" t="s">
        <v>1453</v>
      </c>
    </row>
    <row r="471" spans="1:14" ht="12">
      <c r="A471" s="16">
        <v>470</v>
      </c>
      <c r="B471" s="50" t="s">
        <v>1707</v>
      </c>
      <c r="E471" s="52"/>
      <c r="I471" s="50">
        <v>408</v>
      </c>
      <c r="K471" s="50" t="s">
        <v>1703</v>
      </c>
      <c r="L471" s="50" t="s">
        <v>111</v>
      </c>
      <c r="M471" s="50" t="s">
        <v>796</v>
      </c>
    </row>
    <row r="472" spans="1:14" ht="12">
      <c r="A472" s="16">
        <v>471</v>
      </c>
      <c r="B472" s="50" t="s">
        <v>1708</v>
      </c>
      <c r="E472" s="52"/>
      <c r="I472" s="50">
        <v>409</v>
      </c>
      <c r="K472" s="50" t="s">
        <v>1703</v>
      </c>
      <c r="L472" s="50" t="s">
        <v>111</v>
      </c>
      <c r="M472" s="50" t="s">
        <v>1453</v>
      </c>
    </row>
    <row r="473" spans="1:14" ht="12">
      <c r="A473" s="16">
        <v>472</v>
      </c>
      <c r="B473" s="50" t="s">
        <v>981</v>
      </c>
      <c r="C473" s="50" t="s">
        <v>137</v>
      </c>
      <c r="D473" s="50" t="s">
        <v>1709</v>
      </c>
      <c r="E473" s="52"/>
      <c r="I473" s="50">
        <v>290</v>
      </c>
      <c r="J473" s="50" t="s">
        <v>98</v>
      </c>
      <c r="K473" s="50" t="s">
        <v>881</v>
      </c>
      <c r="L473" s="50" t="s">
        <v>111</v>
      </c>
      <c r="M473" s="50" t="s">
        <v>1453</v>
      </c>
      <c r="N473" s="50" t="s">
        <v>1710</v>
      </c>
    </row>
    <row r="474" spans="1:14" ht="24">
      <c r="A474" s="16">
        <v>473</v>
      </c>
      <c r="B474" s="50" t="s">
        <v>1711</v>
      </c>
      <c r="D474" s="50" t="s">
        <v>1712</v>
      </c>
      <c r="E474" s="52"/>
      <c r="I474" s="50">
        <v>459</v>
      </c>
      <c r="J474" s="50" t="s">
        <v>1713</v>
      </c>
      <c r="K474" s="50" t="s">
        <v>1549</v>
      </c>
      <c r="L474" s="50" t="s">
        <v>1683</v>
      </c>
      <c r="M474" s="50" t="s">
        <v>1453</v>
      </c>
      <c r="N474" s="50" t="s">
        <v>1714</v>
      </c>
    </row>
    <row r="475" spans="1:14" ht="12">
      <c r="A475" s="16">
        <v>474</v>
      </c>
      <c r="B475" s="50" t="s">
        <v>1715</v>
      </c>
      <c r="E475" s="52"/>
      <c r="I475" s="50">
        <v>122</v>
      </c>
      <c r="J475" s="50" t="s">
        <v>1716</v>
      </c>
      <c r="K475" s="50" t="s">
        <v>1268</v>
      </c>
      <c r="L475" s="50" t="s">
        <v>1717</v>
      </c>
      <c r="M475" s="50" t="s">
        <v>1453</v>
      </c>
    </row>
    <row r="476" spans="1:14" ht="12">
      <c r="A476" s="16">
        <v>475</v>
      </c>
      <c r="B476" s="50" t="s">
        <v>1718</v>
      </c>
      <c r="E476" s="52"/>
      <c r="K476" s="50" t="s">
        <v>1268</v>
      </c>
      <c r="M476" s="50" t="s">
        <v>1453</v>
      </c>
    </row>
    <row r="477" spans="1:14" ht="24">
      <c r="A477" s="16">
        <v>476</v>
      </c>
      <c r="B477" s="50" t="s">
        <v>1719</v>
      </c>
      <c r="E477" s="52"/>
      <c r="K477" s="50" t="s">
        <v>1268</v>
      </c>
      <c r="L477" s="50" t="s">
        <v>1720</v>
      </c>
      <c r="M477" s="50" t="s">
        <v>1453</v>
      </c>
    </row>
    <row r="478" spans="1:14" ht="24">
      <c r="A478" s="16">
        <v>477</v>
      </c>
      <c r="B478" s="50" t="s">
        <v>1721</v>
      </c>
      <c r="C478" s="50" t="s">
        <v>315</v>
      </c>
      <c r="E478" s="52"/>
      <c r="I478" s="50">
        <v>120</v>
      </c>
      <c r="J478" s="50" t="s">
        <v>98</v>
      </c>
      <c r="K478" s="50" t="s">
        <v>881</v>
      </c>
      <c r="L478" s="50" t="s">
        <v>1666</v>
      </c>
      <c r="N478" s="50" t="s">
        <v>1722</v>
      </c>
    </row>
    <row r="479" spans="1:14" ht="12">
      <c r="A479" s="16">
        <v>478</v>
      </c>
      <c r="B479" s="50" t="s">
        <v>976</v>
      </c>
      <c r="C479" s="50" t="s">
        <v>477</v>
      </c>
      <c r="E479" s="52"/>
      <c r="I479" s="50">
        <v>234</v>
      </c>
      <c r="J479" s="50" t="s">
        <v>98</v>
      </c>
      <c r="K479" s="50" t="s">
        <v>881</v>
      </c>
      <c r="L479" s="50" t="s">
        <v>111</v>
      </c>
      <c r="N479" s="50" t="s">
        <v>1723</v>
      </c>
    </row>
    <row r="480" spans="1:14" ht="12">
      <c r="A480" s="16">
        <v>479</v>
      </c>
      <c r="B480" s="50" t="s">
        <v>989</v>
      </c>
      <c r="C480" s="50" t="s">
        <v>137</v>
      </c>
      <c r="D480" s="50" t="s">
        <v>1724</v>
      </c>
      <c r="E480" s="52"/>
      <c r="I480" s="50" t="s">
        <v>983</v>
      </c>
      <c r="J480" s="50" t="s">
        <v>98</v>
      </c>
      <c r="K480" s="50" t="s">
        <v>881</v>
      </c>
      <c r="L480" s="50" t="s">
        <v>111</v>
      </c>
      <c r="M480" s="50" t="s">
        <v>1092</v>
      </c>
      <c r="N480" s="50" t="s">
        <v>1725</v>
      </c>
    </row>
    <row r="481" spans="1:14" ht="12">
      <c r="A481" s="16">
        <v>480</v>
      </c>
      <c r="B481" s="50" t="s">
        <v>992</v>
      </c>
      <c r="C481" s="50" t="s">
        <v>137</v>
      </c>
      <c r="D481" s="50" t="s">
        <v>1728</v>
      </c>
      <c r="E481" s="52"/>
      <c r="I481" s="50" t="s">
        <v>983</v>
      </c>
      <c r="J481" s="50" t="s">
        <v>98</v>
      </c>
      <c r="K481" s="50" t="s">
        <v>881</v>
      </c>
      <c r="L481" s="50" t="s">
        <v>111</v>
      </c>
      <c r="M481" s="50" t="s">
        <v>1092</v>
      </c>
      <c r="N481" s="50" t="s">
        <v>1729</v>
      </c>
    </row>
    <row r="482" spans="1:14" ht="12">
      <c r="A482" s="16">
        <v>481</v>
      </c>
      <c r="B482" s="50" t="s">
        <v>994</v>
      </c>
      <c r="C482" s="50" t="s">
        <v>137</v>
      </c>
      <c r="E482" s="52"/>
      <c r="I482" s="50" t="s">
        <v>983</v>
      </c>
      <c r="J482" s="50" t="s">
        <v>98</v>
      </c>
      <c r="K482" s="50" t="s">
        <v>881</v>
      </c>
      <c r="L482" s="50" t="s">
        <v>111</v>
      </c>
      <c r="M482" s="50" t="s">
        <v>1092</v>
      </c>
      <c r="N482" s="50" t="s">
        <v>1732</v>
      </c>
    </row>
    <row r="483" spans="1:14" ht="12">
      <c r="A483" s="16">
        <v>482</v>
      </c>
      <c r="B483" s="50" t="s">
        <v>1733</v>
      </c>
      <c r="C483" s="50" t="s">
        <v>315</v>
      </c>
      <c r="E483" s="52"/>
      <c r="I483" s="412" t="s">
        <v>635</v>
      </c>
      <c r="K483" s="50" t="s">
        <v>1735</v>
      </c>
      <c r="M483" s="50" t="s">
        <v>1453</v>
      </c>
      <c r="N483" s="50" t="s">
        <v>1736</v>
      </c>
    </row>
    <row r="484" spans="1:14" ht="12">
      <c r="A484" s="16">
        <v>483</v>
      </c>
      <c r="B484" s="50" t="s">
        <v>1737</v>
      </c>
      <c r="C484" s="50" t="s">
        <v>315</v>
      </c>
      <c r="E484" s="52"/>
      <c r="I484" s="50">
        <v>417</v>
      </c>
      <c r="K484" s="50" t="s">
        <v>1268</v>
      </c>
      <c r="M484" s="50" t="s">
        <v>1453</v>
      </c>
    </row>
    <row r="485" spans="1:14" ht="12">
      <c r="A485" s="16">
        <v>484</v>
      </c>
      <c r="B485" s="50" t="s">
        <v>1739</v>
      </c>
      <c r="C485" s="50" t="s">
        <v>315</v>
      </c>
      <c r="E485" s="52"/>
      <c r="I485" s="50">
        <v>389</v>
      </c>
      <c r="K485" s="50" t="s">
        <v>1268</v>
      </c>
      <c r="M485" s="50" t="s">
        <v>1453</v>
      </c>
    </row>
    <row r="486" spans="1:14" ht="12">
      <c r="A486" s="16">
        <v>485</v>
      </c>
      <c r="B486" s="50" t="s">
        <v>1740</v>
      </c>
      <c r="C486" s="50" t="s">
        <v>315</v>
      </c>
      <c r="E486" s="52"/>
      <c r="I486" s="50">
        <v>417</v>
      </c>
      <c r="K486" s="50" t="s">
        <v>1268</v>
      </c>
      <c r="M486" s="50" t="s">
        <v>1453</v>
      </c>
    </row>
    <row r="487" spans="1:14" ht="12">
      <c r="A487" s="16">
        <v>486</v>
      </c>
      <c r="B487" s="50" t="s">
        <v>1741</v>
      </c>
      <c r="C487" s="50" t="s">
        <v>315</v>
      </c>
      <c r="E487" s="52"/>
      <c r="I487" s="50">
        <v>389</v>
      </c>
      <c r="K487" s="50" t="s">
        <v>1268</v>
      </c>
      <c r="M487" s="50" t="s">
        <v>1453</v>
      </c>
    </row>
    <row r="488" spans="1:14" ht="12">
      <c r="A488" s="16">
        <v>487</v>
      </c>
      <c r="B488" s="50" t="s">
        <v>996</v>
      </c>
      <c r="C488" s="50" t="s">
        <v>137</v>
      </c>
      <c r="D488" s="50" t="s">
        <v>1742</v>
      </c>
      <c r="E488" s="52"/>
      <c r="I488" s="50">
        <v>290</v>
      </c>
      <c r="J488" s="50" t="s">
        <v>98</v>
      </c>
      <c r="K488" s="50" t="s">
        <v>881</v>
      </c>
      <c r="L488" s="50" t="s">
        <v>111</v>
      </c>
      <c r="M488" s="50" t="s">
        <v>1092</v>
      </c>
      <c r="N488" s="50" t="s">
        <v>1743</v>
      </c>
    </row>
    <row r="489" spans="1:14" ht="24">
      <c r="A489" s="16">
        <v>488</v>
      </c>
      <c r="B489" s="50" t="s">
        <v>1744</v>
      </c>
      <c r="C489" s="50" t="s">
        <v>315</v>
      </c>
      <c r="E489" s="52"/>
      <c r="I489" s="50">
        <v>120</v>
      </c>
      <c r="J489" s="50" t="s">
        <v>98</v>
      </c>
      <c r="K489" s="50" t="s">
        <v>881</v>
      </c>
      <c r="L489" s="50" t="s">
        <v>1666</v>
      </c>
      <c r="N489" s="50" t="s">
        <v>1747</v>
      </c>
    </row>
    <row r="490" spans="1:14" ht="24">
      <c r="A490" s="16">
        <v>489</v>
      </c>
      <c r="B490" s="50" t="s">
        <v>1749</v>
      </c>
      <c r="E490" s="52"/>
      <c r="I490" s="50">
        <v>464</v>
      </c>
      <c r="J490" s="50" t="s">
        <v>1751</v>
      </c>
      <c r="K490" s="50" t="s">
        <v>1549</v>
      </c>
      <c r="L490" s="50" t="s">
        <v>1683</v>
      </c>
      <c r="M490" s="50" t="s">
        <v>1753</v>
      </c>
      <c r="N490" s="50" t="s">
        <v>1754</v>
      </c>
    </row>
    <row r="491" spans="1:14" ht="12">
      <c r="A491" s="16">
        <v>490</v>
      </c>
      <c r="B491" s="50" t="s">
        <v>1755</v>
      </c>
      <c r="D491" s="50" t="s">
        <v>1756</v>
      </c>
      <c r="E491" s="52"/>
      <c r="K491" s="50" t="s">
        <v>1757</v>
      </c>
      <c r="M491" s="50" t="s">
        <v>1092</v>
      </c>
    </row>
    <row r="492" spans="1:14" ht="12">
      <c r="A492" s="16">
        <v>491</v>
      </c>
      <c r="B492" s="50" t="s">
        <v>1760</v>
      </c>
      <c r="D492" s="50" t="s">
        <v>1761</v>
      </c>
      <c r="E492" s="52"/>
      <c r="K492" s="50" t="s">
        <v>1757</v>
      </c>
      <c r="M492" s="50" t="s">
        <v>1092</v>
      </c>
    </row>
    <row r="493" spans="1:14" ht="12">
      <c r="A493" s="16">
        <v>492</v>
      </c>
      <c r="B493" s="50" t="s">
        <v>1763</v>
      </c>
      <c r="D493" s="50">
        <v>20949</v>
      </c>
      <c r="E493" s="52"/>
      <c r="K493" s="50" t="s">
        <v>1757</v>
      </c>
      <c r="M493" s="50" t="s">
        <v>1092</v>
      </c>
      <c r="N493" s="50" t="s">
        <v>1765</v>
      </c>
    </row>
    <row r="494" spans="1:14" ht="24">
      <c r="A494" s="16">
        <v>493</v>
      </c>
      <c r="B494" s="50" t="s">
        <v>1768</v>
      </c>
      <c r="D494" s="50" t="s">
        <v>1769</v>
      </c>
      <c r="E494" s="52"/>
      <c r="I494" s="50" t="s">
        <v>1770</v>
      </c>
      <c r="J494" s="50" t="s">
        <v>1751</v>
      </c>
      <c r="K494" s="50" t="s">
        <v>1549</v>
      </c>
      <c r="L494" s="50" t="s">
        <v>1683</v>
      </c>
      <c r="M494" s="50" t="s">
        <v>1092</v>
      </c>
    </row>
    <row r="495" spans="1:14" ht="12">
      <c r="A495" s="16">
        <v>494</v>
      </c>
      <c r="B495" s="50" t="s">
        <v>1772</v>
      </c>
      <c r="E495" s="52"/>
      <c r="I495" s="50" t="s">
        <v>1773</v>
      </c>
      <c r="K495" s="50" t="s">
        <v>1549</v>
      </c>
      <c r="L495" s="50" t="s">
        <v>1683</v>
      </c>
      <c r="M495" s="50" t="s">
        <v>1092</v>
      </c>
    </row>
    <row r="496" spans="1:14" ht="12">
      <c r="A496" s="16">
        <v>495</v>
      </c>
      <c r="B496" s="50" t="s">
        <v>1774</v>
      </c>
      <c r="E496" s="52"/>
      <c r="I496" s="50" t="s">
        <v>1775</v>
      </c>
      <c r="J496" s="50" t="s">
        <v>1751</v>
      </c>
      <c r="K496" s="50" t="s">
        <v>1549</v>
      </c>
      <c r="L496" s="50" t="s">
        <v>1683</v>
      </c>
      <c r="M496" s="50" t="s">
        <v>1092</v>
      </c>
    </row>
    <row r="497" spans="1:14" ht="12">
      <c r="A497" s="16">
        <v>496</v>
      </c>
      <c r="B497" s="50" t="s">
        <v>1776</v>
      </c>
      <c r="E497" s="52"/>
      <c r="I497" s="50" t="s">
        <v>1777</v>
      </c>
      <c r="J497" s="50" t="s">
        <v>1751</v>
      </c>
      <c r="K497" s="50" t="s">
        <v>1549</v>
      </c>
      <c r="L497" s="50" t="s">
        <v>1683</v>
      </c>
      <c r="M497" s="50" t="s">
        <v>1092</v>
      </c>
    </row>
    <row r="498" spans="1:14" ht="12">
      <c r="A498" s="16">
        <v>497</v>
      </c>
      <c r="B498" s="50" t="s">
        <v>1778</v>
      </c>
      <c r="E498" s="52"/>
      <c r="I498" s="50" t="s">
        <v>1779</v>
      </c>
      <c r="J498" s="50" t="s">
        <v>1751</v>
      </c>
      <c r="K498" s="50" t="s">
        <v>1549</v>
      </c>
      <c r="L498" s="50" t="s">
        <v>1683</v>
      </c>
      <c r="M498" s="50" t="s">
        <v>1092</v>
      </c>
    </row>
    <row r="499" spans="1:14" ht="12">
      <c r="A499" s="16">
        <v>498</v>
      </c>
      <c r="B499" s="50" t="s">
        <v>1780</v>
      </c>
      <c r="E499" s="52"/>
      <c r="I499" s="50">
        <v>473</v>
      </c>
      <c r="J499" s="50" t="s">
        <v>1751</v>
      </c>
      <c r="K499" s="50" t="s">
        <v>1549</v>
      </c>
      <c r="L499" s="50" t="s">
        <v>1683</v>
      </c>
      <c r="M499" s="50" t="s">
        <v>1092</v>
      </c>
    </row>
    <row r="500" spans="1:14" ht="24">
      <c r="A500" s="16">
        <v>499</v>
      </c>
      <c r="B500" s="50" t="s">
        <v>1781</v>
      </c>
      <c r="D500" s="50" t="s">
        <v>1782</v>
      </c>
      <c r="E500" s="52"/>
      <c r="I500" s="50">
        <v>489</v>
      </c>
      <c r="J500" s="50" t="s">
        <v>1783</v>
      </c>
      <c r="K500" s="50" t="s">
        <v>1549</v>
      </c>
      <c r="L500" s="50" t="s">
        <v>1683</v>
      </c>
      <c r="M500" s="50" t="s">
        <v>1092</v>
      </c>
      <c r="N500" s="50" t="s">
        <v>1785</v>
      </c>
    </row>
    <row r="501" spans="1:14" ht="12">
      <c r="A501" s="16">
        <v>500</v>
      </c>
      <c r="B501" s="50" t="s">
        <v>1013</v>
      </c>
      <c r="C501" s="50" t="s">
        <v>137</v>
      </c>
      <c r="E501" s="52"/>
      <c r="I501" s="50">
        <v>93</v>
      </c>
      <c r="J501" s="50" t="s">
        <v>1751</v>
      </c>
      <c r="K501" s="50" t="s">
        <v>881</v>
      </c>
      <c r="L501" s="50" t="s">
        <v>111</v>
      </c>
      <c r="N501" s="50" t="s">
        <v>1787</v>
      </c>
    </row>
    <row r="502" spans="1:14" ht="12">
      <c r="A502" s="16">
        <v>501</v>
      </c>
      <c r="B502" s="50" t="s">
        <v>1015</v>
      </c>
      <c r="C502" s="50" t="s">
        <v>137</v>
      </c>
      <c r="E502" s="52"/>
      <c r="I502" s="50">
        <v>93</v>
      </c>
      <c r="J502" s="50" t="s">
        <v>1751</v>
      </c>
      <c r="K502" s="50" t="s">
        <v>881</v>
      </c>
      <c r="L502" s="50" t="s">
        <v>111</v>
      </c>
      <c r="N502" s="50" t="s">
        <v>1789</v>
      </c>
    </row>
    <row r="503" spans="1:14" ht="12">
      <c r="A503" s="16">
        <v>502</v>
      </c>
      <c r="B503" s="50" t="s">
        <v>1017</v>
      </c>
      <c r="C503" s="50" t="s">
        <v>137</v>
      </c>
      <c r="E503" s="52"/>
      <c r="I503" s="50">
        <v>364</v>
      </c>
      <c r="J503" s="50" t="s">
        <v>1751</v>
      </c>
      <c r="K503" s="50" t="s">
        <v>881</v>
      </c>
      <c r="L503" s="50" t="s">
        <v>111</v>
      </c>
      <c r="N503" s="50" t="s">
        <v>1790</v>
      </c>
    </row>
    <row r="504" spans="1:14" ht="12">
      <c r="A504" s="16">
        <v>503</v>
      </c>
      <c r="B504" s="50" t="s">
        <v>1791</v>
      </c>
      <c r="D504" s="50" t="s">
        <v>1792</v>
      </c>
      <c r="E504" s="52"/>
      <c r="K504" s="50" t="s">
        <v>1268</v>
      </c>
    </row>
    <row r="505" spans="1:14" ht="12">
      <c r="A505" s="16">
        <v>504</v>
      </c>
      <c r="B505" s="50" t="s">
        <v>1793</v>
      </c>
      <c r="D505" s="50" t="s">
        <v>1794</v>
      </c>
      <c r="E505" s="52"/>
      <c r="K505" s="50" t="s">
        <v>1268</v>
      </c>
    </row>
    <row r="506" spans="1:14" ht="12">
      <c r="A506" s="16">
        <v>505</v>
      </c>
      <c r="B506" s="50" t="s">
        <v>1795</v>
      </c>
      <c r="D506" s="50" t="s">
        <v>1796</v>
      </c>
      <c r="E506" s="52"/>
      <c r="K506" s="50" t="s">
        <v>1268</v>
      </c>
    </row>
    <row r="507" spans="1:14" ht="12">
      <c r="A507" s="16">
        <v>506</v>
      </c>
      <c r="B507" s="50" t="s">
        <v>1798</v>
      </c>
      <c r="D507" s="50" t="s">
        <v>1799</v>
      </c>
      <c r="E507" s="52"/>
      <c r="K507" s="50" t="s">
        <v>1268</v>
      </c>
    </row>
    <row r="508" spans="1:14" ht="12">
      <c r="A508" s="16">
        <v>507</v>
      </c>
      <c r="B508" s="50" t="s">
        <v>1801</v>
      </c>
      <c r="D508" s="50" t="s">
        <v>1802</v>
      </c>
      <c r="E508" s="52"/>
      <c r="K508" s="50" t="s">
        <v>1268</v>
      </c>
    </row>
    <row r="509" spans="1:14" ht="12">
      <c r="A509" s="16">
        <v>508</v>
      </c>
      <c r="B509" s="50" t="s">
        <v>1019</v>
      </c>
      <c r="C509" s="50" t="s">
        <v>137</v>
      </c>
      <c r="E509" s="52"/>
      <c r="I509" s="50">
        <v>457</v>
      </c>
      <c r="J509" s="50" t="s">
        <v>1751</v>
      </c>
      <c r="K509" s="50" t="s">
        <v>881</v>
      </c>
      <c r="L509" s="50" t="s">
        <v>111</v>
      </c>
      <c r="N509" s="50" t="s">
        <v>1803</v>
      </c>
    </row>
    <row r="510" spans="1:14" ht="12">
      <c r="A510" s="16">
        <v>509</v>
      </c>
      <c r="B510" s="50" t="s">
        <v>877</v>
      </c>
      <c r="C510" s="50" t="s">
        <v>315</v>
      </c>
      <c r="D510" s="50" t="s">
        <v>1804</v>
      </c>
      <c r="E510" s="52"/>
      <c r="I510" s="50">
        <v>120</v>
      </c>
      <c r="J510" s="50" t="s">
        <v>1751</v>
      </c>
      <c r="K510" s="50" t="s">
        <v>881</v>
      </c>
      <c r="L510" s="50" t="s">
        <v>111</v>
      </c>
      <c r="N510" s="50" t="s">
        <v>1805</v>
      </c>
    </row>
    <row r="511" spans="1:14" ht="12">
      <c r="A511" s="16">
        <v>510</v>
      </c>
      <c r="B511" s="50" t="s">
        <v>1806</v>
      </c>
      <c r="C511" s="50" t="s">
        <v>315</v>
      </c>
      <c r="E511" s="52"/>
      <c r="I511" s="50">
        <v>120</v>
      </c>
      <c r="J511" s="50" t="s">
        <v>1751</v>
      </c>
      <c r="K511" s="50" t="s">
        <v>881</v>
      </c>
      <c r="L511" s="50" t="s">
        <v>111</v>
      </c>
      <c r="N511" s="50" t="s">
        <v>1808</v>
      </c>
    </row>
    <row r="512" spans="1:14" ht="12">
      <c r="A512" s="16">
        <v>511</v>
      </c>
      <c r="B512" s="54" t="s">
        <v>1811</v>
      </c>
      <c r="D512" s="50" t="s">
        <v>1812</v>
      </c>
      <c r="E512" s="52"/>
      <c r="N512" s="50" t="s">
        <v>1813</v>
      </c>
    </row>
    <row r="513" spans="1:14" ht="12">
      <c r="A513" s="16">
        <v>512</v>
      </c>
      <c r="B513" s="54" t="s">
        <v>1814</v>
      </c>
      <c r="D513" s="50" t="s">
        <v>1815</v>
      </c>
      <c r="E513" s="52"/>
      <c r="N513" s="50" t="s">
        <v>1816</v>
      </c>
    </row>
    <row r="514" spans="1:14" ht="13">
      <c r="A514" s="16">
        <v>513</v>
      </c>
      <c r="B514" s="425" t="s">
        <v>891</v>
      </c>
      <c r="C514" s="333" t="s">
        <v>315</v>
      </c>
      <c r="E514" s="52"/>
      <c r="I514" s="50">
        <v>120</v>
      </c>
      <c r="J514" s="50" t="s">
        <v>1751</v>
      </c>
      <c r="K514" s="50" t="s">
        <v>158</v>
      </c>
      <c r="L514" s="50" t="s">
        <v>111</v>
      </c>
      <c r="N514" s="50" t="s">
        <v>1822</v>
      </c>
    </row>
    <row r="515" spans="1:14" ht="12">
      <c r="A515" s="16">
        <v>514</v>
      </c>
      <c r="B515" s="54" t="s">
        <v>1823</v>
      </c>
      <c r="C515" s="50" t="s">
        <v>315</v>
      </c>
      <c r="E515" s="52"/>
      <c r="I515" s="50">
        <v>120</v>
      </c>
      <c r="J515" s="50" t="s">
        <v>1751</v>
      </c>
      <c r="K515" s="50" t="s">
        <v>158</v>
      </c>
      <c r="L515" s="50" t="s">
        <v>111</v>
      </c>
      <c r="N515" s="50" t="s">
        <v>1824</v>
      </c>
    </row>
    <row r="516" spans="1:14" ht="24">
      <c r="A516" s="16">
        <v>515</v>
      </c>
      <c r="B516" s="50" t="s">
        <v>1022</v>
      </c>
      <c r="C516" s="50" t="s">
        <v>137</v>
      </c>
      <c r="D516" s="50" t="s">
        <v>1825</v>
      </c>
      <c r="E516" s="52"/>
      <c r="I516" s="50">
        <v>487</v>
      </c>
      <c r="J516" s="50" t="s">
        <v>1751</v>
      </c>
      <c r="K516" s="50" t="s">
        <v>1826</v>
      </c>
      <c r="L516" s="50" t="s">
        <v>111</v>
      </c>
      <c r="M516" s="50" t="s">
        <v>1092</v>
      </c>
      <c r="N516" s="50" t="s">
        <v>1827</v>
      </c>
    </row>
    <row r="517" spans="1:14" ht="12">
      <c r="A517" s="16">
        <v>516</v>
      </c>
      <c r="B517" s="50" t="s">
        <v>1828</v>
      </c>
      <c r="E517" s="52"/>
      <c r="I517" s="50">
        <v>195</v>
      </c>
      <c r="J517" s="50" t="s">
        <v>1751</v>
      </c>
      <c r="K517" s="50" t="s">
        <v>707</v>
      </c>
      <c r="L517" s="50" t="s">
        <v>129</v>
      </c>
      <c r="M517" s="50" t="s">
        <v>1092</v>
      </c>
      <c r="N517" s="50" t="s">
        <v>1829</v>
      </c>
    </row>
    <row r="518" spans="1:14" ht="24">
      <c r="A518" s="16">
        <v>517</v>
      </c>
      <c r="B518" s="50" t="s">
        <v>1830</v>
      </c>
      <c r="C518" s="50" t="s">
        <v>315</v>
      </c>
      <c r="E518" s="52"/>
      <c r="I518" s="50">
        <v>338</v>
      </c>
      <c r="J518" s="50" t="s">
        <v>1751</v>
      </c>
      <c r="K518" s="50" t="s">
        <v>1826</v>
      </c>
      <c r="L518" s="50" t="s">
        <v>111</v>
      </c>
      <c r="M518" s="50" t="s">
        <v>1092</v>
      </c>
      <c r="N518" s="50" t="s">
        <v>1832</v>
      </c>
    </row>
    <row r="519" spans="1:14" ht="24">
      <c r="A519" s="16">
        <v>518</v>
      </c>
      <c r="B519" s="50" t="s">
        <v>1034</v>
      </c>
      <c r="C519" s="50" t="s">
        <v>137</v>
      </c>
      <c r="I519" s="50">
        <v>360</v>
      </c>
      <c r="J519" s="50" t="s">
        <v>1751</v>
      </c>
      <c r="K519" s="50" t="s">
        <v>1826</v>
      </c>
      <c r="L519" s="50" t="s">
        <v>111</v>
      </c>
      <c r="M519" s="50" t="s">
        <v>1092</v>
      </c>
      <c r="N519" s="50" t="s">
        <v>1836</v>
      </c>
    </row>
    <row r="520" spans="1:14" ht="12">
      <c r="A520" s="16">
        <v>519</v>
      </c>
      <c r="B520" s="50" t="s">
        <v>1837</v>
      </c>
      <c r="E520" s="52"/>
      <c r="K520" s="50" t="s">
        <v>1838</v>
      </c>
      <c r="L520" s="50" t="s">
        <v>111</v>
      </c>
      <c r="N520" s="50" t="s">
        <v>1839</v>
      </c>
    </row>
    <row r="521" spans="1:14" ht="12">
      <c r="A521" s="16">
        <v>520</v>
      </c>
      <c r="B521" s="50" t="s">
        <v>1841</v>
      </c>
      <c r="E521" s="52"/>
      <c r="K521" s="50" t="s">
        <v>1838</v>
      </c>
      <c r="L521" s="50" t="s">
        <v>111</v>
      </c>
    </row>
    <row r="522" spans="1:14" ht="12">
      <c r="A522" s="16">
        <v>521</v>
      </c>
      <c r="B522" s="50" t="s">
        <v>1843</v>
      </c>
      <c r="E522" s="52"/>
      <c r="K522" s="50" t="s">
        <v>1838</v>
      </c>
      <c r="L522" s="50" t="s">
        <v>111</v>
      </c>
    </row>
    <row r="523" spans="1:14" ht="12">
      <c r="A523" s="16">
        <v>522</v>
      </c>
      <c r="B523" s="50" t="s">
        <v>1844</v>
      </c>
      <c r="E523" s="52"/>
      <c r="K523" s="50" t="s">
        <v>1838</v>
      </c>
      <c r="L523" s="50" t="s">
        <v>111</v>
      </c>
    </row>
    <row r="524" spans="1:14" ht="12">
      <c r="A524" s="16">
        <v>523</v>
      </c>
      <c r="B524" s="50" t="s">
        <v>1845</v>
      </c>
      <c r="E524" s="52"/>
      <c r="K524" s="50" t="s">
        <v>1838</v>
      </c>
      <c r="L524" s="50" t="s">
        <v>111</v>
      </c>
    </row>
    <row r="525" spans="1:14" ht="12">
      <c r="A525" s="16">
        <v>524</v>
      </c>
      <c r="B525" s="50" t="s">
        <v>1846</v>
      </c>
      <c r="C525" s="50" t="s">
        <v>315</v>
      </c>
      <c r="E525" s="52"/>
      <c r="I525" s="50">
        <v>120</v>
      </c>
      <c r="J525" s="50" t="s">
        <v>1264</v>
      </c>
      <c r="K525" s="50" t="s">
        <v>872</v>
      </c>
      <c r="L525" s="50" t="s">
        <v>111</v>
      </c>
      <c r="N525" s="50" t="s">
        <v>1847</v>
      </c>
    </row>
    <row r="526" spans="1:14" ht="12">
      <c r="A526" s="16">
        <v>525</v>
      </c>
      <c r="B526" s="50" t="s">
        <v>1848</v>
      </c>
      <c r="E526" s="52"/>
      <c r="I526" s="50">
        <v>473</v>
      </c>
      <c r="K526" s="50" t="s">
        <v>1549</v>
      </c>
      <c r="L526" s="50" t="s">
        <v>1683</v>
      </c>
    </row>
    <row r="527" spans="1:14" ht="12">
      <c r="A527" s="16">
        <v>526</v>
      </c>
      <c r="B527" s="50" t="s">
        <v>1849</v>
      </c>
      <c r="E527" s="52"/>
      <c r="I527" s="50">
        <v>499</v>
      </c>
      <c r="K527" s="50" t="s">
        <v>1549</v>
      </c>
      <c r="L527" s="50" t="s">
        <v>1683</v>
      </c>
    </row>
    <row r="528" spans="1:14" ht="12">
      <c r="A528" s="16">
        <v>527</v>
      </c>
      <c r="B528" s="50" t="s">
        <v>1850</v>
      </c>
      <c r="E528" s="52"/>
      <c r="I528" s="50">
        <v>473</v>
      </c>
      <c r="K528" s="50" t="s">
        <v>1549</v>
      </c>
      <c r="L528" s="50" t="s">
        <v>1683</v>
      </c>
    </row>
    <row r="529" spans="1:23" ht="24">
      <c r="A529" s="16">
        <v>528</v>
      </c>
      <c r="B529" s="50" t="s">
        <v>1851</v>
      </c>
      <c r="C529" s="50" t="s">
        <v>137</v>
      </c>
      <c r="D529" s="50" t="s">
        <v>1852</v>
      </c>
      <c r="E529" s="52"/>
      <c r="I529" s="50">
        <v>479</v>
      </c>
      <c r="J529" s="50" t="s">
        <v>1264</v>
      </c>
      <c r="K529" s="50" t="s">
        <v>1826</v>
      </c>
      <c r="L529" s="50" t="s">
        <v>111</v>
      </c>
      <c r="N529" s="50" t="s">
        <v>1854</v>
      </c>
    </row>
    <row r="530" spans="1:23" ht="24">
      <c r="A530" s="16">
        <v>529</v>
      </c>
      <c r="B530" s="50" t="s">
        <v>1855</v>
      </c>
      <c r="C530" s="50" t="s">
        <v>137</v>
      </c>
      <c r="D530" s="50" t="s">
        <v>1856</v>
      </c>
      <c r="E530" s="52"/>
      <c r="I530" s="50">
        <v>480</v>
      </c>
      <c r="J530" s="50" t="s">
        <v>1264</v>
      </c>
      <c r="K530" s="50" t="s">
        <v>1826</v>
      </c>
      <c r="L530" s="50" t="s">
        <v>111</v>
      </c>
      <c r="N530" s="50" t="s">
        <v>1857</v>
      </c>
    </row>
    <row r="531" spans="1:23" ht="24">
      <c r="A531" s="435">
        <v>530</v>
      </c>
      <c r="B531" s="437" t="s">
        <v>1858</v>
      </c>
      <c r="C531" s="437" t="s">
        <v>137</v>
      </c>
      <c r="D531" s="446"/>
      <c r="E531" s="448"/>
      <c r="F531" s="446"/>
      <c r="G531" s="446"/>
      <c r="H531" s="446"/>
      <c r="I531" s="437">
        <v>190</v>
      </c>
      <c r="J531" s="437" t="s">
        <v>1264</v>
      </c>
      <c r="K531" s="437" t="s">
        <v>1826</v>
      </c>
      <c r="L531" s="437" t="s">
        <v>111</v>
      </c>
      <c r="M531" s="437" t="s">
        <v>1092</v>
      </c>
      <c r="N531" s="437" t="s">
        <v>1864</v>
      </c>
      <c r="O531" s="446"/>
      <c r="P531" s="446"/>
      <c r="Q531" s="446"/>
      <c r="R531" s="446"/>
      <c r="S531" s="446"/>
      <c r="T531" s="446"/>
      <c r="U531" s="446"/>
      <c r="V531" s="446"/>
      <c r="W531" s="446"/>
    </row>
    <row r="532" spans="1:23" ht="24">
      <c r="A532" s="435">
        <v>531</v>
      </c>
      <c r="B532" s="437" t="s">
        <v>1865</v>
      </c>
      <c r="C532" s="437" t="s">
        <v>137</v>
      </c>
      <c r="D532" s="446"/>
      <c r="E532" s="448"/>
      <c r="F532" s="446"/>
      <c r="G532" s="446"/>
      <c r="H532" s="446"/>
      <c r="I532" s="437">
        <v>368</v>
      </c>
      <c r="J532" s="437" t="s">
        <v>1264</v>
      </c>
      <c r="K532" s="437" t="s">
        <v>1826</v>
      </c>
      <c r="L532" s="437" t="s">
        <v>111</v>
      </c>
      <c r="M532" s="437" t="s">
        <v>1092</v>
      </c>
      <c r="N532" s="437" t="s">
        <v>1866</v>
      </c>
      <c r="O532" s="446"/>
      <c r="P532" s="446"/>
      <c r="Q532" s="446"/>
      <c r="R532" s="446"/>
      <c r="S532" s="446"/>
      <c r="T532" s="446"/>
      <c r="U532" s="446"/>
      <c r="V532" s="446"/>
      <c r="W532" s="446"/>
    </row>
    <row r="533" spans="1:23" ht="24">
      <c r="A533" s="16">
        <v>532</v>
      </c>
      <c r="B533" s="50" t="s">
        <v>1867</v>
      </c>
      <c r="C533" s="50" t="s">
        <v>137</v>
      </c>
      <c r="E533" s="52"/>
      <c r="I533" s="50">
        <v>364</v>
      </c>
      <c r="J533" s="50" t="s">
        <v>1264</v>
      </c>
      <c r="K533" s="50" t="s">
        <v>1826</v>
      </c>
      <c r="L533" s="50" t="s">
        <v>111</v>
      </c>
      <c r="N533" s="50" t="s">
        <v>1868</v>
      </c>
    </row>
    <row r="534" spans="1:23" ht="24">
      <c r="A534" s="16">
        <v>533</v>
      </c>
      <c r="B534" s="50" t="s">
        <v>1869</v>
      </c>
      <c r="C534" s="50" t="s">
        <v>315</v>
      </c>
      <c r="E534" s="52"/>
      <c r="I534" s="50">
        <v>120</v>
      </c>
      <c r="J534" s="50" t="s">
        <v>1264</v>
      </c>
      <c r="K534" s="50" t="s">
        <v>1826</v>
      </c>
      <c r="L534" s="50" t="s">
        <v>111</v>
      </c>
      <c r="M534" s="50" t="s">
        <v>1092</v>
      </c>
      <c r="N534" s="50" t="s">
        <v>1870</v>
      </c>
    </row>
    <row r="535" spans="1:23" ht="24">
      <c r="A535" s="16">
        <v>534</v>
      </c>
      <c r="B535" s="50" t="s">
        <v>1871</v>
      </c>
      <c r="C535" s="50" t="s">
        <v>137</v>
      </c>
      <c r="E535" s="52"/>
      <c r="I535" s="50">
        <v>518</v>
      </c>
      <c r="J535" s="50" t="s">
        <v>1264</v>
      </c>
      <c r="K535" s="50" t="s">
        <v>1826</v>
      </c>
      <c r="L535" s="50" t="s">
        <v>111</v>
      </c>
      <c r="M535" s="54" t="s">
        <v>1092</v>
      </c>
      <c r="N535" s="50" t="s">
        <v>1872</v>
      </c>
    </row>
    <row r="536" spans="1:23" ht="12">
      <c r="A536" s="16">
        <v>535</v>
      </c>
      <c r="B536" s="50" t="s">
        <v>1873</v>
      </c>
      <c r="C536" s="50" t="s">
        <v>315</v>
      </c>
      <c r="E536" s="52"/>
      <c r="I536" s="50">
        <v>120</v>
      </c>
      <c r="J536" s="50" t="s">
        <v>1264</v>
      </c>
      <c r="K536" s="50" t="s">
        <v>872</v>
      </c>
      <c r="L536" s="50" t="s">
        <v>111</v>
      </c>
      <c r="M536" s="50" t="s">
        <v>1092</v>
      </c>
      <c r="N536" s="50" t="s">
        <v>1874</v>
      </c>
    </row>
    <row r="537" spans="1:23" ht="12">
      <c r="A537" s="16">
        <v>536</v>
      </c>
      <c r="B537" s="50" t="s">
        <v>1875</v>
      </c>
      <c r="C537" s="50" t="s">
        <v>315</v>
      </c>
      <c r="E537" s="52"/>
      <c r="I537" s="50">
        <v>120</v>
      </c>
      <c r="J537" s="50" t="s">
        <v>1264</v>
      </c>
      <c r="K537" s="50" t="s">
        <v>872</v>
      </c>
      <c r="L537" s="50" t="s">
        <v>111</v>
      </c>
      <c r="M537" s="50" t="s">
        <v>1092</v>
      </c>
      <c r="N537" s="50" t="s">
        <v>1878</v>
      </c>
      <c r="O537" s="50" t="s">
        <v>1878</v>
      </c>
      <c r="P537" s="50" t="s">
        <v>1878</v>
      </c>
    </row>
    <row r="538" spans="1:23" ht="12">
      <c r="A538" s="16">
        <v>537</v>
      </c>
      <c r="B538" s="50" t="s">
        <v>1879</v>
      </c>
      <c r="C538" s="50" t="s">
        <v>315</v>
      </c>
      <c r="E538" s="52"/>
      <c r="I538" s="50">
        <v>120</v>
      </c>
      <c r="J538" s="50" t="s">
        <v>1264</v>
      </c>
      <c r="K538" s="50" t="s">
        <v>872</v>
      </c>
      <c r="L538" s="50" t="s">
        <v>111</v>
      </c>
      <c r="M538" s="50" t="s">
        <v>1092</v>
      </c>
      <c r="N538" s="50" t="s">
        <v>1880</v>
      </c>
    </row>
    <row r="539" spans="1:23" ht="12">
      <c r="A539" s="16">
        <v>538</v>
      </c>
      <c r="B539" s="54" t="s">
        <v>938</v>
      </c>
      <c r="C539" s="50" t="s">
        <v>315</v>
      </c>
      <c r="E539" s="52"/>
      <c r="I539" s="50">
        <v>120</v>
      </c>
      <c r="J539" s="50" t="s">
        <v>1264</v>
      </c>
      <c r="K539" s="50" t="s">
        <v>872</v>
      </c>
      <c r="L539" s="50" t="s">
        <v>111</v>
      </c>
      <c r="M539" s="50" t="s">
        <v>1092</v>
      </c>
      <c r="N539" s="50" t="s">
        <v>1881</v>
      </c>
    </row>
    <row r="540" spans="1:23" ht="12">
      <c r="A540" s="16">
        <v>539</v>
      </c>
      <c r="B540" s="50" t="s">
        <v>1882</v>
      </c>
      <c r="E540" s="52"/>
      <c r="I540" s="50">
        <v>473</v>
      </c>
      <c r="K540" s="50" t="s">
        <v>1549</v>
      </c>
      <c r="L540" s="50" t="s">
        <v>1683</v>
      </c>
    </row>
    <row r="541" spans="1:23" ht="36">
      <c r="A541" s="16">
        <v>540</v>
      </c>
      <c r="B541" s="54" t="s">
        <v>1883</v>
      </c>
      <c r="C541" s="50" t="s">
        <v>315</v>
      </c>
      <c r="E541" s="52"/>
      <c r="I541" s="50">
        <v>120</v>
      </c>
      <c r="J541" s="50" t="s">
        <v>1264</v>
      </c>
      <c r="K541" s="50" t="s">
        <v>1826</v>
      </c>
      <c r="L541" s="50" t="s">
        <v>111</v>
      </c>
      <c r="M541" s="54" t="s">
        <v>1884</v>
      </c>
      <c r="N541" s="50" t="s">
        <v>1886</v>
      </c>
      <c r="O541" s="54" t="s">
        <v>1887</v>
      </c>
    </row>
    <row r="542" spans="1:23" ht="12">
      <c r="A542" s="16">
        <v>541</v>
      </c>
      <c r="B542" s="50" t="s">
        <v>1888</v>
      </c>
      <c r="C542" s="50" t="s">
        <v>315</v>
      </c>
      <c r="E542" s="52"/>
      <c r="I542" s="50">
        <v>120</v>
      </c>
      <c r="J542" s="50" t="s">
        <v>1264</v>
      </c>
      <c r="K542" s="50" t="s">
        <v>872</v>
      </c>
      <c r="L542" s="50" t="s">
        <v>111</v>
      </c>
      <c r="M542" s="50" t="s">
        <v>1092</v>
      </c>
      <c r="N542" s="50" t="s">
        <v>1890</v>
      </c>
    </row>
    <row r="543" spans="1:23" ht="12">
      <c r="A543" s="16">
        <v>542</v>
      </c>
      <c r="B543" s="50" t="s">
        <v>1893</v>
      </c>
      <c r="E543" s="52"/>
    </row>
    <row r="544" spans="1:23" ht="12">
      <c r="A544" s="16">
        <v>543</v>
      </c>
      <c r="B544" s="50" t="s">
        <v>1894</v>
      </c>
      <c r="E544" s="52"/>
    </row>
    <row r="545" spans="1:14" ht="48">
      <c r="A545" s="16">
        <v>544</v>
      </c>
      <c r="B545" s="50" t="s">
        <v>1895</v>
      </c>
      <c r="D545" s="50" t="s">
        <v>1896</v>
      </c>
      <c r="E545" s="52"/>
      <c r="J545" s="54" t="s">
        <v>1897</v>
      </c>
      <c r="M545" s="54" t="s">
        <v>1884</v>
      </c>
    </row>
    <row r="546" spans="1:14" ht="12">
      <c r="A546" s="16">
        <v>545</v>
      </c>
      <c r="B546" s="50" t="s">
        <v>946</v>
      </c>
      <c r="C546" s="50" t="s">
        <v>315</v>
      </c>
      <c r="E546" s="52"/>
      <c r="I546" s="50">
        <v>120</v>
      </c>
      <c r="J546" s="50" t="s">
        <v>1264</v>
      </c>
      <c r="K546" s="50" t="s">
        <v>872</v>
      </c>
      <c r="L546" s="50" t="s">
        <v>111</v>
      </c>
      <c r="M546" s="50" t="s">
        <v>1092</v>
      </c>
      <c r="N546" s="50" t="s">
        <v>1900</v>
      </c>
    </row>
    <row r="547" spans="1:14" ht="12">
      <c r="A547" s="16">
        <v>546</v>
      </c>
      <c r="B547" s="50" t="s">
        <v>1901</v>
      </c>
      <c r="C547" s="50" t="s">
        <v>315</v>
      </c>
      <c r="E547" s="52"/>
      <c r="I547" s="50">
        <v>120</v>
      </c>
      <c r="J547" s="50" t="s">
        <v>1264</v>
      </c>
      <c r="K547" s="50" t="s">
        <v>872</v>
      </c>
      <c r="L547" s="50" t="s">
        <v>111</v>
      </c>
      <c r="M547" s="50" t="s">
        <v>1092</v>
      </c>
      <c r="N547" s="50" t="s">
        <v>1902</v>
      </c>
    </row>
    <row r="548" spans="1:14" ht="12">
      <c r="A548" s="16">
        <v>547</v>
      </c>
      <c r="B548" s="50" t="s">
        <v>1904</v>
      </c>
      <c r="C548" s="50" t="s">
        <v>315</v>
      </c>
      <c r="E548" s="52"/>
      <c r="I548" s="50">
        <v>120</v>
      </c>
      <c r="J548" s="50" t="s">
        <v>1264</v>
      </c>
      <c r="K548" s="50" t="s">
        <v>872</v>
      </c>
      <c r="L548" s="50" t="s">
        <v>111</v>
      </c>
      <c r="M548" s="50" t="s">
        <v>1092</v>
      </c>
      <c r="N548" s="50" t="s">
        <v>1905</v>
      </c>
    </row>
    <row r="549" spans="1:14" ht="24">
      <c r="A549" s="16">
        <v>548</v>
      </c>
      <c r="B549" s="50" t="s">
        <v>1906</v>
      </c>
      <c r="E549" s="52"/>
      <c r="K549" s="50" t="s">
        <v>1907</v>
      </c>
      <c r="L549" s="50" t="s">
        <v>111</v>
      </c>
      <c r="M549" s="50" t="s">
        <v>1092</v>
      </c>
      <c r="N549" s="50" t="s">
        <v>1908</v>
      </c>
    </row>
    <row r="550" spans="1:14" ht="24">
      <c r="A550" s="16">
        <v>549</v>
      </c>
      <c r="B550" s="50" t="s">
        <v>1909</v>
      </c>
      <c r="E550" s="52"/>
      <c r="K550" s="50" t="s">
        <v>1907</v>
      </c>
      <c r="L550" s="50" t="s">
        <v>111</v>
      </c>
      <c r="M550" s="50" t="s">
        <v>1092</v>
      </c>
      <c r="N550" s="50" t="s">
        <v>1910</v>
      </c>
    </row>
    <row r="551" spans="1:14" ht="36">
      <c r="A551" s="16">
        <v>550</v>
      </c>
      <c r="B551" s="54" t="s">
        <v>1911</v>
      </c>
      <c r="E551" s="52"/>
      <c r="K551" s="50" t="s">
        <v>1907</v>
      </c>
      <c r="L551" s="50" t="s">
        <v>111</v>
      </c>
      <c r="M551" s="50" t="s">
        <v>1092</v>
      </c>
      <c r="N551" s="50" t="s">
        <v>1912</v>
      </c>
    </row>
    <row r="552" spans="1:14" ht="12">
      <c r="A552" s="16">
        <v>551</v>
      </c>
      <c r="B552" s="50" t="s">
        <v>1913</v>
      </c>
      <c r="C552" s="50" t="s">
        <v>137</v>
      </c>
      <c r="E552" s="52"/>
      <c r="I552" s="50">
        <v>436</v>
      </c>
      <c r="J552" s="50" t="s">
        <v>1264</v>
      </c>
      <c r="K552" s="50" t="s">
        <v>881</v>
      </c>
      <c r="L552" s="50" t="s">
        <v>111</v>
      </c>
      <c r="M552" s="50" t="s">
        <v>796</v>
      </c>
      <c r="N552" s="50" t="s">
        <v>1914</v>
      </c>
    </row>
    <row r="553" spans="1:14" ht="12">
      <c r="A553" s="16">
        <v>552</v>
      </c>
      <c r="B553" s="50" t="s">
        <v>1093</v>
      </c>
      <c r="C553" s="50" t="s">
        <v>315</v>
      </c>
      <c r="E553" s="52"/>
      <c r="I553" s="50">
        <v>120</v>
      </c>
      <c r="J553" s="50" t="s">
        <v>1264</v>
      </c>
      <c r="K553" s="50" t="s">
        <v>881</v>
      </c>
      <c r="L553" s="50" t="s">
        <v>111</v>
      </c>
      <c r="M553" s="54" t="s">
        <v>1884</v>
      </c>
      <c r="N553" s="50" t="s">
        <v>1916</v>
      </c>
    </row>
    <row r="554" spans="1:14" ht="12">
      <c r="A554" s="16">
        <v>553</v>
      </c>
      <c r="B554" s="50" t="s">
        <v>1917</v>
      </c>
      <c r="C554" s="50" t="s">
        <v>315</v>
      </c>
      <c r="E554" s="52"/>
      <c r="I554" s="50">
        <v>342</v>
      </c>
      <c r="J554" s="50" t="s">
        <v>1264</v>
      </c>
      <c r="K554" s="50" t="s">
        <v>881</v>
      </c>
      <c r="L554" s="50" t="s">
        <v>111</v>
      </c>
      <c r="M554" s="54" t="s">
        <v>1918</v>
      </c>
      <c r="N554" s="50" t="s">
        <v>1919</v>
      </c>
    </row>
    <row r="555" spans="1:14" ht="12">
      <c r="A555" s="16">
        <v>554</v>
      </c>
      <c r="B555" s="50" t="s">
        <v>1112</v>
      </c>
      <c r="C555" s="50" t="s">
        <v>137</v>
      </c>
      <c r="E555" s="52"/>
      <c r="I555" s="50">
        <v>305</v>
      </c>
      <c r="J555" s="50" t="s">
        <v>1264</v>
      </c>
      <c r="K555" s="50" t="s">
        <v>881</v>
      </c>
      <c r="L555" s="50" t="s">
        <v>1920</v>
      </c>
      <c r="M555" s="54" t="s">
        <v>1092</v>
      </c>
      <c r="N555" s="50" t="s">
        <v>1921</v>
      </c>
    </row>
    <row r="556" spans="1:14" ht="12">
      <c r="A556" s="16">
        <v>555</v>
      </c>
      <c r="B556" s="50" t="s">
        <v>1922</v>
      </c>
      <c r="C556" s="50" t="s">
        <v>137</v>
      </c>
      <c r="E556" s="52"/>
      <c r="I556" s="50">
        <v>495</v>
      </c>
      <c r="J556" s="50" t="s">
        <v>1264</v>
      </c>
      <c r="K556" s="50" t="s">
        <v>1549</v>
      </c>
      <c r="L556" s="50" t="s">
        <v>1683</v>
      </c>
      <c r="M556" s="50" t="s">
        <v>1092</v>
      </c>
      <c r="N556" s="50" t="s">
        <v>1923</v>
      </c>
    </row>
    <row r="557" spans="1:14" ht="12">
      <c r="A557" s="16">
        <v>556</v>
      </c>
      <c r="B557" s="50" t="s">
        <v>1319</v>
      </c>
      <c r="C557" s="50" t="s">
        <v>137</v>
      </c>
      <c r="D557" s="50" t="s">
        <v>1924</v>
      </c>
      <c r="E557" s="52"/>
      <c r="I557" s="50">
        <v>349</v>
      </c>
      <c r="J557" s="50" t="s">
        <v>1264</v>
      </c>
      <c r="K557" s="50" t="s">
        <v>881</v>
      </c>
      <c r="L557" s="50" t="s">
        <v>111</v>
      </c>
      <c r="N557" s="50" t="s">
        <v>1925</v>
      </c>
    </row>
    <row r="558" spans="1:14" ht="12">
      <c r="A558" s="16">
        <v>557</v>
      </c>
      <c r="B558" s="151" t="s">
        <v>1926</v>
      </c>
      <c r="C558" s="50" t="s">
        <v>1927</v>
      </c>
      <c r="D558" s="50" t="s">
        <v>1928</v>
      </c>
      <c r="E558" s="52"/>
      <c r="I558" s="50">
        <v>360</v>
      </c>
      <c r="J558" s="50" t="s">
        <v>1264</v>
      </c>
      <c r="K558" s="50" t="s">
        <v>881</v>
      </c>
      <c r="L558" s="50" t="s">
        <v>111</v>
      </c>
      <c r="M558" s="54" t="s">
        <v>1884</v>
      </c>
      <c r="N558" s="50" t="s">
        <v>1929</v>
      </c>
    </row>
    <row r="559" spans="1:14" ht="12">
      <c r="A559" s="16">
        <v>558</v>
      </c>
      <c r="B559" s="50" t="s">
        <v>1930</v>
      </c>
      <c r="E559" s="52"/>
      <c r="K559" s="50" t="s">
        <v>691</v>
      </c>
      <c r="M559" s="54" t="s">
        <v>1884</v>
      </c>
    </row>
    <row r="560" spans="1:14" ht="12">
      <c r="A560" s="16">
        <v>559</v>
      </c>
      <c r="B560" s="54" t="s">
        <v>1148</v>
      </c>
      <c r="C560" s="54" t="s">
        <v>137</v>
      </c>
      <c r="E560" s="52"/>
      <c r="I560" s="54">
        <v>349</v>
      </c>
      <c r="J560" s="50" t="s">
        <v>1264</v>
      </c>
      <c r="K560" s="50" t="s">
        <v>881</v>
      </c>
      <c r="L560" s="50" t="s">
        <v>111</v>
      </c>
      <c r="N560" s="54" t="s">
        <v>1931</v>
      </c>
    </row>
    <row r="561" spans="1:14" ht="12">
      <c r="A561" s="16">
        <v>560</v>
      </c>
      <c r="B561" s="54" t="s">
        <v>1932</v>
      </c>
      <c r="C561" s="54" t="s">
        <v>137</v>
      </c>
      <c r="E561" s="52"/>
      <c r="I561" s="54">
        <v>304</v>
      </c>
      <c r="J561" s="50" t="s">
        <v>1264</v>
      </c>
      <c r="K561" s="50" t="s">
        <v>881</v>
      </c>
      <c r="L561" s="50" t="s">
        <v>111</v>
      </c>
      <c r="N561" s="54" t="s">
        <v>1933</v>
      </c>
    </row>
    <row r="562" spans="1:14" ht="12">
      <c r="A562" s="16">
        <v>561</v>
      </c>
      <c r="B562" s="54" t="s">
        <v>1139</v>
      </c>
      <c r="C562" s="54" t="s">
        <v>137</v>
      </c>
      <c r="E562" s="52"/>
      <c r="I562" s="54">
        <v>293</v>
      </c>
      <c r="J562" s="50" t="s">
        <v>1264</v>
      </c>
      <c r="K562" s="50" t="s">
        <v>881</v>
      </c>
      <c r="L562" s="50" t="s">
        <v>111</v>
      </c>
      <c r="M562" s="54" t="s">
        <v>1092</v>
      </c>
      <c r="N562" s="54" t="s">
        <v>1934</v>
      </c>
    </row>
    <row r="563" spans="1:14" ht="12">
      <c r="A563" s="16">
        <v>562</v>
      </c>
      <c r="B563" s="50" t="s">
        <v>1935</v>
      </c>
      <c r="C563" s="54" t="s">
        <v>137</v>
      </c>
      <c r="E563" s="52"/>
      <c r="I563" s="54">
        <v>360</v>
      </c>
      <c r="J563" s="50" t="s">
        <v>1264</v>
      </c>
      <c r="K563" s="50" t="s">
        <v>881</v>
      </c>
      <c r="L563" s="50" t="s">
        <v>111</v>
      </c>
      <c r="M563" s="54" t="s">
        <v>1092</v>
      </c>
      <c r="N563" s="54" t="s">
        <v>1936</v>
      </c>
    </row>
    <row r="564" spans="1:14" ht="24">
      <c r="A564" s="16">
        <v>563</v>
      </c>
      <c r="B564" s="54" t="s">
        <v>1937</v>
      </c>
      <c r="E564" s="52"/>
      <c r="I564" s="467" t="s">
        <v>1938</v>
      </c>
      <c r="J564" s="50" t="s">
        <v>1264</v>
      </c>
      <c r="K564" s="54" t="s">
        <v>1703</v>
      </c>
      <c r="M564" s="54" t="s">
        <v>1092</v>
      </c>
      <c r="N564" s="469" t="s">
        <v>1939</v>
      </c>
    </row>
    <row r="565" spans="1:14" ht="12">
      <c r="A565" s="16">
        <v>564</v>
      </c>
      <c r="B565" s="54" t="s">
        <v>1940</v>
      </c>
      <c r="C565" s="54" t="s">
        <v>137</v>
      </c>
      <c r="E565" s="52"/>
      <c r="I565" s="54">
        <v>487</v>
      </c>
      <c r="J565" s="50" t="s">
        <v>1264</v>
      </c>
      <c r="K565" s="54" t="s">
        <v>1703</v>
      </c>
      <c r="M565" s="54" t="s">
        <v>1092</v>
      </c>
    </row>
    <row r="566" spans="1:14" ht="24">
      <c r="A566" s="16">
        <v>565</v>
      </c>
      <c r="B566" s="54" t="s">
        <v>1941</v>
      </c>
      <c r="E566" s="52"/>
      <c r="I566" s="467" t="s">
        <v>1938</v>
      </c>
      <c r="J566" s="50" t="s">
        <v>1264</v>
      </c>
      <c r="K566" s="54" t="s">
        <v>1703</v>
      </c>
      <c r="M566" s="54" t="s">
        <v>1092</v>
      </c>
      <c r="N566" s="54" t="s">
        <v>1942</v>
      </c>
    </row>
    <row r="567" spans="1:14" ht="12">
      <c r="A567" s="16">
        <v>566</v>
      </c>
      <c r="B567" s="54" t="s">
        <v>1943</v>
      </c>
      <c r="C567" s="54" t="s">
        <v>137</v>
      </c>
      <c r="E567" s="52"/>
      <c r="I567" s="54">
        <v>487</v>
      </c>
      <c r="J567" s="50" t="s">
        <v>1264</v>
      </c>
      <c r="K567" s="54" t="s">
        <v>1703</v>
      </c>
      <c r="M567" s="54" t="s">
        <v>1092</v>
      </c>
    </row>
    <row r="568" spans="1:14" ht="12">
      <c r="A568" s="16">
        <v>567</v>
      </c>
      <c r="B568" s="54" t="s">
        <v>1944</v>
      </c>
      <c r="E568" s="52"/>
      <c r="I568" s="467" t="s">
        <v>1938</v>
      </c>
      <c r="J568" s="50" t="s">
        <v>1264</v>
      </c>
      <c r="K568" s="54" t="s">
        <v>1703</v>
      </c>
      <c r="M568" s="54" t="s">
        <v>1092</v>
      </c>
      <c r="N568" s="54" t="s">
        <v>1946</v>
      </c>
    </row>
    <row r="569" spans="1:14" ht="12">
      <c r="A569" s="16">
        <v>568</v>
      </c>
      <c r="B569" s="54" t="s">
        <v>1947</v>
      </c>
      <c r="C569" s="54" t="s">
        <v>137</v>
      </c>
      <c r="E569" s="52"/>
      <c r="I569" s="54">
        <v>487</v>
      </c>
      <c r="J569" s="50" t="s">
        <v>1264</v>
      </c>
      <c r="K569" s="54" t="s">
        <v>1703</v>
      </c>
      <c r="M569" s="54" t="s">
        <v>1092</v>
      </c>
    </row>
    <row r="570" spans="1:14" ht="12">
      <c r="A570" s="16">
        <v>569</v>
      </c>
      <c r="B570" s="54" t="s">
        <v>1948</v>
      </c>
      <c r="E570" s="52"/>
      <c r="I570" s="467" t="s">
        <v>1949</v>
      </c>
      <c r="J570" s="50" t="s">
        <v>1264</v>
      </c>
      <c r="K570" s="54" t="s">
        <v>1703</v>
      </c>
      <c r="M570" s="54" t="s">
        <v>1092</v>
      </c>
    </row>
    <row r="571" spans="1:14" ht="12">
      <c r="A571" s="16">
        <v>570</v>
      </c>
      <c r="B571" s="54" t="s">
        <v>1950</v>
      </c>
      <c r="E571" s="52"/>
      <c r="I571" s="54">
        <v>402</v>
      </c>
      <c r="J571" s="50" t="s">
        <v>1264</v>
      </c>
      <c r="K571" s="54" t="s">
        <v>1703</v>
      </c>
      <c r="M571" s="54" t="s">
        <v>1092</v>
      </c>
    </row>
    <row r="572" spans="1:14" ht="12">
      <c r="A572" s="16">
        <v>571</v>
      </c>
      <c r="B572" s="54" t="s">
        <v>1162</v>
      </c>
      <c r="C572" s="54" t="s">
        <v>137</v>
      </c>
      <c r="E572" s="52"/>
      <c r="I572" s="54">
        <v>472</v>
      </c>
      <c r="J572" s="50" t="s">
        <v>1264</v>
      </c>
      <c r="K572" s="54" t="s">
        <v>881</v>
      </c>
      <c r="L572" s="54" t="s">
        <v>111</v>
      </c>
      <c r="M572" s="54" t="s">
        <v>1092</v>
      </c>
      <c r="N572" s="54" t="s">
        <v>1952</v>
      </c>
    </row>
    <row r="573" spans="1:14" ht="13">
      <c r="A573" s="16">
        <v>572</v>
      </c>
      <c r="B573" s="54" t="s">
        <v>1953</v>
      </c>
      <c r="E573" s="52"/>
      <c r="K573" s="478" t="s">
        <v>1954</v>
      </c>
    </row>
    <row r="574" spans="1:14" ht="13">
      <c r="A574" s="16">
        <v>573</v>
      </c>
      <c r="B574" s="480" t="s">
        <v>1159</v>
      </c>
      <c r="C574" s="54" t="s">
        <v>137</v>
      </c>
      <c r="E574" s="52"/>
      <c r="I574" s="54">
        <v>360</v>
      </c>
      <c r="J574" s="50" t="s">
        <v>1264</v>
      </c>
      <c r="K574" s="54" t="s">
        <v>881</v>
      </c>
      <c r="L574" s="54" t="s">
        <v>111</v>
      </c>
      <c r="M574" s="54" t="s">
        <v>1092</v>
      </c>
      <c r="N574" s="54" t="s">
        <v>1958</v>
      </c>
    </row>
    <row r="575" spans="1:14" ht="24">
      <c r="A575" s="16">
        <v>574</v>
      </c>
      <c r="B575" s="54" t="s">
        <v>1960</v>
      </c>
      <c r="E575" s="52"/>
      <c r="I575" s="54">
        <v>11</v>
      </c>
      <c r="J575" s="50" t="s">
        <v>1264</v>
      </c>
      <c r="K575" s="54" t="s">
        <v>881</v>
      </c>
      <c r="L575" s="54" t="s">
        <v>1961</v>
      </c>
      <c r="N575" s="54" t="s">
        <v>1962</v>
      </c>
    </row>
    <row r="576" spans="1:14" ht="12">
      <c r="A576" s="16">
        <v>575</v>
      </c>
      <c r="B576" s="482" t="s">
        <v>1963</v>
      </c>
      <c r="C576" s="54" t="s">
        <v>137</v>
      </c>
      <c r="E576" s="52"/>
      <c r="I576" s="54">
        <v>571</v>
      </c>
      <c r="J576" s="50" t="s">
        <v>1264</v>
      </c>
      <c r="K576" s="54" t="s">
        <v>881</v>
      </c>
      <c r="L576" s="54" t="s">
        <v>111</v>
      </c>
      <c r="M576" s="54" t="s">
        <v>1092</v>
      </c>
      <c r="N576" s="54" t="s">
        <v>1964</v>
      </c>
    </row>
    <row r="577" spans="1:14" ht="12">
      <c r="A577" s="16">
        <v>576</v>
      </c>
      <c r="B577" s="482" t="s">
        <v>1965</v>
      </c>
      <c r="C577" s="54" t="s">
        <v>137</v>
      </c>
      <c r="E577" s="52"/>
      <c r="I577" s="54">
        <v>93</v>
      </c>
      <c r="J577" s="50" t="s">
        <v>1264</v>
      </c>
      <c r="K577" s="54" t="s">
        <v>881</v>
      </c>
      <c r="L577" s="54" t="s">
        <v>111</v>
      </c>
      <c r="M577" s="54" t="s">
        <v>1092</v>
      </c>
      <c r="N577" s="54" t="s">
        <v>1966</v>
      </c>
    </row>
    <row r="578" spans="1:14" ht="12">
      <c r="A578" s="16">
        <v>577</v>
      </c>
      <c r="B578" s="482" t="s">
        <v>1183</v>
      </c>
      <c r="E578" s="52"/>
      <c r="I578" s="54">
        <v>305</v>
      </c>
      <c r="J578" s="50" t="s">
        <v>1264</v>
      </c>
      <c r="K578" s="54" t="s">
        <v>881</v>
      </c>
      <c r="L578" s="54" t="s">
        <v>1968</v>
      </c>
      <c r="M578" s="54" t="s">
        <v>1884</v>
      </c>
      <c r="N578" s="54" t="s">
        <v>1969</v>
      </c>
    </row>
    <row r="579" spans="1:14" ht="12">
      <c r="A579" s="16">
        <v>578</v>
      </c>
      <c r="B579" s="482" t="s">
        <v>1157</v>
      </c>
      <c r="C579" s="54" t="s">
        <v>137</v>
      </c>
      <c r="E579" s="52"/>
      <c r="I579" s="54">
        <v>556</v>
      </c>
      <c r="J579" s="50" t="s">
        <v>1264</v>
      </c>
      <c r="K579" s="54" t="s">
        <v>881</v>
      </c>
      <c r="L579" s="54" t="s">
        <v>111</v>
      </c>
      <c r="M579" s="54" t="s">
        <v>1092</v>
      </c>
      <c r="N579" s="54" t="s">
        <v>1970</v>
      </c>
    </row>
    <row r="580" spans="1:14" ht="24">
      <c r="A580" s="16">
        <v>579</v>
      </c>
      <c r="B580" s="54" t="s">
        <v>1971</v>
      </c>
      <c r="D580" s="54" t="s">
        <v>1972</v>
      </c>
      <c r="E580" s="52"/>
      <c r="K580" s="54" t="s">
        <v>1973</v>
      </c>
      <c r="M580" s="54" t="s">
        <v>1092</v>
      </c>
    </row>
    <row r="581" spans="1:14" ht="12">
      <c r="A581" s="16">
        <v>580</v>
      </c>
      <c r="B581" s="54" t="s">
        <v>1974</v>
      </c>
      <c r="D581" s="54"/>
      <c r="E581" s="52"/>
      <c r="K581" s="54" t="s">
        <v>1973</v>
      </c>
      <c r="M581" s="54" t="s">
        <v>1092</v>
      </c>
    </row>
    <row r="582" spans="1:14" ht="13">
      <c r="A582" s="16">
        <v>581</v>
      </c>
      <c r="B582" s="487" t="s">
        <v>1975</v>
      </c>
      <c r="D582" s="54"/>
      <c r="E582" s="52"/>
      <c r="I582" s="54">
        <v>473</v>
      </c>
      <c r="K582" s="54" t="s">
        <v>1549</v>
      </c>
      <c r="L582" s="50" t="s">
        <v>1683</v>
      </c>
      <c r="N582" s="54" t="s">
        <v>1976</v>
      </c>
    </row>
    <row r="583" spans="1:14" ht="24">
      <c r="A583" s="16">
        <v>582</v>
      </c>
      <c r="B583" s="54" t="s">
        <v>1977</v>
      </c>
      <c r="D583" s="395" t="s">
        <v>1978</v>
      </c>
      <c r="E583" s="52"/>
      <c r="J583" s="54" t="s">
        <v>1264</v>
      </c>
      <c r="K583" s="54" t="s">
        <v>1979</v>
      </c>
      <c r="M583" s="54" t="s">
        <v>1980</v>
      </c>
      <c r="N583" s="54" t="s">
        <v>1981</v>
      </c>
    </row>
    <row r="584" spans="1:14" ht="12">
      <c r="A584" s="16">
        <v>583</v>
      </c>
      <c r="B584" s="54" t="s">
        <v>1982</v>
      </c>
      <c r="C584" s="54" t="s">
        <v>477</v>
      </c>
      <c r="E584" s="52"/>
      <c r="K584" s="54" t="s">
        <v>1983</v>
      </c>
      <c r="N584" s="54" t="s">
        <v>1984</v>
      </c>
    </row>
    <row r="585" spans="1:14" ht="48">
      <c r="A585" s="16">
        <v>584</v>
      </c>
      <c r="B585" s="54" t="s">
        <v>1985</v>
      </c>
      <c r="C585" s="54" t="s">
        <v>141</v>
      </c>
      <c r="D585" s="395" t="s">
        <v>1986</v>
      </c>
      <c r="E585" s="52"/>
      <c r="K585" s="54" t="s">
        <v>1987</v>
      </c>
      <c r="M585" s="54" t="s">
        <v>1884</v>
      </c>
      <c r="N585" s="54" t="s">
        <v>1988</v>
      </c>
    </row>
    <row r="586" spans="1:14" ht="48">
      <c r="A586" s="16">
        <v>585</v>
      </c>
      <c r="B586" s="54" t="s">
        <v>1989</v>
      </c>
      <c r="C586" s="54" t="s">
        <v>141</v>
      </c>
      <c r="D586" s="395" t="s">
        <v>1990</v>
      </c>
      <c r="E586" s="52"/>
      <c r="K586" s="54" t="s">
        <v>1987</v>
      </c>
      <c r="M586" s="54" t="s">
        <v>1884</v>
      </c>
      <c r="N586" s="54" t="s">
        <v>1992</v>
      </c>
    </row>
    <row r="587" spans="1:14" ht="12">
      <c r="A587" s="16">
        <v>586</v>
      </c>
      <c r="B587" s="482" t="s">
        <v>1206</v>
      </c>
      <c r="C587" s="54" t="s">
        <v>137</v>
      </c>
      <c r="D587" s="54"/>
      <c r="E587" s="52"/>
      <c r="I587" s="54">
        <v>303</v>
      </c>
      <c r="J587" s="54" t="s">
        <v>1264</v>
      </c>
      <c r="K587" s="54" t="s">
        <v>881</v>
      </c>
      <c r="L587" s="54" t="s">
        <v>111</v>
      </c>
      <c r="M587" s="54" t="s">
        <v>1884</v>
      </c>
      <c r="N587" s="54" t="s">
        <v>1993</v>
      </c>
    </row>
    <row r="588" spans="1:14" ht="12">
      <c r="A588" s="16">
        <v>587</v>
      </c>
      <c r="B588" s="482" t="s">
        <v>996</v>
      </c>
      <c r="C588" s="54" t="s">
        <v>137</v>
      </c>
      <c r="E588" s="52"/>
      <c r="I588" s="54">
        <v>121</v>
      </c>
      <c r="J588" s="54" t="s">
        <v>1264</v>
      </c>
      <c r="K588" s="54" t="s">
        <v>881</v>
      </c>
      <c r="L588" s="54" t="s">
        <v>111</v>
      </c>
      <c r="N588" s="54" t="s">
        <v>1994</v>
      </c>
    </row>
    <row r="589" spans="1:14" ht="12">
      <c r="A589" s="16">
        <v>588</v>
      </c>
      <c r="B589" s="482" t="s">
        <v>1189</v>
      </c>
      <c r="C589" s="54" t="s">
        <v>315</v>
      </c>
      <c r="E589" s="52"/>
      <c r="I589" s="54">
        <v>120</v>
      </c>
      <c r="J589" s="54" t="s">
        <v>1264</v>
      </c>
      <c r="K589" s="54" t="s">
        <v>881</v>
      </c>
      <c r="L589" s="54" t="s">
        <v>111</v>
      </c>
      <c r="N589" s="54" t="s">
        <v>1997</v>
      </c>
    </row>
    <row r="590" spans="1:14" ht="12">
      <c r="A590" s="16">
        <v>589</v>
      </c>
      <c r="B590" s="54" t="s">
        <v>1998</v>
      </c>
      <c r="C590" s="54" t="s">
        <v>315</v>
      </c>
      <c r="E590" s="52"/>
      <c r="K590" s="54" t="s">
        <v>795</v>
      </c>
      <c r="L590" s="54" t="s">
        <v>111</v>
      </c>
    </row>
    <row r="591" spans="1:14" ht="12">
      <c r="A591" s="16">
        <v>590</v>
      </c>
      <c r="B591" s="54" t="s">
        <v>1999</v>
      </c>
      <c r="C591" s="54" t="s">
        <v>315</v>
      </c>
      <c r="E591" s="52"/>
      <c r="K591" s="54" t="s">
        <v>795</v>
      </c>
      <c r="L591" s="54" t="s">
        <v>111</v>
      </c>
    </row>
    <row r="592" spans="1:14" ht="24">
      <c r="A592" s="16">
        <v>591</v>
      </c>
      <c r="B592" s="54" t="s">
        <v>2000</v>
      </c>
      <c r="E592" s="52"/>
      <c r="K592" s="54" t="s">
        <v>1907</v>
      </c>
      <c r="N592" s="54" t="s">
        <v>2001</v>
      </c>
    </row>
    <row r="593" spans="1:14" ht="24">
      <c r="A593" s="16">
        <v>592</v>
      </c>
      <c r="B593" s="54" t="s">
        <v>2002</v>
      </c>
      <c r="E593" s="52"/>
      <c r="K593" s="54" t="s">
        <v>1907</v>
      </c>
      <c r="N593" s="54" t="s">
        <v>2003</v>
      </c>
    </row>
    <row r="594" spans="1:14" ht="24">
      <c r="A594" s="16">
        <v>593</v>
      </c>
      <c r="B594" s="54" t="s">
        <v>2004</v>
      </c>
      <c r="E594" s="52"/>
      <c r="K594" s="54" t="s">
        <v>1907</v>
      </c>
      <c r="N594" s="54" t="s">
        <v>2005</v>
      </c>
    </row>
    <row r="595" spans="1:14" ht="12">
      <c r="A595" s="16">
        <v>594</v>
      </c>
      <c r="B595" s="54" t="s">
        <v>2006</v>
      </c>
      <c r="C595" s="54" t="s">
        <v>315</v>
      </c>
      <c r="E595" s="52"/>
      <c r="I595" s="54">
        <v>120</v>
      </c>
      <c r="J595" s="54" t="s">
        <v>1264</v>
      </c>
      <c r="K595" s="54" t="s">
        <v>881</v>
      </c>
      <c r="L595" s="54" t="s">
        <v>111</v>
      </c>
      <c r="N595" s="54" t="s">
        <v>2007</v>
      </c>
    </row>
    <row r="596" spans="1:14" ht="12">
      <c r="A596" s="16">
        <v>595</v>
      </c>
      <c r="B596" s="494" t="s">
        <v>1237</v>
      </c>
      <c r="C596" s="54" t="s">
        <v>137</v>
      </c>
      <c r="E596" s="52"/>
      <c r="I596" s="54">
        <v>360</v>
      </c>
      <c r="J596" s="54" t="s">
        <v>1264</v>
      </c>
      <c r="K596" s="54" t="s">
        <v>881</v>
      </c>
      <c r="L596" s="54" t="s">
        <v>111</v>
      </c>
      <c r="M596" s="54" t="s">
        <v>1884</v>
      </c>
      <c r="N596" s="54" t="s">
        <v>2009</v>
      </c>
    </row>
    <row r="597" spans="1:14" ht="12">
      <c r="A597" s="16">
        <v>596</v>
      </c>
      <c r="B597" s="54" t="s">
        <v>1243</v>
      </c>
      <c r="C597" s="54" t="s">
        <v>137</v>
      </c>
      <c r="E597" s="52"/>
      <c r="I597" s="54">
        <v>566</v>
      </c>
      <c r="J597" s="54" t="s">
        <v>1264</v>
      </c>
      <c r="K597" s="54" t="s">
        <v>881</v>
      </c>
      <c r="L597" s="54" t="s">
        <v>111</v>
      </c>
      <c r="N597" s="54" t="s">
        <v>2010</v>
      </c>
    </row>
    <row r="598" spans="1:14" ht="12">
      <c r="A598" s="16">
        <v>597</v>
      </c>
      <c r="B598" s="54" t="s">
        <v>2011</v>
      </c>
      <c r="C598" s="54" t="s">
        <v>137</v>
      </c>
      <c r="E598" s="52"/>
      <c r="I598" s="54">
        <v>360</v>
      </c>
      <c r="J598" s="54" t="s">
        <v>1264</v>
      </c>
      <c r="K598" s="54" t="s">
        <v>881</v>
      </c>
      <c r="L598" s="54" t="s">
        <v>111</v>
      </c>
      <c r="M598" s="54" t="s">
        <v>1884</v>
      </c>
      <c r="N598" s="54" t="s">
        <v>2012</v>
      </c>
    </row>
    <row r="599" spans="1:14" ht="24">
      <c r="A599" s="16">
        <v>598</v>
      </c>
      <c r="B599" s="497" t="s">
        <v>2013</v>
      </c>
      <c r="E599" s="52"/>
      <c r="K599" s="54" t="s">
        <v>2014</v>
      </c>
    </row>
    <row r="600" spans="1:14" ht="12">
      <c r="A600" s="16">
        <v>599</v>
      </c>
      <c r="B600" s="54" t="s">
        <v>2015</v>
      </c>
      <c r="E600" s="52"/>
      <c r="I600" s="54">
        <v>473</v>
      </c>
      <c r="K600" s="54" t="s">
        <v>1549</v>
      </c>
      <c r="L600" s="54" t="s">
        <v>129</v>
      </c>
      <c r="N600" s="54" t="s">
        <v>2016</v>
      </c>
    </row>
    <row r="601" spans="1:14" ht="12">
      <c r="A601" s="2">
        <v>600</v>
      </c>
      <c r="B601" s="54" t="s">
        <v>2017</v>
      </c>
      <c r="E601" s="52"/>
      <c r="I601" s="54">
        <v>473</v>
      </c>
      <c r="K601" s="54" t="s">
        <v>1549</v>
      </c>
      <c r="L601" s="54" t="s">
        <v>129</v>
      </c>
      <c r="N601" s="54" t="s">
        <v>2018</v>
      </c>
    </row>
    <row r="602" spans="1:14" ht="13">
      <c r="A602" s="2">
        <v>601</v>
      </c>
      <c r="B602" s="487" t="s">
        <v>2019</v>
      </c>
      <c r="D602" s="54"/>
      <c r="E602" s="52"/>
      <c r="I602" s="54">
        <v>473</v>
      </c>
      <c r="K602" s="54" t="s">
        <v>1549</v>
      </c>
      <c r="L602" s="50" t="s">
        <v>1683</v>
      </c>
      <c r="N602" s="54" t="s">
        <v>2020</v>
      </c>
    </row>
    <row r="603" spans="1:14" ht="13">
      <c r="A603" s="2">
        <v>602</v>
      </c>
      <c r="B603" s="487" t="s">
        <v>2021</v>
      </c>
      <c r="D603" s="54"/>
      <c r="E603" s="52"/>
      <c r="I603" s="54">
        <v>473</v>
      </c>
      <c r="K603" s="54" t="s">
        <v>1549</v>
      </c>
      <c r="L603" s="50" t="s">
        <v>1683</v>
      </c>
      <c r="N603" s="54" t="s">
        <v>2020</v>
      </c>
    </row>
    <row r="604" spans="1:14" ht="13">
      <c r="A604" s="2">
        <v>603</v>
      </c>
      <c r="B604" s="487" t="s">
        <v>2022</v>
      </c>
      <c r="D604" s="54"/>
      <c r="E604" s="52"/>
      <c r="I604" s="54">
        <v>473</v>
      </c>
      <c r="K604" s="54" t="s">
        <v>1549</v>
      </c>
      <c r="L604" s="50" t="s">
        <v>1683</v>
      </c>
      <c r="N604" s="54" t="s">
        <v>2023</v>
      </c>
    </row>
    <row r="605" spans="1:14" ht="12">
      <c r="A605" s="2">
        <v>604</v>
      </c>
      <c r="B605" s="54" t="s">
        <v>2024</v>
      </c>
      <c r="C605" s="54" t="s">
        <v>137</v>
      </c>
      <c r="E605" s="52"/>
      <c r="I605" s="54">
        <v>443</v>
      </c>
      <c r="J605" s="54" t="s">
        <v>1264</v>
      </c>
      <c r="K605" s="54" t="s">
        <v>881</v>
      </c>
      <c r="L605" s="54" t="s">
        <v>111</v>
      </c>
      <c r="N605" s="54" t="s">
        <v>2025</v>
      </c>
    </row>
    <row r="606" spans="1:14" ht="24">
      <c r="A606" s="2">
        <v>605</v>
      </c>
      <c r="B606" s="500" t="s">
        <v>2026</v>
      </c>
      <c r="C606" s="500" t="s">
        <v>315</v>
      </c>
      <c r="D606" s="257" t="s">
        <v>1235</v>
      </c>
      <c r="E606" s="259"/>
      <c r="F606" s="261"/>
      <c r="G606" s="261"/>
      <c r="H606" s="261"/>
      <c r="I606" s="500">
        <v>365</v>
      </c>
      <c r="J606" s="500" t="s">
        <v>1264</v>
      </c>
      <c r="K606" s="500" t="s">
        <v>881</v>
      </c>
      <c r="L606" s="500" t="s">
        <v>111</v>
      </c>
      <c r="M606" s="500" t="s">
        <v>1884</v>
      </c>
      <c r="N606" s="500" t="s">
        <v>2027</v>
      </c>
    </row>
    <row r="607" spans="1:14" ht="12">
      <c r="A607" s="2">
        <v>606</v>
      </c>
      <c r="B607" s="482" t="s">
        <v>2028</v>
      </c>
      <c r="C607" s="54" t="s">
        <v>315</v>
      </c>
      <c r="E607" s="52"/>
      <c r="I607" s="54">
        <v>365</v>
      </c>
      <c r="J607" s="54" t="s">
        <v>1264</v>
      </c>
      <c r="K607" s="54" t="s">
        <v>881</v>
      </c>
      <c r="L607" s="54" t="s">
        <v>111</v>
      </c>
      <c r="N607" s="54" t="s">
        <v>2029</v>
      </c>
    </row>
    <row r="608" spans="1:14" ht="12">
      <c r="A608" s="2">
        <v>607</v>
      </c>
      <c r="B608" s="54" t="s">
        <v>2030</v>
      </c>
      <c r="E608" s="52"/>
      <c r="I608" s="54">
        <v>178</v>
      </c>
      <c r="J608" s="54" t="s">
        <v>1264</v>
      </c>
      <c r="K608" s="54" t="s">
        <v>881</v>
      </c>
      <c r="L608" s="54" t="s">
        <v>129</v>
      </c>
      <c r="N608" s="54" t="s">
        <v>2031</v>
      </c>
    </row>
    <row r="609" spans="1:14" ht="12">
      <c r="A609" s="2">
        <v>608</v>
      </c>
      <c r="B609" s="54" t="s">
        <v>2032</v>
      </c>
      <c r="E609" s="52"/>
      <c r="I609" s="54">
        <v>178</v>
      </c>
      <c r="J609" s="54" t="s">
        <v>1264</v>
      </c>
      <c r="K609" s="54" t="s">
        <v>881</v>
      </c>
      <c r="L609" s="54" t="s">
        <v>129</v>
      </c>
      <c r="N609" s="54" t="s">
        <v>2033</v>
      </c>
    </row>
    <row r="610" spans="1:14" ht="12">
      <c r="A610" s="2">
        <v>609</v>
      </c>
      <c r="B610" s="54" t="s">
        <v>2034</v>
      </c>
      <c r="D610" s="54" t="s">
        <v>2035</v>
      </c>
      <c r="E610" s="52"/>
      <c r="I610" s="54">
        <v>166</v>
      </c>
      <c r="J610" s="54" t="s">
        <v>1264</v>
      </c>
      <c r="K610" s="54" t="s">
        <v>1549</v>
      </c>
      <c r="L610" s="54" t="s">
        <v>129</v>
      </c>
      <c r="M610" s="54" t="s">
        <v>1884</v>
      </c>
      <c r="N610" s="54" t="s">
        <v>2036</v>
      </c>
    </row>
    <row r="611" spans="1:14" ht="12">
      <c r="A611" s="2">
        <v>610</v>
      </c>
      <c r="B611" s="54" t="s">
        <v>2037</v>
      </c>
      <c r="E611" s="52"/>
      <c r="I611" s="54">
        <v>154</v>
      </c>
      <c r="J611" s="54" t="s">
        <v>1264</v>
      </c>
      <c r="K611" s="54" t="s">
        <v>881</v>
      </c>
      <c r="L611" s="54" t="s">
        <v>129</v>
      </c>
      <c r="N611" s="54" t="s">
        <v>2038</v>
      </c>
    </row>
    <row r="612" spans="1:14" ht="12">
      <c r="A612" s="2">
        <v>611</v>
      </c>
      <c r="B612" s="54" t="s">
        <v>2039</v>
      </c>
      <c r="E612" s="52"/>
      <c r="I612" s="54">
        <v>206</v>
      </c>
      <c r="J612" s="54" t="s">
        <v>1264</v>
      </c>
      <c r="K612" s="54" t="s">
        <v>881</v>
      </c>
      <c r="L612" s="54" t="s">
        <v>129</v>
      </c>
      <c r="N612" s="54" t="s">
        <v>2040</v>
      </c>
    </row>
    <row r="613" spans="1:14" ht="12">
      <c r="A613" s="2">
        <v>612</v>
      </c>
      <c r="B613" s="54" t="s">
        <v>2041</v>
      </c>
      <c r="E613" s="52"/>
      <c r="I613" s="54">
        <v>140</v>
      </c>
      <c r="J613" s="54" t="s">
        <v>1264</v>
      </c>
      <c r="K613" s="54" t="s">
        <v>881</v>
      </c>
      <c r="L613" s="54" t="s">
        <v>129</v>
      </c>
      <c r="N613" s="54" t="s">
        <v>2042</v>
      </c>
    </row>
    <row r="614" spans="1:14" ht="12">
      <c r="A614" s="2">
        <v>613</v>
      </c>
      <c r="B614" s="54" t="s">
        <v>2043</v>
      </c>
      <c r="E614" s="52"/>
      <c r="I614" s="54">
        <v>178</v>
      </c>
      <c r="J614" s="54" t="s">
        <v>1264</v>
      </c>
      <c r="K614" s="54" t="s">
        <v>881</v>
      </c>
      <c r="L614" s="54" t="s">
        <v>129</v>
      </c>
      <c r="N614" s="54" t="s">
        <v>2044</v>
      </c>
    </row>
    <row r="615" spans="1:14" ht="24">
      <c r="A615" s="2">
        <v>614</v>
      </c>
      <c r="B615" s="54" t="s">
        <v>2045</v>
      </c>
      <c r="E615" s="52"/>
      <c r="I615" s="54">
        <v>166</v>
      </c>
      <c r="J615" s="54" t="s">
        <v>1264</v>
      </c>
      <c r="K615" s="54" t="s">
        <v>881</v>
      </c>
      <c r="L615" s="54" t="s">
        <v>129</v>
      </c>
      <c r="N615" s="54" t="s">
        <v>2046</v>
      </c>
    </row>
    <row r="616" spans="1:14" ht="24">
      <c r="A616" s="2">
        <v>615</v>
      </c>
      <c r="B616" s="54" t="s">
        <v>2047</v>
      </c>
      <c r="E616" s="52"/>
      <c r="I616" s="54">
        <v>166</v>
      </c>
      <c r="J616" s="54" t="s">
        <v>1264</v>
      </c>
      <c r="K616" s="54" t="s">
        <v>881</v>
      </c>
      <c r="L616" s="54" t="s">
        <v>129</v>
      </c>
      <c r="N616" s="54" t="s">
        <v>2048</v>
      </c>
    </row>
    <row r="617" spans="1:14" ht="12">
      <c r="A617" s="2">
        <v>616</v>
      </c>
      <c r="B617" s="54" t="s">
        <v>2049</v>
      </c>
      <c r="E617" s="52"/>
      <c r="I617" s="54">
        <v>170</v>
      </c>
      <c r="J617" s="54" t="s">
        <v>1264</v>
      </c>
      <c r="K617" s="54" t="s">
        <v>881</v>
      </c>
      <c r="L617" s="54" t="s">
        <v>129</v>
      </c>
      <c r="N617" s="54" t="s">
        <v>2050</v>
      </c>
    </row>
    <row r="618" spans="1:14" ht="24">
      <c r="A618" s="2">
        <v>617</v>
      </c>
      <c r="B618" s="500" t="s">
        <v>2051</v>
      </c>
      <c r="C618" s="261"/>
      <c r="D618" s="257" t="s">
        <v>1235</v>
      </c>
      <c r="E618" s="259"/>
      <c r="F618" s="261"/>
      <c r="G618" s="261"/>
      <c r="H618" s="261"/>
      <c r="I618" s="261"/>
      <c r="J618" s="500" t="s">
        <v>1264</v>
      </c>
      <c r="K618" s="500" t="s">
        <v>2052</v>
      </c>
      <c r="L618" s="500" t="s">
        <v>111</v>
      </c>
      <c r="M618" s="500" t="s">
        <v>1884</v>
      </c>
      <c r="N618" s="500" t="s">
        <v>2053</v>
      </c>
    </row>
    <row r="619" spans="1:14" ht="24">
      <c r="A619" s="2">
        <v>618</v>
      </c>
      <c r="B619" s="500" t="s">
        <v>2054</v>
      </c>
      <c r="C619" s="261"/>
      <c r="D619" s="257" t="s">
        <v>1235</v>
      </c>
      <c r="E619" s="259"/>
      <c r="F619" s="261"/>
      <c r="G619" s="261"/>
      <c r="H619" s="261"/>
      <c r="I619" s="261"/>
      <c r="J619" s="500" t="s">
        <v>1264</v>
      </c>
      <c r="K619" s="500" t="s">
        <v>2052</v>
      </c>
      <c r="L619" s="500" t="s">
        <v>111</v>
      </c>
      <c r="M619" s="500" t="s">
        <v>1884</v>
      </c>
      <c r="N619" s="500" t="s">
        <v>2053</v>
      </c>
    </row>
    <row r="620" spans="1:14" ht="12">
      <c r="A620" s="2">
        <v>619</v>
      </c>
      <c r="B620" s="54" t="s">
        <v>2055</v>
      </c>
      <c r="D620" s="54" t="s">
        <v>2056</v>
      </c>
      <c r="E620" s="52"/>
      <c r="I620" s="54">
        <v>120</v>
      </c>
      <c r="J620" s="54" t="s">
        <v>1264</v>
      </c>
      <c r="K620" s="54" t="s">
        <v>881</v>
      </c>
      <c r="L620" s="54" t="s">
        <v>111</v>
      </c>
      <c r="N620" s="54" t="s">
        <v>2057</v>
      </c>
    </row>
    <row r="621" spans="1:14" ht="12">
      <c r="A621" s="2">
        <v>620</v>
      </c>
      <c r="B621" s="54" t="s">
        <v>2058</v>
      </c>
      <c r="E621" s="52"/>
      <c r="K621" s="54" t="s">
        <v>141</v>
      </c>
      <c r="N621" s="54" t="s">
        <v>2059</v>
      </c>
    </row>
    <row r="622" spans="1:14" ht="13">
      <c r="A622" s="2">
        <v>621</v>
      </c>
      <c r="B622" s="487" t="s">
        <v>2060</v>
      </c>
      <c r="E622" s="52"/>
      <c r="I622" s="54">
        <v>473</v>
      </c>
      <c r="K622" s="54" t="s">
        <v>1549</v>
      </c>
      <c r="L622" s="50" t="s">
        <v>1683</v>
      </c>
      <c r="N622" s="54" t="s">
        <v>2061</v>
      </c>
    </row>
    <row r="623" spans="1:14" ht="12">
      <c r="A623" s="2">
        <v>622</v>
      </c>
      <c r="B623" s="54" t="s">
        <v>2062</v>
      </c>
      <c r="E623" s="52"/>
      <c r="K623" s="54" t="s">
        <v>2063</v>
      </c>
      <c r="L623" s="54" t="s">
        <v>129</v>
      </c>
      <c r="N623" s="54" t="s">
        <v>2064</v>
      </c>
    </row>
    <row r="624" spans="1:14" ht="12">
      <c r="A624" s="2">
        <v>623</v>
      </c>
      <c r="B624" s="54" t="s">
        <v>2065</v>
      </c>
      <c r="E624" s="52"/>
      <c r="K624" s="54" t="s">
        <v>2063</v>
      </c>
      <c r="L624" s="54" t="s">
        <v>111</v>
      </c>
      <c r="N624" s="54" t="s">
        <v>2064</v>
      </c>
    </row>
    <row r="625" spans="1:14" ht="12">
      <c r="A625" s="2">
        <v>624</v>
      </c>
      <c r="B625" s="54" t="s">
        <v>2066</v>
      </c>
      <c r="E625" s="52"/>
      <c r="L625" s="54" t="s">
        <v>111</v>
      </c>
      <c r="N625" s="54" t="s">
        <v>1091</v>
      </c>
    </row>
    <row r="626" spans="1:14" ht="12">
      <c r="A626" s="2">
        <v>625</v>
      </c>
      <c r="B626" s="54" t="s">
        <v>2067</v>
      </c>
      <c r="E626" s="52"/>
      <c r="L626" s="54" t="s">
        <v>111</v>
      </c>
      <c r="N626" s="54" t="s">
        <v>1091</v>
      </c>
    </row>
    <row r="627" spans="1:14" ht="12">
      <c r="A627" s="2">
        <v>626</v>
      </c>
      <c r="B627" s="54" t="s">
        <v>2068</v>
      </c>
      <c r="E627" s="52"/>
      <c r="L627" s="54" t="s">
        <v>111</v>
      </c>
      <c r="N627" s="54" t="s">
        <v>1091</v>
      </c>
    </row>
    <row r="628" spans="1:14" ht="12">
      <c r="A628" s="2">
        <v>627</v>
      </c>
      <c r="B628" s="54" t="s">
        <v>2069</v>
      </c>
      <c r="E628" s="52"/>
      <c r="I628" s="54">
        <v>494</v>
      </c>
      <c r="J628" s="54" t="s">
        <v>1264</v>
      </c>
      <c r="K628" s="54" t="s">
        <v>2070</v>
      </c>
      <c r="L628" s="50" t="s">
        <v>1683</v>
      </c>
      <c r="M628" s="54" t="s">
        <v>1884</v>
      </c>
      <c r="N628" s="516" t="s">
        <v>2071</v>
      </c>
    </row>
    <row r="629" spans="1:14" ht="12">
      <c r="A629" s="2">
        <v>628</v>
      </c>
      <c r="B629" s="519" t="s">
        <v>2078</v>
      </c>
      <c r="E629" s="52"/>
      <c r="I629" s="54">
        <v>496</v>
      </c>
      <c r="J629" s="519" t="s">
        <v>1264</v>
      </c>
      <c r="K629" s="54" t="s">
        <v>2070</v>
      </c>
      <c r="L629" s="50" t="s">
        <v>1683</v>
      </c>
      <c r="M629" s="54" t="s">
        <v>1884</v>
      </c>
      <c r="N629" s="516" t="s">
        <v>2079</v>
      </c>
    </row>
    <row r="630" spans="1:14" ht="12">
      <c r="A630" s="2">
        <v>629</v>
      </c>
      <c r="B630" s="519" t="s">
        <v>2080</v>
      </c>
      <c r="E630" s="52"/>
      <c r="I630" s="54">
        <v>497</v>
      </c>
      <c r="J630" s="519" t="s">
        <v>1264</v>
      </c>
      <c r="K630" s="54" t="s">
        <v>2070</v>
      </c>
      <c r="L630" s="50" t="s">
        <v>1683</v>
      </c>
      <c r="M630" s="54" t="s">
        <v>1884</v>
      </c>
      <c r="N630" s="516" t="s">
        <v>2081</v>
      </c>
    </row>
    <row r="631" spans="1:14" ht="24">
      <c r="A631" s="2">
        <v>630</v>
      </c>
      <c r="B631" s="54" t="s">
        <v>2082</v>
      </c>
      <c r="C631" s="54" t="s">
        <v>137</v>
      </c>
      <c r="E631" s="52"/>
      <c r="I631" s="54">
        <v>212</v>
      </c>
      <c r="K631" s="54" t="s">
        <v>2083</v>
      </c>
      <c r="L631" s="54" t="s">
        <v>111</v>
      </c>
      <c r="N631" s="54" t="s">
        <v>2084</v>
      </c>
    </row>
    <row r="632" spans="1:14" ht="12">
      <c r="A632" s="2">
        <v>631</v>
      </c>
      <c r="B632" s="54" t="s">
        <v>2085</v>
      </c>
      <c r="C632" s="54" t="s">
        <v>137</v>
      </c>
      <c r="E632" s="52"/>
      <c r="I632" s="54">
        <v>212</v>
      </c>
      <c r="K632" s="54" t="s">
        <v>2083</v>
      </c>
      <c r="L632" s="54" t="s">
        <v>111</v>
      </c>
      <c r="N632" s="54" t="s">
        <v>2084</v>
      </c>
    </row>
    <row r="633" spans="1:14" ht="12">
      <c r="A633" s="2">
        <v>632</v>
      </c>
      <c r="B633" s="54" t="s">
        <v>2086</v>
      </c>
      <c r="C633" s="54" t="s">
        <v>137</v>
      </c>
      <c r="E633" s="52"/>
      <c r="I633" s="54">
        <v>212</v>
      </c>
      <c r="K633" s="54" t="s">
        <v>2083</v>
      </c>
      <c r="L633" s="54" t="s">
        <v>111</v>
      </c>
      <c r="N633" s="54" t="s">
        <v>2084</v>
      </c>
    </row>
    <row r="634" spans="1:14" ht="12">
      <c r="A634" s="2">
        <v>633</v>
      </c>
      <c r="B634" s="54" t="s">
        <v>2088</v>
      </c>
      <c r="C634" s="54" t="s">
        <v>137</v>
      </c>
      <c r="E634" s="52"/>
      <c r="I634" s="54">
        <v>212</v>
      </c>
      <c r="K634" s="54" t="s">
        <v>2083</v>
      </c>
      <c r="L634" s="54" t="s">
        <v>111</v>
      </c>
      <c r="N634" s="54" t="s">
        <v>2084</v>
      </c>
    </row>
    <row r="635" spans="1:14" ht="12">
      <c r="A635" s="2">
        <v>634</v>
      </c>
      <c r="B635" s="54" t="s">
        <v>2089</v>
      </c>
      <c r="C635" s="54" t="s">
        <v>137</v>
      </c>
      <c r="E635" s="52"/>
      <c r="I635" s="54">
        <v>212</v>
      </c>
      <c r="K635" s="54" t="s">
        <v>2083</v>
      </c>
      <c r="L635" s="54" t="s">
        <v>111</v>
      </c>
      <c r="N635" s="54" t="s">
        <v>2084</v>
      </c>
    </row>
    <row r="636" spans="1:14" ht="12">
      <c r="A636" s="2">
        <v>635</v>
      </c>
      <c r="B636" s="54" t="s">
        <v>2090</v>
      </c>
      <c r="D636" s="54"/>
      <c r="E636" s="52"/>
      <c r="J636" s="54" t="s">
        <v>1639</v>
      </c>
      <c r="K636" s="54" t="s">
        <v>2091</v>
      </c>
      <c r="L636" s="54" t="s">
        <v>111</v>
      </c>
    </row>
    <row r="637" spans="1:14" ht="12">
      <c r="A637" s="2">
        <v>636</v>
      </c>
      <c r="B637" s="54" t="s">
        <v>1298</v>
      </c>
      <c r="C637" s="54" t="s">
        <v>137</v>
      </c>
      <c r="E637" s="52"/>
      <c r="I637" s="54">
        <v>571</v>
      </c>
      <c r="J637" s="519" t="s">
        <v>1264</v>
      </c>
      <c r="K637" s="54" t="s">
        <v>881</v>
      </c>
      <c r="L637" s="54" t="s">
        <v>111</v>
      </c>
      <c r="M637" s="54" t="s">
        <v>1884</v>
      </c>
      <c r="N637" s="54" t="s">
        <v>2092</v>
      </c>
    </row>
    <row r="638" spans="1:14" ht="12">
      <c r="A638" s="2">
        <v>637</v>
      </c>
      <c r="B638" s="54" t="s">
        <v>1301</v>
      </c>
      <c r="C638" s="54" t="s">
        <v>137</v>
      </c>
      <c r="E638" s="52"/>
      <c r="I638" s="54">
        <v>481</v>
      </c>
      <c r="J638" s="519" t="s">
        <v>1264</v>
      </c>
      <c r="K638" s="54" t="s">
        <v>881</v>
      </c>
      <c r="L638" s="54" t="s">
        <v>111</v>
      </c>
      <c r="M638" s="54" t="s">
        <v>1884</v>
      </c>
      <c r="N638" s="54" t="s">
        <v>2093</v>
      </c>
    </row>
    <row r="639" spans="1:14" ht="12">
      <c r="A639" s="2">
        <v>638</v>
      </c>
      <c r="B639" s="54" t="s">
        <v>1304</v>
      </c>
      <c r="C639" s="54" t="s">
        <v>137</v>
      </c>
      <c r="E639" s="52"/>
      <c r="I639" s="54">
        <v>481</v>
      </c>
      <c r="J639" s="519" t="s">
        <v>1264</v>
      </c>
      <c r="K639" s="54" t="s">
        <v>881</v>
      </c>
      <c r="L639" s="54" t="s">
        <v>111</v>
      </c>
      <c r="M639" s="54" t="s">
        <v>1884</v>
      </c>
      <c r="N639" s="54" t="s">
        <v>2094</v>
      </c>
    </row>
    <row r="640" spans="1:14" ht="12">
      <c r="A640" s="2">
        <v>639</v>
      </c>
      <c r="B640" s="54" t="s">
        <v>2095</v>
      </c>
      <c r="E640" s="52"/>
      <c r="I640" s="54">
        <v>627</v>
      </c>
      <c r="J640" s="519" t="s">
        <v>1264</v>
      </c>
      <c r="K640" s="54" t="s">
        <v>2070</v>
      </c>
      <c r="L640" s="50" t="s">
        <v>1683</v>
      </c>
      <c r="N640" s="54" t="s">
        <v>2096</v>
      </c>
    </row>
    <row r="641" spans="1:14" ht="12">
      <c r="A641" s="2">
        <v>640</v>
      </c>
      <c r="B641" s="54" t="s">
        <v>2097</v>
      </c>
      <c r="E641" s="52"/>
      <c r="I641" s="54">
        <v>628</v>
      </c>
      <c r="J641" s="519" t="s">
        <v>1264</v>
      </c>
      <c r="K641" s="54" t="s">
        <v>2070</v>
      </c>
      <c r="L641" s="50" t="s">
        <v>1683</v>
      </c>
      <c r="N641" s="54" t="s">
        <v>2098</v>
      </c>
    </row>
    <row r="642" spans="1:14" ht="12">
      <c r="A642" s="2">
        <v>641</v>
      </c>
      <c r="B642" s="54" t="s">
        <v>2099</v>
      </c>
      <c r="E642" s="52"/>
      <c r="I642" s="54">
        <v>629</v>
      </c>
      <c r="J642" s="519" t="s">
        <v>1264</v>
      </c>
      <c r="K642" s="54" t="s">
        <v>2070</v>
      </c>
      <c r="L642" s="50" t="s">
        <v>1683</v>
      </c>
      <c r="N642" s="54" t="s">
        <v>2100</v>
      </c>
    </row>
    <row r="643" spans="1:14" ht="12">
      <c r="A643" s="2">
        <v>642</v>
      </c>
      <c r="B643" s="54" t="s">
        <v>2101</v>
      </c>
      <c r="E643" s="52"/>
      <c r="I643" s="54">
        <v>166</v>
      </c>
      <c r="J643" s="54" t="s">
        <v>1264</v>
      </c>
      <c r="K643" s="54" t="s">
        <v>1549</v>
      </c>
      <c r="L643" s="54" t="s">
        <v>129</v>
      </c>
      <c r="M643" s="54" t="s">
        <v>1884</v>
      </c>
      <c r="N643" s="54" t="s">
        <v>2102</v>
      </c>
    </row>
    <row r="644" spans="1:14" ht="12">
      <c r="A644" s="2">
        <v>643</v>
      </c>
      <c r="B644" s="482" t="s">
        <v>2103</v>
      </c>
      <c r="C644" s="54" t="s">
        <v>137</v>
      </c>
      <c r="E644" s="52"/>
      <c r="I644" s="54">
        <v>231</v>
      </c>
      <c r="J644" s="54" t="s">
        <v>1264</v>
      </c>
      <c r="K644" s="54" t="s">
        <v>881</v>
      </c>
      <c r="L644" s="54" t="s">
        <v>111</v>
      </c>
      <c r="M644" s="54" t="s">
        <v>1884</v>
      </c>
      <c r="N644" s="54" t="s">
        <v>2104</v>
      </c>
    </row>
    <row r="645" spans="1:14" ht="13">
      <c r="A645" s="2">
        <v>644</v>
      </c>
      <c r="B645" s="528" t="s">
        <v>2105</v>
      </c>
      <c r="E645" s="52"/>
      <c r="I645" s="54">
        <v>639</v>
      </c>
      <c r="J645" s="519" t="s">
        <v>1264</v>
      </c>
      <c r="K645" s="54" t="s">
        <v>2070</v>
      </c>
      <c r="L645" s="50" t="s">
        <v>1683</v>
      </c>
      <c r="M645" s="54" t="s">
        <v>1884</v>
      </c>
      <c r="N645" s="54" t="s">
        <v>2106</v>
      </c>
    </row>
    <row r="646" spans="1:14" ht="13">
      <c r="A646" s="2">
        <v>645</v>
      </c>
      <c r="B646" s="528" t="s">
        <v>2107</v>
      </c>
      <c r="E646" s="52"/>
      <c r="I646" s="54">
        <v>640</v>
      </c>
      <c r="J646" s="54" t="s">
        <v>1264</v>
      </c>
      <c r="K646" s="54" t="s">
        <v>2070</v>
      </c>
      <c r="L646" s="50" t="s">
        <v>1683</v>
      </c>
      <c r="M646" s="54" t="s">
        <v>1884</v>
      </c>
      <c r="N646" s="54" t="s">
        <v>2108</v>
      </c>
    </row>
    <row r="647" spans="1:14" ht="13">
      <c r="A647" s="2">
        <v>646</v>
      </c>
      <c r="B647" s="528" t="s">
        <v>2109</v>
      </c>
      <c r="E647" s="52"/>
      <c r="I647" s="54">
        <v>641</v>
      </c>
      <c r="J647" s="54" t="s">
        <v>1264</v>
      </c>
      <c r="K647" s="54" t="s">
        <v>2070</v>
      </c>
      <c r="L647" s="50" t="s">
        <v>1683</v>
      </c>
      <c r="M647" s="54" t="s">
        <v>1884</v>
      </c>
      <c r="N647" s="54" t="s">
        <v>2110</v>
      </c>
    </row>
    <row r="648" spans="1:14" ht="12">
      <c r="A648" s="2">
        <v>647</v>
      </c>
      <c r="B648" s="54" t="s">
        <v>2111</v>
      </c>
      <c r="E648" s="52"/>
      <c r="K648" s="54" t="s">
        <v>2112</v>
      </c>
      <c r="L648" s="54" t="s">
        <v>111</v>
      </c>
      <c r="M648" s="54" t="s">
        <v>1884</v>
      </c>
      <c r="N648" s="54" t="s">
        <v>2113</v>
      </c>
    </row>
    <row r="649" spans="1:14" ht="12">
      <c r="A649" s="2">
        <v>648</v>
      </c>
      <c r="B649" s="54" t="s">
        <v>2114</v>
      </c>
      <c r="E649" s="52"/>
      <c r="K649" s="54"/>
      <c r="L649" s="54" t="s">
        <v>2115</v>
      </c>
      <c r="N649" s="54" t="s">
        <v>2116</v>
      </c>
    </row>
    <row r="650" spans="1:14" ht="12">
      <c r="A650" s="2">
        <v>649</v>
      </c>
      <c r="B650" s="54" t="s">
        <v>2117</v>
      </c>
      <c r="C650" s="54" t="s">
        <v>137</v>
      </c>
      <c r="E650" s="52"/>
      <c r="I650" s="54">
        <v>566</v>
      </c>
      <c r="J650" s="54" t="s">
        <v>1264</v>
      </c>
      <c r="K650" s="54" t="s">
        <v>881</v>
      </c>
      <c r="L650" s="54" t="s">
        <v>2115</v>
      </c>
      <c r="M650" s="54" t="s">
        <v>1884</v>
      </c>
      <c r="N650" s="54" t="s">
        <v>2118</v>
      </c>
    </row>
    <row r="651" spans="1:14" ht="13">
      <c r="A651" s="2">
        <v>650</v>
      </c>
      <c r="B651" s="528" t="s">
        <v>2119</v>
      </c>
      <c r="E651" s="52"/>
      <c r="I651" s="54">
        <v>644</v>
      </c>
      <c r="J651" s="54" t="s">
        <v>1264</v>
      </c>
      <c r="K651" s="54" t="s">
        <v>2070</v>
      </c>
      <c r="L651" s="50" t="s">
        <v>1683</v>
      </c>
      <c r="M651" s="54" t="s">
        <v>1884</v>
      </c>
      <c r="N651" s="54" t="s">
        <v>2120</v>
      </c>
    </row>
    <row r="652" spans="1:14" ht="13">
      <c r="A652" s="2">
        <v>651</v>
      </c>
      <c r="B652" s="528" t="s">
        <v>2121</v>
      </c>
      <c r="E652" s="52"/>
      <c r="I652" s="54">
        <v>645</v>
      </c>
      <c r="J652" s="54" t="s">
        <v>1264</v>
      </c>
      <c r="K652" s="54" t="s">
        <v>2070</v>
      </c>
      <c r="L652" s="50" t="s">
        <v>1683</v>
      </c>
      <c r="M652" s="54" t="s">
        <v>1884</v>
      </c>
      <c r="N652" s="54" t="s">
        <v>2122</v>
      </c>
    </row>
    <row r="653" spans="1:14" ht="13">
      <c r="A653" s="2">
        <v>652</v>
      </c>
      <c r="B653" s="528" t="s">
        <v>2123</v>
      </c>
      <c r="E653" s="52"/>
      <c r="I653" s="54">
        <v>646</v>
      </c>
      <c r="J653" s="54" t="s">
        <v>1264</v>
      </c>
      <c r="K653" s="54" t="s">
        <v>2070</v>
      </c>
      <c r="L653" s="50" t="s">
        <v>1683</v>
      </c>
      <c r="M653" s="54" t="s">
        <v>1884</v>
      </c>
      <c r="N653" s="54" t="s">
        <v>2124</v>
      </c>
    </row>
    <row r="654" spans="1:14" ht="12">
      <c r="A654" s="2">
        <v>653</v>
      </c>
      <c r="B654" s="54" t="s">
        <v>1367</v>
      </c>
      <c r="C654" s="54" t="s">
        <v>137</v>
      </c>
      <c r="E654" s="52"/>
      <c r="I654" s="54">
        <v>304</v>
      </c>
      <c r="J654" s="54" t="s">
        <v>1264</v>
      </c>
      <c r="K654" s="54" t="s">
        <v>2126</v>
      </c>
      <c r="L654" s="54" t="s">
        <v>2115</v>
      </c>
      <c r="M654" s="54" t="s">
        <v>1884</v>
      </c>
      <c r="N654" s="54" t="s">
        <v>2127</v>
      </c>
    </row>
    <row r="655" spans="1:14" ht="12">
      <c r="A655" s="2">
        <v>654</v>
      </c>
      <c r="B655" s="54" t="s">
        <v>2128</v>
      </c>
      <c r="E655" s="52"/>
      <c r="K655" s="54" t="s">
        <v>2129</v>
      </c>
      <c r="L655" s="54" t="s">
        <v>2115</v>
      </c>
      <c r="N655" s="54" t="s">
        <v>2059</v>
      </c>
    </row>
    <row r="656" spans="1:14" ht="12">
      <c r="A656" s="2">
        <v>655</v>
      </c>
      <c r="B656" s="54" t="s">
        <v>2130</v>
      </c>
      <c r="C656" s="54" t="s">
        <v>315</v>
      </c>
      <c r="E656" s="52"/>
      <c r="I656" s="54" t="s">
        <v>82</v>
      </c>
      <c r="J656" s="54" t="s">
        <v>82</v>
      </c>
      <c r="K656" s="54" t="s">
        <v>82</v>
      </c>
      <c r="L656" s="54" t="s">
        <v>2115</v>
      </c>
      <c r="N656" s="54" t="s">
        <v>2131</v>
      </c>
    </row>
    <row r="657" spans="1:14" ht="12">
      <c r="A657" s="2">
        <v>656</v>
      </c>
      <c r="B657" s="54" t="s">
        <v>2132</v>
      </c>
      <c r="D657" s="54" t="s">
        <v>2133</v>
      </c>
      <c r="E657" s="52"/>
    </row>
    <row r="658" spans="1:14" ht="12">
      <c r="A658" s="2">
        <v>657</v>
      </c>
      <c r="B658" s="54" t="s">
        <v>2134</v>
      </c>
      <c r="D658" s="54" t="s">
        <v>2135</v>
      </c>
      <c r="E658" s="52"/>
    </row>
    <row r="659" spans="1:14" ht="12">
      <c r="A659" s="2">
        <v>658</v>
      </c>
      <c r="B659" s="54" t="s">
        <v>2136</v>
      </c>
      <c r="E659" s="52"/>
      <c r="K659" s="54" t="s">
        <v>52</v>
      </c>
      <c r="L659" s="54" t="s">
        <v>2137</v>
      </c>
    </row>
    <row r="660" spans="1:14" ht="12">
      <c r="A660" s="2">
        <v>659</v>
      </c>
      <c r="B660" s="54" t="s">
        <v>2138</v>
      </c>
      <c r="E660" s="52"/>
      <c r="K660" s="54" t="s">
        <v>52</v>
      </c>
      <c r="L660" s="54" t="s">
        <v>2137</v>
      </c>
    </row>
    <row r="661" spans="1:14" ht="12">
      <c r="A661" s="2">
        <v>660</v>
      </c>
      <c r="B661" s="54" t="s">
        <v>2139</v>
      </c>
      <c r="E661" s="52"/>
      <c r="K661" s="54" t="s">
        <v>52</v>
      </c>
      <c r="L661" s="54" t="s">
        <v>2137</v>
      </c>
    </row>
    <row r="662" spans="1:14" ht="12">
      <c r="A662" s="2">
        <v>661</v>
      </c>
      <c r="B662" s="54" t="s">
        <v>2140</v>
      </c>
      <c r="E662" s="52"/>
      <c r="K662" s="54" t="s">
        <v>52</v>
      </c>
      <c r="L662" s="54" t="s">
        <v>2137</v>
      </c>
    </row>
    <row r="663" spans="1:14" ht="12">
      <c r="A663" s="2">
        <v>662</v>
      </c>
      <c r="B663" s="54" t="s">
        <v>2141</v>
      </c>
      <c r="E663" s="52"/>
      <c r="K663" s="54" t="s">
        <v>52</v>
      </c>
      <c r="L663" s="54" t="s">
        <v>2137</v>
      </c>
    </row>
    <row r="664" spans="1:14" ht="12">
      <c r="A664" s="2">
        <v>663</v>
      </c>
      <c r="B664" s="54" t="s">
        <v>1359</v>
      </c>
      <c r="E664" s="52"/>
      <c r="I664" s="54">
        <v>554</v>
      </c>
      <c r="J664" s="54" t="s">
        <v>1264</v>
      </c>
      <c r="K664" s="54" t="s">
        <v>2126</v>
      </c>
      <c r="L664" s="54" t="s">
        <v>2143</v>
      </c>
      <c r="M664" s="54" t="s">
        <v>1884</v>
      </c>
      <c r="N664" s="54" t="s">
        <v>2144</v>
      </c>
    </row>
    <row r="665" spans="1:14" ht="12">
      <c r="A665" s="2">
        <v>664</v>
      </c>
      <c r="B665" s="54" t="s">
        <v>2145</v>
      </c>
      <c r="E665" s="52"/>
      <c r="K665" s="54" t="s">
        <v>1549</v>
      </c>
      <c r="L665" s="50" t="s">
        <v>1683</v>
      </c>
    </row>
    <row r="666" spans="1:14" ht="12">
      <c r="A666" s="2">
        <v>665</v>
      </c>
      <c r="B666" s="54" t="s">
        <v>2146</v>
      </c>
      <c r="E666" s="52"/>
      <c r="K666" s="54" t="s">
        <v>1549</v>
      </c>
      <c r="L666" s="50" t="s">
        <v>1683</v>
      </c>
    </row>
    <row r="667" spans="1:14" ht="12">
      <c r="A667" s="2">
        <v>666</v>
      </c>
      <c r="B667" s="54" t="s">
        <v>2147</v>
      </c>
      <c r="D667" s="54" t="s">
        <v>2148</v>
      </c>
      <c r="E667" s="52"/>
      <c r="I667" s="54">
        <v>190</v>
      </c>
      <c r="J667" s="54" t="s">
        <v>1264</v>
      </c>
      <c r="K667" s="54" t="s">
        <v>881</v>
      </c>
      <c r="L667" s="54" t="s">
        <v>111</v>
      </c>
      <c r="M667" s="54" t="s">
        <v>1884</v>
      </c>
      <c r="N667" s="54" t="s">
        <v>2149</v>
      </c>
    </row>
    <row r="668" spans="1:14" ht="24">
      <c r="A668" s="2">
        <v>667</v>
      </c>
      <c r="B668" s="54" t="s">
        <v>2150</v>
      </c>
      <c r="D668" s="54" t="s">
        <v>2151</v>
      </c>
      <c r="E668" s="52"/>
      <c r="I668" s="54" t="s">
        <v>2152</v>
      </c>
      <c r="J668" s="54" t="s">
        <v>1264</v>
      </c>
      <c r="K668" s="54" t="s">
        <v>1549</v>
      </c>
      <c r="L668" s="54" t="s">
        <v>129</v>
      </c>
    </row>
    <row r="669" spans="1:14" ht="24">
      <c r="A669" s="2">
        <v>668</v>
      </c>
      <c r="B669" s="54" t="s">
        <v>2153</v>
      </c>
      <c r="D669" s="54" t="s">
        <v>2151</v>
      </c>
      <c r="E669" s="52"/>
      <c r="I669" s="54" t="s">
        <v>2152</v>
      </c>
      <c r="J669" s="54" t="s">
        <v>1264</v>
      </c>
      <c r="K669" s="54" t="s">
        <v>1549</v>
      </c>
      <c r="L669" s="54" t="s">
        <v>129</v>
      </c>
      <c r="M669" s="54" t="s">
        <v>1884</v>
      </c>
    </row>
    <row r="670" spans="1:14" ht="12">
      <c r="A670" s="2">
        <v>669</v>
      </c>
      <c r="B670" s="54" t="s">
        <v>2154</v>
      </c>
      <c r="E670" s="52"/>
      <c r="I670" s="54" t="s">
        <v>2152</v>
      </c>
      <c r="J670" s="54" t="s">
        <v>1264</v>
      </c>
      <c r="K670" s="54" t="s">
        <v>1549</v>
      </c>
      <c r="L670" s="54" t="s">
        <v>129</v>
      </c>
    </row>
    <row r="671" spans="1:14" ht="12">
      <c r="A671" s="2">
        <v>670</v>
      </c>
      <c r="B671" s="54" t="s">
        <v>2155</v>
      </c>
      <c r="E671" s="52"/>
      <c r="I671" s="54" t="s">
        <v>2152</v>
      </c>
      <c r="J671" s="54" t="s">
        <v>1264</v>
      </c>
      <c r="K671" s="54" t="s">
        <v>1549</v>
      </c>
      <c r="L671" s="54" t="s">
        <v>129</v>
      </c>
    </row>
    <row r="672" spans="1:14" ht="13">
      <c r="A672" s="2">
        <v>671</v>
      </c>
      <c r="B672" s="487" t="s">
        <v>2156</v>
      </c>
      <c r="D672" s="54" t="s">
        <v>809</v>
      </c>
      <c r="E672" s="52"/>
      <c r="I672" s="54">
        <v>242</v>
      </c>
      <c r="J672" s="54"/>
      <c r="K672" s="54" t="s">
        <v>2126</v>
      </c>
      <c r="L672" s="54" t="s">
        <v>2115</v>
      </c>
      <c r="N672" s="54" t="s">
        <v>2157</v>
      </c>
    </row>
    <row r="673" spans="1:14" ht="13">
      <c r="A673" s="2">
        <v>672</v>
      </c>
      <c r="B673" s="487" t="s">
        <v>1356</v>
      </c>
      <c r="E673" s="52"/>
      <c r="I673" s="54">
        <v>554</v>
      </c>
      <c r="J673" s="54" t="s">
        <v>1264</v>
      </c>
      <c r="K673" s="54" t="s">
        <v>2126</v>
      </c>
      <c r="L673" s="54" t="s">
        <v>2143</v>
      </c>
      <c r="M673" s="54" t="s">
        <v>1884</v>
      </c>
      <c r="N673" s="54" t="s">
        <v>2158</v>
      </c>
    </row>
    <row r="674" spans="1:14" ht="13">
      <c r="A674" s="2">
        <v>673</v>
      </c>
      <c r="B674" s="487" t="s">
        <v>2159</v>
      </c>
      <c r="E674" s="52"/>
      <c r="J674" s="54"/>
      <c r="K674" s="54" t="s">
        <v>1126</v>
      </c>
      <c r="L674" s="54" t="s">
        <v>2115</v>
      </c>
    </row>
    <row r="675" spans="1:14" ht="13">
      <c r="A675" s="2">
        <v>674</v>
      </c>
      <c r="B675" s="487" t="s">
        <v>2160</v>
      </c>
      <c r="E675" s="52"/>
      <c r="K675" s="54" t="s">
        <v>1126</v>
      </c>
      <c r="L675" s="54" t="s">
        <v>2115</v>
      </c>
    </row>
    <row r="676" spans="1:14" ht="12">
      <c r="A676" s="2">
        <v>675</v>
      </c>
      <c r="B676" s="54" t="s">
        <v>2161</v>
      </c>
      <c r="E676" s="52"/>
      <c r="K676" s="54" t="s">
        <v>1126</v>
      </c>
      <c r="L676" s="54" t="s">
        <v>2115</v>
      </c>
    </row>
    <row r="677" spans="1:14" ht="12">
      <c r="A677" s="2">
        <v>676</v>
      </c>
      <c r="B677" s="54" t="s">
        <v>2162</v>
      </c>
      <c r="E677" s="52"/>
      <c r="J677" s="54" t="s">
        <v>583</v>
      </c>
      <c r="K677" s="54" t="s">
        <v>881</v>
      </c>
      <c r="L677" s="54" t="s">
        <v>111</v>
      </c>
      <c r="N677" s="54" t="s">
        <v>2163</v>
      </c>
    </row>
    <row r="678" spans="1:14" ht="12">
      <c r="A678" s="2">
        <v>677</v>
      </c>
      <c r="B678" s="54" t="s">
        <v>2164</v>
      </c>
      <c r="E678" s="52"/>
      <c r="J678" s="54" t="s">
        <v>1264</v>
      </c>
      <c r="K678" s="54" t="s">
        <v>881</v>
      </c>
      <c r="L678" s="54" t="s">
        <v>111</v>
      </c>
      <c r="N678" s="54" t="s">
        <v>2165</v>
      </c>
    </row>
    <row r="679" spans="1:14" ht="12">
      <c r="A679" s="2">
        <v>678</v>
      </c>
      <c r="B679" s="54" t="s">
        <v>2166</v>
      </c>
      <c r="D679" s="54" t="s">
        <v>2167</v>
      </c>
      <c r="E679" s="52"/>
      <c r="I679" s="54" t="s">
        <v>1938</v>
      </c>
      <c r="J679" s="54" t="s">
        <v>1264</v>
      </c>
      <c r="K679" s="54" t="s">
        <v>1086</v>
      </c>
      <c r="M679" s="54" t="s">
        <v>1884</v>
      </c>
    </row>
    <row r="680" spans="1:14" ht="12">
      <c r="A680" s="2">
        <v>679</v>
      </c>
      <c r="B680" s="54" t="s">
        <v>2168</v>
      </c>
      <c r="D680" s="54" t="s">
        <v>2169</v>
      </c>
      <c r="E680" s="52"/>
      <c r="I680" s="54" t="s">
        <v>1938</v>
      </c>
      <c r="J680" s="54" t="s">
        <v>1264</v>
      </c>
      <c r="K680" s="54" t="s">
        <v>1086</v>
      </c>
      <c r="M680" s="54" t="s">
        <v>1884</v>
      </c>
    </row>
    <row r="681" spans="1:14" ht="13">
      <c r="A681" s="2">
        <v>680</v>
      </c>
      <c r="B681" s="487" t="s">
        <v>2170</v>
      </c>
      <c r="E681" s="52"/>
      <c r="I681" s="54">
        <v>58</v>
      </c>
      <c r="J681" s="54" t="s">
        <v>1264</v>
      </c>
      <c r="K681" s="54" t="s">
        <v>2126</v>
      </c>
      <c r="L681" s="54" t="s">
        <v>1920</v>
      </c>
      <c r="M681" s="54" t="s">
        <v>1884</v>
      </c>
      <c r="N681" s="54" t="s">
        <v>2171</v>
      </c>
    </row>
    <row r="682" spans="1:14" ht="12">
      <c r="A682" s="2">
        <v>681</v>
      </c>
      <c r="B682" s="54" t="s">
        <v>2172</v>
      </c>
      <c r="D682" s="54" t="s">
        <v>2173</v>
      </c>
      <c r="E682" s="52"/>
      <c r="I682" s="54" t="s">
        <v>2174</v>
      </c>
      <c r="J682" s="54" t="s">
        <v>1264</v>
      </c>
      <c r="K682" s="54" t="s">
        <v>881</v>
      </c>
      <c r="L682" s="54" t="s">
        <v>111</v>
      </c>
      <c r="M682" s="54" t="s">
        <v>1884</v>
      </c>
      <c r="N682" s="54" t="s">
        <v>2175</v>
      </c>
    </row>
    <row r="683" spans="1:14" ht="12">
      <c r="A683" s="2">
        <v>682</v>
      </c>
      <c r="B683" s="54" t="s">
        <v>2177</v>
      </c>
      <c r="D683" s="54" t="s">
        <v>2148</v>
      </c>
      <c r="E683" s="52"/>
      <c r="I683" s="54" t="s">
        <v>2174</v>
      </c>
      <c r="J683" s="54" t="s">
        <v>1264</v>
      </c>
      <c r="K683" s="54" t="s">
        <v>881</v>
      </c>
      <c r="L683" s="54" t="s">
        <v>111</v>
      </c>
      <c r="M683" s="54" t="s">
        <v>1884</v>
      </c>
      <c r="N683" s="54" t="s">
        <v>2178</v>
      </c>
    </row>
    <row r="684" spans="1:14" ht="36">
      <c r="A684" s="2">
        <v>683</v>
      </c>
      <c r="B684" s="54" t="s">
        <v>2179</v>
      </c>
      <c r="D684" s="54" t="s">
        <v>2180</v>
      </c>
      <c r="E684" s="52"/>
      <c r="K684" s="54" t="s">
        <v>1520</v>
      </c>
      <c r="N684" s="54" t="s">
        <v>2181</v>
      </c>
    </row>
    <row r="685" spans="1:14" ht="12">
      <c r="A685" s="2">
        <v>684</v>
      </c>
      <c r="B685" s="54" t="s">
        <v>2182</v>
      </c>
      <c r="D685" s="54" t="s">
        <v>2148</v>
      </c>
      <c r="E685" s="52"/>
      <c r="I685" s="54" t="s">
        <v>2174</v>
      </c>
      <c r="J685" s="54" t="s">
        <v>1264</v>
      </c>
      <c r="K685" s="54" t="s">
        <v>881</v>
      </c>
      <c r="L685" s="54" t="s">
        <v>111</v>
      </c>
      <c r="M685" s="54"/>
      <c r="N685" s="54" t="s">
        <v>2184</v>
      </c>
    </row>
    <row r="686" spans="1:14" ht="12">
      <c r="A686" s="2">
        <v>685</v>
      </c>
      <c r="B686" s="543" t="s">
        <v>2186</v>
      </c>
      <c r="E686" s="52"/>
      <c r="K686" s="54" t="s">
        <v>1126</v>
      </c>
      <c r="L686" s="54" t="s">
        <v>2115</v>
      </c>
    </row>
    <row r="687" spans="1:14" ht="12">
      <c r="A687" s="2">
        <v>686</v>
      </c>
      <c r="B687" s="545" t="s">
        <v>2187</v>
      </c>
      <c r="E687" s="52"/>
      <c r="K687" s="54" t="s">
        <v>1126</v>
      </c>
      <c r="L687" s="54" t="s">
        <v>2115</v>
      </c>
    </row>
    <row r="688" spans="1:14" ht="12">
      <c r="A688" s="2">
        <v>687</v>
      </c>
      <c r="B688" s="543" t="s">
        <v>2188</v>
      </c>
      <c r="C688" s="543"/>
      <c r="E688" s="52"/>
      <c r="K688" s="54" t="s">
        <v>1126</v>
      </c>
      <c r="L688" s="54" t="s">
        <v>2115</v>
      </c>
    </row>
    <row r="689" spans="1:14" ht="12">
      <c r="A689" s="2">
        <v>688</v>
      </c>
      <c r="B689" s="54" t="s">
        <v>2189</v>
      </c>
      <c r="D689" s="54" t="s">
        <v>2173</v>
      </c>
      <c r="E689" s="52"/>
      <c r="I689" s="54" t="s">
        <v>2174</v>
      </c>
      <c r="J689" s="54" t="s">
        <v>1264</v>
      </c>
      <c r="K689" s="54" t="s">
        <v>881</v>
      </c>
      <c r="L689" s="54" t="s">
        <v>2115</v>
      </c>
      <c r="N689" s="54" t="s">
        <v>2190</v>
      </c>
    </row>
    <row r="690" spans="1:14" ht="13">
      <c r="A690" s="2">
        <v>689</v>
      </c>
      <c r="B690" s="487" t="s">
        <v>2191</v>
      </c>
      <c r="D690" s="54" t="s">
        <v>2192</v>
      </c>
      <c r="E690" s="52"/>
      <c r="I690" s="54">
        <v>360</v>
      </c>
      <c r="J690" s="54" t="s">
        <v>1264</v>
      </c>
      <c r="K690" s="54" t="s">
        <v>2126</v>
      </c>
      <c r="L690" s="54" t="s">
        <v>2115</v>
      </c>
      <c r="N690" s="54" t="s">
        <v>2193</v>
      </c>
    </row>
    <row r="691" spans="1:14" ht="13">
      <c r="A691" s="2">
        <v>690</v>
      </c>
      <c r="B691" s="487" t="s">
        <v>2194</v>
      </c>
      <c r="D691" s="54" t="s">
        <v>2192</v>
      </c>
      <c r="E691" s="52"/>
      <c r="I691" s="54">
        <v>360</v>
      </c>
      <c r="J691" s="54" t="s">
        <v>1264</v>
      </c>
      <c r="K691" s="54" t="s">
        <v>2126</v>
      </c>
      <c r="L691" s="54" t="s">
        <v>2115</v>
      </c>
      <c r="N691" s="54" t="s">
        <v>2195</v>
      </c>
    </row>
    <row r="692" spans="1:14" ht="13">
      <c r="A692" s="2">
        <v>691</v>
      </c>
      <c r="B692" s="487" t="s">
        <v>2196</v>
      </c>
      <c r="D692" s="54" t="s">
        <v>2192</v>
      </c>
      <c r="E692" s="52"/>
      <c r="I692" s="54">
        <v>360</v>
      </c>
      <c r="J692" s="54" t="s">
        <v>1264</v>
      </c>
      <c r="K692" s="54" t="s">
        <v>2126</v>
      </c>
      <c r="L692" s="54" t="s">
        <v>2115</v>
      </c>
      <c r="N692" s="54" t="s">
        <v>2197</v>
      </c>
    </row>
    <row r="693" spans="1:14" ht="13">
      <c r="A693" s="2">
        <v>692</v>
      </c>
      <c r="B693" s="487" t="s">
        <v>2198</v>
      </c>
      <c r="D693" s="54" t="s">
        <v>2192</v>
      </c>
      <c r="E693" s="52"/>
      <c r="I693" s="54">
        <v>360</v>
      </c>
      <c r="J693" s="54" t="s">
        <v>1264</v>
      </c>
      <c r="K693" s="54" t="s">
        <v>2126</v>
      </c>
      <c r="L693" s="54" t="s">
        <v>2115</v>
      </c>
      <c r="N693" s="54" t="s">
        <v>2199</v>
      </c>
    </row>
    <row r="694" spans="1:14" ht="13">
      <c r="A694" s="2">
        <v>693</v>
      </c>
      <c r="B694" s="487" t="s">
        <v>2200</v>
      </c>
      <c r="D694" s="54" t="s">
        <v>2201</v>
      </c>
      <c r="E694" s="52"/>
      <c r="I694" s="54">
        <v>360</v>
      </c>
      <c r="J694" s="54" t="s">
        <v>1264</v>
      </c>
      <c r="K694" s="54" t="s">
        <v>881</v>
      </c>
      <c r="L694" s="54" t="s">
        <v>2115</v>
      </c>
      <c r="M694" s="54" t="s">
        <v>1884</v>
      </c>
      <c r="N694" s="54" t="s">
        <v>2202</v>
      </c>
    </row>
    <row r="695" spans="1:14" ht="24">
      <c r="A695" s="2">
        <v>694</v>
      </c>
      <c r="B695" s="487" t="s">
        <v>2203</v>
      </c>
      <c r="D695" s="54" t="s">
        <v>2204</v>
      </c>
      <c r="E695" s="52"/>
      <c r="I695" s="54">
        <v>360</v>
      </c>
      <c r="J695" s="54" t="s">
        <v>1264</v>
      </c>
      <c r="K695" s="54" t="s">
        <v>881</v>
      </c>
      <c r="L695" s="54" t="s">
        <v>2115</v>
      </c>
      <c r="M695" s="54" t="s">
        <v>1884</v>
      </c>
      <c r="N695" s="54" t="s">
        <v>2205</v>
      </c>
    </row>
    <row r="696" spans="1:14" ht="12">
      <c r="A696" s="2">
        <v>695</v>
      </c>
      <c r="B696" s="54" t="s">
        <v>2206</v>
      </c>
      <c r="D696" s="54" t="s">
        <v>2207</v>
      </c>
      <c r="E696" s="52"/>
      <c r="I696" s="54">
        <v>140</v>
      </c>
      <c r="J696" s="54" t="s">
        <v>1264</v>
      </c>
      <c r="K696" s="54" t="s">
        <v>2070</v>
      </c>
      <c r="L696" s="54" t="s">
        <v>129</v>
      </c>
      <c r="N696" s="54" t="s">
        <v>2208</v>
      </c>
    </row>
    <row r="697" spans="1:14" ht="12">
      <c r="A697" s="2">
        <v>696</v>
      </c>
      <c r="B697" s="54" t="s">
        <v>2209</v>
      </c>
      <c r="E697" s="52"/>
      <c r="I697" s="54">
        <v>190</v>
      </c>
      <c r="K697" s="54" t="s">
        <v>881</v>
      </c>
      <c r="N697" s="54" t="s">
        <v>2210</v>
      </c>
    </row>
    <row r="698" spans="1:14" ht="12">
      <c r="A698" s="2">
        <v>697</v>
      </c>
      <c r="B698" s="54" t="s">
        <v>2211</v>
      </c>
      <c r="D698" s="54" t="s">
        <v>2212</v>
      </c>
      <c r="E698" s="52"/>
      <c r="I698" s="54">
        <v>566</v>
      </c>
      <c r="J698" s="54" t="s">
        <v>1264</v>
      </c>
      <c r="K698" s="54" t="s">
        <v>2126</v>
      </c>
      <c r="M698" s="54" t="s">
        <v>1884</v>
      </c>
      <c r="N698" s="54" t="s">
        <v>2213</v>
      </c>
    </row>
    <row r="699" spans="1:14" ht="12">
      <c r="A699" s="2">
        <v>698</v>
      </c>
      <c r="B699" s="54" t="s">
        <v>2214</v>
      </c>
      <c r="D699" s="54" t="s">
        <v>2215</v>
      </c>
      <c r="E699" s="52"/>
      <c r="I699" s="54">
        <v>573</v>
      </c>
      <c r="J699" s="54" t="s">
        <v>1264</v>
      </c>
      <c r="K699" s="54" t="s">
        <v>2126</v>
      </c>
      <c r="N699" s="54" t="s">
        <v>2216</v>
      </c>
    </row>
    <row r="700" spans="1:14" ht="12">
      <c r="A700" s="2">
        <v>699</v>
      </c>
      <c r="B700" s="54" t="s">
        <v>2217</v>
      </c>
      <c r="D700" s="54" t="s">
        <v>2215</v>
      </c>
      <c r="E700" s="52"/>
      <c r="I700" s="54">
        <v>573</v>
      </c>
      <c r="J700" s="54" t="s">
        <v>1264</v>
      </c>
      <c r="K700" s="54" t="s">
        <v>2126</v>
      </c>
      <c r="N700" s="54" t="s">
        <v>2218</v>
      </c>
    </row>
    <row r="701" spans="1:14" ht="12">
      <c r="A701" s="2">
        <v>700</v>
      </c>
      <c r="B701" s="54" t="s">
        <v>2220</v>
      </c>
      <c r="D701" s="54" t="s">
        <v>2215</v>
      </c>
      <c r="E701" s="52"/>
      <c r="I701" s="54">
        <v>693</v>
      </c>
      <c r="J701" s="54" t="s">
        <v>1264</v>
      </c>
      <c r="K701" s="54" t="s">
        <v>2126</v>
      </c>
      <c r="N701" s="54" t="s">
        <v>2221</v>
      </c>
    </row>
    <row r="702" spans="1:14" ht="12">
      <c r="A702" s="2">
        <v>701</v>
      </c>
      <c r="B702" s="54" t="s">
        <v>2222</v>
      </c>
      <c r="D702" s="54" t="s">
        <v>2215</v>
      </c>
      <c r="E702" s="52"/>
      <c r="I702" s="54">
        <v>694</v>
      </c>
      <c r="J702" s="54" t="s">
        <v>1264</v>
      </c>
      <c r="K702" s="54" t="s">
        <v>2126</v>
      </c>
      <c r="N702" s="54" t="s">
        <v>2223</v>
      </c>
    </row>
    <row r="703" spans="1:14" ht="12">
      <c r="A703" s="2">
        <v>702</v>
      </c>
      <c r="B703" s="54" t="s">
        <v>2224</v>
      </c>
      <c r="E703" s="52"/>
      <c r="K703" s="54" t="s">
        <v>2225</v>
      </c>
      <c r="L703" s="54" t="s">
        <v>2226</v>
      </c>
    </row>
    <row r="704" spans="1:14" ht="12">
      <c r="A704" s="2">
        <v>703</v>
      </c>
      <c r="B704" s="54" t="s">
        <v>2227</v>
      </c>
      <c r="E704" s="52"/>
      <c r="K704" s="54" t="s">
        <v>2116</v>
      </c>
      <c r="L704" s="54" t="s">
        <v>129</v>
      </c>
      <c r="N704" s="54"/>
    </row>
    <row r="705" spans="1:16" ht="12">
      <c r="A705" s="2">
        <v>704</v>
      </c>
      <c r="B705" s="54" t="s">
        <v>2228</v>
      </c>
      <c r="D705" s="54" t="s">
        <v>2229</v>
      </c>
      <c r="E705" s="52"/>
      <c r="I705" s="54">
        <v>473</v>
      </c>
      <c r="K705" s="54" t="s">
        <v>1549</v>
      </c>
      <c r="L705" s="54" t="s">
        <v>1683</v>
      </c>
    </row>
    <row r="706" spans="1:16" ht="12">
      <c r="A706" s="2">
        <v>705</v>
      </c>
      <c r="B706" s="54" t="s">
        <v>2230</v>
      </c>
      <c r="D706" s="54" t="s">
        <v>2231</v>
      </c>
      <c r="E706" s="52"/>
      <c r="I706" s="54">
        <v>568</v>
      </c>
      <c r="J706" s="54" t="s">
        <v>1264</v>
      </c>
      <c r="K706" s="54" t="s">
        <v>2126</v>
      </c>
      <c r="L706" s="54" t="s">
        <v>2115</v>
      </c>
      <c r="N706" s="54" t="s">
        <v>2232</v>
      </c>
    </row>
    <row r="707" spans="1:16" ht="12">
      <c r="A707" s="2">
        <v>706</v>
      </c>
      <c r="B707" s="54" t="s">
        <v>2233</v>
      </c>
      <c r="D707" s="54" t="s">
        <v>2231</v>
      </c>
      <c r="E707" s="52"/>
      <c r="I707" s="54">
        <v>518</v>
      </c>
      <c r="J707" s="54" t="s">
        <v>1264</v>
      </c>
      <c r="K707" s="54" t="s">
        <v>2126</v>
      </c>
      <c r="L707" s="54" t="s">
        <v>2115</v>
      </c>
      <c r="N707" s="54" t="s">
        <v>2234</v>
      </c>
    </row>
    <row r="708" spans="1:16" ht="12">
      <c r="A708" s="2">
        <v>707</v>
      </c>
      <c r="B708" s="54" t="s">
        <v>2235</v>
      </c>
      <c r="D708" s="54" t="s">
        <v>2231</v>
      </c>
      <c r="E708" s="52"/>
      <c r="I708" s="54">
        <v>533</v>
      </c>
      <c r="J708" s="54" t="s">
        <v>1264</v>
      </c>
      <c r="K708" s="54" t="s">
        <v>2126</v>
      </c>
      <c r="L708" s="54" t="s">
        <v>2115</v>
      </c>
      <c r="N708" s="54" t="s">
        <v>2236</v>
      </c>
    </row>
    <row r="709" spans="1:16" ht="13">
      <c r="A709" s="2">
        <v>708</v>
      </c>
      <c r="B709" s="560" t="s">
        <v>2237</v>
      </c>
      <c r="D709" s="54" t="s">
        <v>2239</v>
      </c>
      <c r="E709" s="52"/>
      <c r="I709" s="54">
        <v>566</v>
      </c>
      <c r="J709" s="54" t="s">
        <v>1264</v>
      </c>
      <c r="K709" s="54" t="s">
        <v>2126</v>
      </c>
      <c r="L709" s="54" t="s">
        <v>2115</v>
      </c>
      <c r="N709" s="54" t="s">
        <v>2240</v>
      </c>
    </row>
    <row r="710" spans="1:16" ht="13">
      <c r="A710" s="2">
        <v>709</v>
      </c>
      <c r="B710" s="560" t="s">
        <v>2241</v>
      </c>
      <c r="D710" s="54" t="s">
        <v>2212</v>
      </c>
      <c r="E710" s="52"/>
      <c r="I710" s="54">
        <v>566</v>
      </c>
      <c r="J710" s="54" t="s">
        <v>1264</v>
      </c>
      <c r="K710" s="54" t="s">
        <v>2126</v>
      </c>
      <c r="L710" s="54" t="s">
        <v>2115</v>
      </c>
      <c r="N710" s="54" t="s">
        <v>2242</v>
      </c>
    </row>
    <row r="711" spans="1:16" ht="12">
      <c r="A711" s="2">
        <v>710</v>
      </c>
      <c r="B711" s="54" t="s">
        <v>2243</v>
      </c>
      <c r="E711" s="52"/>
      <c r="K711" s="54" t="s">
        <v>2244</v>
      </c>
      <c r="L711" s="54" t="s">
        <v>2115</v>
      </c>
    </row>
    <row r="712" spans="1:16" ht="25">
      <c r="A712" s="2">
        <v>711</v>
      </c>
      <c r="B712" s="54" t="s">
        <v>2245</v>
      </c>
      <c r="D712" s="50" t="s">
        <v>2246</v>
      </c>
      <c r="E712" s="52"/>
      <c r="K712" s="54" t="s">
        <v>2247</v>
      </c>
      <c r="L712" s="54" t="s">
        <v>2115</v>
      </c>
      <c r="N712" s="50" t="s">
        <v>2248</v>
      </c>
      <c r="O712" s="50" t="s">
        <v>2246</v>
      </c>
      <c r="P712" s="561" t="s">
        <v>2249</v>
      </c>
    </row>
    <row r="713" spans="1:16" ht="12">
      <c r="A713" s="2">
        <v>712</v>
      </c>
      <c r="B713" s="54" t="s">
        <v>2250</v>
      </c>
      <c r="E713" s="52"/>
      <c r="K713" s="54" t="s">
        <v>2251</v>
      </c>
    </row>
    <row r="714" spans="1:16" ht="12">
      <c r="A714" s="2">
        <v>713</v>
      </c>
      <c r="B714" s="54" t="s">
        <v>2252</v>
      </c>
      <c r="E714" s="52"/>
      <c r="K714" s="54" t="s">
        <v>2251</v>
      </c>
    </row>
    <row r="715" spans="1:16" ht="12">
      <c r="A715" s="2">
        <v>714</v>
      </c>
      <c r="B715" s="54" t="s">
        <v>2253</v>
      </c>
      <c r="D715" s="54" t="s">
        <v>2229</v>
      </c>
      <c r="E715" s="52"/>
      <c r="I715" s="54">
        <v>473</v>
      </c>
      <c r="K715" s="54" t="s">
        <v>1549</v>
      </c>
      <c r="L715" s="54" t="s">
        <v>1683</v>
      </c>
    </row>
    <row r="716" spans="1:16" ht="12">
      <c r="A716" s="2">
        <v>715</v>
      </c>
      <c r="B716" s="54" t="s">
        <v>2254</v>
      </c>
      <c r="D716" s="54" t="s">
        <v>2229</v>
      </c>
      <c r="E716" s="52"/>
      <c r="I716" s="467" t="s">
        <v>2255</v>
      </c>
      <c r="K716" s="54" t="s">
        <v>1549</v>
      </c>
      <c r="L716" s="54" t="s">
        <v>1683</v>
      </c>
    </row>
    <row r="717" spans="1:16" ht="12">
      <c r="A717" s="2">
        <v>716</v>
      </c>
      <c r="B717" s="54" t="s">
        <v>2256</v>
      </c>
      <c r="D717" s="54" t="s">
        <v>2229</v>
      </c>
      <c r="E717" s="52"/>
      <c r="I717" s="467" t="s">
        <v>2257</v>
      </c>
      <c r="K717" s="54" t="s">
        <v>1549</v>
      </c>
      <c r="L717" s="54" t="s">
        <v>1683</v>
      </c>
    </row>
    <row r="718" spans="1:16" ht="13">
      <c r="A718" s="2">
        <v>717</v>
      </c>
      <c r="B718" s="562" t="s">
        <v>2258</v>
      </c>
      <c r="D718" s="54" t="s">
        <v>2259</v>
      </c>
      <c r="E718" s="52"/>
      <c r="J718" s="54"/>
      <c r="K718" s="54" t="s">
        <v>2260</v>
      </c>
      <c r="M718" s="54" t="s">
        <v>1884</v>
      </c>
      <c r="N718" s="54" t="s">
        <v>2261</v>
      </c>
    </row>
    <row r="719" spans="1:16" ht="12">
      <c r="A719" s="2">
        <v>718</v>
      </c>
      <c r="B719" s="54" t="s">
        <v>2262</v>
      </c>
      <c r="D719" s="54" t="s">
        <v>2263</v>
      </c>
      <c r="E719" s="52"/>
      <c r="I719" s="54">
        <v>187</v>
      </c>
      <c r="J719" s="54" t="s">
        <v>1264</v>
      </c>
      <c r="L719" s="54" t="s">
        <v>111</v>
      </c>
      <c r="N719" s="54" t="s">
        <v>2264</v>
      </c>
    </row>
    <row r="720" spans="1:16" ht="12">
      <c r="A720" s="2">
        <v>719</v>
      </c>
      <c r="B720" s="54" t="s">
        <v>2265</v>
      </c>
      <c r="D720" s="54" t="s">
        <v>1555</v>
      </c>
      <c r="E720" s="52"/>
      <c r="I720" s="54">
        <v>393</v>
      </c>
      <c r="J720" s="54" t="s">
        <v>1264</v>
      </c>
      <c r="L720" s="54" t="s">
        <v>111</v>
      </c>
      <c r="N720" s="54" t="s">
        <v>2266</v>
      </c>
    </row>
    <row r="721" spans="1:14" ht="12">
      <c r="A721" s="2">
        <v>720</v>
      </c>
      <c r="B721" s="54" t="s">
        <v>2267</v>
      </c>
      <c r="D721" s="54" t="s">
        <v>2229</v>
      </c>
      <c r="E721" s="52"/>
      <c r="I721" s="54">
        <v>473</v>
      </c>
      <c r="K721" s="54" t="s">
        <v>1549</v>
      </c>
      <c r="L721" s="54" t="s">
        <v>1683</v>
      </c>
    </row>
    <row r="722" spans="1:14" ht="12">
      <c r="A722" s="2">
        <v>721</v>
      </c>
      <c r="B722" s="54" t="s">
        <v>2268</v>
      </c>
      <c r="D722" s="54" t="s">
        <v>2269</v>
      </c>
      <c r="E722" s="52"/>
      <c r="I722" s="54">
        <v>393</v>
      </c>
      <c r="J722" s="54" t="s">
        <v>1264</v>
      </c>
      <c r="K722" s="54" t="s">
        <v>2126</v>
      </c>
      <c r="L722" s="54" t="s">
        <v>111</v>
      </c>
      <c r="N722" s="54" t="s">
        <v>2270</v>
      </c>
    </row>
    <row r="723" spans="1:14" ht="12">
      <c r="A723" s="2">
        <v>722</v>
      </c>
      <c r="B723" s="54" t="s">
        <v>2271</v>
      </c>
      <c r="E723" s="52"/>
      <c r="K723" s="54" t="s">
        <v>2272</v>
      </c>
      <c r="L723" s="54" t="s">
        <v>111</v>
      </c>
    </row>
    <row r="724" spans="1:14" ht="12">
      <c r="A724" s="2">
        <v>723</v>
      </c>
      <c r="B724" s="54" t="s">
        <v>1475</v>
      </c>
      <c r="D724" s="54" t="s">
        <v>2212</v>
      </c>
      <c r="E724" s="52"/>
      <c r="I724" s="54">
        <v>369</v>
      </c>
      <c r="J724" s="54" t="s">
        <v>1264</v>
      </c>
      <c r="K724" s="54" t="s">
        <v>2126</v>
      </c>
      <c r="L724" s="54" t="s">
        <v>111</v>
      </c>
      <c r="M724" s="54" t="s">
        <v>1884</v>
      </c>
      <c r="N724" s="54" t="s">
        <v>2273</v>
      </c>
    </row>
    <row r="725" spans="1:14" ht="12">
      <c r="A725" s="2">
        <v>724</v>
      </c>
      <c r="B725" s="54" t="s">
        <v>1480</v>
      </c>
      <c r="D725" s="54" t="s">
        <v>2215</v>
      </c>
      <c r="E725" s="52"/>
      <c r="I725" s="54">
        <v>369</v>
      </c>
      <c r="J725" s="54" t="s">
        <v>1264</v>
      </c>
      <c r="K725" s="54" t="s">
        <v>2126</v>
      </c>
      <c r="L725" s="54" t="s">
        <v>111</v>
      </c>
      <c r="M725" s="54" t="s">
        <v>1884</v>
      </c>
      <c r="N725" s="54" t="s">
        <v>2274</v>
      </c>
    </row>
    <row r="726" spans="1:14" ht="12">
      <c r="A726" s="2">
        <v>725</v>
      </c>
      <c r="B726" s="54" t="s">
        <v>1502</v>
      </c>
      <c r="D726" s="54" t="s">
        <v>2215</v>
      </c>
      <c r="E726" s="52"/>
      <c r="I726" s="54">
        <v>369</v>
      </c>
      <c r="J726" s="54" t="s">
        <v>1264</v>
      </c>
      <c r="K726" s="54" t="s">
        <v>2126</v>
      </c>
      <c r="L726" s="54" t="s">
        <v>111</v>
      </c>
      <c r="M726" s="54" t="s">
        <v>1884</v>
      </c>
      <c r="N726" s="54" t="s">
        <v>2275</v>
      </c>
    </row>
    <row r="727" spans="1:14" ht="12">
      <c r="A727" s="2">
        <v>726</v>
      </c>
      <c r="B727" s="54" t="s">
        <v>2276</v>
      </c>
      <c r="E727" s="52"/>
      <c r="K727" s="54" t="s">
        <v>2277</v>
      </c>
      <c r="L727" s="54" t="s">
        <v>2278</v>
      </c>
      <c r="N727" s="54" t="s">
        <v>2279</v>
      </c>
    </row>
    <row r="728" spans="1:14" ht="12">
      <c r="A728" s="2">
        <v>727</v>
      </c>
      <c r="B728" s="54" t="s">
        <v>484</v>
      </c>
      <c r="E728" s="52"/>
      <c r="K728" s="54" t="s">
        <v>2277</v>
      </c>
      <c r="L728" s="54" t="s">
        <v>2278</v>
      </c>
      <c r="N728" s="54" t="s">
        <v>2280</v>
      </c>
    </row>
    <row r="729" spans="1:14" ht="12">
      <c r="A729" s="2">
        <v>728</v>
      </c>
      <c r="B729" s="54" t="s">
        <v>478</v>
      </c>
      <c r="E729" s="52"/>
      <c r="K729" s="54" t="s">
        <v>2277</v>
      </c>
      <c r="L729" s="54" t="s">
        <v>2278</v>
      </c>
      <c r="N729" s="54" t="s">
        <v>2281</v>
      </c>
    </row>
    <row r="730" spans="1:14" ht="12">
      <c r="A730" s="2">
        <v>729</v>
      </c>
      <c r="B730" s="54" t="s">
        <v>2282</v>
      </c>
      <c r="E730" s="52"/>
      <c r="K730" s="54" t="s">
        <v>2277</v>
      </c>
      <c r="L730" s="54" t="s">
        <v>2278</v>
      </c>
      <c r="N730" s="54" t="s">
        <v>2283</v>
      </c>
    </row>
    <row r="731" spans="1:14" ht="12">
      <c r="A731" s="2">
        <v>730</v>
      </c>
      <c r="B731" s="54" t="s">
        <v>2284</v>
      </c>
      <c r="E731" s="52"/>
      <c r="K731" s="54" t="s">
        <v>2277</v>
      </c>
      <c r="L731" s="54" t="s">
        <v>2278</v>
      </c>
      <c r="N731" s="54" t="s">
        <v>2285</v>
      </c>
    </row>
    <row r="732" spans="1:14" ht="12">
      <c r="A732" s="2">
        <v>731</v>
      </c>
      <c r="B732" s="54" t="s">
        <v>2286</v>
      </c>
      <c r="E732" s="52"/>
      <c r="K732" s="54" t="s">
        <v>2277</v>
      </c>
      <c r="L732" s="54" t="s">
        <v>2278</v>
      </c>
      <c r="N732" s="54" t="s">
        <v>2287</v>
      </c>
    </row>
    <row r="733" spans="1:14" ht="12">
      <c r="A733" s="2">
        <v>732</v>
      </c>
      <c r="B733" s="54" t="s">
        <v>2288</v>
      </c>
      <c r="E733" s="52"/>
      <c r="M733" s="54" t="s">
        <v>1884</v>
      </c>
    </row>
    <row r="734" spans="1:14" ht="12">
      <c r="A734" s="2">
        <v>733</v>
      </c>
      <c r="B734" s="54" t="s">
        <v>2289</v>
      </c>
      <c r="D734" s="54" t="s">
        <v>2290</v>
      </c>
      <c r="E734" s="52"/>
      <c r="I734" s="54">
        <v>566</v>
      </c>
      <c r="J734" s="54" t="s">
        <v>1264</v>
      </c>
      <c r="K734" s="54" t="s">
        <v>2126</v>
      </c>
      <c r="L734" s="54" t="s">
        <v>2115</v>
      </c>
      <c r="M734" s="54" t="s">
        <v>1884</v>
      </c>
      <c r="N734" s="54" t="s">
        <v>2291</v>
      </c>
    </row>
    <row r="735" spans="1:14" ht="12">
      <c r="A735" s="2">
        <v>734</v>
      </c>
      <c r="B735" s="54" t="s">
        <v>2292</v>
      </c>
      <c r="D735" s="54" t="s">
        <v>2293</v>
      </c>
      <c r="E735" s="52"/>
      <c r="K735" s="54" t="s">
        <v>438</v>
      </c>
      <c r="L735" s="54" t="s">
        <v>2278</v>
      </c>
    </row>
    <row r="736" spans="1:14" ht="12">
      <c r="A736" s="2">
        <v>735</v>
      </c>
      <c r="B736" s="54" t="s">
        <v>2294</v>
      </c>
      <c r="D736" s="54" t="s">
        <v>2295</v>
      </c>
      <c r="E736" s="52"/>
      <c r="K736" s="54" t="s">
        <v>438</v>
      </c>
      <c r="L736" s="54" t="s">
        <v>2115</v>
      </c>
    </row>
    <row r="737" spans="1:14" ht="12">
      <c r="A737" s="2">
        <v>736</v>
      </c>
      <c r="B737" s="54" t="s">
        <v>2296</v>
      </c>
      <c r="D737" s="54" t="s">
        <v>2297</v>
      </c>
      <c r="E737" s="52"/>
      <c r="I737" s="54">
        <v>693</v>
      </c>
      <c r="J737" s="54" t="s">
        <v>1264</v>
      </c>
      <c r="K737" s="54" t="s">
        <v>2126</v>
      </c>
      <c r="L737" s="54" t="s">
        <v>2115</v>
      </c>
      <c r="M737" s="54" t="s">
        <v>1884</v>
      </c>
      <c r="N737" s="54" t="s">
        <v>2298</v>
      </c>
    </row>
    <row r="738" spans="1:14" ht="12">
      <c r="A738" s="2">
        <v>737</v>
      </c>
      <c r="B738" s="519" t="s">
        <v>2299</v>
      </c>
      <c r="D738" s="54" t="s">
        <v>2300</v>
      </c>
      <c r="E738" s="52"/>
      <c r="I738" s="54" t="s">
        <v>2301</v>
      </c>
      <c r="J738" s="54" t="s">
        <v>1264</v>
      </c>
      <c r="K738" s="54" t="s">
        <v>2126</v>
      </c>
      <c r="L738" s="54" t="s">
        <v>2278</v>
      </c>
      <c r="M738" s="54" t="s">
        <v>1884</v>
      </c>
      <c r="N738" s="54" t="s">
        <v>2302</v>
      </c>
    </row>
    <row r="739" spans="1:14" ht="24">
      <c r="A739" s="2">
        <v>738</v>
      </c>
      <c r="B739" s="573" t="s">
        <v>2227</v>
      </c>
      <c r="D739" s="500" t="s">
        <v>2303</v>
      </c>
      <c r="E739" s="259"/>
      <c r="F739" s="261"/>
      <c r="G739" s="261"/>
      <c r="H739" s="261"/>
      <c r="I739" s="500" t="s">
        <v>2304</v>
      </c>
      <c r="J739" s="500" t="s">
        <v>1264</v>
      </c>
      <c r="K739" s="500" t="s">
        <v>2126</v>
      </c>
      <c r="L739" s="500" t="s">
        <v>2278</v>
      </c>
      <c r="M739" s="500" t="s">
        <v>1884</v>
      </c>
      <c r="N739" s="575" t="s">
        <v>2305</v>
      </c>
    </row>
    <row r="740" spans="1:14" ht="12">
      <c r="A740" s="2">
        <v>739</v>
      </c>
      <c r="B740" s="54" t="s">
        <v>2306</v>
      </c>
      <c r="D740" s="54" t="s">
        <v>2307</v>
      </c>
      <c r="E740" s="52"/>
      <c r="I740" s="54" t="s">
        <v>2308</v>
      </c>
      <c r="K740" s="54" t="s">
        <v>1549</v>
      </c>
      <c r="L740" s="54" t="s">
        <v>111</v>
      </c>
    </row>
    <row r="741" spans="1:14" ht="12">
      <c r="A741" s="2">
        <v>740</v>
      </c>
      <c r="B741" s="54" t="s">
        <v>2309</v>
      </c>
      <c r="E741" s="52"/>
      <c r="K741" s="54" t="s">
        <v>438</v>
      </c>
      <c r="L741" s="54" t="s">
        <v>111</v>
      </c>
      <c r="N741" s="54" t="s">
        <v>2310</v>
      </c>
    </row>
    <row r="742" spans="1:14" ht="12">
      <c r="A742" s="2">
        <v>741</v>
      </c>
      <c r="B742" s="54" t="s">
        <v>2311</v>
      </c>
      <c r="D742" s="54" t="s">
        <v>2312</v>
      </c>
      <c r="E742" s="52"/>
      <c r="J742" s="54" t="s">
        <v>1639</v>
      </c>
    </row>
    <row r="743" spans="1:14" ht="12">
      <c r="A743" s="2">
        <v>742</v>
      </c>
      <c r="B743" s="54" t="s">
        <v>2313</v>
      </c>
      <c r="D743" s="54" t="s">
        <v>2314</v>
      </c>
      <c r="E743" s="52"/>
      <c r="J743" s="54" t="s">
        <v>1639</v>
      </c>
    </row>
    <row r="744" spans="1:14" ht="12">
      <c r="A744" s="54">
        <v>743</v>
      </c>
      <c r="B744" s="54" t="s">
        <v>2315</v>
      </c>
      <c r="D744" s="54" t="s">
        <v>2314</v>
      </c>
      <c r="J744" s="54" t="s">
        <v>1639</v>
      </c>
    </row>
    <row r="745" spans="1:14" ht="12">
      <c r="A745" s="2">
        <v>744</v>
      </c>
      <c r="B745" s="54" t="s">
        <v>2316</v>
      </c>
      <c r="D745" s="54" t="s">
        <v>2312</v>
      </c>
      <c r="E745" s="52"/>
      <c r="J745" s="54" t="s">
        <v>1639</v>
      </c>
    </row>
    <row r="746" spans="1:14" ht="12">
      <c r="A746" s="2">
        <v>745</v>
      </c>
      <c r="B746" s="54" t="s">
        <v>2317</v>
      </c>
      <c r="E746" s="52"/>
      <c r="I746" s="54" t="s">
        <v>2318</v>
      </c>
    </row>
    <row r="747" spans="1:14" ht="12">
      <c r="A747" s="2">
        <v>746</v>
      </c>
      <c r="B747" s="54" t="s">
        <v>2319</v>
      </c>
      <c r="E747" s="52"/>
      <c r="M747" s="54" t="s">
        <v>2320</v>
      </c>
    </row>
    <row r="748" spans="1:14" ht="12">
      <c r="A748" s="2">
        <v>747</v>
      </c>
      <c r="B748" s="54" t="s">
        <v>2321</v>
      </c>
      <c r="E748" s="52"/>
      <c r="M748" s="54" t="s">
        <v>2320</v>
      </c>
    </row>
    <row r="749" spans="1:14" ht="12">
      <c r="A749" s="2">
        <v>748</v>
      </c>
      <c r="B749" s="54" t="s">
        <v>2322</v>
      </c>
      <c r="D749" s="54" t="s">
        <v>2323</v>
      </c>
      <c r="E749" s="52"/>
      <c r="I749" s="54">
        <v>479</v>
      </c>
      <c r="J749" s="54" t="s">
        <v>1639</v>
      </c>
      <c r="K749" s="54" t="s">
        <v>2126</v>
      </c>
      <c r="L749" s="54" t="s">
        <v>2278</v>
      </c>
      <c r="N749" s="54" t="s">
        <v>2324</v>
      </c>
    </row>
    <row r="750" spans="1:14" ht="12">
      <c r="A750" s="2">
        <v>749</v>
      </c>
      <c r="B750" s="54" t="s">
        <v>2325</v>
      </c>
      <c r="D750" s="54" t="s">
        <v>2326</v>
      </c>
      <c r="E750" s="52"/>
      <c r="I750" s="54">
        <v>479</v>
      </c>
      <c r="J750" s="54" t="s">
        <v>1639</v>
      </c>
      <c r="K750" s="54" t="s">
        <v>2126</v>
      </c>
      <c r="L750" s="54" t="s">
        <v>2278</v>
      </c>
      <c r="N750" s="54" t="s">
        <v>2327</v>
      </c>
    </row>
    <row r="751" spans="1:14" ht="12">
      <c r="A751" s="2">
        <v>750</v>
      </c>
      <c r="B751" s="54" t="s">
        <v>2328</v>
      </c>
      <c r="D751" s="54" t="s">
        <v>2229</v>
      </c>
      <c r="E751" s="52"/>
      <c r="I751" s="54">
        <v>473</v>
      </c>
      <c r="K751" s="54" t="s">
        <v>1549</v>
      </c>
      <c r="L751" s="54" t="s">
        <v>1683</v>
      </c>
    </row>
    <row r="752" spans="1:14" ht="12">
      <c r="A752" s="2">
        <v>751</v>
      </c>
      <c r="B752" s="54" t="s">
        <v>2329</v>
      </c>
      <c r="D752" s="54" t="s">
        <v>2229</v>
      </c>
      <c r="E752" s="52"/>
      <c r="I752" s="54">
        <v>473</v>
      </c>
      <c r="K752" s="54" t="s">
        <v>1549</v>
      </c>
      <c r="L752" s="54" t="s">
        <v>1683</v>
      </c>
    </row>
    <row r="753" spans="1:14" ht="30">
      <c r="A753" s="2">
        <v>752</v>
      </c>
      <c r="B753" s="54" t="s">
        <v>2330</v>
      </c>
      <c r="D753" s="577" t="s">
        <v>2331</v>
      </c>
      <c r="E753" s="52"/>
      <c r="K753" s="54" t="s">
        <v>2332</v>
      </c>
      <c r="L753" s="54" t="s">
        <v>111</v>
      </c>
      <c r="M753" s="54" t="s">
        <v>1884</v>
      </c>
    </row>
    <row r="754" spans="1:14" ht="12">
      <c r="A754" s="2">
        <v>753</v>
      </c>
      <c r="B754" s="54" t="s">
        <v>2333</v>
      </c>
      <c r="E754" s="52"/>
      <c r="K754" s="54" t="s">
        <v>2334</v>
      </c>
      <c r="L754" s="54" t="s">
        <v>111</v>
      </c>
      <c r="M754" s="54" t="s">
        <v>1884</v>
      </c>
    </row>
    <row r="755" spans="1:14" ht="12">
      <c r="A755" s="2">
        <v>754</v>
      </c>
      <c r="B755" s="54" t="s">
        <v>2335</v>
      </c>
      <c r="E755" s="52"/>
      <c r="K755" s="54" t="s">
        <v>2334</v>
      </c>
      <c r="L755" s="54" t="s">
        <v>111</v>
      </c>
      <c r="M755" s="54" t="s">
        <v>1884</v>
      </c>
    </row>
    <row r="756" spans="1:14" ht="12">
      <c r="A756" s="2">
        <v>755</v>
      </c>
      <c r="B756" s="54" t="s">
        <v>2336</v>
      </c>
      <c r="E756" s="52"/>
      <c r="K756" s="54" t="s">
        <v>2334</v>
      </c>
      <c r="L756" s="54" t="s">
        <v>111</v>
      </c>
      <c r="M756" s="54" t="s">
        <v>1884</v>
      </c>
    </row>
    <row r="757" spans="1:14" ht="12">
      <c r="A757" s="2">
        <v>756</v>
      </c>
      <c r="B757" s="54" t="s">
        <v>2337</v>
      </c>
      <c r="E757" s="52"/>
      <c r="K757" s="54" t="s">
        <v>2334</v>
      </c>
      <c r="L757" s="54" t="s">
        <v>111</v>
      </c>
      <c r="M757" s="54" t="s">
        <v>1884</v>
      </c>
    </row>
    <row r="758" spans="1:14" ht="12">
      <c r="A758" s="2">
        <v>757</v>
      </c>
      <c r="B758" s="54" t="s">
        <v>2338</v>
      </c>
      <c r="D758" s="54" t="s">
        <v>2339</v>
      </c>
      <c r="E758" s="52"/>
      <c r="L758" s="54" t="s">
        <v>2278</v>
      </c>
      <c r="M758" s="54" t="s">
        <v>1884</v>
      </c>
    </row>
    <row r="759" spans="1:14" ht="12">
      <c r="A759" s="2">
        <v>758</v>
      </c>
      <c r="B759" s="54" t="s">
        <v>2342</v>
      </c>
      <c r="D759" s="54" t="s">
        <v>2343</v>
      </c>
      <c r="E759" s="52"/>
      <c r="I759" s="54">
        <v>360</v>
      </c>
      <c r="J759" s="54" t="s">
        <v>1751</v>
      </c>
      <c r="K759" s="54" t="s">
        <v>2126</v>
      </c>
      <c r="L759" s="54" t="s">
        <v>111</v>
      </c>
      <c r="M759" s="54" t="s">
        <v>2320</v>
      </c>
      <c r="N759" s="54" t="s">
        <v>2344</v>
      </c>
    </row>
    <row r="760" spans="1:14" ht="12">
      <c r="A760" s="2">
        <v>759</v>
      </c>
      <c r="B760" s="54" t="s">
        <v>2345</v>
      </c>
      <c r="D760" s="54" t="s">
        <v>2346</v>
      </c>
      <c r="E760" s="52"/>
      <c r="I760" s="54">
        <v>360</v>
      </c>
      <c r="J760" s="54" t="s">
        <v>1751</v>
      </c>
      <c r="K760" s="54" t="s">
        <v>2126</v>
      </c>
      <c r="L760" s="54" t="s">
        <v>111</v>
      </c>
      <c r="M760" s="54" t="s">
        <v>2320</v>
      </c>
      <c r="N760" s="54" t="s">
        <v>2347</v>
      </c>
    </row>
    <row r="761" spans="1:14" ht="12">
      <c r="A761" s="2">
        <v>760</v>
      </c>
      <c r="B761" s="54" t="s">
        <v>2348</v>
      </c>
      <c r="D761" s="54" t="s">
        <v>2349</v>
      </c>
      <c r="E761" s="52"/>
      <c r="I761" s="54">
        <v>360</v>
      </c>
      <c r="J761" s="54" t="s">
        <v>1751</v>
      </c>
      <c r="K761" s="54" t="s">
        <v>2126</v>
      </c>
      <c r="L761" s="54" t="s">
        <v>111</v>
      </c>
      <c r="M761" s="54" t="s">
        <v>2320</v>
      </c>
      <c r="N761" s="54" t="s">
        <v>2350</v>
      </c>
    </row>
    <row r="762" spans="1:14" ht="12">
      <c r="A762" s="2">
        <v>761</v>
      </c>
      <c r="B762" s="54" t="s">
        <v>2351</v>
      </c>
      <c r="E762" s="52"/>
      <c r="I762" s="54" t="s">
        <v>2352</v>
      </c>
      <c r="K762" s="54" t="s">
        <v>2353</v>
      </c>
      <c r="L762" s="54" t="s">
        <v>111</v>
      </c>
    </row>
    <row r="763" spans="1:14" ht="12">
      <c r="A763" s="2">
        <v>762</v>
      </c>
      <c r="B763" s="54" t="s">
        <v>2354</v>
      </c>
      <c r="E763" s="52"/>
      <c r="I763" s="54" t="s">
        <v>2355</v>
      </c>
      <c r="K763" s="54" t="s">
        <v>2353</v>
      </c>
      <c r="L763" s="54" t="s">
        <v>111</v>
      </c>
    </row>
    <row r="764" spans="1:14" ht="12">
      <c r="A764" s="2">
        <v>763</v>
      </c>
      <c r="B764" s="54" t="s">
        <v>2356</v>
      </c>
      <c r="E764" s="52"/>
      <c r="I764" s="54" t="s">
        <v>2357</v>
      </c>
      <c r="K764" s="54" t="s">
        <v>2353</v>
      </c>
      <c r="L764" s="54" t="s">
        <v>111</v>
      </c>
    </row>
    <row r="765" spans="1:14" ht="12">
      <c r="A765" s="2">
        <v>764</v>
      </c>
      <c r="B765" s="54" t="s">
        <v>2358</v>
      </c>
      <c r="E765" s="52"/>
      <c r="I765" s="54" t="s">
        <v>2359</v>
      </c>
      <c r="K765" s="54" t="s">
        <v>2353</v>
      </c>
      <c r="L765" s="54" t="s">
        <v>111</v>
      </c>
    </row>
    <row r="766" spans="1:14" ht="12">
      <c r="A766" s="2">
        <v>765</v>
      </c>
      <c r="B766" s="54" t="s">
        <v>2360</v>
      </c>
      <c r="E766" s="52"/>
      <c r="I766" s="54" t="s">
        <v>2361</v>
      </c>
      <c r="K766" s="54" t="s">
        <v>2353</v>
      </c>
      <c r="L766" s="54" t="s">
        <v>111</v>
      </c>
    </row>
    <row r="767" spans="1:14" ht="13">
      <c r="A767" s="2">
        <v>766</v>
      </c>
      <c r="B767" s="562" t="s">
        <v>2362</v>
      </c>
      <c r="E767" s="52"/>
      <c r="K767" s="54" t="s">
        <v>2363</v>
      </c>
      <c r="L767" s="54" t="s">
        <v>111</v>
      </c>
    </row>
    <row r="768" spans="1:14" ht="12">
      <c r="A768" s="2">
        <v>767</v>
      </c>
      <c r="B768" s="586" t="s">
        <v>2364</v>
      </c>
      <c r="E768" s="52"/>
      <c r="K768" s="54" t="s">
        <v>2365</v>
      </c>
      <c r="L768" s="54" t="s">
        <v>111</v>
      </c>
    </row>
    <row r="769" spans="1:14" ht="12">
      <c r="A769" s="2">
        <v>768</v>
      </c>
      <c r="B769" s="588" t="s">
        <v>2366</v>
      </c>
      <c r="D769" s="54" t="s">
        <v>1797</v>
      </c>
      <c r="E769" s="52"/>
      <c r="I769" s="54">
        <v>642</v>
      </c>
      <c r="J769" s="54" t="s">
        <v>2367</v>
      </c>
      <c r="K769" s="54" t="s">
        <v>2126</v>
      </c>
      <c r="L769" s="54" t="s">
        <v>2278</v>
      </c>
      <c r="N769" s="54" t="s">
        <v>2368</v>
      </c>
    </row>
    <row r="770" spans="1:14" ht="12">
      <c r="A770" s="2">
        <v>769</v>
      </c>
      <c r="B770" s="588" t="s">
        <v>2369</v>
      </c>
      <c r="D770" s="54" t="s">
        <v>2370</v>
      </c>
      <c r="E770" s="52"/>
      <c r="I770" s="54" t="s">
        <v>2304</v>
      </c>
      <c r="J770" s="54" t="s">
        <v>1264</v>
      </c>
      <c r="K770" s="54" t="s">
        <v>2126</v>
      </c>
      <c r="L770" s="54" t="s">
        <v>2278</v>
      </c>
      <c r="M770" s="54" t="s">
        <v>1884</v>
      </c>
      <c r="N770" s="54" t="s">
        <v>2371</v>
      </c>
    </row>
    <row r="771" spans="1:14" ht="12">
      <c r="A771" s="2">
        <v>770</v>
      </c>
      <c r="B771" s="588" t="s">
        <v>2372</v>
      </c>
      <c r="D771" s="54" t="s">
        <v>2373</v>
      </c>
      <c r="E771" s="52"/>
      <c r="I771" s="54">
        <v>479</v>
      </c>
      <c r="J771" s="54" t="s">
        <v>1264</v>
      </c>
      <c r="K771" s="54" t="s">
        <v>2126</v>
      </c>
      <c r="L771" s="54" t="s">
        <v>111</v>
      </c>
      <c r="M771" s="54" t="s">
        <v>2320</v>
      </c>
      <c r="N771" s="54" t="s">
        <v>2374</v>
      </c>
    </row>
    <row r="772" spans="1:14" ht="12">
      <c r="A772" s="2">
        <v>771</v>
      </c>
      <c r="B772" s="588" t="s">
        <v>2375</v>
      </c>
      <c r="D772" s="54" t="s">
        <v>2376</v>
      </c>
      <c r="E772" s="52"/>
      <c r="I772" s="54">
        <v>360</v>
      </c>
      <c r="J772" s="54" t="s">
        <v>1264</v>
      </c>
      <c r="K772" s="54" t="s">
        <v>2126</v>
      </c>
      <c r="L772" s="54" t="s">
        <v>111</v>
      </c>
      <c r="M772" s="54" t="s">
        <v>2320</v>
      </c>
      <c r="N772" s="54" t="s">
        <v>2377</v>
      </c>
    </row>
    <row r="773" spans="1:14" ht="24">
      <c r="A773" s="2">
        <v>772</v>
      </c>
      <c r="B773" s="588" t="s">
        <v>2378</v>
      </c>
      <c r="D773" s="54" t="s">
        <v>2379</v>
      </c>
      <c r="E773" s="52"/>
      <c r="K773" s="54" t="s">
        <v>128</v>
      </c>
      <c r="L773" s="54" t="s">
        <v>111</v>
      </c>
    </row>
    <row r="774" spans="1:14" ht="12">
      <c r="A774" s="2">
        <v>773</v>
      </c>
      <c r="B774" s="588" t="s">
        <v>2380</v>
      </c>
      <c r="D774" s="54" t="s">
        <v>2381</v>
      </c>
      <c r="E774" s="52"/>
      <c r="I774" s="54">
        <v>120</v>
      </c>
      <c r="J774" s="54" t="s">
        <v>1264</v>
      </c>
      <c r="K774" s="54" t="s">
        <v>2126</v>
      </c>
      <c r="L774" s="54" t="s">
        <v>111</v>
      </c>
      <c r="N774" s="54" t="s">
        <v>2382</v>
      </c>
    </row>
    <row r="775" spans="1:14" ht="12">
      <c r="A775" s="2">
        <v>774</v>
      </c>
      <c r="B775" s="588" t="s">
        <v>1764</v>
      </c>
      <c r="D775" s="54" t="s">
        <v>2383</v>
      </c>
      <c r="E775" s="52"/>
      <c r="I775" s="54">
        <v>700</v>
      </c>
      <c r="J775" s="54" t="s">
        <v>1264</v>
      </c>
      <c r="K775" s="54" t="s">
        <v>2126</v>
      </c>
      <c r="L775" s="54" t="s">
        <v>111</v>
      </c>
      <c r="N775" s="54" t="s">
        <v>2384</v>
      </c>
    </row>
    <row r="776" spans="1:14" ht="12">
      <c r="A776" s="2">
        <v>775</v>
      </c>
      <c r="B776" s="588" t="s">
        <v>1771</v>
      </c>
      <c r="D776" s="54" t="s">
        <v>2385</v>
      </c>
      <c r="E776" s="52"/>
      <c r="I776" s="54">
        <v>701</v>
      </c>
      <c r="J776" s="54" t="s">
        <v>1264</v>
      </c>
      <c r="K776" s="54" t="s">
        <v>2126</v>
      </c>
      <c r="L776" s="54" t="s">
        <v>111</v>
      </c>
    </row>
    <row r="777" spans="1:14" ht="48">
      <c r="A777" s="2">
        <v>776</v>
      </c>
      <c r="B777" s="593" t="s">
        <v>2387</v>
      </c>
      <c r="D777" s="595"/>
      <c r="E777" s="52"/>
      <c r="K777" s="54" t="s">
        <v>2389</v>
      </c>
      <c r="L777" s="54" t="s">
        <v>111</v>
      </c>
      <c r="N777" s="54" t="s">
        <v>2390</v>
      </c>
    </row>
    <row r="778" spans="1:14" ht="12">
      <c r="A778" s="2">
        <v>777</v>
      </c>
      <c r="B778" s="597" t="s">
        <v>2391</v>
      </c>
      <c r="E778" s="52"/>
      <c r="K778" s="54" t="s">
        <v>2365</v>
      </c>
      <c r="L778" s="54" t="s">
        <v>111</v>
      </c>
    </row>
    <row r="779" spans="1:14" ht="12">
      <c r="A779" s="2">
        <v>778</v>
      </c>
      <c r="B779" s="54" t="s">
        <v>2392</v>
      </c>
      <c r="D779" s="54" t="s">
        <v>2229</v>
      </c>
      <c r="E779" s="52"/>
      <c r="I779" s="54">
        <v>473</v>
      </c>
      <c r="K779" s="54" t="s">
        <v>1549</v>
      </c>
      <c r="L779" s="54" t="s">
        <v>1683</v>
      </c>
    </row>
    <row r="780" spans="1:14" ht="12">
      <c r="A780" s="2">
        <v>779</v>
      </c>
      <c r="B780" s="54" t="s">
        <v>2393</v>
      </c>
      <c r="D780" s="54" t="s">
        <v>2394</v>
      </c>
      <c r="E780" s="52"/>
      <c r="I780" s="54">
        <v>573</v>
      </c>
      <c r="J780" s="54" t="s">
        <v>1639</v>
      </c>
      <c r="K780" s="54" t="s">
        <v>95</v>
      </c>
      <c r="L780" s="54" t="s">
        <v>111</v>
      </c>
      <c r="N780" s="54" t="s">
        <v>2395</v>
      </c>
    </row>
    <row r="781" spans="1:14" ht="12">
      <c r="A781" s="2">
        <v>780</v>
      </c>
      <c r="B781" s="54" t="s">
        <v>2396</v>
      </c>
      <c r="E781" s="52"/>
      <c r="J781" s="54" t="s">
        <v>1639</v>
      </c>
      <c r="K781" s="54" t="s">
        <v>2397</v>
      </c>
      <c r="L781" s="54" t="s">
        <v>111</v>
      </c>
    </row>
    <row r="782" spans="1:14" ht="12">
      <c r="A782" s="2">
        <v>781</v>
      </c>
      <c r="B782" s="54" t="s">
        <v>2398</v>
      </c>
      <c r="E782" s="52"/>
      <c r="J782" s="54" t="s">
        <v>1639</v>
      </c>
      <c r="K782" s="54" t="s">
        <v>2397</v>
      </c>
      <c r="L782" s="54" t="s">
        <v>111</v>
      </c>
    </row>
    <row r="783" spans="1:14" ht="12">
      <c r="A783" s="2">
        <v>782</v>
      </c>
      <c r="B783" s="54" t="s">
        <v>2400</v>
      </c>
      <c r="E783" s="52"/>
      <c r="J783" s="54" t="s">
        <v>1639</v>
      </c>
      <c r="K783" s="54" t="s">
        <v>2397</v>
      </c>
      <c r="L783" s="54" t="s">
        <v>111</v>
      </c>
    </row>
    <row r="784" spans="1:14" ht="12">
      <c r="A784" s="2">
        <v>783</v>
      </c>
      <c r="B784" s="54" t="s">
        <v>2402</v>
      </c>
      <c r="E784" s="52"/>
      <c r="J784" s="54" t="s">
        <v>1639</v>
      </c>
      <c r="K784" s="54" t="s">
        <v>2397</v>
      </c>
      <c r="L784" s="54" t="s">
        <v>111</v>
      </c>
    </row>
    <row r="785" spans="1:14" ht="12">
      <c r="A785" s="2">
        <v>784</v>
      </c>
      <c r="B785" s="54" t="s">
        <v>2403</v>
      </c>
      <c r="E785" s="52"/>
      <c r="J785" s="54" t="s">
        <v>1639</v>
      </c>
      <c r="K785" s="54" t="s">
        <v>2397</v>
      </c>
      <c r="L785" s="54" t="s">
        <v>111</v>
      </c>
    </row>
    <row r="786" spans="1:14" ht="12">
      <c r="A786" s="2">
        <v>785</v>
      </c>
      <c r="B786" s="599" t="s">
        <v>2404</v>
      </c>
      <c r="E786" s="52"/>
      <c r="K786" s="54" t="s">
        <v>2405</v>
      </c>
      <c r="L786" s="54" t="s">
        <v>2278</v>
      </c>
    </row>
    <row r="787" spans="1:14" ht="12">
      <c r="A787" s="2">
        <v>786</v>
      </c>
      <c r="B787" s="599" t="s">
        <v>2406</v>
      </c>
      <c r="E787" s="52"/>
      <c r="I787" s="54" t="s">
        <v>2407</v>
      </c>
      <c r="J787" s="54" t="s">
        <v>1639</v>
      </c>
      <c r="K787" s="54" t="s">
        <v>95</v>
      </c>
      <c r="L787" s="54" t="s">
        <v>111</v>
      </c>
      <c r="N787" s="54" t="s">
        <v>2408</v>
      </c>
    </row>
    <row r="788" spans="1:14" ht="12">
      <c r="A788" s="2">
        <v>787</v>
      </c>
      <c r="B788" s="599" t="s">
        <v>2409</v>
      </c>
      <c r="E788" s="52"/>
      <c r="I788" s="54" t="s">
        <v>2410</v>
      </c>
      <c r="J788" s="54" t="s">
        <v>1639</v>
      </c>
      <c r="K788" s="54" t="s">
        <v>95</v>
      </c>
      <c r="L788" s="54" t="s">
        <v>111</v>
      </c>
      <c r="N788" s="54" t="s">
        <v>2411</v>
      </c>
    </row>
    <row r="789" spans="1:14" ht="12">
      <c r="A789" s="2">
        <v>788</v>
      </c>
      <c r="B789" s="599" t="s">
        <v>2412</v>
      </c>
      <c r="E789" s="52"/>
      <c r="K789" s="54" t="s">
        <v>2413</v>
      </c>
      <c r="L789" s="54" t="s">
        <v>1683</v>
      </c>
      <c r="N789" s="54" t="s">
        <v>2414</v>
      </c>
    </row>
    <row r="790" spans="1:14" ht="12">
      <c r="A790" s="2">
        <v>789</v>
      </c>
      <c r="E790" s="52"/>
    </row>
    <row r="791" spans="1:14" ht="12">
      <c r="A791" s="2">
        <v>790</v>
      </c>
      <c r="E791" s="52"/>
    </row>
    <row r="792" spans="1:14" ht="12">
      <c r="A792" s="2">
        <v>791</v>
      </c>
      <c r="E792" s="52"/>
    </row>
    <row r="793" spans="1:14" ht="12">
      <c r="A793" s="2">
        <v>792</v>
      </c>
      <c r="E793" s="52"/>
    </row>
    <row r="794" spans="1:14" ht="12">
      <c r="A794" s="2">
        <v>793</v>
      </c>
      <c r="E794" s="52"/>
    </row>
    <row r="795" spans="1:14" ht="12">
      <c r="A795" s="18"/>
      <c r="E795" s="52"/>
    </row>
    <row r="796" spans="1:14" ht="12">
      <c r="A796" s="18"/>
      <c r="E796" s="52"/>
    </row>
    <row r="797" spans="1:14" ht="12">
      <c r="A797" s="18"/>
      <c r="E797" s="52"/>
    </row>
    <row r="798" spans="1:14" ht="12">
      <c r="A798" s="18"/>
      <c r="E798" s="52"/>
    </row>
    <row r="799" spans="1:14" ht="12">
      <c r="A799" s="18"/>
      <c r="E799" s="52"/>
    </row>
    <row r="800" spans="1:14" ht="12">
      <c r="A800" s="18"/>
      <c r="E800" s="52"/>
    </row>
    <row r="801" spans="1:5" ht="12">
      <c r="A801" s="18"/>
      <c r="E801" s="52"/>
    </row>
    <row r="802" spans="1:5" ht="12">
      <c r="A802" s="18"/>
      <c r="E802" s="52"/>
    </row>
    <row r="803" spans="1:5" ht="12">
      <c r="A803" s="18"/>
      <c r="E803" s="52"/>
    </row>
    <row r="804" spans="1:5" ht="12">
      <c r="A804" s="18"/>
      <c r="E804" s="52"/>
    </row>
    <row r="805" spans="1:5" ht="12">
      <c r="A805" s="18"/>
      <c r="E805" s="52"/>
    </row>
    <row r="806" spans="1:5" ht="12">
      <c r="A806" s="18"/>
      <c r="E806" s="52"/>
    </row>
    <row r="807" spans="1:5" ht="12">
      <c r="A807" s="18"/>
      <c r="E807" s="52"/>
    </row>
    <row r="808" spans="1:5" ht="12">
      <c r="A808" s="18"/>
      <c r="E808" s="52"/>
    </row>
    <row r="809" spans="1:5" ht="12">
      <c r="A809" s="18"/>
      <c r="E809" s="52"/>
    </row>
    <row r="810" spans="1:5" ht="12">
      <c r="A810" s="18"/>
      <c r="E810" s="52"/>
    </row>
    <row r="811" spans="1:5" ht="12">
      <c r="A811" s="18"/>
      <c r="E811" s="52"/>
    </row>
    <row r="812" spans="1:5" ht="12">
      <c r="A812" s="18"/>
      <c r="E812" s="52"/>
    </row>
    <row r="813" spans="1:5" ht="12">
      <c r="A813" s="18"/>
      <c r="E813" s="52"/>
    </row>
    <row r="814" spans="1:5" ht="12">
      <c r="A814" s="18"/>
      <c r="E814" s="52"/>
    </row>
    <row r="815" spans="1:5" ht="12">
      <c r="A815" s="18"/>
      <c r="E815" s="52"/>
    </row>
    <row r="816" spans="1:5" ht="12">
      <c r="A816" s="18"/>
      <c r="E816" s="52"/>
    </row>
    <row r="817" spans="1:5" ht="12">
      <c r="A817" s="18"/>
      <c r="E817" s="52"/>
    </row>
    <row r="818" spans="1:5" ht="12">
      <c r="A818" s="18"/>
      <c r="E818" s="52"/>
    </row>
    <row r="819" spans="1:5" ht="12">
      <c r="A819" s="18"/>
      <c r="E819" s="52"/>
    </row>
    <row r="820" spans="1:5" ht="12">
      <c r="A820" s="18"/>
      <c r="E820" s="52"/>
    </row>
    <row r="821" spans="1:5" ht="12">
      <c r="A821" s="18"/>
      <c r="E821" s="52"/>
    </row>
    <row r="822" spans="1:5" ht="12">
      <c r="A822" s="18"/>
      <c r="E822" s="52"/>
    </row>
    <row r="823" spans="1:5" ht="12">
      <c r="A823" s="18"/>
      <c r="E823" s="52"/>
    </row>
    <row r="824" spans="1:5" ht="12">
      <c r="A824" s="18"/>
      <c r="E824" s="52"/>
    </row>
    <row r="825" spans="1:5" ht="12">
      <c r="A825" s="18"/>
      <c r="E825" s="52"/>
    </row>
    <row r="826" spans="1:5" ht="12">
      <c r="A826" s="18"/>
      <c r="E826" s="52"/>
    </row>
    <row r="827" spans="1:5" ht="12">
      <c r="A827" s="18"/>
      <c r="E827" s="52"/>
    </row>
    <row r="828" spans="1:5" ht="12">
      <c r="A828" s="18"/>
      <c r="E828" s="52"/>
    </row>
    <row r="829" spans="1:5" ht="12">
      <c r="A829" s="18"/>
      <c r="E829" s="52"/>
    </row>
    <row r="830" spans="1:5" ht="12">
      <c r="A830" s="18"/>
      <c r="E830" s="52"/>
    </row>
    <row r="831" spans="1:5" ht="12">
      <c r="A831" s="18"/>
      <c r="E831" s="52"/>
    </row>
    <row r="832" spans="1:5" ht="12">
      <c r="A832" s="18"/>
      <c r="E832" s="52"/>
    </row>
    <row r="833" spans="1:5" ht="12">
      <c r="A833" s="18"/>
      <c r="E833" s="52"/>
    </row>
    <row r="834" spans="1:5" ht="12">
      <c r="A834" s="18"/>
      <c r="E834" s="52"/>
    </row>
    <row r="835" spans="1:5" ht="12">
      <c r="A835" s="18"/>
      <c r="E835" s="52"/>
    </row>
    <row r="836" spans="1:5" ht="12">
      <c r="A836" s="18"/>
      <c r="E836" s="52"/>
    </row>
    <row r="837" spans="1:5" ht="12">
      <c r="A837" s="18"/>
      <c r="E837" s="52"/>
    </row>
    <row r="838" spans="1:5" ht="12">
      <c r="A838" s="18"/>
      <c r="E838" s="52"/>
    </row>
    <row r="839" spans="1:5" ht="12">
      <c r="A839" s="18"/>
      <c r="E839" s="52"/>
    </row>
    <row r="840" spans="1:5" ht="12">
      <c r="A840" s="18"/>
      <c r="E840" s="52"/>
    </row>
    <row r="841" spans="1:5" ht="12">
      <c r="A841" s="18"/>
      <c r="E841" s="52"/>
    </row>
    <row r="842" spans="1:5" ht="12">
      <c r="A842" s="18"/>
      <c r="E842" s="52"/>
    </row>
    <row r="843" spans="1:5" ht="12">
      <c r="A843" s="18"/>
      <c r="E843" s="52"/>
    </row>
    <row r="844" spans="1:5" ht="12">
      <c r="A844" s="18"/>
      <c r="E844" s="52"/>
    </row>
    <row r="845" spans="1:5" ht="12">
      <c r="A845" s="18"/>
      <c r="E845" s="52"/>
    </row>
    <row r="846" spans="1:5" ht="12">
      <c r="A846" s="18"/>
      <c r="E846" s="52"/>
    </row>
    <row r="847" spans="1:5" ht="12">
      <c r="A847" s="18"/>
      <c r="E847" s="52"/>
    </row>
    <row r="848" spans="1:5" ht="12">
      <c r="A848" s="18"/>
      <c r="E848" s="52"/>
    </row>
    <row r="849" spans="1:5" ht="12">
      <c r="A849" s="18"/>
      <c r="E849" s="52"/>
    </row>
    <row r="850" spans="1:5" ht="12">
      <c r="A850" s="18"/>
      <c r="E850" s="52"/>
    </row>
    <row r="851" spans="1:5" ht="12">
      <c r="A851" s="18"/>
      <c r="E851" s="52"/>
    </row>
    <row r="852" spans="1:5" ht="12">
      <c r="A852" s="18"/>
      <c r="E852" s="52"/>
    </row>
    <row r="853" spans="1:5" ht="12">
      <c r="A853" s="18"/>
      <c r="E853" s="52"/>
    </row>
    <row r="854" spans="1:5" ht="12">
      <c r="A854" s="18"/>
      <c r="E854" s="52"/>
    </row>
    <row r="855" spans="1:5" ht="12">
      <c r="A855" s="18"/>
      <c r="E855" s="52"/>
    </row>
    <row r="856" spans="1:5" ht="12">
      <c r="A856" s="18"/>
      <c r="E856" s="52"/>
    </row>
    <row r="857" spans="1:5" ht="12">
      <c r="A857" s="18"/>
      <c r="E857" s="52"/>
    </row>
    <row r="858" spans="1:5" ht="12">
      <c r="A858" s="18"/>
      <c r="E858" s="52"/>
    </row>
    <row r="859" spans="1:5" ht="12">
      <c r="A859" s="18"/>
      <c r="E859" s="52"/>
    </row>
    <row r="860" spans="1:5" ht="12">
      <c r="A860" s="18"/>
      <c r="E860" s="52"/>
    </row>
    <row r="861" spans="1:5" ht="12">
      <c r="A861" s="18"/>
      <c r="E861" s="52"/>
    </row>
    <row r="862" spans="1:5" ht="12">
      <c r="A862" s="18"/>
      <c r="E862" s="52"/>
    </row>
    <row r="863" spans="1:5" ht="12">
      <c r="A863" s="18"/>
      <c r="E863" s="52"/>
    </row>
    <row r="864" spans="1:5" ht="12">
      <c r="A864" s="18"/>
      <c r="E864" s="52"/>
    </row>
    <row r="865" spans="1:5" ht="12">
      <c r="A865" s="18"/>
      <c r="E865" s="52"/>
    </row>
    <row r="866" spans="1:5" ht="12">
      <c r="A866" s="18"/>
      <c r="E866" s="52"/>
    </row>
    <row r="867" spans="1:5" ht="12">
      <c r="A867" s="18"/>
      <c r="E867" s="52"/>
    </row>
    <row r="868" spans="1:5" ht="12">
      <c r="A868" s="18"/>
      <c r="E868" s="52"/>
    </row>
    <row r="869" spans="1:5" ht="12">
      <c r="A869" s="18"/>
      <c r="E869" s="52"/>
    </row>
    <row r="870" spans="1:5" ht="12">
      <c r="A870" s="18"/>
      <c r="E870" s="52"/>
    </row>
    <row r="871" spans="1:5" ht="12">
      <c r="A871" s="18"/>
      <c r="E871" s="52"/>
    </row>
    <row r="872" spans="1:5" ht="12">
      <c r="A872" s="18"/>
      <c r="E872" s="52"/>
    </row>
    <row r="873" spans="1:5" ht="12">
      <c r="A873" s="18"/>
      <c r="E873" s="52"/>
    </row>
    <row r="874" spans="1:5" ht="12">
      <c r="A874" s="18"/>
      <c r="E874" s="52"/>
    </row>
    <row r="875" spans="1:5" ht="12">
      <c r="A875" s="18"/>
      <c r="E875" s="52"/>
    </row>
    <row r="876" spans="1:5" ht="12">
      <c r="A876" s="18"/>
      <c r="E876" s="52"/>
    </row>
    <row r="877" spans="1:5" ht="12">
      <c r="A877" s="18"/>
      <c r="E877" s="52"/>
    </row>
    <row r="878" spans="1:5" ht="12">
      <c r="A878" s="18"/>
      <c r="E878" s="52"/>
    </row>
    <row r="879" spans="1:5" ht="12">
      <c r="A879" s="18"/>
      <c r="E879" s="52"/>
    </row>
    <row r="880" spans="1:5" ht="12">
      <c r="A880" s="18"/>
      <c r="E880" s="52"/>
    </row>
    <row r="881" spans="1:5" ht="12">
      <c r="A881" s="18"/>
      <c r="E881" s="52"/>
    </row>
    <row r="882" spans="1:5" ht="12">
      <c r="A882" s="18"/>
      <c r="E882" s="52"/>
    </row>
    <row r="883" spans="1:5" ht="12">
      <c r="A883" s="18"/>
      <c r="E883" s="52"/>
    </row>
    <row r="884" spans="1:5" ht="12">
      <c r="A884" s="18"/>
      <c r="E884" s="52"/>
    </row>
  </sheetData>
  <conditionalFormatting sqref="B360">
    <cfRule type="containsText" dxfId="73" priority="1" operator="containsText" text="Optovision">
      <formula>NOT(ISERROR(SEARCH(("Optovision"),(B360))))</formula>
    </cfRule>
  </conditionalFormatting>
  <conditionalFormatting sqref="B362">
    <cfRule type="containsText" dxfId="72" priority="2" operator="containsText" text="Optovision">
      <formula>NOT(ISERROR(SEARCH(("Optovision"),(B362))))</formula>
    </cfRule>
  </conditionalFormatting>
  <conditionalFormatting sqref="B360">
    <cfRule type="containsText" dxfId="71" priority="3" operator="containsText" text="Gensight">
      <formula>NOT(ISERROR(SEARCH(("Gensight"),(B360))))</formula>
    </cfRule>
  </conditionalFormatting>
  <conditionalFormatting sqref="B362">
    <cfRule type="containsText" dxfId="70" priority="4" operator="containsText" text="Gensight">
      <formula>NOT(ISERROR(SEARCH(("Gensight"),(B362))))</formula>
    </cfRule>
  </conditionalFormatting>
  <pageMargins left="0.75" right="0.75" top="1" bottom="1" header="0.5" footer="0.5"/>
  <pageSetup paperSize="9" orientation="portrait" horizontalDpi="4294967292" verticalDpi="4294967292"/>
  <drawing r:id="rId1"/>
  <legacyDrawing r:id="rId2"/>
  <tableParts count="1"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24" customWidth="1"/>
    <col min="2" max="2" width="14.6640625" customWidth="1"/>
    <col min="3" max="3" width="11" hidden="1" customWidth="1"/>
    <col min="4" max="4" width="8.5" hidden="1" customWidth="1"/>
    <col min="5" max="5" width="32.5" customWidth="1"/>
    <col min="6" max="6" width="17.33203125" customWidth="1"/>
    <col min="7" max="7" width="15.5" customWidth="1"/>
    <col min="8" max="8" width="14" customWidth="1"/>
    <col min="9" max="9" width="12.5" customWidth="1"/>
    <col min="10" max="10" width="17.33203125" customWidth="1"/>
    <col min="11" max="11" width="39.5" customWidth="1"/>
    <col min="12" max="12" width="13.1640625" customWidth="1"/>
    <col min="13" max="13" width="15.6640625" customWidth="1"/>
    <col min="14" max="14" width="17.33203125" customWidth="1"/>
    <col min="15" max="15" width="20.33203125" customWidth="1"/>
    <col min="16" max="16" width="17.33203125" hidden="1" customWidth="1"/>
    <col min="17" max="17" width="55" customWidth="1"/>
    <col min="18" max="25" width="17.33203125" customWidth="1"/>
  </cols>
  <sheetData>
    <row r="1" spans="1:25" ht="39">
      <c r="A1" s="3" t="s">
        <v>0</v>
      </c>
      <c r="B1" s="5" t="s">
        <v>1</v>
      </c>
      <c r="C1" s="7" t="s">
        <v>4</v>
      </c>
      <c r="D1" s="7" t="s">
        <v>5</v>
      </c>
      <c r="E1" s="7" t="s">
        <v>8</v>
      </c>
      <c r="F1" s="7" t="s">
        <v>9</v>
      </c>
      <c r="G1" s="9" t="s">
        <v>10</v>
      </c>
      <c r="H1" s="7" t="s">
        <v>16</v>
      </c>
      <c r="I1" s="11" t="s">
        <v>17</v>
      </c>
      <c r="J1" s="13" t="s">
        <v>19</v>
      </c>
      <c r="K1" s="11" t="s">
        <v>21</v>
      </c>
      <c r="L1" s="20" t="s">
        <v>22</v>
      </c>
      <c r="M1" s="22" t="s">
        <v>35</v>
      </c>
      <c r="N1" s="9" t="s">
        <v>47</v>
      </c>
      <c r="O1" s="22" t="s">
        <v>48</v>
      </c>
      <c r="P1" s="7" t="s">
        <v>27</v>
      </c>
      <c r="Q1" s="24" t="s">
        <v>32</v>
      </c>
      <c r="R1" s="26"/>
      <c r="S1" s="26"/>
      <c r="T1" s="26"/>
      <c r="U1" s="26"/>
      <c r="V1" s="26"/>
      <c r="W1" s="26"/>
      <c r="X1" s="26"/>
      <c r="Y1" s="26"/>
    </row>
    <row r="2" spans="1:25" ht="26.25" customHeight="1">
      <c r="A2" s="24" t="s">
        <v>50</v>
      </c>
      <c r="B2" s="28" t="s">
        <v>51</v>
      </c>
      <c r="C2" s="26"/>
      <c r="D2" s="26"/>
      <c r="E2" s="26"/>
      <c r="F2" s="26"/>
      <c r="G2" s="26"/>
      <c r="H2" s="26"/>
      <c r="I2" s="26"/>
      <c r="J2" s="30" t="s">
        <v>53</v>
      </c>
      <c r="K2" s="32" t="s">
        <v>56</v>
      </c>
      <c r="L2" s="34"/>
      <c r="M2" s="26"/>
      <c r="N2" s="7" t="s">
        <v>61</v>
      </c>
      <c r="O2" s="24" t="s">
        <v>62</v>
      </c>
      <c r="P2" s="26"/>
      <c r="Q2" s="26"/>
      <c r="R2" s="26"/>
      <c r="S2" s="26"/>
      <c r="T2" s="26"/>
      <c r="U2" s="26"/>
      <c r="V2" s="26"/>
      <c r="W2" s="26"/>
      <c r="X2" s="26"/>
      <c r="Y2" s="26"/>
    </row>
    <row r="3" spans="1:25" ht="26.25" customHeight="1">
      <c r="A3" s="24" t="s">
        <v>50</v>
      </c>
      <c r="B3" s="28" t="s">
        <v>51</v>
      </c>
      <c r="C3" s="26"/>
      <c r="D3" s="26"/>
      <c r="E3" s="24">
        <v>202</v>
      </c>
      <c r="F3" s="24" t="s">
        <v>63</v>
      </c>
      <c r="G3" s="24" t="s">
        <v>64</v>
      </c>
      <c r="H3" s="24">
        <v>318</v>
      </c>
      <c r="I3" s="24">
        <v>319</v>
      </c>
      <c r="J3" s="30" t="s">
        <v>53</v>
      </c>
      <c r="K3" s="32" t="s">
        <v>65</v>
      </c>
      <c r="L3" s="34"/>
      <c r="M3" s="26"/>
      <c r="N3" s="7" t="s">
        <v>66</v>
      </c>
      <c r="O3" s="24" t="s">
        <v>67</v>
      </c>
      <c r="P3" s="26"/>
      <c r="Q3" s="24" t="s">
        <v>68</v>
      </c>
      <c r="R3" s="37"/>
      <c r="S3" s="37"/>
      <c r="T3" s="37"/>
      <c r="U3" s="37"/>
      <c r="V3" s="37"/>
      <c r="W3" s="37"/>
      <c r="X3" s="37"/>
      <c r="Y3" s="37"/>
    </row>
    <row r="4" spans="1:25" ht="26.25" customHeight="1">
      <c r="A4" s="24" t="s">
        <v>52</v>
      </c>
      <c r="B4" s="28" t="s">
        <v>69</v>
      </c>
      <c r="C4" s="24" t="s">
        <v>55</v>
      </c>
      <c r="D4" s="24" t="s">
        <v>70</v>
      </c>
      <c r="E4" s="24">
        <v>33</v>
      </c>
      <c r="F4" s="24" t="s">
        <v>71</v>
      </c>
      <c r="G4" s="24">
        <v>275</v>
      </c>
      <c r="H4" s="24">
        <v>332</v>
      </c>
      <c r="I4" s="32">
        <v>321</v>
      </c>
      <c r="J4" s="30" t="s">
        <v>53</v>
      </c>
      <c r="K4" s="32" t="s">
        <v>72</v>
      </c>
      <c r="L4" s="39" t="s">
        <v>73</v>
      </c>
      <c r="M4" s="24" t="s">
        <v>74</v>
      </c>
      <c r="N4" s="7">
        <v>257</v>
      </c>
      <c r="O4" s="24" t="s">
        <v>75</v>
      </c>
      <c r="P4" s="26"/>
      <c r="Q4" s="26"/>
      <c r="R4" s="41"/>
      <c r="S4" s="41"/>
      <c r="T4" s="41"/>
      <c r="U4" s="41"/>
      <c r="V4" s="41"/>
      <c r="W4" s="41"/>
      <c r="X4" s="41"/>
      <c r="Y4" s="43"/>
    </row>
    <row r="5" spans="1:25" ht="23.25" customHeight="1">
      <c r="A5" s="24" t="s">
        <v>52</v>
      </c>
      <c r="B5" s="28" t="s">
        <v>69</v>
      </c>
      <c r="C5" s="24" t="s">
        <v>55</v>
      </c>
      <c r="D5" s="24" t="s">
        <v>70</v>
      </c>
      <c r="E5" s="24">
        <v>33</v>
      </c>
      <c r="F5" s="45" t="s">
        <v>76</v>
      </c>
      <c r="G5" s="47">
        <v>213</v>
      </c>
      <c r="H5" s="45">
        <v>297</v>
      </c>
      <c r="I5" s="49">
        <v>298</v>
      </c>
      <c r="J5" s="30" t="s">
        <v>53</v>
      </c>
      <c r="K5" s="32" t="s">
        <v>77</v>
      </c>
      <c r="L5" s="39" t="s">
        <v>73</v>
      </c>
      <c r="M5" s="51">
        <v>41525</v>
      </c>
      <c r="N5" s="9">
        <v>268</v>
      </c>
      <c r="O5" s="53" t="s">
        <v>78</v>
      </c>
      <c r="P5" s="24" t="s">
        <v>86</v>
      </c>
      <c r="Q5" s="26"/>
      <c r="R5" s="26"/>
      <c r="S5" s="26"/>
      <c r="T5" s="26"/>
      <c r="U5" s="26"/>
      <c r="V5" s="26"/>
      <c r="W5" s="26"/>
      <c r="X5" s="26"/>
      <c r="Y5" s="56"/>
    </row>
    <row r="6" spans="1:25" ht="27" customHeight="1">
      <c r="A6" s="24" t="s">
        <v>52</v>
      </c>
      <c r="B6" s="28" t="s">
        <v>69</v>
      </c>
      <c r="C6" s="24" t="s">
        <v>55</v>
      </c>
      <c r="D6" s="24" t="s">
        <v>70</v>
      </c>
      <c r="E6" s="24">
        <v>257</v>
      </c>
      <c r="F6" s="24" t="s">
        <v>103</v>
      </c>
      <c r="G6" s="47">
        <v>273</v>
      </c>
      <c r="H6" s="24">
        <v>334</v>
      </c>
      <c r="I6" s="32">
        <v>335</v>
      </c>
      <c r="J6" s="30" t="s">
        <v>53</v>
      </c>
      <c r="K6" s="32" t="s">
        <v>105</v>
      </c>
      <c r="L6" s="59"/>
      <c r="M6" s="60"/>
      <c r="N6" s="9">
        <v>279</v>
      </c>
      <c r="O6" s="53" t="s">
        <v>135</v>
      </c>
      <c r="P6" s="26"/>
      <c r="Q6" s="26"/>
      <c r="R6" s="26"/>
      <c r="S6" s="26"/>
      <c r="T6" s="26"/>
      <c r="U6" s="26"/>
      <c r="V6" s="26"/>
      <c r="W6" s="26"/>
      <c r="X6" s="26"/>
      <c r="Y6" s="56"/>
    </row>
    <row r="7" spans="1:25" ht="13">
      <c r="A7" s="24" t="s">
        <v>52</v>
      </c>
      <c r="B7" s="28" t="s">
        <v>139</v>
      </c>
      <c r="C7" s="24" t="s">
        <v>55</v>
      </c>
      <c r="D7" s="24" t="s">
        <v>57</v>
      </c>
      <c r="E7" s="24" t="s">
        <v>140</v>
      </c>
      <c r="F7" s="26"/>
      <c r="G7" s="47" t="s">
        <v>82</v>
      </c>
      <c r="H7" s="26"/>
      <c r="I7" s="63"/>
      <c r="J7" s="30" t="s">
        <v>53</v>
      </c>
      <c r="K7" s="32" t="s">
        <v>153</v>
      </c>
      <c r="L7" s="39" t="s">
        <v>155</v>
      </c>
      <c r="M7" s="53" t="s">
        <v>156</v>
      </c>
      <c r="N7" s="9">
        <v>274</v>
      </c>
      <c r="O7" s="53" t="s">
        <v>158</v>
      </c>
      <c r="P7" s="24" t="s">
        <v>86</v>
      </c>
      <c r="Q7" s="26"/>
      <c r="R7" s="26"/>
      <c r="S7" s="26"/>
      <c r="T7" s="26"/>
      <c r="U7" s="26"/>
      <c r="V7" s="26"/>
      <c r="W7" s="26"/>
      <c r="X7" s="26"/>
      <c r="Y7" s="26"/>
    </row>
    <row r="8" spans="1:25" ht="39">
      <c r="A8" s="24" t="s">
        <v>161</v>
      </c>
      <c r="B8" s="28" t="s">
        <v>139</v>
      </c>
      <c r="C8" s="24" t="s">
        <v>162</v>
      </c>
      <c r="D8" s="24" t="s">
        <v>57</v>
      </c>
      <c r="E8" s="24">
        <v>120</v>
      </c>
      <c r="F8" s="24" t="s">
        <v>164</v>
      </c>
      <c r="G8" s="47">
        <v>235</v>
      </c>
      <c r="H8" s="24">
        <v>248</v>
      </c>
      <c r="I8" s="32">
        <v>249</v>
      </c>
      <c r="J8" s="30" t="s">
        <v>166</v>
      </c>
      <c r="K8" s="32" t="s">
        <v>168</v>
      </c>
      <c r="L8" s="39" t="s">
        <v>155</v>
      </c>
      <c r="M8" s="51">
        <v>41496</v>
      </c>
      <c r="N8" s="9">
        <v>286</v>
      </c>
      <c r="O8" s="53" t="s">
        <v>169</v>
      </c>
      <c r="P8" s="24" t="s">
        <v>86</v>
      </c>
      <c r="Q8" s="26"/>
      <c r="R8" s="26"/>
      <c r="S8" s="26"/>
      <c r="T8" s="26"/>
      <c r="U8" s="26"/>
      <c r="V8" s="26"/>
      <c r="W8" s="26"/>
      <c r="X8" s="26"/>
      <c r="Y8" s="65"/>
    </row>
    <row r="9" spans="1:25" ht="39">
      <c r="A9" s="24" t="s">
        <v>161</v>
      </c>
      <c r="B9" s="28" t="s">
        <v>139</v>
      </c>
      <c r="C9" s="24" t="s">
        <v>162</v>
      </c>
      <c r="D9" s="24" t="s">
        <v>57</v>
      </c>
      <c r="E9" s="24">
        <v>120</v>
      </c>
      <c r="F9" s="24" t="s">
        <v>164</v>
      </c>
      <c r="G9" s="47" t="s">
        <v>192</v>
      </c>
      <c r="H9" s="24">
        <v>250</v>
      </c>
      <c r="I9" s="32">
        <v>251</v>
      </c>
      <c r="J9" s="30" t="s">
        <v>166</v>
      </c>
      <c r="K9" s="32" t="s">
        <v>194</v>
      </c>
      <c r="L9" s="39" t="s">
        <v>155</v>
      </c>
      <c r="M9" s="51">
        <v>41496</v>
      </c>
      <c r="N9" s="9">
        <v>287</v>
      </c>
      <c r="O9" s="53" t="s">
        <v>196</v>
      </c>
      <c r="P9" s="24" t="s">
        <v>86</v>
      </c>
      <c r="Q9" s="26"/>
      <c r="R9" s="26"/>
      <c r="S9" s="26"/>
      <c r="T9" s="26"/>
      <c r="U9" s="26"/>
      <c r="V9" s="26"/>
      <c r="W9" s="26"/>
      <c r="X9" s="26"/>
      <c r="Y9" s="65"/>
    </row>
    <row r="10" spans="1:25" ht="26">
      <c r="A10" s="24" t="s">
        <v>199</v>
      </c>
      <c r="B10" s="28" t="s">
        <v>200</v>
      </c>
      <c r="C10" s="26"/>
      <c r="D10" s="26"/>
      <c r="E10" s="24">
        <v>185</v>
      </c>
      <c r="F10" s="24" t="s">
        <v>201</v>
      </c>
      <c r="G10" s="24" t="s">
        <v>203</v>
      </c>
      <c r="H10" s="24">
        <v>342</v>
      </c>
      <c r="I10" s="32">
        <v>343</v>
      </c>
      <c r="J10" s="30" t="s">
        <v>166</v>
      </c>
      <c r="K10" s="32" t="s">
        <v>205</v>
      </c>
      <c r="L10" s="34"/>
      <c r="M10" s="69">
        <v>41436</v>
      </c>
      <c r="N10" s="7">
        <v>293</v>
      </c>
      <c r="O10" s="24" t="s">
        <v>211</v>
      </c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 ht="26">
      <c r="A11" s="24" t="s">
        <v>199</v>
      </c>
      <c r="B11" s="28" t="s">
        <v>200</v>
      </c>
      <c r="C11" s="26"/>
      <c r="D11" s="26"/>
      <c r="E11" s="24">
        <v>185</v>
      </c>
      <c r="F11" s="24" t="s">
        <v>201</v>
      </c>
      <c r="G11" s="24" t="s">
        <v>212</v>
      </c>
      <c r="H11" s="24">
        <v>342</v>
      </c>
      <c r="I11" s="32">
        <v>343</v>
      </c>
      <c r="J11" s="30" t="s">
        <v>166</v>
      </c>
      <c r="K11" s="32" t="s">
        <v>213</v>
      </c>
      <c r="L11" s="34"/>
      <c r="M11" s="69">
        <v>41436</v>
      </c>
      <c r="N11" s="7">
        <v>294</v>
      </c>
      <c r="O11" s="24" t="s">
        <v>211</v>
      </c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 ht="26">
      <c r="A12" s="24" t="s">
        <v>199</v>
      </c>
      <c r="B12" s="28" t="s">
        <v>200</v>
      </c>
      <c r="C12" s="26"/>
      <c r="D12" s="26"/>
      <c r="E12" s="24">
        <v>185</v>
      </c>
      <c r="F12" s="24" t="s">
        <v>201</v>
      </c>
      <c r="G12" s="24" t="s">
        <v>214</v>
      </c>
      <c r="H12" s="24">
        <v>342</v>
      </c>
      <c r="I12" s="32">
        <v>343</v>
      </c>
      <c r="J12" s="30" t="s">
        <v>166</v>
      </c>
      <c r="K12" s="32" t="s">
        <v>215</v>
      </c>
      <c r="L12" s="34"/>
      <c r="M12" s="69">
        <v>41618</v>
      </c>
      <c r="N12" s="7">
        <v>334</v>
      </c>
      <c r="O12" s="24" t="s">
        <v>211</v>
      </c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spans="1:25" ht="33" customHeight="1">
      <c r="A13" s="24" t="s">
        <v>199</v>
      </c>
      <c r="B13" s="28" t="s">
        <v>200</v>
      </c>
      <c r="C13" s="26"/>
      <c r="D13" s="26"/>
      <c r="E13" s="24">
        <v>293</v>
      </c>
      <c r="F13" s="24" t="s">
        <v>216</v>
      </c>
      <c r="G13" s="24" t="s">
        <v>217</v>
      </c>
      <c r="H13" s="24">
        <v>399</v>
      </c>
      <c r="I13" s="32">
        <v>400</v>
      </c>
      <c r="J13" s="30" t="s">
        <v>166</v>
      </c>
      <c r="K13" s="32" t="s">
        <v>218</v>
      </c>
      <c r="L13" s="34"/>
      <c r="M13" s="69">
        <v>41653</v>
      </c>
      <c r="N13" s="7">
        <v>346</v>
      </c>
      <c r="O13" s="24" t="s">
        <v>219</v>
      </c>
      <c r="P13" s="26"/>
      <c r="Q13" s="26"/>
      <c r="R13" s="26"/>
      <c r="S13" s="26"/>
      <c r="T13" s="26"/>
      <c r="U13" s="26"/>
      <c r="V13" s="37"/>
      <c r="W13" s="37"/>
      <c r="X13" s="37"/>
      <c r="Y13" s="37"/>
    </row>
    <row r="14" spans="1:25" ht="33" customHeight="1">
      <c r="A14" s="24" t="s">
        <v>52</v>
      </c>
      <c r="B14" s="28" t="s">
        <v>220</v>
      </c>
      <c r="C14" s="24" t="s">
        <v>222</v>
      </c>
      <c r="D14" s="24" t="s">
        <v>222</v>
      </c>
      <c r="E14" s="24">
        <v>120</v>
      </c>
      <c r="F14" s="24" t="s">
        <v>224</v>
      </c>
      <c r="G14" s="24">
        <v>92</v>
      </c>
      <c r="H14" s="24">
        <v>369</v>
      </c>
      <c r="I14" s="32">
        <v>370</v>
      </c>
      <c r="J14" s="30" t="s">
        <v>166</v>
      </c>
      <c r="K14" s="32" t="s">
        <v>225</v>
      </c>
      <c r="L14" s="34"/>
      <c r="M14" s="69">
        <v>41619</v>
      </c>
      <c r="N14" s="7">
        <v>295</v>
      </c>
      <c r="O14" s="24" t="s">
        <v>226</v>
      </c>
      <c r="P14" s="26"/>
      <c r="Q14" s="26"/>
      <c r="R14" s="26"/>
      <c r="S14" s="26"/>
      <c r="T14" s="26"/>
      <c r="U14" s="26"/>
      <c r="V14" s="41"/>
      <c r="W14" s="41"/>
      <c r="X14" s="41"/>
      <c r="Y14" s="75"/>
    </row>
    <row r="15" spans="1:25" ht="44.25" customHeight="1">
      <c r="A15" s="24" t="s">
        <v>52</v>
      </c>
      <c r="B15" s="28" t="s">
        <v>139</v>
      </c>
      <c r="C15" s="24" t="s">
        <v>242</v>
      </c>
      <c r="D15" s="24" t="s">
        <v>242</v>
      </c>
      <c r="E15" s="24">
        <v>120</v>
      </c>
      <c r="F15" s="24" t="s">
        <v>224</v>
      </c>
      <c r="G15" s="24">
        <v>199</v>
      </c>
      <c r="H15" s="24">
        <v>367</v>
      </c>
      <c r="I15" s="32">
        <v>368</v>
      </c>
      <c r="J15" s="30" t="s">
        <v>166</v>
      </c>
      <c r="K15" s="32" t="s">
        <v>244</v>
      </c>
      <c r="L15" s="34"/>
      <c r="M15" s="69">
        <v>41619</v>
      </c>
      <c r="N15" s="7">
        <v>296</v>
      </c>
      <c r="O15" s="24" t="s">
        <v>226</v>
      </c>
      <c r="P15" s="26"/>
      <c r="Q15" s="26"/>
      <c r="R15" s="26"/>
      <c r="S15" s="26"/>
      <c r="T15" s="26"/>
      <c r="U15" s="26"/>
      <c r="V15" s="26"/>
      <c r="W15" s="26"/>
      <c r="X15" s="26"/>
      <c r="Y15" s="81"/>
    </row>
    <row r="16" spans="1:25" ht="42" customHeight="1">
      <c r="A16" s="24" t="s">
        <v>52</v>
      </c>
      <c r="B16" s="28" t="s">
        <v>139</v>
      </c>
      <c r="C16" s="24" t="s">
        <v>242</v>
      </c>
      <c r="D16" s="24" t="s">
        <v>242</v>
      </c>
      <c r="E16" s="24">
        <v>120</v>
      </c>
      <c r="F16" s="24" t="s">
        <v>224</v>
      </c>
      <c r="G16" s="24">
        <v>209</v>
      </c>
      <c r="H16" s="24">
        <v>371</v>
      </c>
      <c r="I16" s="32">
        <v>372</v>
      </c>
      <c r="J16" s="30" t="s">
        <v>166</v>
      </c>
      <c r="K16" s="32" t="s">
        <v>259</v>
      </c>
      <c r="L16" s="34"/>
      <c r="M16" s="69">
        <v>41619</v>
      </c>
      <c r="N16" s="7">
        <v>297</v>
      </c>
      <c r="O16" s="24" t="s">
        <v>260</v>
      </c>
      <c r="P16" s="26"/>
      <c r="Q16" s="26"/>
      <c r="R16" s="26"/>
      <c r="S16" s="26"/>
      <c r="T16" s="26"/>
      <c r="U16" s="26"/>
      <c r="V16" s="26"/>
      <c r="W16" s="26"/>
      <c r="X16" s="26"/>
      <c r="Y16" s="81"/>
    </row>
    <row r="17" spans="1:25" ht="42" customHeight="1">
      <c r="A17" s="26"/>
      <c r="B17" s="83"/>
      <c r="C17" s="26"/>
      <c r="D17" s="26"/>
      <c r="E17" s="24">
        <v>253</v>
      </c>
      <c r="F17" s="24" t="s">
        <v>270</v>
      </c>
      <c r="G17" s="24" t="s">
        <v>82</v>
      </c>
      <c r="H17" s="24" t="s">
        <v>82</v>
      </c>
      <c r="I17" s="32" t="s">
        <v>82</v>
      </c>
      <c r="J17" s="30" t="s">
        <v>272</v>
      </c>
      <c r="K17" s="32" t="s">
        <v>273</v>
      </c>
      <c r="L17" s="34"/>
      <c r="M17" s="26"/>
      <c r="N17" s="7">
        <v>301</v>
      </c>
      <c r="O17" s="24" t="s">
        <v>275</v>
      </c>
      <c r="P17" s="26"/>
      <c r="Q17" s="24" t="s">
        <v>277</v>
      </c>
      <c r="R17" s="26"/>
      <c r="S17" s="26"/>
      <c r="T17" s="26"/>
      <c r="U17" s="26"/>
      <c r="V17" s="26"/>
      <c r="W17" s="26"/>
      <c r="X17" s="26"/>
      <c r="Y17" s="81"/>
    </row>
    <row r="18" spans="1:25" ht="42" customHeight="1">
      <c r="A18" s="24" t="s">
        <v>52</v>
      </c>
      <c r="B18" s="28" t="s">
        <v>139</v>
      </c>
      <c r="C18" s="24" t="s">
        <v>242</v>
      </c>
      <c r="D18" s="24" t="s">
        <v>242</v>
      </c>
      <c r="E18" s="24">
        <v>289</v>
      </c>
      <c r="F18" s="24" t="s">
        <v>282</v>
      </c>
      <c r="G18" s="24">
        <v>235</v>
      </c>
      <c r="H18" s="24">
        <v>391</v>
      </c>
      <c r="I18" s="32">
        <v>392</v>
      </c>
      <c r="J18" s="30" t="s">
        <v>272</v>
      </c>
      <c r="K18" s="32" t="s">
        <v>285</v>
      </c>
      <c r="L18" s="34"/>
      <c r="M18" s="69">
        <v>41613</v>
      </c>
      <c r="N18" s="7">
        <v>302</v>
      </c>
      <c r="O18" s="24" t="s">
        <v>287</v>
      </c>
      <c r="P18" s="26"/>
      <c r="Q18" s="26"/>
      <c r="R18" s="26"/>
      <c r="S18" s="26"/>
      <c r="T18" s="26"/>
      <c r="U18" s="26"/>
      <c r="V18" s="26"/>
      <c r="W18" s="26"/>
      <c r="X18" s="26"/>
      <c r="Y18" s="81"/>
    </row>
    <row r="19" spans="1:25" ht="39">
      <c r="A19" s="24" t="s">
        <v>161</v>
      </c>
      <c r="B19" s="28" t="s">
        <v>139</v>
      </c>
      <c r="C19" s="24" t="s">
        <v>162</v>
      </c>
      <c r="D19" s="24" t="s">
        <v>288</v>
      </c>
      <c r="E19" s="24" t="s">
        <v>289</v>
      </c>
      <c r="F19" s="24" t="s">
        <v>290</v>
      </c>
      <c r="G19" s="47">
        <v>231</v>
      </c>
      <c r="H19" s="24">
        <v>389</v>
      </c>
      <c r="I19" s="32">
        <v>390</v>
      </c>
      <c r="J19" s="30" t="s">
        <v>166</v>
      </c>
      <c r="K19" s="32" t="s">
        <v>292</v>
      </c>
      <c r="L19" s="39" t="s">
        <v>155</v>
      </c>
      <c r="M19" s="60"/>
      <c r="N19" s="9">
        <v>337</v>
      </c>
      <c r="O19" s="53" t="s">
        <v>294</v>
      </c>
      <c r="P19" s="24" t="s">
        <v>86</v>
      </c>
      <c r="Q19" s="26"/>
      <c r="R19" s="26"/>
      <c r="S19" s="26"/>
      <c r="T19" s="26"/>
      <c r="U19" s="26"/>
      <c r="V19" s="26"/>
      <c r="W19" s="26"/>
      <c r="X19" s="26"/>
      <c r="Y19" s="65"/>
    </row>
    <row r="20" spans="1:25" ht="39">
      <c r="A20" s="24" t="s">
        <v>161</v>
      </c>
      <c r="B20" s="28" t="s">
        <v>139</v>
      </c>
      <c r="C20" s="24" t="s">
        <v>162</v>
      </c>
      <c r="D20" s="24" t="s">
        <v>288</v>
      </c>
      <c r="E20" s="24" t="s">
        <v>289</v>
      </c>
      <c r="F20" s="24" t="s">
        <v>298</v>
      </c>
      <c r="G20" s="47">
        <v>190</v>
      </c>
      <c r="H20" s="24">
        <v>375</v>
      </c>
      <c r="I20" s="32">
        <v>376</v>
      </c>
      <c r="J20" s="30" t="s">
        <v>166</v>
      </c>
      <c r="K20" s="32" t="s">
        <v>299</v>
      </c>
      <c r="L20" s="87">
        <v>41605</v>
      </c>
      <c r="M20" s="60"/>
      <c r="N20" s="9">
        <v>338</v>
      </c>
      <c r="O20" s="53" t="s">
        <v>316</v>
      </c>
      <c r="P20" s="26"/>
      <c r="Q20" s="26"/>
      <c r="R20" s="26"/>
      <c r="S20" s="26"/>
      <c r="T20" s="26"/>
      <c r="U20" s="26"/>
      <c r="V20" s="26"/>
      <c r="W20" s="26"/>
      <c r="X20" s="26"/>
      <c r="Y20" s="65"/>
    </row>
    <row r="21" spans="1:25" ht="52">
      <c r="A21" s="24" t="s">
        <v>52</v>
      </c>
      <c r="B21" s="28" t="s">
        <v>69</v>
      </c>
      <c r="C21" s="24" t="s">
        <v>55</v>
      </c>
      <c r="D21" s="24" t="s">
        <v>70</v>
      </c>
      <c r="E21" s="24">
        <v>33</v>
      </c>
      <c r="F21" s="26"/>
      <c r="G21" s="47" t="s">
        <v>320</v>
      </c>
      <c r="H21" s="26"/>
      <c r="I21" s="26"/>
      <c r="J21" s="30" t="s">
        <v>53</v>
      </c>
      <c r="K21" s="32" t="s">
        <v>322</v>
      </c>
      <c r="L21" s="39" t="s">
        <v>73</v>
      </c>
      <c r="M21" s="53" t="s">
        <v>323</v>
      </c>
      <c r="N21" s="9" t="s">
        <v>324</v>
      </c>
      <c r="O21" s="53" t="s">
        <v>325</v>
      </c>
      <c r="P21" s="24" t="s">
        <v>86</v>
      </c>
      <c r="Q21" s="26"/>
      <c r="R21" s="26"/>
      <c r="S21" s="26"/>
      <c r="T21" s="26"/>
      <c r="U21" s="26"/>
      <c r="V21" s="26"/>
      <c r="W21" s="26"/>
      <c r="X21" s="26"/>
      <c r="Y21" s="26"/>
    </row>
    <row r="22" spans="1:25" ht="26">
      <c r="A22" s="24" t="s">
        <v>52</v>
      </c>
      <c r="B22" s="28" t="s">
        <v>69</v>
      </c>
      <c r="C22" s="24" t="s">
        <v>55</v>
      </c>
      <c r="D22" s="24" t="s">
        <v>70</v>
      </c>
      <c r="E22" s="24" t="s">
        <v>330</v>
      </c>
      <c r="F22" s="24" t="s">
        <v>331</v>
      </c>
      <c r="G22" s="47">
        <v>214</v>
      </c>
      <c r="H22" s="24">
        <v>403</v>
      </c>
      <c r="I22" s="32">
        <v>404</v>
      </c>
      <c r="J22" s="30" t="s">
        <v>53</v>
      </c>
      <c r="K22" s="32" t="s">
        <v>334</v>
      </c>
      <c r="L22" s="39" t="s">
        <v>335</v>
      </c>
      <c r="M22" s="60"/>
      <c r="N22" s="9">
        <v>339</v>
      </c>
      <c r="O22" s="53" t="s">
        <v>336</v>
      </c>
      <c r="P22" s="26"/>
      <c r="Q22" s="24" t="s">
        <v>338</v>
      </c>
      <c r="R22" s="26"/>
      <c r="S22" s="26"/>
      <c r="T22" s="26"/>
      <c r="U22" s="26"/>
      <c r="V22" s="26"/>
      <c r="W22" s="26"/>
      <c r="X22" s="26"/>
      <c r="Y22" s="56"/>
    </row>
    <row r="23" spans="1:25" ht="26">
      <c r="A23" s="24" t="s">
        <v>52</v>
      </c>
      <c r="B23" s="28" t="s">
        <v>69</v>
      </c>
      <c r="C23" s="24" t="s">
        <v>55</v>
      </c>
      <c r="D23" s="24" t="s">
        <v>70</v>
      </c>
      <c r="E23" s="24" t="s">
        <v>344</v>
      </c>
      <c r="F23" s="24" t="s">
        <v>331</v>
      </c>
      <c r="G23" s="24">
        <v>214</v>
      </c>
      <c r="H23" s="24">
        <v>403</v>
      </c>
      <c r="I23" s="32">
        <v>404</v>
      </c>
      <c r="J23" s="30" t="s">
        <v>53</v>
      </c>
      <c r="K23" s="32" t="s">
        <v>347</v>
      </c>
      <c r="L23" s="39" t="s">
        <v>335</v>
      </c>
      <c r="M23" s="26"/>
      <c r="N23" s="7">
        <v>340</v>
      </c>
      <c r="O23" s="24" t="s">
        <v>336</v>
      </c>
      <c r="P23" s="26"/>
      <c r="Q23" s="24" t="s">
        <v>351</v>
      </c>
      <c r="R23" s="26"/>
      <c r="S23" s="26"/>
      <c r="T23" s="26"/>
      <c r="U23" s="26"/>
      <c r="V23" s="26"/>
      <c r="W23" s="26"/>
      <c r="X23" s="26"/>
      <c r="Y23" s="56"/>
    </row>
    <row r="24" spans="1:25" ht="26">
      <c r="A24" s="91" t="s">
        <v>52</v>
      </c>
      <c r="B24" s="93" t="s">
        <v>69</v>
      </c>
      <c r="C24" s="91" t="s">
        <v>55</v>
      </c>
      <c r="D24" s="91" t="s">
        <v>70</v>
      </c>
      <c r="E24" s="91" t="s">
        <v>373</v>
      </c>
      <c r="F24" s="91" t="s">
        <v>374</v>
      </c>
      <c r="G24" s="95" t="s">
        <v>82</v>
      </c>
      <c r="H24" s="91" t="s">
        <v>82</v>
      </c>
      <c r="I24" s="97" t="s">
        <v>82</v>
      </c>
      <c r="J24" s="99" t="s">
        <v>53</v>
      </c>
      <c r="K24" s="97" t="s">
        <v>404</v>
      </c>
      <c r="L24" s="101">
        <v>41618</v>
      </c>
      <c r="M24" s="103">
        <v>41656</v>
      </c>
      <c r="N24" s="106">
        <v>349</v>
      </c>
      <c r="O24" s="108" t="s">
        <v>455</v>
      </c>
      <c r="P24" s="109"/>
      <c r="Q24" s="109"/>
      <c r="R24" s="109"/>
      <c r="S24" s="109"/>
      <c r="T24" s="109"/>
      <c r="U24" s="109"/>
      <c r="V24" s="109"/>
      <c r="W24" s="109"/>
      <c r="X24" s="109"/>
      <c r="Y24" s="111"/>
    </row>
    <row r="25" spans="1:25" ht="13">
      <c r="A25" s="91" t="s">
        <v>52</v>
      </c>
      <c r="B25" s="93" t="s">
        <v>69</v>
      </c>
      <c r="C25" s="91" t="s">
        <v>55</v>
      </c>
      <c r="D25" s="91" t="s">
        <v>70</v>
      </c>
      <c r="E25" s="91" t="s">
        <v>481</v>
      </c>
      <c r="F25" s="91" t="s">
        <v>374</v>
      </c>
      <c r="G25" s="91" t="s">
        <v>82</v>
      </c>
      <c r="H25" s="91" t="s">
        <v>82</v>
      </c>
      <c r="I25" s="97" t="s">
        <v>82</v>
      </c>
      <c r="J25" s="99" t="s">
        <v>53</v>
      </c>
      <c r="K25" s="97" t="s">
        <v>485</v>
      </c>
      <c r="L25" s="101">
        <v>41618</v>
      </c>
      <c r="M25" s="114">
        <v>41656</v>
      </c>
      <c r="N25" s="115">
        <v>350</v>
      </c>
      <c r="O25" s="108" t="s">
        <v>494</v>
      </c>
      <c r="P25" s="109"/>
      <c r="Q25" s="109"/>
      <c r="R25" s="109"/>
      <c r="S25" s="109"/>
      <c r="T25" s="109"/>
      <c r="U25" s="109"/>
      <c r="V25" s="109"/>
      <c r="W25" s="109"/>
      <c r="X25" s="109"/>
      <c r="Y25" s="111"/>
    </row>
    <row r="26" spans="1:25" ht="13">
      <c r="A26" s="24" t="s">
        <v>52</v>
      </c>
      <c r="B26" s="28" t="s">
        <v>69</v>
      </c>
      <c r="C26" s="24" t="s">
        <v>55</v>
      </c>
      <c r="D26" s="24" t="s">
        <v>70</v>
      </c>
      <c r="E26" s="24">
        <v>339</v>
      </c>
      <c r="F26" s="24" t="s">
        <v>497</v>
      </c>
      <c r="G26" s="47">
        <v>339</v>
      </c>
      <c r="H26" s="24">
        <v>424</v>
      </c>
      <c r="I26" s="32">
        <v>425</v>
      </c>
      <c r="J26" s="30" t="s">
        <v>53</v>
      </c>
      <c r="K26" s="32" t="s">
        <v>500</v>
      </c>
      <c r="L26" s="39" t="s">
        <v>335</v>
      </c>
      <c r="M26" s="60"/>
      <c r="N26" s="9">
        <v>352</v>
      </c>
      <c r="O26" s="53" t="s">
        <v>504</v>
      </c>
      <c r="P26" s="26"/>
      <c r="Q26" s="26"/>
      <c r="R26" s="26"/>
      <c r="S26" s="26"/>
      <c r="T26" s="26"/>
      <c r="U26" s="26"/>
      <c r="V26" s="26"/>
      <c r="W26" s="26"/>
      <c r="X26" s="26"/>
      <c r="Y26" s="56"/>
    </row>
    <row r="27" spans="1:25" ht="23.25" customHeight="1">
      <c r="A27" s="24" t="s">
        <v>506</v>
      </c>
      <c r="B27" s="28" t="s">
        <v>508</v>
      </c>
      <c r="C27" s="24" t="s">
        <v>509</v>
      </c>
      <c r="D27" s="24" t="s">
        <v>70</v>
      </c>
      <c r="E27" s="24">
        <v>120</v>
      </c>
      <c r="F27" s="24" t="s">
        <v>71</v>
      </c>
      <c r="G27" s="45" t="s">
        <v>511</v>
      </c>
      <c r="H27" s="24">
        <v>406</v>
      </c>
      <c r="I27" s="32">
        <v>407</v>
      </c>
      <c r="J27" s="30" t="s">
        <v>166</v>
      </c>
      <c r="K27" s="32" t="s">
        <v>512</v>
      </c>
      <c r="L27" s="117">
        <v>41607</v>
      </c>
      <c r="M27" s="69">
        <v>41674</v>
      </c>
      <c r="N27" s="7">
        <v>353</v>
      </c>
      <c r="O27" s="24" t="s">
        <v>519</v>
      </c>
      <c r="P27" s="26"/>
      <c r="Q27" s="26"/>
      <c r="R27" s="26"/>
      <c r="S27" s="26"/>
      <c r="T27" s="26"/>
      <c r="U27" s="26"/>
      <c r="V27" s="26"/>
      <c r="W27" s="26"/>
      <c r="X27" s="26"/>
      <c r="Y27" s="119"/>
    </row>
    <row r="28" spans="1:25" ht="25.5" customHeight="1">
      <c r="A28" s="26"/>
      <c r="B28" s="83"/>
      <c r="C28" s="26"/>
      <c r="D28" s="26"/>
      <c r="E28" s="24">
        <v>120</v>
      </c>
      <c r="F28" s="24" t="s">
        <v>71</v>
      </c>
      <c r="G28" s="24" t="s">
        <v>525</v>
      </c>
      <c r="H28" s="24">
        <v>408</v>
      </c>
      <c r="I28" s="32">
        <v>409</v>
      </c>
      <c r="J28" s="30" t="s">
        <v>166</v>
      </c>
      <c r="K28" s="32" t="s">
        <v>526</v>
      </c>
      <c r="L28" s="117">
        <v>41610</v>
      </c>
      <c r="M28" s="69">
        <v>41663</v>
      </c>
      <c r="N28" s="7">
        <v>354</v>
      </c>
      <c r="O28" s="24" t="s">
        <v>528</v>
      </c>
      <c r="P28" s="26"/>
      <c r="Q28" s="24" t="s">
        <v>530</v>
      </c>
      <c r="R28" s="26"/>
      <c r="S28" s="26"/>
      <c r="T28" s="26"/>
      <c r="U28" s="26"/>
      <c r="V28" s="26"/>
      <c r="W28" s="26"/>
      <c r="X28" s="26"/>
      <c r="Y28" s="26"/>
    </row>
    <row r="29" spans="1:25" ht="25.5" customHeight="1">
      <c r="A29" s="26"/>
      <c r="B29" s="83"/>
      <c r="C29" s="26"/>
      <c r="D29" s="26"/>
      <c r="E29" s="24">
        <v>120</v>
      </c>
      <c r="F29" s="24" t="s">
        <v>224</v>
      </c>
      <c r="G29" s="24">
        <v>289</v>
      </c>
      <c r="H29" s="24">
        <v>410</v>
      </c>
      <c r="I29" s="32">
        <v>411</v>
      </c>
      <c r="J29" s="30" t="s">
        <v>166</v>
      </c>
      <c r="K29" s="32" t="s">
        <v>536</v>
      </c>
      <c r="L29" s="34"/>
      <c r="M29" s="69">
        <v>41663</v>
      </c>
      <c r="N29" s="7">
        <v>355</v>
      </c>
      <c r="O29" s="24" t="s">
        <v>537</v>
      </c>
      <c r="P29" s="26"/>
      <c r="Q29" s="24" t="s">
        <v>538</v>
      </c>
      <c r="R29" s="26"/>
      <c r="S29" s="26"/>
      <c r="T29" s="26"/>
      <c r="U29" s="26"/>
      <c r="V29" s="26"/>
      <c r="W29" s="26"/>
      <c r="X29" s="26"/>
      <c r="Y29" s="26"/>
    </row>
    <row r="30" spans="1:25" ht="23.25" customHeight="1">
      <c r="A30" s="26"/>
      <c r="B30" s="83"/>
      <c r="C30" s="26"/>
      <c r="D30" s="26"/>
      <c r="E30" s="24">
        <v>120</v>
      </c>
      <c r="F30" s="24" t="s">
        <v>541</v>
      </c>
      <c r="G30" s="24">
        <v>257</v>
      </c>
      <c r="H30" s="24">
        <v>422</v>
      </c>
      <c r="I30" s="32">
        <v>423</v>
      </c>
      <c r="J30" s="30" t="s">
        <v>166</v>
      </c>
      <c r="K30" s="32" t="s">
        <v>542</v>
      </c>
      <c r="L30" s="34"/>
      <c r="M30" s="69">
        <v>41689</v>
      </c>
      <c r="N30" s="7">
        <v>358</v>
      </c>
      <c r="O30" s="24" t="s">
        <v>547</v>
      </c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 spans="1:25" ht="39">
      <c r="A31" s="24" t="s">
        <v>161</v>
      </c>
      <c r="B31" s="28" t="s">
        <v>139</v>
      </c>
      <c r="C31" s="24" t="s">
        <v>162</v>
      </c>
      <c r="D31" s="24" t="s">
        <v>288</v>
      </c>
      <c r="E31" s="24">
        <v>301</v>
      </c>
      <c r="F31" s="24" t="s">
        <v>548</v>
      </c>
      <c r="G31" s="47">
        <v>338</v>
      </c>
      <c r="H31" s="24">
        <v>437</v>
      </c>
      <c r="I31" s="32">
        <v>438</v>
      </c>
      <c r="J31" s="30" t="s">
        <v>53</v>
      </c>
      <c r="K31" s="32" t="s">
        <v>550</v>
      </c>
      <c r="L31" s="87">
        <v>41605</v>
      </c>
      <c r="M31" s="51">
        <v>41701</v>
      </c>
      <c r="N31" s="9">
        <v>359</v>
      </c>
      <c r="O31" s="53" t="s">
        <v>551</v>
      </c>
      <c r="P31" s="26"/>
      <c r="Q31" s="26"/>
      <c r="R31" s="26"/>
      <c r="S31" s="26"/>
      <c r="T31" s="26"/>
      <c r="U31" s="26"/>
      <c r="V31" s="26"/>
      <c r="W31" s="26"/>
      <c r="X31" s="26"/>
      <c r="Y31" s="65"/>
    </row>
    <row r="32" spans="1:25" ht="39">
      <c r="A32" s="24" t="s">
        <v>161</v>
      </c>
      <c r="B32" s="28" t="s">
        <v>139</v>
      </c>
      <c r="C32" s="24" t="s">
        <v>162</v>
      </c>
      <c r="D32" s="24" t="s">
        <v>288</v>
      </c>
      <c r="E32" s="24">
        <v>301</v>
      </c>
      <c r="F32" s="24" t="s">
        <v>548</v>
      </c>
      <c r="G32" s="47">
        <v>337</v>
      </c>
      <c r="H32" s="24">
        <v>449</v>
      </c>
      <c r="I32" s="32">
        <v>436</v>
      </c>
      <c r="J32" s="30" t="s">
        <v>53</v>
      </c>
      <c r="K32" s="32" t="s">
        <v>554</v>
      </c>
      <c r="L32" s="39" t="s">
        <v>155</v>
      </c>
      <c r="M32" s="51">
        <v>41710</v>
      </c>
      <c r="N32" s="9">
        <v>361</v>
      </c>
      <c r="O32" s="53" t="s">
        <v>556</v>
      </c>
      <c r="P32" s="24" t="s">
        <v>86</v>
      </c>
      <c r="Q32" s="26"/>
      <c r="R32" s="26"/>
      <c r="S32" s="26"/>
      <c r="T32" s="26"/>
      <c r="U32" s="26"/>
      <c r="V32" s="26"/>
      <c r="W32" s="26"/>
      <c r="X32" s="26"/>
      <c r="Y32" s="65"/>
    </row>
    <row r="33" spans="1:25" ht="39">
      <c r="A33" s="24" t="s">
        <v>95</v>
      </c>
      <c r="B33" s="28" t="s">
        <v>558</v>
      </c>
      <c r="C33" s="26"/>
      <c r="D33" s="26"/>
      <c r="E33" s="24">
        <v>93</v>
      </c>
      <c r="F33" s="24" t="s">
        <v>559</v>
      </c>
      <c r="G33" s="24" t="s">
        <v>560</v>
      </c>
      <c r="H33" s="24">
        <v>447</v>
      </c>
      <c r="I33" s="32">
        <v>448</v>
      </c>
      <c r="J33" s="30" t="s">
        <v>53</v>
      </c>
      <c r="K33" s="32" t="s">
        <v>562</v>
      </c>
      <c r="L33" s="34"/>
      <c r="M33" s="69">
        <v>41701</v>
      </c>
      <c r="N33" s="7">
        <v>360</v>
      </c>
      <c r="O33" s="24" t="s">
        <v>563</v>
      </c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 spans="1:25" ht="39">
      <c r="A34" s="91" t="s">
        <v>52</v>
      </c>
      <c r="B34" s="93" t="s">
        <v>566</v>
      </c>
      <c r="C34" s="91" t="s">
        <v>567</v>
      </c>
      <c r="D34" s="91" t="s">
        <v>568</v>
      </c>
      <c r="E34" s="91" t="s">
        <v>569</v>
      </c>
      <c r="F34" s="91" t="s">
        <v>570</v>
      </c>
      <c r="G34" s="91" t="s">
        <v>571</v>
      </c>
      <c r="H34" s="91">
        <v>462</v>
      </c>
      <c r="I34" s="97">
        <v>463</v>
      </c>
      <c r="J34" s="99" t="s">
        <v>53</v>
      </c>
      <c r="K34" s="97" t="s">
        <v>573</v>
      </c>
      <c r="L34" s="128">
        <v>41660</v>
      </c>
      <c r="M34" s="114">
        <v>41712</v>
      </c>
      <c r="N34" s="115">
        <v>364</v>
      </c>
      <c r="O34" s="91" t="s">
        <v>581</v>
      </c>
      <c r="P34" s="109"/>
      <c r="Q34" s="109"/>
      <c r="R34" s="109"/>
      <c r="S34" s="109"/>
      <c r="T34" s="109"/>
      <c r="U34" s="109"/>
      <c r="V34" s="109"/>
      <c r="W34" s="109"/>
      <c r="X34" s="109"/>
      <c r="Y34" s="130"/>
    </row>
    <row r="35" spans="1:25" ht="18.75" customHeight="1">
      <c r="A35" s="91" t="s">
        <v>506</v>
      </c>
      <c r="B35" s="93" t="s">
        <v>566</v>
      </c>
      <c r="C35" s="91" t="s">
        <v>567</v>
      </c>
      <c r="D35" s="91" t="s">
        <v>590</v>
      </c>
      <c r="E35" s="91">
        <v>190</v>
      </c>
      <c r="F35" s="91" t="s">
        <v>591</v>
      </c>
      <c r="G35" s="91" t="s">
        <v>571</v>
      </c>
      <c r="H35" s="91">
        <v>477</v>
      </c>
      <c r="I35" s="97">
        <v>478</v>
      </c>
      <c r="J35" s="99" t="s">
        <v>53</v>
      </c>
      <c r="K35" s="97" t="s">
        <v>592</v>
      </c>
      <c r="L35" s="114">
        <v>41660</v>
      </c>
      <c r="M35" s="114">
        <v>41733</v>
      </c>
      <c r="N35" s="115">
        <v>368</v>
      </c>
      <c r="O35" s="91" t="s">
        <v>593</v>
      </c>
      <c r="P35" s="109"/>
      <c r="Q35" s="109"/>
      <c r="R35" s="109"/>
      <c r="S35" s="109"/>
      <c r="T35" s="109"/>
      <c r="U35" s="109"/>
      <c r="V35" s="109"/>
      <c r="W35" s="109"/>
      <c r="X35" s="109"/>
      <c r="Y35" s="130"/>
    </row>
    <row r="36" spans="1:25" ht="19.5" customHeight="1">
      <c r="A36" s="91" t="s">
        <v>52</v>
      </c>
      <c r="B36" s="93" t="s">
        <v>566</v>
      </c>
      <c r="C36" s="91" t="s">
        <v>567</v>
      </c>
      <c r="D36" s="91" t="s">
        <v>590</v>
      </c>
      <c r="E36" s="91">
        <v>231</v>
      </c>
      <c r="F36" s="91" t="s">
        <v>594</v>
      </c>
      <c r="G36" s="91" t="s">
        <v>571</v>
      </c>
      <c r="H36" s="91">
        <v>479</v>
      </c>
      <c r="I36" s="97">
        <v>480</v>
      </c>
      <c r="J36" s="99" t="s">
        <v>53</v>
      </c>
      <c r="K36" s="97" t="s">
        <v>597</v>
      </c>
      <c r="L36" s="128">
        <v>41660</v>
      </c>
      <c r="M36" s="114">
        <v>41733</v>
      </c>
      <c r="N36" s="115">
        <v>369</v>
      </c>
      <c r="O36" s="91" t="s">
        <v>599</v>
      </c>
      <c r="P36" s="109"/>
      <c r="Q36" s="109"/>
      <c r="R36" s="109"/>
      <c r="S36" s="109"/>
      <c r="T36" s="109"/>
      <c r="U36" s="109"/>
      <c r="V36" s="109"/>
      <c r="W36" s="109"/>
      <c r="X36" s="109"/>
      <c r="Y36" s="130"/>
    </row>
    <row r="37" spans="1:25" ht="13">
      <c r="A37" s="91" t="s">
        <v>600</v>
      </c>
      <c r="B37" s="93" t="s">
        <v>601</v>
      </c>
      <c r="C37" s="91" t="s">
        <v>567</v>
      </c>
      <c r="D37" s="91" t="s">
        <v>568</v>
      </c>
      <c r="E37" s="91" t="s">
        <v>603</v>
      </c>
      <c r="F37" s="91" t="s">
        <v>253</v>
      </c>
      <c r="G37" s="91" t="s">
        <v>604</v>
      </c>
      <c r="H37" s="91">
        <v>473</v>
      </c>
      <c r="I37" s="97">
        <v>474</v>
      </c>
      <c r="J37" s="99" t="s">
        <v>53</v>
      </c>
      <c r="K37" s="97" t="s">
        <v>605</v>
      </c>
      <c r="L37" s="134"/>
      <c r="M37" s="114">
        <v>41733</v>
      </c>
      <c r="N37" s="115">
        <v>370</v>
      </c>
      <c r="O37" s="91" t="s">
        <v>614</v>
      </c>
      <c r="P37" s="109"/>
      <c r="Q37" s="109"/>
      <c r="R37" s="109"/>
      <c r="S37" s="109"/>
      <c r="T37" s="109"/>
      <c r="U37" s="109"/>
      <c r="V37" s="109"/>
      <c r="W37" s="109"/>
      <c r="X37" s="109"/>
      <c r="Y37" s="136"/>
    </row>
    <row r="38" spans="1:25" ht="26">
      <c r="A38" s="91" t="s">
        <v>600</v>
      </c>
      <c r="B38" s="93" t="s">
        <v>601</v>
      </c>
      <c r="C38" s="91" t="s">
        <v>567</v>
      </c>
      <c r="D38" s="91" t="s">
        <v>568</v>
      </c>
      <c r="E38" s="91">
        <v>360</v>
      </c>
      <c r="F38" s="91" t="s">
        <v>637</v>
      </c>
      <c r="G38" s="91" t="s">
        <v>640</v>
      </c>
      <c r="H38" s="91" t="s">
        <v>642</v>
      </c>
      <c r="I38" s="97" t="s">
        <v>643</v>
      </c>
      <c r="J38" s="99" t="s">
        <v>53</v>
      </c>
      <c r="K38" s="97" t="s">
        <v>645</v>
      </c>
      <c r="L38" s="134"/>
      <c r="M38" s="114">
        <v>41767</v>
      </c>
      <c r="N38" s="115">
        <v>377</v>
      </c>
      <c r="O38" s="91" t="s">
        <v>649</v>
      </c>
      <c r="P38" s="26"/>
      <c r="Q38" s="26"/>
      <c r="R38" s="26"/>
      <c r="S38" s="26"/>
      <c r="T38" s="26"/>
      <c r="U38" s="26"/>
      <c r="V38" s="26"/>
      <c r="W38" s="26"/>
      <c r="X38" s="26"/>
      <c r="Y38" s="138"/>
    </row>
    <row r="39" spans="1:25" ht="26">
      <c r="A39" s="91" t="s">
        <v>600</v>
      </c>
      <c r="B39" s="93" t="s">
        <v>601</v>
      </c>
      <c r="C39" s="91" t="s">
        <v>567</v>
      </c>
      <c r="D39" s="91" t="s">
        <v>568</v>
      </c>
      <c r="E39" s="91">
        <v>360</v>
      </c>
      <c r="F39" s="91" t="s">
        <v>637</v>
      </c>
      <c r="G39" s="91" t="s">
        <v>640</v>
      </c>
      <c r="H39" s="91" t="s">
        <v>665</v>
      </c>
      <c r="I39" s="97" t="s">
        <v>667</v>
      </c>
      <c r="J39" s="99" t="s">
        <v>53</v>
      </c>
      <c r="K39" s="97" t="s">
        <v>669</v>
      </c>
      <c r="L39" s="34"/>
      <c r="M39" s="69">
        <v>41817</v>
      </c>
      <c r="N39" s="7">
        <v>390</v>
      </c>
      <c r="O39" s="91" t="s">
        <v>673</v>
      </c>
      <c r="P39" s="26"/>
      <c r="Q39" s="26"/>
      <c r="R39" s="26"/>
      <c r="S39" s="26"/>
      <c r="T39" s="26"/>
      <c r="U39" s="26"/>
      <c r="V39" s="26"/>
      <c r="W39" s="26"/>
      <c r="X39" s="26"/>
      <c r="Y39" s="138"/>
    </row>
    <row r="40" spans="1:25" ht="26">
      <c r="A40" s="24" t="s">
        <v>141</v>
      </c>
      <c r="B40" s="28" t="s">
        <v>141</v>
      </c>
      <c r="C40" s="24" t="s">
        <v>141</v>
      </c>
      <c r="D40" s="24" t="s">
        <v>141</v>
      </c>
      <c r="E40" s="24">
        <v>120</v>
      </c>
      <c r="F40" s="24" t="s">
        <v>224</v>
      </c>
      <c r="G40" s="24" t="s">
        <v>675</v>
      </c>
      <c r="H40" s="24">
        <v>471</v>
      </c>
      <c r="I40" s="32">
        <v>472</v>
      </c>
      <c r="J40" s="30" t="s">
        <v>166</v>
      </c>
      <c r="K40" s="32" t="s">
        <v>677</v>
      </c>
      <c r="L40" s="34"/>
      <c r="M40" s="69">
        <v>41743</v>
      </c>
      <c r="N40" s="7">
        <v>371</v>
      </c>
      <c r="O40" s="24" t="s">
        <v>680</v>
      </c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 spans="1:25" ht="18.75" customHeight="1">
      <c r="A41" s="24" t="s">
        <v>506</v>
      </c>
      <c r="B41" s="28" t="s">
        <v>508</v>
      </c>
      <c r="C41" s="24" t="s">
        <v>567</v>
      </c>
      <c r="D41" s="24" t="s">
        <v>590</v>
      </c>
      <c r="E41" s="24">
        <v>231</v>
      </c>
      <c r="F41" s="24" t="s">
        <v>594</v>
      </c>
      <c r="G41" s="45" t="s">
        <v>511</v>
      </c>
      <c r="H41" s="24">
        <v>483</v>
      </c>
      <c r="I41" s="32">
        <v>484</v>
      </c>
      <c r="J41" s="30" t="s">
        <v>53</v>
      </c>
      <c r="K41" s="32" t="s">
        <v>685</v>
      </c>
      <c r="L41" s="117">
        <v>41660</v>
      </c>
      <c r="M41" s="69">
        <v>41779</v>
      </c>
      <c r="N41" s="7">
        <v>383</v>
      </c>
      <c r="O41" s="24" t="s">
        <v>688</v>
      </c>
      <c r="P41" s="26"/>
      <c r="Q41" s="26"/>
      <c r="R41" s="26"/>
      <c r="S41" s="26"/>
      <c r="T41" s="26"/>
      <c r="U41" s="26"/>
      <c r="V41" s="26"/>
      <c r="W41" s="26"/>
      <c r="X41" s="26"/>
      <c r="Y41" s="119"/>
    </row>
    <row r="42" spans="1:25" ht="16.5" customHeight="1">
      <c r="A42" s="24" t="s">
        <v>506</v>
      </c>
      <c r="B42" s="28" t="s">
        <v>508</v>
      </c>
      <c r="C42" s="24" t="s">
        <v>567</v>
      </c>
      <c r="D42" s="24" t="s">
        <v>590</v>
      </c>
      <c r="E42" s="24">
        <v>190</v>
      </c>
      <c r="F42" s="24" t="s">
        <v>591</v>
      </c>
      <c r="G42" s="45" t="s">
        <v>511</v>
      </c>
      <c r="H42" s="24">
        <v>481</v>
      </c>
      <c r="I42" s="32">
        <v>482</v>
      </c>
      <c r="J42" s="30" t="s">
        <v>53</v>
      </c>
      <c r="K42" s="32" t="s">
        <v>694</v>
      </c>
      <c r="L42" s="117">
        <v>41660</v>
      </c>
      <c r="M42" s="69">
        <v>41779</v>
      </c>
      <c r="N42" s="7">
        <v>384</v>
      </c>
      <c r="O42" s="24" t="s">
        <v>696</v>
      </c>
      <c r="P42" s="26"/>
      <c r="Q42" s="26"/>
      <c r="R42" s="26"/>
      <c r="S42" s="26"/>
      <c r="T42" s="26"/>
      <c r="U42" s="26"/>
      <c r="V42" s="26"/>
      <c r="W42" s="26"/>
      <c r="X42" s="26"/>
      <c r="Y42" s="119"/>
    </row>
    <row r="43" spans="1:25" ht="24" customHeight="1">
      <c r="A43" s="91" t="s">
        <v>52</v>
      </c>
      <c r="B43" s="93" t="s">
        <v>139</v>
      </c>
      <c r="C43" s="91" t="s">
        <v>567</v>
      </c>
      <c r="D43" s="91" t="s">
        <v>568</v>
      </c>
      <c r="E43" s="91">
        <v>92</v>
      </c>
      <c r="F43" s="91" t="s">
        <v>138</v>
      </c>
      <c r="G43" s="91" t="s">
        <v>138</v>
      </c>
      <c r="H43" s="91">
        <v>506</v>
      </c>
      <c r="I43" s="97">
        <v>507</v>
      </c>
      <c r="J43" s="99" t="s">
        <v>53</v>
      </c>
      <c r="K43" s="146" t="s">
        <v>701</v>
      </c>
      <c r="L43" s="134"/>
      <c r="M43" s="114">
        <v>41778</v>
      </c>
      <c r="N43" s="115">
        <v>378</v>
      </c>
      <c r="O43" s="91" t="s">
        <v>718</v>
      </c>
      <c r="P43" s="148"/>
      <c r="Q43" s="91" t="s">
        <v>732</v>
      </c>
      <c r="R43" s="26"/>
      <c r="S43" s="26"/>
      <c r="T43" s="26"/>
      <c r="U43" s="26"/>
      <c r="V43" s="26"/>
      <c r="W43" s="26"/>
      <c r="X43" s="26"/>
      <c r="Y43" s="26"/>
    </row>
    <row r="44" spans="1:25" ht="24" customHeight="1">
      <c r="A44" s="91" t="s">
        <v>52</v>
      </c>
      <c r="B44" s="93" t="s">
        <v>139</v>
      </c>
      <c r="C44" s="91" t="s">
        <v>567</v>
      </c>
      <c r="D44" s="91" t="s">
        <v>568</v>
      </c>
      <c r="E44" s="91" t="s">
        <v>737</v>
      </c>
      <c r="F44" s="91" t="s">
        <v>541</v>
      </c>
      <c r="G44" s="91">
        <v>360</v>
      </c>
      <c r="H44" s="91" t="s">
        <v>739</v>
      </c>
      <c r="I44" s="97" t="s">
        <v>740</v>
      </c>
      <c r="J44" s="99" t="s">
        <v>53</v>
      </c>
      <c r="K44" s="146" t="s">
        <v>741</v>
      </c>
      <c r="L44" s="134"/>
      <c r="M44" s="114">
        <v>41795</v>
      </c>
      <c r="N44" s="115">
        <v>385</v>
      </c>
      <c r="O44" s="91" t="s">
        <v>743</v>
      </c>
      <c r="P44" s="148"/>
      <c r="Q44" s="91" t="s">
        <v>744</v>
      </c>
      <c r="R44" s="109"/>
      <c r="S44" s="109"/>
      <c r="T44" s="109"/>
      <c r="U44" s="109"/>
      <c r="V44" s="109"/>
      <c r="W44" s="109"/>
      <c r="X44" s="109"/>
      <c r="Y44" s="109"/>
    </row>
    <row r="45" spans="1:25" ht="24" customHeight="1">
      <c r="A45" s="91" t="s">
        <v>52</v>
      </c>
      <c r="B45" s="93" t="s">
        <v>139</v>
      </c>
      <c r="C45" s="91" t="s">
        <v>745</v>
      </c>
      <c r="D45" s="91" t="s">
        <v>568</v>
      </c>
      <c r="E45" s="91" t="s">
        <v>746</v>
      </c>
      <c r="F45" s="91" t="s">
        <v>541</v>
      </c>
      <c r="G45" s="91">
        <v>360</v>
      </c>
      <c r="H45" s="91" t="s">
        <v>747</v>
      </c>
      <c r="I45" s="97" t="s">
        <v>748</v>
      </c>
      <c r="J45" s="99" t="s">
        <v>53</v>
      </c>
      <c r="K45" s="146" t="s">
        <v>749</v>
      </c>
      <c r="L45" s="134"/>
      <c r="M45" s="114">
        <v>41795</v>
      </c>
      <c r="N45" s="115">
        <v>386</v>
      </c>
      <c r="O45" s="91" t="s">
        <v>750</v>
      </c>
      <c r="P45" s="148"/>
      <c r="Q45" s="91" t="s">
        <v>744</v>
      </c>
      <c r="R45" s="109"/>
      <c r="S45" s="109"/>
      <c r="T45" s="109"/>
      <c r="U45" s="109"/>
      <c r="V45" s="109"/>
      <c r="W45" s="109"/>
      <c r="X45" s="109"/>
      <c r="Y45" s="109"/>
    </row>
    <row r="46" spans="1:25" ht="26.25" customHeight="1">
      <c r="A46" s="91" t="s">
        <v>52</v>
      </c>
      <c r="B46" s="93" t="s">
        <v>139</v>
      </c>
      <c r="C46" s="91" t="s">
        <v>567</v>
      </c>
      <c r="D46" s="91" t="s">
        <v>568</v>
      </c>
      <c r="E46" s="91">
        <v>301</v>
      </c>
      <c r="F46" s="91" t="s">
        <v>752</v>
      </c>
      <c r="G46" s="91">
        <v>378</v>
      </c>
      <c r="H46" s="91">
        <v>514</v>
      </c>
      <c r="I46" s="97">
        <v>515</v>
      </c>
      <c r="J46" s="99" t="s">
        <v>53</v>
      </c>
      <c r="K46" s="146" t="s">
        <v>753</v>
      </c>
      <c r="L46" s="134"/>
      <c r="M46" s="114">
        <v>41796</v>
      </c>
      <c r="N46" s="115">
        <v>387</v>
      </c>
      <c r="O46" s="91" t="s">
        <v>756</v>
      </c>
      <c r="P46" s="148"/>
      <c r="Q46" s="152" t="s">
        <v>758</v>
      </c>
      <c r="R46" s="109"/>
      <c r="S46" s="109"/>
      <c r="T46" s="109"/>
      <c r="U46" s="109"/>
      <c r="V46" s="109"/>
      <c r="W46" s="109"/>
      <c r="X46" s="109"/>
      <c r="Y46" s="109"/>
    </row>
    <row r="47" spans="1:25" ht="13">
      <c r="A47" s="24" t="s">
        <v>52</v>
      </c>
      <c r="B47" s="83"/>
      <c r="C47" s="24" t="s">
        <v>567</v>
      </c>
      <c r="D47" s="24" t="s">
        <v>70</v>
      </c>
      <c r="E47" s="24">
        <v>304</v>
      </c>
      <c r="F47" s="24" t="s">
        <v>766</v>
      </c>
      <c r="G47" s="24">
        <v>256</v>
      </c>
      <c r="H47" s="24">
        <v>502</v>
      </c>
      <c r="I47" s="32">
        <v>503</v>
      </c>
      <c r="J47" s="30" t="s">
        <v>53</v>
      </c>
      <c r="K47" s="32" t="s">
        <v>768</v>
      </c>
      <c r="L47" s="117">
        <v>41655</v>
      </c>
      <c r="M47" s="69">
        <v>41850</v>
      </c>
      <c r="N47" s="7">
        <v>401</v>
      </c>
      <c r="O47" s="24" t="s">
        <v>769</v>
      </c>
      <c r="P47" s="26"/>
      <c r="Q47" s="26"/>
      <c r="R47" s="26"/>
      <c r="S47" s="26"/>
      <c r="T47" s="26"/>
      <c r="U47" s="26"/>
      <c r="V47" s="26"/>
      <c r="W47" s="26"/>
      <c r="X47" s="26"/>
      <c r="Y47" s="26"/>
    </row>
    <row r="48" spans="1:25" ht="21.75" customHeight="1">
      <c r="A48" s="24" t="s">
        <v>506</v>
      </c>
      <c r="B48" s="28" t="s">
        <v>770</v>
      </c>
      <c r="C48" s="24" t="s">
        <v>567</v>
      </c>
      <c r="D48" s="24" t="s">
        <v>568</v>
      </c>
      <c r="E48" s="91">
        <v>391</v>
      </c>
      <c r="F48" s="91" t="s">
        <v>772</v>
      </c>
      <c r="G48" s="91">
        <v>93</v>
      </c>
      <c r="H48" s="91" t="s">
        <v>773</v>
      </c>
      <c r="I48" s="97" t="s">
        <v>774</v>
      </c>
      <c r="J48" s="99" t="s">
        <v>53</v>
      </c>
      <c r="K48" s="97" t="s">
        <v>777</v>
      </c>
      <c r="L48" s="134"/>
      <c r="M48" s="114">
        <v>41873</v>
      </c>
      <c r="N48" s="115">
        <v>403</v>
      </c>
      <c r="O48" s="91" t="s">
        <v>778</v>
      </c>
      <c r="P48" s="26"/>
      <c r="Q48" s="26"/>
      <c r="R48" s="26"/>
      <c r="S48" s="26"/>
      <c r="T48" s="26"/>
      <c r="U48" s="26"/>
      <c r="V48" s="26"/>
      <c r="W48" s="26"/>
      <c r="X48" s="26"/>
      <c r="Y48" s="154"/>
    </row>
    <row r="49" spans="1:25" ht="21.75" customHeight="1">
      <c r="A49" s="91" t="s">
        <v>506</v>
      </c>
      <c r="B49" s="155"/>
      <c r="C49" s="91" t="s">
        <v>567</v>
      </c>
      <c r="D49" s="91" t="s">
        <v>568</v>
      </c>
      <c r="E49" s="91">
        <v>304</v>
      </c>
      <c r="F49" s="91" t="s">
        <v>797</v>
      </c>
      <c r="G49" s="91">
        <v>93</v>
      </c>
      <c r="H49" s="91">
        <v>559</v>
      </c>
      <c r="I49" s="97">
        <v>560</v>
      </c>
      <c r="J49" s="99" t="s">
        <v>53</v>
      </c>
      <c r="K49" s="97" t="s">
        <v>799</v>
      </c>
      <c r="L49" s="134"/>
      <c r="M49" s="114">
        <v>41880</v>
      </c>
      <c r="N49" s="115">
        <v>419</v>
      </c>
      <c r="O49" s="91" t="s">
        <v>802</v>
      </c>
      <c r="P49" s="109"/>
      <c r="Q49" s="109"/>
      <c r="R49" s="109"/>
      <c r="S49" s="109"/>
      <c r="T49" s="109"/>
      <c r="U49" s="109"/>
      <c r="V49" s="109"/>
      <c r="W49" s="109"/>
      <c r="X49" s="109"/>
      <c r="Y49" s="157"/>
    </row>
    <row r="50" spans="1:25" ht="39">
      <c r="A50" s="91" t="s">
        <v>506</v>
      </c>
      <c r="B50" s="93" t="s">
        <v>770</v>
      </c>
      <c r="C50" s="91" t="s">
        <v>567</v>
      </c>
      <c r="D50" s="91" t="s">
        <v>568</v>
      </c>
      <c r="E50" s="91">
        <v>304</v>
      </c>
      <c r="F50" s="91" t="s">
        <v>797</v>
      </c>
      <c r="G50" s="91" t="s">
        <v>816</v>
      </c>
      <c r="H50" s="91" t="s">
        <v>819</v>
      </c>
      <c r="I50" s="97" t="s">
        <v>823</v>
      </c>
      <c r="J50" s="99" t="s">
        <v>53</v>
      </c>
      <c r="K50" s="97" t="s">
        <v>826</v>
      </c>
      <c r="L50" s="134"/>
      <c r="M50" s="114">
        <v>41893</v>
      </c>
      <c r="N50" s="115">
        <v>432</v>
      </c>
      <c r="O50" s="91" t="s">
        <v>828</v>
      </c>
      <c r="P50" s="26"/>
      <c r="Q50" s="26"/>
      <c r="R50" s="26"/>
      <c r="S50" s="26"/>
      <c r="T50" s="26"/>
      <c r="U50" s="26"/>
      <c r="V50" s="26"/>
      <c r="W50" s="26"/>
      <c r="X50" s="26"/>
      <c r="Y50" s="154"/>
    </row>
    <row r="51" spans="1:25" ht="20.25" customHeight="1">
      <c r="A51" s="24" t="s">
        <v>52</v>
      </c>
      <c r="B51" s="28" t="s">
        <v>177</v>
      </c>
      <c r="C51" s="24" t="s">
        <v>567</v>
      </c>
      <c r="D51" s="24" t="s">
        <v>831</v>
      </c>
      <c r="E51" s="24">
        <v>393</v>
      </c>
      <c r="F51" s="24" t="s">
        <v>833</v>
      </c>
      <c r="G51" s="24">
        <v>121</v>
      </c>
      <c r="H51" s="24">
        <v>557</v>
      </c>
      <c r="I51" s="32">
        <v>558</v>
      </c>
      <c r="J51" s="30" t="s">
        <v>53</v>
      </c>
      <c r="K51" s="32" t="s">
        <v>835</v>
      </c>
      <c r="L51" s="34"/>
      <c r="M51" s="69">
        <v>41901</v>
      </c>
      <c r="N51" s="7">
        <v>434</v>
      </c>
      <c r="O51" s="24" t="s">
        <v>837</v>
      </c>
      <c r="P51" s="26"/>
      <c r="Q51" s="26"/>
      <c r="R51" s="26"/>
      <c r="S51" s="26"/>
      <c r="T51" s="26"/>
      <c r="U51" s="26"/>
      <c r="V51" s="26"/>
      <c r="W51" s="26"/>
      <c r="X51" s="26"/>
      <c r="Y51" s="26"/>
    </row>
    <row r="52" spans="1:25" ht="13">
      <c r="A52" s="24" t="s">
        <v>52</v>
      </c>
      <c r="B52" s="28" t="s">
        <v>839</v>
      </c>
      <c r="C52" s="24" t="s">
        <v>567</v>
      </c>
      <c r="D52" s="24" t="s">
        <v>840</v>
      </c>
      <c r="E52" s="24">
        <v>242</v>
      </c>
      <c r="F52" s="24" t="s">
        <v>772</v>
      </c>
      <c r="G52" s="24">
        <v>120</v>
      </c>
      <c r="H52" s="45" t="s">
        <v>841</v>
      </c>
      <c r="I52" s="32" t="s">
        <v>843</v>
      </c>
      <c r="J52" s="99" t="s">
        <v>53</v>
      </c>
      <c r="K52" s="32" t="s">
        <v>845</v>
      </c>
      <c r="L52" s="34"/>
      <c r="M52" s="69">
        <v>41901</v>
      </c>
      <c r="N52" s="7">
        <v>435</v>
      </c>
      <c r="O52" s="24" t="s">
        <v>847</v>
      </c>
      <c r="P52" s="26"/>
      <c r="Q52" s="26"/>
      <c r="R52" s="26"/>
      <c r="S52" s="26"/>
      <c r="T52" s="26"/>
      <c r="U52" s="26"/>
      <c r="V52" s="26"/>
      <c r="W52" s="26"/>
      <c r="X52" s="26"/>
      <c r="Y52" s="26"/>
    </row>
    <row r="53" spans="1:25" ht="13">
      <c r="A53" s="91" t="s">
        <v>52</v>
      </c>
      <c r="B53" s="155"/>
      <c r="C53" s="148"/>
      <c r="D53" s="148"/>
      <c r="E53" s="91">
        <v>360</v>
      </c>
      <c r="F53" s="91" t="s">
        <v>853</v>
      </c>
      <c r="G53" s="91">
        <v>257</v>
      </c>
      <c r="H53" s="91">
        <v>572</v>
      </c>
      <c r="I53" s="97">
        <v>573</v>
      </c>
      <c r="J53" s="99" t="s">
        <v>53</v>
      </c>
      <c r="K53" s="97" t="s">
        <v>857</v>
      </c>
      <c r="L53" s="134"/>
      <c r="M53" s="114">
        <v>41908</v>
      </c>
      <c r="N53" s="115">
        <v>436</v>
      </c>
      <c r="O53" s="91" t="s">
        <v>858</v>
      </c>
      <c r="P53" s="26"/>
      <c r="Q53" s="26"/>
      <c r="R53" s="26"/>
      <c r="S53" s="26"/>
      <c r="T53" s="26"/>
      <c r="U53" s="26"/>
      <c r="V53" s="26"/>
      <c r="W53" s="26"/>
      <c r="X53" s="26"/>
      <c r="Y53" s="26"/>
    </row>
    <row r="54" spans="1:25" ht="21" customHeight="1">
      <c r="A54" s="24" t="s">
        <v>50</v>
      </c>
      <c r="B54" s="28" t="s">
        <v>860</v>
      </c>
      <c r="C54" s="26"/>
      <c r="D54" s="24" t="s">
        <v>568</v>
      </c>
      <c r="E54" s="24">
        <v>93</v>
      </c>
      <c r="F54" s="24" t="s">
        <v>861</v>
      </c>
      <c r="G54" s="24">
        <v>258</v>
      </c>
      <c r="H54" s="24">
        <v>555</v>
      </c>
      <c r="I54" s="32" t="s">
        <v>862</v>
      </c>
      <c r="J54" s="30" t="s">
        <v>53</v>
      </c>
      <c r="K54" s="32" t="s">
        <v>863</v>
      </c>
      <c r="L54" s="34"/>
      <c r="M54" s="69">
        <v>41968</v>
      </c>
      <c r="N54" s="7">
        <v>457</v>
      </c>
      <c r="O54" s="24" t="s">
        <v>864</v>
      </c>
      <c r="P54" s="26"/>
      <c r="Q54" s="26"/>
      <c r="R54" s="26"/>
      <c r="S54" s="26"/>
      <c r="T54" s="26"/>
      <c r="U54" s="26"/>
      <c r="V54" s="26"/>
      <c r="W54" s="26"/>
      <c r="X54" s="26"/>
      <c r="Y54" s="160"/>
    </row>
    <row r="55" spans="1:25" ht="23.25" customHeight="1">
      <c r="A55" s="91" t="s">
        <v>52</v>
      </c>
      <c r="B55" s="93" t="s">
        <v>866</v>
      </c>
      <c r="C55" s="24" t="s">
        <v>867</v>
      </c>
      <c r="D55" s="91" t="s">
        <v>568</v>
      </c>
      <c r="E55" s="91">
        <v>409</v>
      </c>
      <c r="F55" s="91" t="s">
        <v>868</v>
      </c>
      <c r="G55" s="91">
        <v>354</v>
      </c>
      <c r="H55" s="91">
        <v>687</v>
      </c>
      <c r="I55" s="97">
        <v>688</v>
      </c>
      <c r="J55" s="99" t="s">
        <v>53</v>
      </c>
      <c r="K55" s="97" t="s">
        <v>869</v>
      </c>
      <c r="L55" s="134"/>
      <c r="M55" s="114">
        <v>41968</v>
      </c>
      <c r="N55" s="115">
        <v>458</v>
      </c>
      <c r="O55" s="91" t="s">
        <v>870</v>
      </c>
      <c r="P55" s="148"/>
      <c r="Q55" s="148"/>
      <c r="R55" s="148"/>
      <c r="S55" s="148"/>
      <c r="T55" s="148"/>
      <c r="U55" s="148"/>
      <c r="V55" s="148"/>
      <c r="W55" s="148"/>
      <c r="X55" s="148"/>
      <c r="Y55" s="148"/>
    </row>
    <row r="56" spans="1:25" ht="26">
      <c r="A56" s="24" t="s">
        <v>872</v>
      </c>
      <c r="B56" s="28" t="s">
        <v>873</v>
      </c>
      <c r="C56" s="26"/>
      <c r="D56" s="148"/>
      <c r="E56" s="24">
        <v>120</v>
      </c>
      <c r="F56" s="24" t="s">
        <v>541</v>
      </c>
      <c r="G56" s="24">
        <v>89</v>
      </c>
      <c r="H56" s="24">
        <v>651</v>
      </c>
      <c r="I56" s="32">
        <v>652</v>
      </c>
      <c r="J56" s="30" t="s">
        <v>166</v>
      </c>
      <c r="K56" s="32" t="s">
        <v>874</v>
      </c>
      <c r="L56" s="34"/>
      <c r="M56" s="69">
        <v>41975</v>
      </c>
      <c r="N56" s="7">
        <v>460</v>
      </c>
      <c r="O56" s="24" t="s">
        <v>875</v>
      </c>
      <c r="P56" s="26"/>
      <c r="Q56" s="24" t="s">
        <v>876</v>
      </c>
      <c r="R56" s="26"/>
      <c r="S56" s="26"/>
      <c r="T56" s="26"/>
      <c r="U56" s="26"/>
      <c r="V56" s="26"/>
      <c r="W56" s="26"/>
      <c r="X56" s="26"/>
      <c r="Y56" s="26"/>
    </row>
    <row r="57" spans="1:25" ht="26">
      <c r="A57" s="24" t="s">
        <v>872</v>
      </c>
      <c r="B57" s="28" t="s">
        <v>873</v>
      </c>
      <c r="C57" s="26"/>
      <c r="D57" s="26"/>
      <c r="E57" s="24">
        <v>120</v>
      </c>
      <c r="F57" s="24" t="s">
        <v>224</v>
      </c>
      <c r="G57" s="24">
        <v>199</v>
      </c>
      <c r="H57" s="24">
        <v>776</v>
      </c>
      <c r="I57" s="32">
        <v>777</v>
      </c>
      <c r="J57" s="30" t="s">
        <v>166</v>
      </c>
      <c r="K57" s="32" t="s">
        <v>877</v>
      </c>
      <c r="L57" s="34"/>
      <c r="M57" s="69">
        <v>42040</v>
      </c>
      <c r="N57" s="7">
        <v>509</v>
      </c>
      <c r="O57" s="24" t="s">
        <v>878</v>
      </c>
      <c r="P57" s="26"/>
      <c r="Q57" s="24" t="s">
        <v>879</v>
      </c>
      <c r="R57" s="26"/>
      <c r="S57" s="26"/>
      <c r="T57" s="26"/>
      <c r="U57" s="26"/>
      <c r="V57" s="26"/>
      <c r="W57" s="26"/>
      <c r="X57" s="26"/>
      <c r="Y57" s="26"/>
    </row>
    <row r="58" spans="1:25" ht="26">
      <c r="A58" s="24" t="s">
        <v>872</v>
      </c>
      <c r="B58" s="28" t="s">
        <v>873</v>
      </c>
      <c r="C58" s="26"/>
      <c r="D58" s="26"/>
      <c r="E58" s="24">
        <v>120</v>
      </c>
      <c r="F58" s="24" t="s">
        <v>224</v>
      </c>
      <c r="G58" s="24">
        <v>449</v>
      </c>
      <c r="H58" s="24">
        <v>777</v>
      </c>
      <c r="I58" s="32">
        <v>775</v>
      </c>
      <c r="J58" s="30" t="s">
        <v>166</v>
      </c>
      <c r="K58" s="32" t="s">
        <v>886</v>
      </c>
      <c r="L58" s="34"/>
      <c r="M58" s="69">
        <v>42040</v>
      </c>
      <c r="N58" s="7">
        <v>510</v>
      </c>
      <c r="O58" s="24" t="s">
        <v>878</v>
      </c>
      <c r="P58" s="26"/>
      <c r="Q58" s="24" t="s">
        <v>889</v>
      </c>
      <c r="R58" s="26"/>
      <c r="S58" s="26"/>
      <c r="T58" s="26"/>
      <c r="U58" s="26"/>
      <c r="V58" s="26"/>
      <c r="W58" s="26"/>
      <c r="X58" s="26"/>
      <c r="Y58" s="26"/>
    </row>
    <row r="59" spans="1:25" ht="26">
      <c r="A59" s="24" t="s">
        <v>872</v>
      </c>
      <c r="B59" s="28" t="s">
        <v>873</v>
      </c>
      <c r="C59" s="26"/>
      <c r="D59" s="26"/>
      <c r="E59" s="24">
        <v>120</v>
      </c>
      <c r="F59" s="24" t="s">
        <v>224</v>
      </c>
      <c r="G59" s="24">
        <v>234</v>
      </c>
      <c r="H59" s="24">
        <v>657</v>
      </c>
      <c r="I59" s="32">
        <v>658</v>
      </c>
      <c r="J59" s="30" t="s">
        <v>166</v>
      </c>
      <c r="K59" s="32" t="s">
        <v>891</v>
      </c>
      <c r="L59" s="34"/>
      <c r="M59" s="69">
        <v>42065</v>
      </c>
      <c r="N59" s="7">
        <v>513</v>
      </c>
      <c r="O59" s="24" t="s">
        <v>893</v>
      </c>
      <c r="P59" s="26"/>
      <c r="Q59" s="24" t="s">
        <v>894</v>
      </c>
      <c r="R59" s="26"/>
      <c r="S59" s="26"/>
      <c r="T59" s="26"/>
      <c r="U59" s="26"/>
      <c r="V59" s="26"/>
      <c r="W59" s="26"/>
      <c r="X59" s="26"/>
      <c r="Y59" s="26"/>
    </row>
    <row r="60" spans="1:25" ht="26">
      <c r="A60" s="24" t="s">
        <v>872</v>
      </c>
      <c r="B60" s="28" t="s">
        <v>873</v>
      </c>
      <c r="C60" s="26"/>
      <c r="D60" s="26"/>
      <c r="E60" s="24">
        <v>120</v>
      </c>
      <c r="F60" s="24" t="s">
        <v>71</v>
      </c>
      <c r="G60" s="24">
        <v>332</v>
      </c>
      <c r="H60" s="24">
        <v>816</v>
      </c>
      <c r="I60" s="32">
        <v>817</v>
      </c>
      <c r="J60" s="30" t="s">
        <v>166</v>
      </c>
      <c r="K60" s="32" t="s">
        <v>897</v>
      </c>
      <c r="L60" s="34"/>
      <c r="M60" s="69">
        <v>42065</v>
      </c>
      <c r="N60" s="7">
        <v>514</v>
      </c>
      <c r="O60" s="24" t="s">
        <v>898</v>
      </c>
      <c r="P60" s="26"/>
      <c r="Q60" s="26"/>
      <c r="R60" s="26"/>
      <c r="S60" s="26"/>
      <c r="T60" s="26"/>
      <c r="U60" s="26"/>
      <c r="V60" s="26"/>
      <c r="W60" s="26"/>
      <c r="X60" s="26"/>
      <c r="Y60" s="26"/>
    </row>
    <row r="61" spans="1:25" ht="26">
      <c r="A61" s="24" t="s">
        <v>872</v>
      </c>
      <c r="B61" s="28" t="s">
        <v>873</v>
      </c>
      <c r="C61" s="26"/>
      <c r="D61" s="26"/>
      <c r="E61" s="24">
        <v>120</v>
      </c>
      <c r="F61" s="24" t="s">
        <v>902</v>
      </c>
      <c r="G61" s="24">
        <v>403</v>
      </c>
      <c r="H61" s="24" t="s">
        <v>903</v>
      </c>
      <c r="I61" s="32" t="s">
        <v>903</v>
      </c>
      <c r="J61" s="30" t="s">
        <v>166</v>
      </c>
      <c r="K61" s="32" t="s">
        <v>904</v>
      </c>
      <c r="L61" s="34"/>
      <c r="M61" s="69">
        <v>42073</v>
      </c>
      <c r="N61" s="7">
        <v>524</v>
      </c>
      <c r="O61" s="24" t="s">
        <v>906</v>
      </c>
      <c r="P61" s="26"/>
      <c r="Q61" s="24" t="s">
        <v>907</v>
      </c>
      <c r="R61" s="26"/>
      <c r="S61" s="26"/>
      <c r="T61" s="26"/>
      <c r="U61" s="26"/>
      <c r="V61" s="26"/>
      <c r="W61" s="26"/>
      <c r="X61" s="26"/>
      <c r="Y61" s="26"/>
    </row>
    <row r="62" spans="1:25" ht="26">
      <c r="A62" s="24" t="s">
        <v>872</v>
      </c>
      <c r="B62" s="28" t="s">
        <v>873</v>
      </c>
      <c r="C62" s="148"/>
      <c r="D62" s="91" t="s">
        <v>909</v>
      </c>
      <c r="E62" s="24">
        <v>120</v>
      </c>
      <c r="F62" s="24" t="s">
        <v>224</v>
      </c>
      <c r="G62" s="91">
        <v>306</v>
      </c>
      <c r="H62" s="148"/>
      <c r="I62" s="177"/>
      <c r="J62" s="30" t="s">
        <v>166</v>
      </c>
      <c r="K62" s="32" t="s">
        <v>934</v>
      </c>
      <c r="L62" s="34"/>
      <c r="M62" s="69">
        <v>42111</v>
      </c>
      <c r="N62" s="7">
        <v>535</v>
      </c>
      <c r="O62" s="24" t="s">
        <v>935</v>
      </c>
      <c r="P62" s="26"/>
      <c r="Q62" s="26"/>
      <c r="R62" s="26"/>
      <c r="S62" s="26"/>
      <c r="T62" s="26"/>
      <c r="U62" s="26"/>
      <c r="V62" s="26"/>
      <c r="W62" s="26"/>
      <c r="X62" s="26"/>
      <c r="Y62" s="26"/>
    </row>
    <row r="63" spans="1:25" ht="26">
      <c r="A63" s="24" t="s">
        <v>872</v>
      </c>
      <c r="B63" s="28" t="s">
        <v>873</v>
      </c>
      <c r="C63" s="26"/>
      <c r="D63" s="26"/>
      <c r="E63" s="24">
        <v>120</v>
      </c>
      <c r="F63" s="24" t="s">
        <v>224</v>
      </c>
      <c r="G63" s="24">
        <v>91</v>
      </c>
      <c r="H63" s="26"/>
      <c r="I63" s="63"/>
      <c r="J63" s="30" t="s">
        <v>166</v>
      </c>
      <c r="K63" s="32" t="s">
        <v>936</v>
      </c>
      <c r="L63" s="34"/>
      <c r="M63" s="69">
        <v>42111</v>
      </c>
      <c r="N63" s="7">
        <v>536</v>
      </c>
      <c r="O63" s="24" t="s">
        <v>935</v>
      </c>
      <c r="P63" s="26"/>
      <c r="Q63" s="26"/>
      <c r="R63" s="26"/>
      <c r="S63" s="26"/>
      <c r="T63" s="26"/>
      <c r="U63" s="26"/>
      <c r="V63" s="26"/>
      <c r="W63" s="26"/>
      <c r="X63" s="26"/>
      <c r="Y63" s="26"/>
    </row>
    <row r="64" spans="1:25" ht="26">
      <c r="A64" s="24" t="s">
        <v>872</v>
      </c>
      <c r="B64" s="28" t="s">
        <v>873</v>
      </c>
      <c r="C64" s="26"/>
      <c r="D64" s="26"/>
      <c r="E64" s="24">
        <v>120</v>
      </c>
      <c r="F64" s="24" t="s">
        <v>224</v>
      </c>
      <c r="G64" s="24">
        <v>90</v>
      </c>
      <c r="H64" s="26"/>
      <c r="I64" s="63"/>
      <c r="J64" s="30" t="s">
        <v>166</v>
      </c>
      <c r="K64" s="32" t="s">
        <v>937</v>
      </c>
      <c r="L64" s="34"/>
      <c r="M64" s="69">
        <v>42111</v>
      </c>
      <c r="N64" s="7">
        <v>537</v>
      </c>
      <c r="O64" s="24" t="s">
        <v>935</v>
      </c>
      <c r="P64" s="26"/>
      <c r="Q64" s="26"/>
      <c r="R64" s="26"/>
      <c r="S64" s="26"/>
      <c r="T64" s="26"/>
      <c r="U64" s="26"/>
      <c r="V64" s="26"/>
      <c r="W64" s="26"/>
      <c r="X64" s="26"/>
      <c r="Y64" s="26"/>
    </row>
    <row r="65" spans="1:25" ht="26">
      <c r="A65" s="24" t="s">
        <v>872</v>
      </c>
      <c r="B65" s="28" t="s">
        <v>873</v>
      </c>
      <c r="C65" s="26"/>
      <c r="D65" s="26"/>
      <c r="E65" s="24">
        <v>120</v>
      </c>
      <c r="F65" s="24" t="s">
        <v>224</v>
      </c>
      <c r="G65" s="24">
        <v>370</v>
      </c>
      <c r="H65" s="26"/>
      <c r="I65" s="63"/>
      <c r="J65" s="30" t="s">
        <v>166</v>
      </c>
      <c r="K65" s="32" t="s">
        <v>938</v>
      </c>
      <c r="L65" s="34"/>
      <c r="M65" s="69">
        <v>42111</v>
      </c>
      <c r="N65" s="7">
        <v>538</v>
      </c>
      <c r="O65" s="24" t="s">
        <v>935</v>
      </c>
      <c r="P65" s="26"/>
      <c r="Q65" s="26"/>
      <c r="R65" s="26"/>
      <c r="S65" s="26"/>
      <c r="T65" s="26"/>
      <c r="U65" s="26"/>
      <c r="V65" s="26"/>
      <c r="W65" s="26"/>
      <c r="X65" s="26"/>
      <c r="Y65" s="26"/>
    </row>
    <row r="66" spans="1:25" ht="26">
      <c r="A66" s="24" t="s">
        <v>872</v>
      </c>
      <c r="B66" s="28" t="s">
        <v>873</v>
      </c>
      <c r="C66" s="26"/>
      <c r="D66" s="26"/>
      <c r="E66" s="24">
        <v>120</v>
      </c>
      <c r="F66" s="24" t="s">
        <v>71</v>
      </c>
      <c r="G66" s="24">
        <v>290</v>
      </c>
      <c r="H66" s="26"/>
      <c r="I66" s="63"/>
      <c r="J66" s="30" t="s">
        <v>166</v>
      </c>
      <c r="K66" s="32" t="s">
        <v>939</v>
      </c>
      <c r="L66" s="34"/>
      <c r="M66" s="69">
        <v>42116</v>
      </c>
      <c r="N66" s="7">
        <v>541</v>
      </c>
      <c r="O66" s="24" t="s">
        <v>935</v>
      </c>
      <c r="P66" s="26"/>
      <c r="Q66" s="24" t="s">
        <v>940</v>
      </c>
      <c r="R66" s="26"/>
      <c r="S66" s="26"/>
      <c r="T66" s="26"/>
      <c r="U66" s="26"/>
      <c r="V66" s="26"/>
      <c r="W66" s="26"/>
      <c r="X66" s="26"/>
      <c r="Y66" s="26"/>
    </row>
    <row r="67" spans="1:25" ht="26">
      <c r="A67" s="24" t="s">
        <v>872</v>
      </c>
      <c r="B67" s="28" t="s">
        <v>873</v>
      </c>
      <c r="C67" s="26"/>
      <c r="D67" s="26"/>
      <c r="E67" s="24">
        <v>120</v>
      </c>
      <c r="F67" s="24" t="s">
        <v>71</v>
      </c>
      <c r="G67" s="24">
        <v>277</v>
      </c>
      <c r="H67" s="26"/>
      <c r="I67" s="63"/>
      <c r="J67" s="30" t="s">
        <v>166</v>
      </c>
      <c r="K67" s="32" t="s">
        <v>942</v>
      </c>
      <c r="L67" s="26"/>
      <c r="M67" s="69">
        <v>42129</v>
      </c>
      <c r="N67" s="7">
        <v>546</v>
      </c>
      <c r="O67" s="24" t="s">
        <v>935</v>
      </c>
      <c r="P67" s="26"/>
      <c r="Q67" s="26"/>
      <c r="R67" s="26"/>
      <c r="S67" s="26"/>
      <c r="T67" s="26"/>
      <c r="U67" s="26"/>
      <c r="V67" s="26"/>
      <c r="W67" s="26"/>
      <c r="X67" s="26"/>
      <c r="Y67" s="26"/>
    </row>
    <row r="68" spans="1:25" ht="26">
      <c r="A68" s="24" t="s">
        <v>872</v>
      </c>
      <c r="B68" s="28" t="s">
        <v>873</v>
      </c>
      <c r="C68" s="26"/>
      <c r="D68" s="26"/>
      <c r="E68" s="24">
        <v>120</v>
      </c>
      <c r="F68" s="24" t="s">
        <v>224</v>
      </c>
      <c r="G68" s="24">
        <v>190</v>
      </c>
      <c r="H68" s="26"/>
      <c r="I68" s="63"/>
      <c r="J68" s="30" t="s">
        <v>166</v>
      </c>
      <c r="K68" s="32" t="s">
        <v>946</v>
      </c>
      <c r="L68" s="26"/>
      <c r="M68" s="69">
        <v>42129</v>
      </c>
      <c r="N68" s="7">
        <v>545</v>
      </c>
      <c r="O68" s="24" t="s">
        <v>935</v>
      </c>
      <c r="P68" s="26"/>
      <c r="Q68" s="26"/>
      <c r="R68" s="26"/>
      <c r="S68" s="26"/>
      <c r="T68" s="26"/>
      <c r="U68" s="26"/>
      <c r="V68" s="26"/>
      <c r="W68" s="26"/>
      <c r="X68" s="26"/>
      <c r="Y68" s="26"/>
    </row>
    <row r="69" spans="1:25" ht="26">
      <c r="A69" s="24" t="s">
        <v>872</v>
      </c>
      <c r="B69" s="28" t="s">
        <v>873</v>
      </c>
      <c r="C69" s="26"/>
      <c r="D69" s="26"/>
      <c r="E69" s="24">
        <v>120</v>
      </c>
      <c r="F69" s="24" t="s">
        <v>224</v>
      </c>
      <c r="G69" s="24">
        <v>360</v>
      </c>
      <c r="H69" s="26"/>
      <c r="I69" s="63"/>
      <c r="J69" s="30" t="s">
        <v>166</v>
      </c>
      <c r="K69" s="32" t="s">
        <v>950</v>
      </c>
      <c r="L69" s="26"/>
      <c r="M69" s="69">
        <v>42131</v>
      </c>
      <c r="N69" s="7">
        <v>547</v>
      </c>
      <c r="O69" s="24" t="s">
        <v>935</v>
      </c>
      <c r="P69" s="26"/>
      <c r="Q69" s="26"/>
      <c r="R69" s="26"/>
      <c r="S69" s="26"/>
      <c r="T69" s="26"/>
      <c r="U69" s="26"/>
      <c r="V69" s="26"/>
      <c r="W69" s="26"/>
      <c r="X69" s="26"/>
      <c r="Y69" s="26"/>
    </row>
    <row r="70" spans="1:25" ht="13">
      <c r="A70" s="91" t="s">
        <v>52</v>
      </c>
      <c r="B70" s="28" t="s">
        <v>955</v>
      </c>
      <c r="C70" s="24" t="s">
        <v>567</v>
      </c>
      <c r="D70" s="26"/>
      <c r="E70" s="24">
        <v>120</v>
      </c>
      <c r="F70" s="24" t="s">
        <v>224</v>
      </c>
      <c r="G70" s="24">
        <v>261</v>
      </c>
      <c r="H70" s="24">
        <v>606</v>
      </c>
      <c r="I70" s="32">
        <v>607</v>
      </c>
      <c r="J70" s="30" t="s">
        <v>166</v>
      </c>
      <c r="K70" s="32" t="s">
        <v>959</v>
      </c>
      <c r="L70" s="34"/>
      <c r="M70" s="69">
        <v>41975</v>
      </c>
      <c r="N70" s="7">
        <v>461</v>
      </c>
      <c r="O70" s="24" t="s">
        <v>961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</row>
    <row r="71" spans="1:25" ht="13">
      <c r="A71" s="91" t="s">
        <v>52</v>
      </c>
      <c r="B71" s="28" t="s">
        <v>955</v>
      </c>
      <c r="C71" s="24" t="s">
        <v>567</v>
      </c>
      <c r="D71" s="26"/>
      <c r="E71" s="24">
        <v>120</v>
      </c>
      <c r="F71" s="24" t="s">
        <v>224</v>
      </c>
      <c r="G71" s="24">
        <v>429</v>
      </c>
      <c r="H71" s="24">
        <v>614</v>
      </c>
      <c r="I71" s="32">
        <v>615</v>
      </c>
      <c r="J71" s="30" t="s">
        <v>166</v>
      </c>
      <c r="K71" s="32" t="s">
        <v>963</v>
      </c>
      <c r="L71" s="34"/>
      <c r="M71" s="69">
        <v>41975</v>
      </c>
      <c r="N71" s="7">
        <v>462</v>
      </c>
      <c r="O71" s="24" t="s">
        <v>961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</row>
    <row r="72" spans="1:25" ht="13">
      <c r="A72" s="91" t="s">
        <v>52</v>
      </c>
      <c r="B72" s="28" t="s">
        <v>955</v>
      </c>
      <c r="C72" s="24" t="s">
        <v>567</v>
      </c>
      <c r="D72" s="26"/>
      <c r="E72" s="24">
        <v>120</v>
      </c>
      <c r="F72" s="24" t="s">
        <v>224</v>
      </c>
      <c r="G72" s="24">
        <v>431</v>
      </c>
      <c r="H72" s="24">
        <v>616</v>
      </c>
      <c r="I72" s="24">
        <v>617</v>
      </c>
      <c r="J72" s="30" t="s">
        <v>166</v>
      </c>
      <c r="K72" s="32" t="s">
        <v>968</v>
      </c>
      <c r="L72" s="34"/>
      <c r="M72" s="69">
        <v>41975</v>
      </c>
      <c r="N72" s="7">
        <v>463</v>
      </c>
      <c r="O72" s="24" t="s">
        <v>961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</row>
    <row r="73" spans="1:25" ht="21.75" customHeight="1">
      <c r="A73" s="91" t="s">
        <v>52</v>
      </c>
      <c r="B73" s="28" t="s">
        <v>955</v>
      </c>
      <c r="C73" s="24" t="s">
        <v>567</v>
      </c>
      <c r="D73" s="26"/>
      <c r="E73" s="24">
        <v>120</v>
      </c>
      <c r="F73" s="24" t="s">
        <v>224</v>
      </c>
      <c r="G73" s="24">
        <v>333</v>
      </c>
      <c r="H73" s="24">
        <v>604</v>
      </c>
      <c r="I73" s="32">
        <v>605</v>
      </c>
      <c r="J73" s="30" t="s">
        <v>166</v>
      </c>
      <c r="K73" s="32" t="s">
        <v>969</v>
      </c>
      <c r="L73" s="34"/>
      <c r="M73" s="69">
        <v>41950</v>
      </c>
      <c r="N73" s="7">
        <v>454</v>
      </c>
      <c r="O73" s="24" t="s">
        <v>970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</row>
    <row r="74" spans="1:25" ht="13">
      <c r="A74" s="91" t="s">
        <v>52</v>
      </c>
      <c r="B74" s="28" t="s">
        <v>955</v>
      </c>
      <c r="C74" s="24" t="s">
        <v>567</v>
      </c>
      <c r="D74" s="26"/>
      <c r="E74" s="24">
        <v>120</v>
      </c>
      <c r="F74" s="24" t="s">
        <v>224</v>
      </c>
      <c r="G74" s="24">
        <v>263</v>
      </c>
      <c r="H74" s="24">
        <v>608</v>
      </c>
      <c r="I74" s="32">
        <v>609</v>
      </c>
      <c r="J74" s="30" t="s">
        <v>166</v>
      </c>
      <c r="K74" s="32" t="s">
        <v>971</v>
      </c>
      <c r="L74" s="34"/>
      <c r="M74" s="69">
        <v>41950</v>
      </c>
      <c r="N74" s="7">
        <v>455</v>
      </c>
      <c r="O74" s="24" t="s">
        <v>961</v>
      </c>
      <c r="P74" s="26"/>
      <c r="Q74" s="26"/>
      <c r="R74" s="26"/>
      <c r="S74" s="26"/>
      <c r="T74" s="26"/>
      <c r="U74" s="26"/>
      <c r="V74" s="26"/>
      <c r="W74" s="26"/>
      <c r="X74" s="26"/>
      <c r="Y74" s="26"/>
    </row>
    <row r="75" spans="1:25" ht="13">
      <c r="A75" s="91" t="s">
        <v>52</v>
      </c>
      <c r="B75" s="28" t="s">
        <v>955</v>
      </c>
      <c r="C75" s="24" t="s">
        <v>567</v>
      </c>
      <c r="D75" s="26"/>
      <c r="E75" s="24">
        <v>120</v>
      </c>
      <c r="F75" s="24" t="s">
        <v>224</v>
      </c>
      <c r="G75" s="24">
        <v>430</v>
      </c>
      <c r="H75" s="24">
        <v>610</v>
      </c>
      <c r="I75" s="24">
        <v>611</v>
      </c>
      <c r="J75" s="30" t="s">
        <v>166</v>
      </c>
      <c r="K75" s="32" t="s">
        <v>972</v>
      </c>
      <c r="L75" s="26"/>
      <c r="M75" s="69">
        <v>41997</v>
      </c>
      <c r="N75" s="7">
        <v>477</v>
      </c>
      <c r="O75" s="24" t="s">
        <v>961</v>
      </c>
      <c r="P75" s="26"/>
      <c r="Q75" s="26"/>
      <c r="R75" s="26"/>
      <c r="S75" s="26"/>
      <c r="T75" s="26"/>
      <c r="U75" s="26"/>
      <c r="V75" s="26"/>
      <c r="W75" s="26"/>
      <c r="X75" s="26"/>
      <c r="Y75" s="26"/>
    </row>
    <row r="76" spans="1:25" ht="13">
      <c r="A76" s="91" t="s">
        <v>52</v>
      </c>
      <c r="B76" s="28" t="s">
        <v>955</v>
      </c>
      <c r="C76" s="24" t="s">
        <v>567</v>
      </c>
      <c r="D76" s="26"/>
      <c r="E76" s="24">
        <v>120</v>
      </c>
      <c r="F76" s="24" t="s">
        <v>224</v>
      </c>
      <c r="G76" s="24">
        <v>304</v>
      </c>
      <c r="H76" s="24">
        <v>612</v>
      </c>
      <c r="I76" s="32">
        <v>613</v>
      </c>
      <c r="J76" s="30" t="s">
        <v>166</v>
      </c>
      <c r="K76" s="32" t="s">
        <v>974</v>
      </c>
      <c r="L76" s="26"/>
      <c r="M76" s="69">
        <v>42346</v>
      </c>
      <c r="N76" s="7">
        <v>488</v>
      </c>
      <c r="O76" s="24" t="s">
        <v>961</v>
      </c>
      <c r="P76" s="26"/>
      <c r="Q76" s="26"/>
      <c r="R76" s="26"/>
      <c r="S76" s="26"/>
      <c r="T76" s="26"/>
      <c r="U76" s="26"/>
      <c r="V76" s="26"/>
      <c r="W76" s="26"/>
      <c r="X76" s="26"/>
      <c r="Y76" s="26"/>
    </row>
    <row r="77" spans="1:25" ht="26">
      <c r="A77" s="24" t="s">
        <v>52</v>
      </c>
      <c r="B77" s="28" t="s">
        <v>69</v>
      </c>
      <c r="C77" s="24" t="s">
        <v>867</v>
      </c>
      <c r="D77" s="24" t="s">
        <v>70</v>
      </c>
      <c r="E77" s="24">
        <v>234</v>
      </c>
      <c r="F77" s="24" t="s">
        <v>975</v>
      </c>
      <c r="G77" s="24" t="s">
        <v>82</v>
      </c>
      <c r="H77" s="24">
        <v>577</v>
      </c>
      <c r="I77" s="32">
        <v>576</v>
      </c>
      <c r="J77" s="30" t="s">
        <v>53</v>
      </c>
      <c r="K77" s="32" t="s">
        <v>976</v>
      </c>
      <c r="L77" s="34"/>
      <c r="M77" s="69">
        <v>41997</v>
      </c>
      <c r="N77" s="7">
        <v>478</v>
      </c>
      <c r="O77" s="24" t="s">
        <v>977</v>
      </c>
      <c r="P77" s="26"/>
      <c r="Q77" s="26"/>
      <c r="R77" s="26"/>
      <c r="S77" s="26"/>
      <c r="T77" s="26"/>
      <c r="U77" s="26"/>
      <c r="V77" s="26"/>
      <c r="W77" s="26"/>
      <c r="X77" s="26"/>
      <c r="Y77" s="26"/>
    </row>
    <row r="78" spans="1:25" ht="24" customHeight="1">
      <c r="A78" s="91" t="s">
        <v>52</v>
      </c>
      <c r="B78" s="28" t="s">
        <v>139</v>
      </c>
      <c r="C78" s="24" t="s">
        <v>867</v>
      </c>
      <c r="D78" s="24" t="s">
        <v>979</v>
      </c>
      <c r="E78" s="24">
        <v>290</v>
      </c>
      <c r="F78" s="24" t="s">
        <v>980</v>
      </c>
      <c r="G78" s="24">
        <v>354</v>
      </c>
      <c r="H78" s="24">
        <v>711</v>
      </c>
      <c r="I78" s="24">
        <v>712</v>
      </c>
      <c r="J78" s="30" t="s">
        <v>53</v>
      </c>
      <c r="K78" s="32" t="s">
        <v>981</v>
      </c>
      <c r="L78" s="69">
        <v>41972</v>
      </c>
      <c r="M78" s="69">
        <v>41988</v>
      </c>
      <c r="N78" s="7">
        <v>472</v>
      </c>
      <c r="O78" s="24" t="s">
        <v>982</v>
      </c>
      <c r="P78" s="26"/>
      <c r="Q78" s="26"/>
      <c r="R78" s="26"/>
      <c r="S78" s="26"/>
      <c r="T78" s="26"/>
      <c r="U78" s="26"/>
      <c r="V78" s="26"/>
      <c r="W78" s="26"/>
      <c r="X78" s="26"/>
      <c r="Y78" s="26"/>
    </row>
    <row r="79" spans="1:25" ht="24" customHeight="1">
      <c r="A79" s="91" t="s">
        <v>52</v>
      </c>
      <c r="B79" s="28" t="s">
        <v>139</v>
      </c>
      <c r="C79" s="24" t="s">
        <v>867</v>
      </c>
      <c r="D79" s="24" t="s">
        <v>70</v>
      </c>
      <c r="E79" s="24" t="s">
        <v>983</v>
      </c>
      <c r="F79" s="24" t="s">
        <v>984</v>
      </c>
      <c r="G79" s="24">
        <v>364</v>
      </c>
      <c r="H79" s="24">
        <v>703</v>
      </c>
      <c r="I79" s="32">
        <v>704</v>
      </c>
      <c r="J79" s="30" t="s">
        <v>53</v>
      </c>
      <c r="K79" s="32" t="s">
        <v>989</v>
      </c>
      <c r="L79" s="117">
        <v>41972</v>
      </c>
      <c r="M79" s="69">
        <v>41996</v>
      </c>
      <c r="N79" s="7">
        <v>479</v>
      </c>
      <c r="O79" s="24" t="s">
        <v>990</v>
      </c>
      <c r="P79" s="26"/>
      <c r="Q79" s="24" t="s">
        <v>991</v>
      </c>
      <c r="R79" s="26"/>
      <c r="S79" s="26"/>
      <c r="T79" s="26"/>
      <c r="U79" s="26"/>
      <c r="V79" s="26"/>
      <c r="W79" s="26"/>
      <c r="X79" s="26"/>
      <c r="Y79" s="26"/>
    </row>
    <row r="80" spans="1:25" ht="24.75" customHeight="1">
      <c r="A80" s="91" t="s">
        <v>52</v>
      </c>
      <c r="B80" s="28" t="s">
        <v>139</v>
      </c>
      <c r="C80" s="24" t="s">
        <v>867</v>
      </c>
      <c r="D80" s="24" t="s">
        <v>70</v>
      </c>
      <c r="E80" s="24" t="s">
        <v>983</v>
      </c>
      <c r="F80" s="24" t="s">
        <v>984</v>
      </c>
      <c r="G80" s="24">
        <v>434</v>
      </c>
      <c r="H80" s="24">
        <v>705</v>
      </c>
      <c r="I80" s="32">
        <v>706</v>
      </c>
      <c r="J80" s="30" t="s">
        <v>53</v>
      </c>
      <c r="K80" s="32" t="s">
        <v>992</v>
      </c>
      <c r="L80" s="117">
        <v>41972</v>
      </c>
      <c r="M80" s="69">
        <v>41996</v>
      </c>
      <c r="N80" s="7">
        <v>480</v>
      </c>
      <c r="O80" s="24" t="s">
        <v>993</v>
      </c>
      <c r="P80" s="26"/>
      <c r="Q80" s="24" t="s">
        <v>991</v>
      </c>
      <c r="R80" s="26"/>
      <c r="S80" s="26"/>
      <c r="T80" s="26"/>
      <c r="U80" s="26"/>
      <c r="V80" s="26"/>
      <c r="W80" s="26"/>
      <c r="X80" s="26"/>
      <c r="Y80" s="26"/>
    </row>
    <row r="81" spans="1:25" ht="24.75" customHeight="1">
      <c r="A81" s="91" t="s">
        <v>52</v>
      </c>
      <c r="B81" s="28" t="s">
        <v>139</v>
      </c>
      <c r="C81" s="24" t="s">
        <v>867</v>
      </c>
      <c r="D81" s="24" t="s">
        <v>70</v>
      </c>
      <c r="E81" s="24" t="s">
        <v>983</v>
      </c>
      <c r="F81" s="24" t="s">
        <v>984</v>
      </c>
      <c r="G81" s="24">
        <v>454</v>
      </c>
      <c r="H81" s="24">
        <v>709</v>
      </c>
      <c r="I81" s="32">
        <v>710</v>
      </c>
      <c r="J81" s="30" t="s">
        <v>53</v>
      </c>
      <c r="K81" s="32" t="s">
        <v>994</v>
      </c>
      <c r="L81" s="117">
        <v>41972</v>
      </c>
      <c r="M81" s="69">
        <v>41996</v>
      </c>
      <c r="N81" s="7">
        <v>481</v>
      </c>
      <c r="O81" s="24" t="s">
        <v>995</v>
      </c>
      <c r="P81" s="26"/>
      <c r="Q81" s="24" t="s">
        <v>991</v>
      </c>
      <c r="R81" s="26"/>
      <c r="S81" s="26"/>
      <c r="T81" s="26"/>
      <c r="U81" s="26"/>
      <c r="V81" s="26"/>
      <c r="W81" s="26"/>
      <c r="X81" s="26"/>
      <c r="Y81" s="26"/>
    </row>
    <row r="82" spans="1:25" ht="24.75" customHeight="1">
      <c r="A82" s="91" t="s">
        <v>52</v>
      </c>
      <c r="B82" s="28" t="s">
        <v>139</v>
      </c>
      <c r="C82" s="24" t="s">
        <v>867</v>
      </c>
      <c r="D82" s="24" t="s">
        <v>70</v>
      </c>
      <c r="E82" s="24">
        <v>290</v>
      </c>
      <c r="F82" s="24" t="s">
        <v>980</v>
      </c>
      <c r="G82" s="24">
        <v>120</v>
      </c>
      <c r="H82" s="24">
        <v>713</v>
      </c>
      <c r="I82" s="32">
        <v>714</v>
      </c>
      <c r="J82" s="30" t="s">
        <v>53</v>
      </c>
      <c r="K82" s="32" t="s">
        <v>996</v>
      </c>
      <c r="L82" s="117">
        <v>41972</v>
      </c>
      <c r="M82" s="69">
        <v>42346</v>
      </c>
      <c r="N82" s="7">
        <v>487</v>
      </c>
      <c r="O82" s="24" t="s">
        <v>997</v>
      </c>
      <c r="P82" s="26"/>
      <c r="Q82" s="26"/>
      <c r="R82" s="26"/>
      <c r="S82" s="26"/>
      <c r="T82" s="26"/>
      <c r="U82" s="26"/>
      <c r="V82" s="26"/>
      <c r="W82" s="26"/>
      <c r="X82" s="26"/>
      <c r="Y82" s="26"/>
    </row>
    <row r="83" spans="1:25" ht="27.75" customHeight="1">
      <c r="A83" s="91" t="s">
        <v>52</v>
      </c>
      <c r="B83" s="93" t="s">
        <v>998</v>
      </c>
      <c r="C83" s="91" t="s">
        <v>567</v>
      </c>
      <c r="D83" s="91" t="s">
        <v>568</v>
      </c>
      <c r="E83" s="91">
        <v>364</v>
      </c>
      <c r="F83" s="91" t="s">
        <v>224</v>
      </c>
      <c r="G83" s="91" t="s">
        <v>82</v>
      </c>
      <c r="H83" s="91" t="s">
        <v>82</v>
      </c>
      <c r="I83" s="97" t="s">
        <v>82</v>
      </c>
      <c r="J83" s="99" t="s">
        <v>53</v>
      </c>
      <c r="K83" s="97" t="s">
        <v>999</v>
      </c>
      <c r="L83" s="128">
        <v>41890</v>
      </c>
      <c r="M83" s="114">
        <v>41901</v>
      </c>
      <c r="N83" s="115" t="s">
        <v>1000</v>
      </c>
      <c r="O83" s="91" t="s">
        <v>1001</v>
      </c>
      <c r="P83" s="109"/>
      <c r="Q83" s="109"/>
      <c r="R83" s="109"/>
      <c r="S83" s="109"/>
      <c r="T83" s="109"/>
      <c r="U83" s="109"/>
      <c r="V83" s="109"/>
      <c r="W83" s="109"/>
      <c r="X83" s="109"/>
      <c r="Y83" s="109"/>
    </row>
    <row r="84" spans="1:25" ht="26">
      <c r="A84" s="91" t="s">
        <v>52</v>
      </c>
      <c r="B84" s="83"/>
      <c r="C84" s="26"/>
      <c r="D84" s="26"/>
      <c r="E84" s="24">
        <v>276</v>
      </c>
      <c r="F84" s="24" t="s">
        <v>772</v>
      </c>
      <c r="G84" s="24" t="s">
        <v>1003</v>
      </c>
      <c r="H84" s="26"/>
      <c r="I84" s="26"/>
      <c r="J84" s="30" t="s">
        <v>53</v>
      </c>
      <c r="K84" s="32" t="s">
        <v>1004</v>
      </c>
      <c r="L84" s="34"/>
      <c r="M84" s="24" t="s">
        <v>1005</v>
      </c>
      <c r="N84" s="7" t="s">
        <v>1006</v>
      </c>
      <c r="O84" s="24" t="s">
        <v>1007</v>
      </c>
      <c r="P84" s="26"/>
      <c r="Q84" s="26"/>
      <c r="R84" s="26"/>
      <c r="S84" s="26"/>
      <c r="T84" s="26"/>
      <c r="U84" s="26"/>
      <c r="V84" s="26"/>
      <c r="W84" s="26"/>
      <c r="X84" s="26"/>
      <c r="Y84" s="26"/>
    </row>
    <row r="85" spans="1:25" ht="23.25" customHeight="1">
      <c r="A85" s="24" t="s">
        <v>50</v>
      </c>
      <c r="B85" s="28" t="s">
        <v>51</v>
      </c>
      <c r="C85" s="26"/>
      <c r="D85" s="26"/>
      <c r="E85" s="24" t="s">
        <v>66</v>
      </c>
      <c r="F85" s="24" t="s">
        <v>1008</v>
      </c>
      <c r="G85" s="24">
        <v>120</v>
      </c>
      <c r="H85" s="24">
        <v>373</v>
      </c>
      <c r="I85" s="32">
        <v>374</v>
      </c>
      <c r="J85" s="30" t="s">
        <v>53</v>
      </c>
      <c r="K85" s="32" t="s">
        <v>1009</v>
      </c>
      <c r="L85" s="34"/>
      <c r="M85" s="26"/>
      <c r="N85" s="7" t="s">
        <v>1010</v>
      </c>
      <c r="O85" s="24" t="s">
        <v>1011</v>
      </c>
      <c r="P85" s="26"/>
      <c r="Q85" s="26"/>
      <c r="R85" s="26"/>
      <c r="S85" s="26"/>
      <c r="T85" s="26"/>
      <c r="U85" s="26"/>
      <c r="V85" s="26"/>
      <c r="W85" s="26"/>
      <c r="X85" s="26"/>
      <c r="Y85" s="193"/>
    </row>
    <row r="86" spans="1:25" ht="21.75" customHeight="1">
      <c r="A86" s="91" t="s">
        <v>52</v>
      </c>
      <c r="B86" s="93" t="s">
        <v>601</v>
      </c>
      <c r="C86" s="91" t="s">
        <v>567</v>
      </c>
      <c r="D86" s="91" t="s">
        <v>568</v>
      </c>
      <c r="E86" s="91">
        <v>93</v>
      </c>
      <c r="F86" s="91" t="s">
        <v>253</v>
      </c>
      <c r="G86" s="91">
        <v>444</v>
      </c>
      <c r="H86" s="91">
        <v>744</v>
      </c>
      <c r="I86" s="97">
        <v>745</v>
      </c>
      <c r="J86" s="99" t="s">
        <v>53</v>
      </c>
      <c r="K86" s="97" t="s">
        <v>1013</v>
      </c>
      <c r="L86" s="134"/>
      <c r="M86" s="114">
        <v>42034</v>
      </c>
      <c r="N86" s="115">
        <v>500</v>
      </c>
      <c r="O86" s="91" t="s">
        <v>1014</v>
      </c>
      <c r="P86" s="148"/>
      <c r="Q86" s="148"/>
      <c r="R86" s="26"/>
      <c r="S86" s="26"/>
      <c r="T86" s="26"/>
      <c r="U86" s="26"/>
      <c r="V86" s="26"/>
      <c r="W86" s="26"/>
      <c r="X86" s="26"/>
      <c r="Y86" s="195"/>
    </row>
    <row r="87" spans="1:25" ht="21.75" customHeight="1">
      <c r="A87" s="91" t="s">
        <v>52</v>
      </c>
      <c r="B87" s="93" t="s">
        <v>601</v>
      </c>
      <c r="C87" s="91" t="s">
        <v>567</v>
      </c>
      <c r="D87" s="91" t="s">
        <v>568</v>
      </c>
      <c r="E87" s="91">
        <v>93</v>
      </c>
      <c r="F87" s="91" t="s">
        <v>253</v>
      </c>
      <c r="G87" s="91">
        <v>445</v>
      </c>
      <c r="H87" s="91">
        <v>746</v>
      </c>
      <c r="I87" s="97">
        <v>747</v>
      </c>
      <c r="J87" s="99" t="s">
        <v>53</v>
      </c>
      <c r="K87" s="97" t="s">
        <v>1015</v>
      </c>
      <c r="L87" s="148"/>
      <c r="M87" s="114">
        <v>42034</v>
      </c>
      <c r="N87" s="115">
        <v>501</v>
      </c>
      <c r="O87" s="91" t="s">
        <v>1014</v>
      </c>
      <c r="P87" s="148"/>
      <c r="Q87" s="148"/>
      <c r="R87" s="26"/>
      <c r="S87" s="26"/>
      <c r="T87" s="26"/>
      <c r="U87" s="26"/>
      <c r="V87" s="26"/>
      <c r="W87" s="26"/>
      <c r="X87" s="26"/>
      <c r="Y87" s="195"/>
    </row>
    <row r="88" spans="1:25" ht="21.75" customHeight="1">
      <c r="A88" s="91" t="s">
        <v>52</v>
      </c>
      <c r="B88" s="93" t="s">
        <v>601</v>
      </c>
      <c r="C88" s="91" t="s">
        <v>567</v>
      </c>
      <c r="D88" s="91" t="s">
        <v>568</v>
      </c>
      <c r="E88" s="91">
        <v>364</v>
      </c>
      <c r="F88" s="91" t="s">
        <v>1016</v>
      </c>
      <c r="G88" s="91">
        <v>445</v>
      </c>
      <c r="H88" s="91">
        <v>748</v>
      </c>
      <c r="I88" s="97">
        <v>749</v>
      </c>
      <c r="J88" s="99" t="s">
        <v>53</v>
      </c>
      <c r="K88" s="97" t="s">
        <v>1017</v>
      </c>
      <c r="L88" s="148"/>
      <c r="M88" s="114">
        <v>42034</v>
      </c>
      <c r="N88" s="115">
        <v>502</v>
      </c>
      <c r="O88" s="91" t="s">
        <v>1018</v>
      </c>
      <c r="P88" s="148"/>
      <c r="Q88" s="148"/>
      <c r="R88" s="26"/>
      <c r="S88" s="26"/>
      <c r="T88" s="26"/>
      <c r="U88" s="26"/>
      <c r="V88" s="26"/>
      <c r="W88" s="26"/>
      <c r="X88" s="26"/>
      <c r="Y88" s="195"/>
    </row>
    <row r="89" spans="1:25" ht="21.75" customHeight="1">
      <c r="A89" s="24" t="s">
        <v>50</v>
      </c>
      <c r="B89" s="28" t="s">
        <v>860</v>
      </c>
      <c r="C89" s="26"/>
      <c r="D89" s="24" t="s">
        <v>568</v>
      </c>
      <c r="E89" s="24">
        <v>457</v>
      </c>
      <c r="F89" s="24" t="s">
        <v>176</v>
      </c>
      <c r="G89" s="24">
        <v>496</v>
      </c>
      <c r="H89" s="24" t="s">
        <v>903</v>
      </c>
      <c r="I89" s="32" t="s">
        <v>903</v>
      </c>
      <c r="J89" s="30" t="s">
        <v>53</v>
      </c>
      <c r="K89" s="32" t="s">
        <v>1019</v>
      </c>
      <c r="L89" s="26"/>
      <c r="M89" s="69">
        <v>42040</v>
      </c>
      <c r="N89" s="7">
        <v>508</v>
      </c>
      <c r="O89" s="24" t="s">
        <v>1020</v>
      </c>
      <c r="P89" s="26"/>
      <c r="Q89" s="26"/>
      <c r="R89" s="26"/>
      <c r="S89" s="26"/>
      <c r="T89" s="26"/>
      <c r="U89" s="26"/>
      <c r="V89" s="26"/>
      <c r="W89" s="26"/>
      <c r="X89" s="26"/>
      <c r="Y89" s="26"/>
    </row>
    <row r="90" spans="1:25" ht="21.75" customHeight="1">
      <c r="A90" s="24" t="s">
        <v>50</v>
      </c>
      <c r="B90" s="28" t="s">
        <v>860</v>
      </c>
      <c r="C90" s="26"/>
      <c r="D90" s="26"/>
      <c r="E90" s="24">
        <v>487</v>
      </c>
      <c r="F90" s="24" t="s">
        <v>1021</v>
      </c>
      <c r="G90" s="24">
        <v>508</v>
      </c>
      <c r="H90" s="24">
        <v>835</v>
      </c>
      <c r="I90" s="32">
        <v>836</v>
      </c>
      <c r="J90" s="30" t="s">
        <v>53</v>
      </c>
      <c r="K90" s="32" t="s">
        <v>1022</v>
      </c>
      <c r="L90" s="26"/>
      <c r="M90" s="69">
        <v>42075</v>
      </c>
      <c r="N90" s="7">
        <v>515</v>
      </c>
      <c r="O90" s="24" t="s">
        <v>1023</v>
      </c>
      <c r="P90" s="26"/>
      <c r="Q90" s="26"/>
      <c r="R90" s="26"/>
      <c r="S90" s="26"/>
      <c r="T90" s="26"/>
      <c r="U90" s="26"/>
      <c r="V90" s="26"/>
      <c r="W90" s="26"/>
      <c r="X90" s="26"/>
      <c r="Y90" s="26"/>
    </row>
    <row r="91" spans="1:25" ht="21.75" customHeight="1">
      <c r="A91" s="200" t="s">
        <v>1024</v>
      </c>
      <c r="B91" s="93" t="s">
        <v>1025</v>
      </c>
      <c r="C91" s="91" t="s">
        <v>567</v>
      </c>
      <c r="D91" s="91" t="s">
        <v>1026</v>
      </c>
      <c r="E91" s="91">
        <v>338</v>
      </c>
      <c r="F91" s="24" t="s">
        <v>1021</v>
      </c>
      <c r="G91" s="91">
        <v>293</v>
      </c>
      <c r="H91" s="91">
        <v>756</v>
      </c>
      <c r="I91" s="97">
        <v>757</v>
      </c>
      <c r="J91" s="99" t="s">
        <v>166</v>
      </c>
      <c r="K91" s="97" t="s">
        <v>1027</v>
      </c>
      <c r="L91" s="128">
        <v>41985</v>
      </c>
      <c r="M91" s="69">
        <v>42075</v>
      </c>
      <c r="N91" s="7">
        <v>517</v>
      </c>
      <c r="O91" s="91" t="s">
        <v>1028</v>
      </c>
      <c r="P91" s="26"/>
      <c r="Q91" s="26"/>
      <c r="R91" s="26"/>
      <c r="S91" s="26"/>
      <c r="T91" s="26"/>
      <c r="U91" s="26"/>
      <c r="V91" s="26"/>
      <c r="W91" s="26"/>
      <c r="X91" s="26"/>
      <c r="Y91" s="26"/>
    </row>
    <row r="92" spans="1:25" ht="21.75" customHeight="1">
      <c r="A92" s="200" t="s">
        <v>1024</v>
      </c>
      <c r="B92" s="93" t="s">
        <v>1025</v>
      </c>
      <c r="C92" s="91" t="s">
        <v>567</v>
      </c>
      <c r="D92" s="91" t="s">
        <v>1029</v>
      </c>
      <c r="E92" s="91">
        <v>120</v>
      </c>
      <c r="F92" s="91" t="s">
        <v>1030</v>
      </c>
      <c r="G92" s="91">
        <v>293</v>
      </c>
      <c r="H92" s="91">
        <v>760</v>
      </c>
      <c r="I92" s="97">
        <v>761</v>
      </c>
      <c r="J92" s="99" t="s">
        <v>166</v>
      </c>
      <c r="K92" s="97" t="s">
        <v>1031</v>
      </c>
      <c r="L92" s="128">
        <v>41985</v>
      </c>
      <c r="M92" s="114">
        <v>42104</v>
      </c>
      <c r="N92" s="115">
        <v>533</v>
      </c>
      <c r="O92" s="91" t="s">
        <v>1032</v>
      </c>
      <c r="P92" s="26"/>
      <c r="Q92" s="26"/>
      <c r="R92" s="26"/>
      <c r="S92" s="26"/>
      <c r="T92" s="26"/>
      <c r="U92" s="26"/>
      <c r="V92" s="26"/>
      <c r="W92" s="26"/>
      <c r="X92" s="26"/>
      <c r="Y92" s="193"/>
    </row>
    <row r="93" spans="1:25" ht="21.75" customHeight="1">
      <c r="A93" s="200" t="s">
        <v>1024</v>
      </c>
      <c r="B93" s="93" t="s">
        <v>1025</v>
      </c>
      <c r="C93" s="91" t="s">
        <v>567</v>
      </c>
      <c r="D93" s="91" t="s">
        <v>1029</v>
      </c>
      <c r="E93" s="91">
        <v>360</v>
      </c>
      <c r="F93" s="91" t="s">
        <v>1033</v>
      </c>
      <c r="G93" s="91">
        <v>293</v>
      </c>
      <c r="H93" s="91">
        <v>758</v>
      </c>
      <c r="I93" s="97">
        <v>759</v>
      </c>
      <c r="J93" s="99" t="s">
        <v>53</v>
      </c>
      <c r="K93" s="97" t="s">
        <v>1034</v>
      </c>
      <c r="L93" s="128">
        <v>41985</v>
      </c>
      <c r="M93" s="69">
        <v>42075</v>
      </c>
      <c r="N93" s="7">
        <v>518</v>
      </c>
      <c r="O93" s="91" t="s">
        <v>1035</v>
      </c>
      <c r="P93" s="26"/>
      <c r="Q93" s="26"/>
      <c r="R93" s="26"/>
      <c r="S93" s="26"/>
      <c r="T93" s="26"/>
      <c r="U93" s="26"/>
      <c r="V93" s="26"/>
      <c r="W93" s="26"/>
      <c r="X93" s="26"/>
      <c r="Y93" s="193"/>
    </row>
    <row r="94" spans="1:25" ht="27.75" customHeight="1">
      <c r="A94" s="24" t="s">
        <v>506</v>
      </c>
      <c r="B94" s="28" t="s">
        <v>508</v>
      </c>
      <c r="C94" s="24" t="s">
        <v>567</v>
      </c>
      <c r="D94" s="24" t="s">
        <v>70</v>
      </c>
      <c r="E94" s="24">
        <v>304</v>
      </c>
      <c r="F94" s="24" t="s">
        <v>766</v>
      </c>
      <c r="G94" s="24">
        <v>273</v>
      </c>
      <c r="H94" s="24">
        <v>502</v>
      </c>
      <c r="I94" s="32">
        <v>503</v>
      </c>
      <c r="J94" s="30" t="s">
        <v>53</v>
      </c>
      <c r="K94" s="32" t="s">
        <v>1036</v>
      </c>
      <c r="L94" s="69">
        <v>41655</v>
      </c>
      <c r="M94" s="26"/>
      <c r="N94" s="7">
        <v>401</v>
      </c>
      <c r="O94" s="24" t="s">
        <v>769</v>
      </c>
      <c r="P94" s="26"/>
      <c r="Q94" s="26"/>
      <c r="R94" s="26"/>
      <c r="S94" s="26"/>
      <c r="T94" s="26"/>
      <c r="U94" s="26"/>
      <c r="V94" s="26"/>
      <c r="W94" s="26"/>
      <c r="X94" s="26"/>
      <c r="Y94" s="119"/>
    </row>
    <row r="95" spans="1:25" ht="27.75" customHeight="1">
      <c r="A95" s="24" t="s">
        <v>506</v>
      </c>
      <c r="B95" s="28" t="s">
        <v>508</v>
      </c>
      <c r="C95" s="24" t="s">
        <v>567</v>
      </c>
      <c r="D95" s="24" t="s">
        <v>70</v>
      </c>
      <c r="E95" s="24">
        <v>401</v>
      </c>
      <c r="F95" s="24" t="s">
        <v>1037</v>
      </c>
      <c r="G95" s="24" t="s">
        <v>903</v>
      </c>
      <c r="H95" s="24" t="s">
        <v>903</v>
      </c>
      <c r="I95" s="32" t="s">
        <v>903</v>
      </c>
      <c r="J95" s="30" t="s">
        <v>53</v>
      </c>
      <c r="K95" s="32" t="s">
        <v>1038</v>
      </c>
      <c r="L95" s="26"/>
      <c r="M95" s="26"/>
      <c r="N95" s="206"/>
      <c r="O95" s="24" t="s">
        <v>1039</v>
      </c>
      <c r="P95" s="26"/>
      <c r="Q95" s="26"/>
      <c r="R95" s="26"/>
      <c r="S95" s="26"/>
      <c r="T95" s="26"/>
      <c r="U95" s="26"/>
      <c r="V95" s="26"/>
      <c r="W95" s="26"/>
      <c r="X95" s="26"/>
      <c r="Y95" s="119"/>
    </row>
    <row r="96" spans="1:25" ht="27.75" customHeight="1">
      <c r="A96" s="24" t="s">
        <v>506</v>
      </c>
      <c r="B96" s="83"/>
      <c r="C96" s="26"/>
      <c r="D96" s="26"/>
      <c r="E96" s="26"/>
      <c r="F96" s="26"/>
      <c r="G96" s="26"/>
      <c r="H96" s="26"/>
      <c r="I96" s="63"/>
      <c r="J96" s="30" t="s">
        <v>53</v>
      </c>
      <c r="K96" s="32" t="s">
        <v>1040</v>
      </c>
      <c r="L96" s="117">
        <v>42110</v>
      </c>
      <c r="M96" s="26"/>
      <c r="N96" s="7" t="s">
        <v>1041</v>
      </c>
      <c r="O96" s="24" t="s">
        <v>1042</v>
      </c>
      <c r="P96" s="26"/>
      <c r="Q96" s="26"/>
      <c r="R96" s="26"/>
      <c r="S96" s="26"/>
      <c r="T96" s="26"/>
      <c r="U96" s="26"/>
      <c r="V96" s="26"/>
      <c r="W96" s="26"/>
      <c r="X96" s="26"/>
      <c r="Y96" s="119"/>
    </row>
    <row r="97" spans="1:25" ht="27.75" customHeight="1">
      <c r="A97" s="24" t="s">
        <v>1043</v>
      </c>
      <c r="B97" s="83"/>
      <c r="C97" s="26"/>
      <c r="D97" s="26"/>
      <c r="E97" s="24">
        <v>304</v>
      </c>
      <c r="F97" s="24" t="s">
        <v>1044</v>
      </c>
      <c r="G97" s="24" t="s">
        <v>82</v>
      </c>
      <c r="H97" s="26"/>
      <c r="I97" s="63"/>
      <c r="J97" s="30" t="s">
        <v>53</v>
      </c>
      <c r="K97" s="32" t="s">
        <v>1046</v>
      </c>
      <c r="L97" s="34"/>
      <c r="M97" s="69">
        <v>42192</v>
      </c>
      <c r="N97" s="3">
        <v>560</v>
      </c>
      <c r="O97" s="45" t="s">
        <v>1047</v>
      </c>
      <c r="P97" s="26"/>
      <c r="Q97" s="26"/>
      <c r="R97" s="26"/>
      <c r="S97" s="26"/>
      <c r="T97" s="26"/>
      <c r="U97" s="26"/>
      <c r="V97" s="26"/>
      <c r="W97" s="26"/>
      <c r="X97" s="26"/>
      <c r="Y97" s="210"/>
    </row>
    <row r="98" spans="1:25" ht="27.75" customHeight="1">
      <c r="A98" s="91" t="s">
        <v>161</v>
      </c>
      <c r="B98" s="93" t="s">
        <v>1050</v>
      </c>
      <c r="C98" s="148"/>
      <c r="D98" s="148"/>
      <c r="E98" s="91">
        <v>368</v>
      </c>
      <c r="F98" s="91" t="s">
        <v>1053</v>
      </c>
      <c r="G98" s="91">
        <v>290</v>
      </c>
      <c r="H98" s="91">
        <v>849</v>
      </c>
      <c r="I98" s="91">
        <v>850</v>
      </c>
      <c r="J98" s="99" t="s">
        <v>53</v>
      </c>
      <c r="K98" s="32" t="s">
        <v>1054</v>
      </c>
      <c r="L98" s="26"/>
      <c r="M98" s="69">
        <v>42096</v>
      </c>
      <c r="N98" s="7">
        <v>531</v>
      </c>
      <c r="O98" s="24" t="s">
        <v>1055</v>
      </c>
      <c r="P98" s="26"/>
      <c r="Q98" s="26"/>
      <c r="R98" s="26"/>
      <c r="S98" s="26"/>
      <c r="T98" s="26"/>
      <c r="U98" s="26"/>
      <c r="V98" s="26"/>
      <c r="W98" s="26"/>
      <c r="X98" s="26"/>
      <c r="Y98" s="26"/>
    </row>
    <row r="99" spans="1:25" ht="27.75" customHeight="1">
      <c r="A99" s="91" t="s">
        <v>161</v>
      </c>
      <c r="B99" s="93" t="s">
        <v>1050</v>
      </c>
      <c r="C99" s="148"/>
      <c r="D99" s="148"/>
      <c r="E99" s="91">
        <v>190</v>
      </c>
      <c r="F99" s="91" t="s">
        <v>1058</v>
      </c>
      <c r="G99" s="91">
        <v>370</v>
      </c>
      <c r="H99" s="91">
        <v>847</v>
      </c>
      <c r="I99" s="91">
        <v>848</v>
      </c>
      <c r="J99" s="99" t="s">
        <v>53</v>
      </c>
      <c r="K99" s="32" t="s">
        <v>1060</v>
      </c>
      <c r="L99" s="26"/>
      <c r="M99" s="69">
        <v>42096</v>
      </c>
      <c r="N99" s="7">
        <v>530</v>
      </c>
      <c r="O99" s="24" t="s">
        <v>1062</v>
      </c>
      <c r="P99" s="26"/>
      <c r="Q99" s="26"/>
      <c r="R99" s="26"/>
      <c r="S99" s="26"/>
      <c r="T99" s="26"/>
      <c r="U99" s="26"/>
      <c r="V99" s="26"/>
      <c r="W99" s="26"/>
      <c r="X99" s="26"/>
      <c r="Y99" s="26"/>
    </row>
    <row r="100" spans="1:25" ht="27.75" customHeight="1">
      <c r="A100" s="24" t="s">
        <v>161</v>
      </c>
      <c r="B100" s="28" t="s">
        <v>1066</v>
      </c>
      <c r="C100" s="24" t="s">
        <v>178</v>
      </c>
      <c r="D100" s="24" t="s">
        <v>57</v>
      </c>
      <c r="E100" s="24">
        <v>364</v>
      </c>
      <c r="F100" s="24" t="s">
        <v>1069</v>
      </c>
      <c r="G100" s="47">
        <v>290</v>
      </c>
      <c r="H100" s="24">
        <v>851</v>
      </c>
      <c r="I100" s="32">
        <v>852</v>
      </c>
      <c r="J100" s="30" t="s">
        <v>53</v>
      </c>
      <c r="K100" s="32" t="s">
        <v>1072</v>
      </c>
      <c r="L100" s="51">
        <v>42073</v>
      </c>
      <c r="M100" s="69">
        <v>42096</v>
      </c>
      <c r="N100" s="9">
        <v>532</v>
      </c>
      <c r="O100" s="24" t="s">
        <v>1074</v>
      </c>
      <c r="P100" s="24" t="s">
        <v>86</v>
      </c>
      <c r="Q100" s="26"/>
      <c r="R100" s="26"/>
      <c r="S100" s="26"/>
      <c r="T100" s="26"/>
      <c r="U100" s="26"/>
      <c r="V100" s="26"/>
      <c r="W100" s="26"/>
      <c r="X100" s="26"/>
      <c r="Y100" s="26"/>
    </row>
    <row r="101" spans="1:25" ht="27.75" customHeight="1">
      <c r="A101" s="24" t="s">
        <v>1076</v>
      </c>
      <c r="B101" s="214" t="s">
        <v>1077</v>
      </c>
      <c r="C101" s="30" t="s">
        <v>567</v>
      </c>
      <c r="D101" s="24" t="s">
        <v>1088</v>
      </c>
      <c r="E101" s="24">
        <v>120</v>
      </c>
      <c r="F101" s="24" t="s">
        <v>224</v>
      </c>
      <c r="G101" s="24">
        <v>332</v>
      </c>
      <c r="H101" s="24">
        <v>880</v>
      </c>
      <c r="I101" s="32">
        <v>881</v>
      </c>
      <c r="J101" s="30" t="s">
        <v>166</v>
      </c>
      <c r="K101" s="32" t="s">
        <v>1093</v>
      </c>
      <c r="L101" s="34"/>
      <c r="M101" s="69">
        <v>42142</v>
      </c>
      <c r="N101" s="7">
        <v>552</v>
      </c>
      <c r="O101" s="24" t="s">
        <v>1095</v>
      </c>
      <c r="P101" s="26"/>
      <c r="Q101" s="26"/>
      <c r="R101" s="26"/>
      <c r="S101" s="26"/>
      <c r="T101" s="26"/>
      <c r="U101" s="26"/>
      <c r="V101" s="26"/>
      <c r="W101" s="26"/>
      <c r="X101" s="26"/>
      <c r="Y101" s="26"/>
    </row>
    <row r="102" spans="1:25" ht="27.75" customHeight="1">
      <c r="A102" s="91" t="s">
        <v>52</v>
      </c>
      <c r="B102" s="28" t="s">
        <v>139</v>
      </c>
      <c r="C102" s="24" t="s">
        <v>867</v>
      </c>
      <c r="D102" s="24" t="s">
        <v>1098</v>
      </c>
      <c r="E102" s="24">
        <v>342</v>
      </c>
      <c r="F102" s="24" t="s">
        <v>1100</v>
      </c>
      <c r="G102" s="24">
        <v>480</v>
      </c>
      <c r="H102" s="24">
        <v>882</v>
      </c>
      <c r="I102" s="32">
        <v>883</v>
      </c>
      <c r="J102" s="30" t="s">
        <v>166</v>
      </c>
      <c r="K102" s="32" t="s">
        <v>1103</v>
      </c>
      <c r="L102" s="34"/>
      <c r="M102" s="69">
        <v>42142</v>
      </c>
      <c r="N102" s="7">
        <v>553</v>
      </c>
      <c r="O102" s="24" t="s">
        <v>1104</v>
      </c>
      <c r="P102" s="26"/>
      <c r="Q102" s="26"/>
      <c r="R102" s="26"/>
      <c r="S102" s="26"/>
      <c r="T102" s="26"/>
      <c r="U102" s="26"/>
      <c r="V102" s="26"/>
      <c r="W102" s="26"/>
      <c r="X102" s="26"/>
      <c r="Y102" s="81"/>
    </row>
    <row r="103" spans="1:25" ht="27.75" customHeight="1">
      <c r="A103" s="24" t="s">
        <v>862</v>
      </c>
      <c r="B103" s="28" t="s">
        <v>1107</v>
      </c>
      <c r="C103" s="26"/>
      <c r="D103" s="24" t="s">
        <v>568</v>
      </c>
      <c r="E103" s="24">
        <v>305</v>
      </c>
      <c r="F103" s="24" t="s">
        <v>1109</v>
      </c>
      <c r="G103" s="24">
        <v>418</v>
      </c>
      <c r="H103" s="24">
        <v>884</v>
      </c>
      <c r="I103" s="24">
        <v>885</v>
      </c>
      <c r="J103" s="30" t="s">
        <v>1111</v>
      </c>
      <c r="K103" s="32" t="s">
        <v>1112</v>
      </c>
      <c r="L103" s="26"/>
      <c r="M103" s="69">
        <v>42143</v>
      </c>
      <c r="N103" s="7">
        <v>554</v>
      </c>
      <c r="O103" s="24" t="s">
        <v>1113</v>
      </c>
      <c r="P103" s="26"/>
      <c r="Q103" s="26"/>
      <c r="R103" s="26"/>
      <c r="S103" s="26"/>
      <c r="T103" s="26"/>
      <c r="U103" s="26"/>
      <c r="V103" s="26"/>
      <c r="W103" s="26"/>
      <c r="X103" s="26"/>
      <c r="Y103" s="219"/>
    </row>
    <row r="104" spans="1:25" ht="27.75" customHeight="1">
      <c r="A104" s="24" t="s">
        <v>52</v>
      </c>
      <c r="B104" s="28" t="s">
        <v>69</v>
      </c>
      <c r="C104" s="24" t="s">
        <v>55</v>
      </c>
      <c r="D104" s="24" t="s">
        <v>70</v>
      </c>
      <c r="E104" s="24">
        <v>349</v>
      </c>
      <c r="F104" s="24" t="s">
        <v>1122</v>
      </c>
      <c r="G104" s="24">
        <v>436</v>
      </c>
      <c r="H104" s="24" t="s">
        <v>82</v>
      </c>
      <c r="I104" s="32" t="s">
        <v>82</v>
      </c>
      <c r="J104" s="30" t="s">
        <v>53</v>
      </c>
      <c r="K104" s="221" t="s">
        <v>1125</v>
      </c>
      <c r="L104" s="53" t="s">
        <v>335</v>
      </c>
      <c r="M104" s="69">
        <v>42150</v>
      </c>
      <c r="N104" s="3">
        <v>556</v>
      </c>
      <c r="O104" s="53" t="s">
        <v>1132</v>
      </c>
      <c r="P104" s="26"/>
      <c r="Q104" s="24" t="s">
        <v>1134</v>
      </c>
      <c r="R104" s="26"/>
      <c r="S104" s="26"/>
      <c r="T104" s="26"/>
      <c r="U104" s="26"/>
      <c r="V104" s="26"/>
      <c r="W104" s="26"/>
      <c r="X104" s="26"/>
      <c r="Y104" s="26"/>
    </row>
    <row r="105" spans="1:25" ht="27.75" customHeight="1">
      <c r="A105" s="24" t="s">
        <v>52</v>
      </c>
      <c r="B105" s="28" t="s">
        <v>69</v>
      </c>
      <c r="C105" s="24" t="s">
        <v>55</v>
      </c>
      <c r="D105" s="24" t="s">
        <v>70</v>
      </c>
      <c r="E105" s="45">
        <v>293</v>
      </c>
      <c r="F105" s="45" t="s">
        <v>1137</v>
      </c>
      <c r="G105" s="45">
        <v>559</v>
      </c>
      <c r="H105" s="45">
        <v>906</v>
      </c>
      <c r="I105" s="45">
        <v>907</v>
      </c>
      <c r="J105" s="30" t="s">
        <v>53</v>
      </c>
      <c r="K105" s="224" t="s">
        <v>1139</v>
      </c>
      <c r="L105" s="53"/>
      <c r="M105" s="69">
        <v>42192</v>
      </c>
      <c r="N105" s="3">
        <v>561</v>
      </c>
      <c r="O105" s="45" t="s">
        <v>1147</v>
      </c>
      <c r="P105" s="26"/>
      <c r="Q105" s="24"/>
      <c r="R105" s="26"/>
      <c r="S105" s="26"/>
      <c r="T105" s="26"/>
      <c r="U105" s="26"/>
      <c r="V105" s="26"/>
      <c r="W105" s="26"/>
      <c r="X105" s="26"/>
      <c r="Y105" s="26"/>
    </row>
    <row r="106" spans="1:25" ht="27.75" customHeight="1">
      <c r="A106" s="24" t="s">
        <v>52</v>
      </c>
      <c r="B106" s="28" t="s">
        <v>69</v>
      </c>
      <c r="C106" s="24" t="s">
        <v>55</v>
      </c>
      <c r="D106" s="24" t="s">
        <v>70</v>
      </c>
      <c r="E106" s="45">
        <v>349</v>
      </c>
      <c r="F106" s="45" t="s">
        <v>82</v>
      </c>
      <c r="G106" s="45" t="s">
        <v>82</v>
      </c>
      <c r="H106" s="45">
        <v>494</v>
      </c>
      <c r="I106" s="45">
        <v>495</v>
      </c>
      <c r="J106" s="30" t="s">
        <v>53</v>
      </c>
      <c r="K106" s="221" t="s">
        <v>1148</v>
      </c>
      <c r="L106" s="53"/>
      <c r="M106" s="69">
        <v>42179</v>
      </c>
      <c r="N106" s="3">
        <v>559</v>
      </c>
      <c r="O106" s="45" t="s">
        <v>1149</v>
      </c>
      <c r="P106" s="26"/>
      <c r="Q106" s="24"/>
      <c r="R106" s="26"/>
      <c r="S106" s="26"/>
      <c r="T106" s="26"/>
      <c r="U106" s="26"/>
      <c r="V106" s="26"/>
      <c r="W106" s="26"/>
      <c r="X106" s="26"/>
      <c r="Y106" s="26"/>
    </row>
    <row r="107" spans="1:25" ht="27.75" customHeight="1">
      <c r="A107" s="24" t="s">
        <v>52</v>
      </c>
      <c r="B107" s="28" t="s">
        <v>69</v>
      </c>
      <c r="C107" s="24" t="s">
        <v>55</v>
      </c>
      <c r="D107" s="24" t="s">
        <v>70</v>
      </c>
      <c r="E107" s="45">
        <v>360</v>
      </c>
      <c r="F107" s="24" t="s">
        <v>1122</v>
      </c>
      <c r="G107" s="45">
        <v>93</v>
      </c>
      <c r="H107" s="45">
        <v>908</v>
      </c>
      <c r="I107" s="45">
        <v>909</v>
      </c>
      <c r="J107" s="30" t="s">
        <v>53</v>
      </c>
      <c r="K107" s="221" t="s">
        <v>1151</v>
      </c>
      <c r="L107" s="53"/>
      <c r="M107" s="69">
        <v>42192</v>
      </c>
      <c r="N107" s="3">
        <v>562</v>
      </c>
      <c r="O107" s="45" t="s">
        <v>1152</v>
      </c>
      <c r="P107" s="26"/>
      <c r="Q107" s="24"/>
      <c r="R107" s="26"/>
      <c r="S107" s="26"/>
      <c r="T107" s="26"/>
      <c r="U107" s="26"/>
      <c r="V107" s="26"/>
      <c r="W107" s="26"/>
      <c r="X107" s="26"/>
      <c r="Y107" s="26"/>
    </row>
    <row r="108" spans="1:25" ht="27.75" customHeight="1">
      <c r="A108" s="45" t="s">
        <v>600</v>
      </c>
      <c r="B108" s="227" t="s">
        <v>1153</v>
      </c>
      <c r="C108" s="227" t="s">
        <v>1155</v>
      </c>
      <c r="D108" s="45" t="s">
        <v>70</v>
      </c>
      <c r="E108" s="45">
        <v>556</v>
      </c>
      <c r="F108" s="45" t="s">
        <v>1156</v>
      </c>
      <c r="G108" s="227">
        <v>570</v>
      </c>
      <c r="H108" s="45"/>
      <c r="I108" s="45"/>
      <c r="J108" s="30" t="s">
        <v>53</v>
      </c>
      <c r="K108" s="224" t="s">
        <v>1157</v>
      </c>
      <c r="L108" s="45"/>
      <c r="M108" s="69">
        <v>42289</v>
      </c>
      <c r="N108" s="3">
        <v>578</v>
      </c>
      <c r="O108" s="227" t="s">
        <v>1158</v>
      </c>
      <c r="P108" s="45" t="s">
        <v>70</v>
      </c>
      <c r="Q108" s="45" t="s">
        <v>600</v>
      </c>
      <c r="R108" s="45" t="s">
        <v>1153</v>
      </c>
      <c r="S108" s="227" t="s">
        <v>1155</v>
      </c>
      <c r="T108" s="45" t="s">
        <v>70</v>
      </c>
      <c r="U108" s="45" t="s">
        <v>600</v>
      </c>
      <c r="V108" s="45" t="s">
        <v>1153</v>
      </c>
      <c r="W108" s="227" t="s">
        <v>1155</v>
      </c>
      <c r="X108" s="45" t="s">
        <v>70</v>
      </c>
      <c r="Y108" s="26"/>
    </row>
    <row r="109" spans="1:25" ht="27.75" customHeight="1">
      <c r="A109" s="91" t="s">
        <v>52</v>
      </c>
      <c r="B109" s="93" t="s">
        <v>139</v>
      </c>
      <c r="C109" s="91" t="s">
        <v>745</v>
      </c>
      <c r="D109" s="152" t="s">
        <v>70</v>
      </c>
      <c r="E109" s="152">
        <v>360</v>
      </c>
      <c r="F109" s="152" t="s">
        <v>1033</v>
      </c>
      <c r="G109" s="152">
        <v>364</v>
      </c>
      <c r="H109" s="91"/>
      <c r="I109" s="97"/>
      <c r="J109" s="99" t="s">
        <v>53</v>
      </c>
      <c r="K109" s="146" t="s">
        <v>1159</v>
      </c>
      <c r="L109" s="128">
        <v>42172</v>
      </c>
      <c r="M109" s="114"/>
      <c r="N109" s="230">
        <v>573</v>
      </c>
      <c r="O109" s="152" t="s">
        <v>1161</v>
      </c>
      <c r="P109" s="148"/>
      <c r="Q109" s="91"/>
      <c r="R109" s="26"/>
      <c r="S109" s="26"/>
      <c r="T109" s="26"/>
      <c r="U109" s="26"/>
      <c r="V109" s="26"/>
      <c r="W109" s="26"/>
      <c r="X109" s="26"/>
      <c r="Y109" s="26"/>
    </row>
    <row r="110" spans="1:25" ht="27.75" customHeight="1">
      <c r="A110" s="91" t="s">
        <v>52</v>
      </c>
      <c r="B110" s="93" t="s">
        <v>139</v>
      </c>
      <c r="C110" s="91" t="s">
        <v>745</v>
      </c>
      <c r="D110" s="152" t="s">
        <v>70</v>
      </c>
      <c r="E110" s="152">
        <v>472</v>
      </c>
      <c r="F110" s="152" t="s">
        <v>1021</v>
      </c>
      <c r="G110" s="152">
        <v>333</v>
      </c>
      <c r="H110" s="91"/>
      <c r="I110" s="97"/>
      <c r="J110" s="99" t="s">
        <v>53</v>
      </c>
      <c r="K110" s="146" t="s">
        <v>1162</v>
      </c>
      <c r="L110" s="128">
        <v>42172</v>
      </c>
      <c r="M110" s="114"/>
      <c r="N110" s="230">
        <v>571</v>
      </c>
      <c r="O110" s="152" t="s">
        <v>1163</v>
      </c>
      <c r="P110" s="148"/>
      <c r="Q110" s="91"/>
      <c r="R110" s="26"/>
      <c r="S110" s="26"/>
      <c r="T110" s="26"/>
      <c r="U110" s="26"/>
      <c r="V110" s="26"/>
      <c r="W110" s="26"/>
      <c r="X110" s="26"/>
      <c r="Y110" s="26"/>
    </row>
    <row r="111" spans="1:25" ht="27.75" customHeight="1">
      <c r="A111" s="91" t="s">
        <v>52</v>
      </c>
      <c r="B111" s="93" t="s">
        <v>139</v>
      </c>
      <c r="C111" s="91" t="s">
        <v>745</v>
      </c>
      <c r="D111" s="152" t="s">
        <v>70</v>
      </c>
      <c r="E111" s="152" t="s">
        <v>1164</v>
      </c>
      <c r="F111" s="152" t="s">
        <v>1165</v>
      </c>
      <c r="G111" s="152">
        <v>333</v>
      </c>
      <c r="H111" s="91"/>
      <c r="I111" s="97"/>
      <c r="J111" s="99" t="s">
        <v>53</v>
      </c>
      <c r="K111" s="146" t="s">
        <v>1166</v>
      </c>
      <c r="L111" s="128"/>
      <c r="M111" s="114">
        <v>42276</v>
      </c>
      <c r="N111" s="230">
        <v>575</v>
      </c>
      <c r="O111" s="152" t="s">
        <v>1167</v>
      </c>
      <c r="P111" s="148"/>
      <c r="Q111" s="91"/>
      <c r="R111" s="26"/>
      <c r="S111" s="26"/>
      <c r="T111" s="26"/>
      <c r="U111" s="26"/>
      <c r="V111" s="26"/>
      <c r="W111" s="26"/>
      <c r="X111" s="26"/>
      <c r="Y111" s="26"/>
    </row>
    <row r="112" spans="1:25" ht="27.75" customHeight="1">
      <c r="A112" s="45" t="s">
        <v>1170</v>
      </c>
      <c r="B112" s="227" t="s">
        <v>1171</v>
      </c>
      <c r="C112" s="26"/>
      <c r="D112" s="26"/>
      <c r="E112" s="45">
        <v>305</v>
      </c>
      <c r="F112" s="45" t="s">
        <v>1172</v>
      </c>
      <c r="G112" s="45">
        <v>560</v>
      </c>
      <c r="H112" s="26"/>
      <c r="I112" s="63"/>
      <c r="J112" s="233" t="s">
        <v>121</v>
      </c>
      <c r="K112" s="49" t="s">
        <v>1183</v>
      </c>
      <c r="L112" s="117">
        <v>42194</v>
      </c>
      <c r="M112" s="69">
        <v>42285</v>
      </c>
      <c r="N112" s="3">
        <v>577</v>
      </c>
      <c r="O112" s="45" t="s">
        <v>1185</v>
      </c>
      <c r="P112" s="26"/>
      <c r="Q112" s="24"/>
      <c r="R112" s="26"/>
      <c r="S112" s="26"/>
      <c r="T112" s="26"/>
      <c r="U112" s="26"/>
      <c r="V112" s="26"/>
      <c r="W112" s="26"/>
      <c r="X112" s="26"/>
      <c r="Y112" s="26"/>
    </row>
    <row r="113" spans="1:25" ht="27.75" customHeight="1">
      <c r="A113" s="45" t="s">
        <v>1170</v>
      </c>
      <c r="B113" s="227" t="s">
        <v>1171</v>
      </c>
      <c r="C113" s="26"/>
      <c r="D113" s="26"/>
      <c r="E113" s="45">
        <v>560</v>
      </c>
      <c r="F113" s="45" t="s">
        <v>548</v>
      </c>
      <c r="G113" s="45">
        <v>93</v>
      </c>
      <c r="H113" s="26"/>
      <c r="I113" s="63"/>
      <c r="J113" s="233" t="s">
        <v>53</v>
      </c>
      <c r="K113" s="49" t="s">
        <v>1187</v>
      </c>
      <c r="L113" s="117">
        <v>42194</v>
      </c>
      <c r="M113" s="69">
        <v>42285</v>
      </c>
      <c r="N113" s="3">
        <v>576</v>
      </c>
      <c r="O113" s="45" t="s">
        <v>1188</v>
      </c>
      <c r="P113" s="26"/>
      <c r="Q113" s="24"/>
      <c r="R113" s="26"/>
      <c r="S113" s="26"/>
      <c r="T113" s="26"/>
      <c r="U113" s="26"/>
      <c r="V113" s="26"/>
      <c r="W113" s="26"/>
      <c r="X113" s="26"/>
      <c r="Y113" s="26"/>
    </row>
    <row r="114" spans="1:25" ht="13">
      <c r="A114" s="45" t="s">
        <v>707</v>
      </c>
      <c r="B114" s="227"/>
      <c r="C114" s="45"/>
      <c r="D114" s="45"/>
      <c r="E114" s="45">
        <v>120</v>
      </c>
      <c r="F114" s="45" t="s">
        <v>1053</v>
      </c>
      <c r="G114" s="45">
        <v>121</v>
      </c>
      <c r="H114" s="26"/>
      <c r="I114" s="63"/>
      <c r="J114" s="233" t="s">
        <v>166</v>
      </c>
      <c r="K114" s="49" t="s">
        <v>1189</v>
      </c>
      <c r="L114" s="69"/>
      <c r="M114" s="69">
        <v>42355</v>
      </c>
      <c r="N114" s="3">
        <v>588</v>
      </c>
      <c r="O114" s="45" t="s">
        <v>1191</v>
      </c>
      <c r="P114" s="26"/>
      <c r="Q114" s="26"/>
      <c r="R114" s="26"/>
      <c r="S114" s="26"/>
      <c r="T114" s="26"/>
      <c r="U114" s="26"/>
      <c r="V114" s="26"/>
      <c r="W114" s="26"/>
      <c r="X114" s="26"/>
      <c r="Y114" s="154"/>
    </row>
    <row r="115" spans="1:25" ht="13">
      <c r="A115" s="45" t="s">
        <v>707</v>
      </c>
      <c r="B115" s="227"/>
      <c r="C115" s="45"/>
      <c r="D115" s="45"/>
      <c r="E115" s="45">
        <v>121</v>
      </c>
      <c r="F115" s="45" t="s">
        <v>1193</v>
      </c>
      <c r="G115" s="45">
        <v>120</v>
      </c>
      <c r="H115" s="26"/>
      <c r="I115" s="63"/>
      <c r="J115" s="233" t="s">
        <v>53</v>
      </c>
      <c r="K115" s="49" t="s">
        <v>996</v>
      </c>
      <c r="L115" s="69"/>
      <c r="M115" s="69">
        <v>42345</v>
      </c>
      <c r="N115" s="3">
        <v>587</v>
      </c>
      <c r="O115" s="45" t="s">
        <v>1195</v>
      </c>
      <c r="P115" s="26"/>
      <c r="Q115" s="26"/>
      <c r="R115" s="26"/>
      <c r="S115" s="26"/>
      <c r="T115" s="26"/>
      <c r="U115" s="26"/>
      <c r="V115" s="26"/>
      <c r="W115" s="26"/>
      <c r="X115" s="26"/>
      <c r="Y115" s="154"/>
    </row>
    <row r="116" spans="1:25" ht="13">
      <c r="A116" s="45" t="s">
        <v>707</v>
      </c>
      <c r="B116" s="227"/>
      <c r="C116" s="45"/>
      <c r="D116" s="45"/>
      <c r="E116" s="45">
        <v>120</v>
      </c>
      <c r="F116" s="45" t="s">
        <v>1021</v>
      </c>
      <c r="G116" s="45">
        <v>443</v>
      </c>
      <c r="H116" s="45">
        <v>948</v>
      </c>
      <c r="I116" s="49">
        <v>949</v>
      </c>
      <c r="J116" s="233" t="s">
        <v>166</v>
      </c>
      <c r="K116" s="49" t="s">
        <v>1201</v>
      </c>
      <c r="L116" s="69"/>
      <c r="M116" s="69">
        <v>42377</v>
      </c>
      <c r="N116" s="3">
        <v>594</v>
      </c>
      <c r="O116" s="45" t="s">
        <v>1202</v>
      </c>
      <c r="P116" s="26"/>
      <c r="Q116" s="26"/>
      <c r="R116" s="26"/>
      <c r="S116" s="26"/>
      <c r="T116" s="26"/>
      <c r="U116" s="26"/>
      <c r="V116" s="26"/>
      <c r="W116" s="26"/>
      <c r="X116" s="26"/>
      <c r="Y116" s="154"/>
    </row>
    <row r="117" spans="1:25" ht="13">
      <c r="A117" s="45" t="s">
        <v>506</v>
      </c>
      <c r="B117" s="227"/>
      <c r="C117" s="45"/>
      <c r="D117" s="45"/>
      <c r="E117" s="45">
        <v>303</v>
      </c>
      <c r="F117" s="45" t="s">
        <v>1204</v>
      </c>
      <c r="G117" s="45">
        <v>120</v>
      </c>
      <c r="H117" s="26"/>
      <c r="I117" s="63"/>
      <c r="J117" s="233" t="s">
        <v>53</v>
      </c>
      <c r="K117" s="49" t="s">
        <v>1206</v>
      </c>
      <c r="L117" s="69"/>
      <c r="M117" s="69">
        <v>42352</v>
      </c>
      <c r="N117" s="3">
        <v>586</v>
      </c>
      <c r="O117" s="45" t="s">
        <v>1207</v>
      </c>
      <c r="P117" s="26"/>
      <c r="Q117" s="26"/>
      <c r="R117" s="26"/>
      <c r="S117" s="26"/>
      <c r="T117" s="26"/>
      <c r="U117" s="26"/>
      <c r="V117" s="26"/>
      <c r="W117" s="26"/>
      <c r="X117" s="26"/>
      <c r="Y117" s="239"/>
    </row>
    <row r="118" spans="1:25" ht="24" customHeight="1">
      <c r="A118" s="240" t="s">
        <v>52</v>
      </c>
      <c r="B118" s="247" t="s">
        <v>1226</v>
      </c>
      <c r="C118" s="240" t="s">
        <v>1236</v>
      </c>
      <c r="D118" s="240" t="s">
        <v>70</v>
      </c>
      <c r="E118" s="240">
        <v>360</v>
      </c>
      <c r="F118" s="45" t="s">
        <v>1033</v>
      </c>
      <c r="G118" s="240">
        <v>582</v>
      </c>
      <c r="H118" s="240">
        <v>952</v>
      </c>
      <c r="I118" s="240">
        <v>953</v>
      </c>
      <c r="J118" s="233" t="s">
        <v>53</v>
      </c>
      <c r="K118" s="224" t="s">
        <v>1237</v>
      </c>
      <c r="L118" s="249">
        <v>42331</v>
      </c>
      <c r="M118" s="249">
        <v>42388</v>
      </c>
      <c r="N118" s="3">
        <v>595</v>
      </c>
      <c r="O118" s="240" t="s">
        <v>1238</v>
      </c>
      <c r="P118" s="251"/>
      <c r="Q118" s="251"/>
      <c r="R118" s="109"/>
      <c r="S118" s="109"/>
      <c r="T118" s="109"/>
      <c r="U118" s="109"/>
      <c r="V118" s="109"/>
      <c r="W118" s="109"/>
      <c r="X118" s="109"/>
      <c r="Y118" s="253"/>
    </row>
    <row r="119" spans="1:25" ht="26">
      <c r="A119" s="45" t="s">
        <v>600</v>
      </c>
      <c r="B119" s="227" t="s">
        <v>1239</v>
      </c>
      <c r="C119" s="45" t="s">
        <v>567</v>
      </c>
      <c r="D119" s="45" t="s">
        <v>70</v>
      </c>
      <c r="E119" s="45">
        <v>360</v>
      </c>
      <c r="F119" s="45" t="s">
        <v>1033</v>
      </c>
      <c r="G119" s="45">
        <v>187</v>
      </c>
      <c r="H119" s="45">
        <v>940</v>
      </c>
      <c r="I119" s="49">
        <v>941</v>
      </c>
      <c r="J119" s="233" t="s">
        <v>53</v>
      </c>
      <c r="K119" s="49" t="s">
        <v>1240</v>
      </c>
      <c r="L119" s="117">
        <v>42214</v>
      </c>
      <c r="M119" s="69">
        <v>42402</v>
      </c>
      <c r="N119" s="3">
        <v>597</v>
      </c>
      <c r="O119" s="45" t="s">
        <v>1241</v>
      </c>
      <c r="P119" s="26"/>
      <c r="Q119" s="26"/>
      <c r="R119" s="26"/>
      <c r="S119" s="26"/>
      <c r="T119" s="26"/>
      <c r="U119" s="26"/>
      <c r="V119" s="26"/>
      <c r="W119" s="26"/>
      <c r="X119" s="26"/>
      <c r="Y119" s="256"/>
    </row>
    <row r="120" spans="1:25" ht="27.75" customHeight="1">
      <c r="A120" s="45" t="s">
        <v>707</v>
      </c>
      <c r="B120" s="28"/>
      <c r="C120" s="24"/>
      <c r="D120" s="24"/>
      <c r="E120" s="45">
        <v>566</v>
      </c>
      <c r="F120" s="45" t="s">
        <v>1021</v>
      </c>
      <c r="G120" s="47">
        <v>89</v>
      </c>
      <c r="H120" s="45">
        <v>959</v>
      </c>
      <c r="I120" s="45">
        <v>960</v>
      </c>
      <c r="J120" s="233" t="s">
        <v>53</v>
      </c>
      <c r="K120" s="49" t="s">
        <v>1243</v>
      </c>
      <c r="L120" s="53"/>
      <c r="M120" s="69">
        <v>42401</v>
      </c>
      <c r="N120" s="9">
        <v>596</v>
      </c>
      <c r="O120" s="45" t="s">
        <v>1244</v>
      </c>
      <c r="P120" s="26"/>
      <c r="Q120" s="24"/>
      <c r="R120" s="26"/>
      <c r="S120" s="26"/>
      <c r="T120" s="26"/>
      <c r="U120" s="26"/>
      <c r="V120" s="26"/>
      <c r="W120" s="26"/>
      <c r="X120" s="26"/>
      <c r="Y120" s="258"/>
    </row>
    <row r="121" spans="1:25" ht="29.25" customHeight="1">
      <c r="A121" s="45" t="s">
        <v>52</v>
      </c>
      <c r="B121" s="227" t="s">
        <v>1246</v>
      </c>
      <c r="C121" s="45" t="s">
        <v>567</v>
      </c>
      <c r="D121" s="45" t="s">
        <v>1247</v>
      </c>
      <c r="E121" s="45">
        <v>443</v>
      </c>
      <c r="F121" s="45" t="s">
        <v>1248</v>
      </c>
      <c r="G121" s="45">
        <v>541</v>
      </c>
      <c r="H121" s="45">
        <v>942</v>
      </c>
      <c r="I121" s="49">
        <v>943</v>
      </c>
      <c r="J121" s="233" t="s">
        <v>53</v>
      </c>
      <c r="K121" s="260" t="s">
        <v>1249</v>
      </c>
      <c r="L121" s="117">
        <v>42264</v>
      </c>
      <c r="M121" s="69">
        <v>42417</v>
      </c>
      <c r="N121" s="3">
        <v>604</v>
      </c>
      <c r="O121" s="45" t="s">
        <v>1250</v>
      </c>
      <c r="P121" s="26"/>
      <c r="Q121" s="26"/>
      <c r="R121" s="26"/>
      <c r="S121" s="26"/>
      <c r="T121" s="26"/>
      <c r="U121" s="26"/>
      <c r="V121" s="26"/>
      <c r="W121" s="26"/>
      <c r="X121" s="26"/>
      <c r="Y121" s="262"/>
    </row>
    <row r="122" spans="1:25" ht="25.5" customHeight="1">
      <c r="A122" s="45" t="s">
        <v>1254</v>
      </c>
      <c r="B122" s="227" t="s">
        <v>1255</v>
      </c>
      <c r="C122" s="45" t="s">
        <v>567</v>
      </c>
      <c r="D122" s="45" t="s">
        <v>1256</v>
      </c>
      <c r="E122" s="45">
        <v>365</v>
      </c>
      <c r="F122" s="45" t="s">
        <v>224</v>
      </c>
      <c r="G122" s="240">
        <v>120</v>
      </c>
      <c r="H122" s="45">
        <v>966</v>
      </c>
      <c r="I122" s="49">
        <v>967</v>
      </c>
      <c r="J122" s="264" t="s">
        <v>53</v>
      </c>
      <c r="K122" s="49" t="s">
        <v>1274</v>
      </c>
      <c r="L122" s="117">
        <v>42348</v>
      </c>
      <c r="M122" s="69">
        <v>42417</v>
      </c>
      <c r="N122" s="3">
        <v>605</v>
      </c>
      <c r="O122" s="45" t="s">
        <v>1275</v>
      </c>
      <c r="P122" s="26"/>
      <c r="Q122" s="26"/>
      <c r="R122" s="26"/>
      <c r="S122" s="26"/>
      <c r="T122" s="26"/>
      <c r="U122" s="26"/>
      <c r="V122" s="26"/>
      <c r="W122" s="26"/>
      <c r="X122" s="26"/>
      <c r="Y122" s="267"/>
    </row>
    <row r="123" spans="1:25" ht="25.5" customHeight="1">
      <c r="A123" s="45" t="s">
        <v>1254</v>
      </c>
      <c r="B123" s="227" t="s">
        <v>1255</v>
      </c>
      <c r="C123" s="45" t="s">
        <v>567</v>
      </c>
      <c r="D123" s="45" t="s">
        <v>1256</v>
      </c>
      <c r="E123" s="45">
        <v>365</v>
      </c>
      <c r="F123" s="45" t="s">
        <v>224</v>
      </c>
      <c r="G123" s="240">
        <v>583</v>
      </c>
      <c r="H123" s="24"/>
      <c r="I123" s="32"/>
      <c r="J123" s="264" t="s">
        <v>53</v>
      </c>
      <c r="K123" s="49" t="s">
        <v>1279</v>
      </c>
      <c r="L123" s="117">
        <v>42348</v>
      </c>
      <c r="M123" s="69">
        <v>42417</v>
      </c>
      <c r="N123" s="3">
        <v>606</v>
      </c>
      <c r="O123" s="45" t="s">
        <v>1280</v>
      </c>
      <c r="P123" s="26"/>
      <c r="Q123" s="26"/>
      <c r="R123" s="26"/>
      <c r="S123" s="26"/>
      <c r="T123" s="26"/>
      <c r="U123" s="26"/>
      <c r="V123" s="26"/>
      <c r="W123" s="26"/>
      <c r="X123" s="26"/>
      <c r="Y123" s="267"/>
    </row>
    <row r="124" spans="1:25" ht="27.75" customHeight="1">
      <c r="A124" s="45" t="s">
        <v>707</v>
      </c>
      <c r="B124" s="227" t="s">
        <v>1281</v>
      </c>
      <c r="C124" s="24"/>
      <c r="D124" s="24"/>
      <c r="E124" s="45">
        <v>178</v>
      </c>
      <c r="F124" s="45" t="s">
        <v>1282</v>
      </c>
      <c r="G124" s="47">
        <v>526</v>
      </c>
      <c r="H124" s="45">
        <v>802</v>
      </c>
      <c r="I124" s="45">
        <v>803</v>
      </c>
      <c r="J124" s="30"/>
      <c r="K124" s="49" t="s">
        <v>1283</v>
      </c>
      <c r="L124" s="39"/>
      <c r="M124" s="69">
        <v>42433</v>
      </c>
      <c r="N124" s="9" t="s">
        <v>1284</v>
      </c>
      <c r="O124" s="45" t="s">
        <v>1285</v>
      </c>
      <c r="P124" s="26"/>
      <c r="Q124" s="45" t="s">
        <v>1286</v>
      </c>
      <c r="R124" s="26"/>
      <c r="S124" s="26"/>
      <c r="T124" s="26"/>
      <c r="U124" s="26"/>
      <c r="V124" s="26"/>
      <c r="W124" s="26"/>
      <c r="X124" s="26"/>
      <c r="Y124" s="270"/>
    </row>
    <row r="125" spans="1:25" ht="27.75" customHeight="1">
      <c r="A125" s="45" t="s">
        <v>707</v>
      </c>
      <c r="B125" s="227" t="s">
        <v>1289</v>
      </c>
      <c r="C125" s="24"/>
      <c r="D125" s="24"/>
      <c r="E125" s="45" t="s">
        <v>1290</v>
      </c>
      <c r="F125" s="45" t="s">
        <v>903</v>
      </c>
      <c r="G125" s="47" t="s">
        <v>903</v>
      </c>
      <c r="H125" s="45"/>
      <c r="I125" s="45"/>
      <c r="J125" s="30"/>
      <c r="K125" s="49" t="s">
        <v>1291</v>
      </c>
      <c r="L125" s="39"/>
      <c r="M125" s="69"/>
      <c r="N125" s="9" t="s">
        <v>1292</v>
      </c>
      <c r="O125" s="45" t="s">
        <v>1293</v>
      </c>
      <c r="P125" s="26"/>
      <c r="Q125" s="45"/>
      <c r="R125" s="26"/>
      <c r="S125" s="26"/>
      <c r="T125" s="26"/>
      <c r="U125" s="26"/>
      <c r="V125" s="26"/>
      <c r="W125" s="26"/>
      <c r="X125" s="26"/>
      <c r="Y125" s="270"/>
    </row>
    <row r="126" spans="1:25" ht="27.75" customHeight="1">
      <c r="A126" s="152" t="s">
        <v>1294</v>
      </c>
      <c r="B126" s="272" t="s">
        <v>1296</v>
      </c>
      <c r="C126" s="152" t="s">
        <v>567</v>
      </c>
      <c r="D126" s="152" t="s">
        <v>1088</v>
      </c>
      <c r="E126" s="152">
        <v>571</v>
      </c>
      <c r="F126" s="152" t="s">
        <v>1297</v>
      </c>
      <c r="G126" s="152">
        <v>514</v>
      </c>
      <c r="H126" s="152">
        <v>1001</v>
      </c>
      <c r="I126" s="146">
        <v>1002</v>
      </c>
      <c r="J126" s="99" t="s">
        <v>53</v>
      </c>
      <c r="K126" s="146" t="s">
        <v>1298</v>
      </c>
      <c r="L126" s="128">
        <v>42389</v>
      </c>
      <c r="M126" s="114">
        <v>42481</v>
      </c>
      <c r="N126" s="230">
        <v>636</v>
      </c>
      <c r="O126" s="152" t="s">
        <v>1299</v>
      </c>
      <c r="P126" s="148"/>
      <c r="Q126" s="91"/>
      <c r="R126" s="26"/>
      <c r="S126" s="26"/>
      <c r="T126" s="26"/>
      <c r="U126" s="26"/>
      <c r="V126" s="26"/>
      <c r="W126" s="26"/>
      <c r="X126" s="26"/>
      <c r="Y126" s="26"/>
    </row>
    <row r="127" spans="1:25" ht="27.75" customHeight="1">
      <c r="A127" s="152" t="s">
        <v>1294</v>
      </c>
      <c r="B127" s="272" t="s">
        <v>1296</v>
      </c>
      <c r="C127" s="152" t="s">
        <v>567</v>
      </c>
      <c r="D127" s="152" t="s">
        <v>1088</v>
      </c>
      <c r="E127" s="152">
        <v>481</v>
      </c>
      <c r="F127" s="152" t="s">
        <v>1300</v>
      </c>
      <c r="G127" s="152">
        <v>552</v>
      </c>
      <c r="H127" s="152">
        <v>1008</v>
      </c>
      <c r="I127" s="146">
        <v>1009</v>
      </c>
      <c r="J127" s="99" t="s">
        <v>53</v>
      </c>
      <c r="K127" s="224" t="s">
        <v>1301</v>
      </c>
      <c r="L127" s="128">
        <v>42389</v>
      </c>
      <c r="M127" s="114">
        <v>42481</v>
      </c>
      <c r="N127" s="230">
        <v>637</v>
      </c>
      <c r="O127" s="152" t="s">
        <v>1302</v>
      </c>
      <c r="P127" s="148"/>
      <c r="Q127" s="91"/>
      <c r="R127" s="26"/>
      <c r="S127" s="26"/>
      <c r="T127" s="26"/>
      <c r="U127" s="26"/>
      <c r="V127" s="26"/>
      <c r="W127" s="26"/>
      <c r="X127" s="26"/>
      <c r="Y127" s="26"/>
    </row>
    <row r="128" spans="1:25" ht="27.75" customHeight="1">
      <c r="A128" s="152" t="s">
        <v>1294</v>
      </c>
      <c r="B128" s="272" t="s">
        <v>1296</v>
      </c>
      <c r="C128" s="152" t="s">
        <v>567</v>
      </c>
      <c r="D128" s="152" t="s">
        <v>1088</v>
      </c>
      <c r="E128" s="152">
        <v>481</v>
      </c>
      <c r="F128" s="152" t="s">
        <v>1300</v>
      </c>
      <c r="G128" s="152">
        <v>598</v>
      </c>
      <c r="H128" s="152">
        <v>1010</v>
      </c>
      <c r="I128" s="146">
        <v>1011</v>
      </c>
      <c r="J128" s="99" t="s">
        <v>53</v>
      </c>
      <c r="K128" s="224" t="s">
        <v>1304</v>
      </c>
      <c r="L128" s="128">
        <v>42411</v>
      </c>
      <c r="M128" s="114">
        <v>42481</v>
      </c>
      <c r="N128" s="230">
        <v>638</v>
      </c>
      <c r="O128" s="152" t="s">
        <v>1302</v>
      </c>
      <c r="P128" s="148"/>
      <c r="Q128" s="91"/>
      <c r="R128" s="26"/>
      <c r="S128" s="26"/>
      <c r="T128" s="26"/>
      <c r="U128" s="26"/>
      <c r="V128" s="26"/>
      <c r="W128" s="26"/>
      <c r="X128" s="26"/>
      <c r="Y128" s="26"/>
    </row>
    <row r="129" spans="1:25" ht="22.5" customHeight="1">
      <c r="A129" s="45" t="s">
        <v>862</v>
      </c>
      <c r="B129" s="28"/>
      <c r="C129" s="26"/>
      <c r="D129" s="26"/>
      <c r="E129" s="45">
        <v>231</v>
      </c>
      <c r="F129" s="45" t="s">
        <v>1307</v>
      </c>
      <c r="G129" s="45" t="s">
        <v>1308</v>
      </c>
      <c r="H129" s="45">
        <v>999</v>
      </c>
      <c r="I129" s="49">
        <v>1000</v>
      </c>
      <c r="J129" s="30" t="s">
        <v>53</v>
      </c>
      <c r="K129" s="49" t="s">
        <v>1310</v>
      </c>
      <c r="L129" s="34"/>
      <c r="M129" s="69">
        <v>42502</v>
      </c>
      <c r="N129" s="3">
        <v>643</v>
      </c>
      <c r="O129" s="45" t="s">
        <v>1311</v>
      </c>
      <c r="P129" s="26"/>
      <c r="Q129" s="45" t="s">
        <v>1312</v>
      </c>
      <c r="R129" s="26"/>
      <c r="S129" s="26"/>
      <c r="T129" s="26"/>
      <c r="U129" s="26"/>
      <c r="V129" s="26"/>
      <c r="W129" s="26"/>
      <c r="X129" s="26"/>
      <c r="Y129" s="276"/>
    </row>
    <row r="130" spans="1:25" ht="24.75" customHeight="1">
      <c r="A130" s="24" t="s">
        <v>52</v>
      </c>
      <c r="B130" s="28" t="s">
        <v>69</v>
      </c>
      <c r="C130" s="24" t="s">
        <v>867</v>
      </c>
      <c r="D130" s="24" t="s">
        <v>70</v>
      </c>
      <c r="E130" s="24">
        <v>120</v>
      </c>
      <c r="F130" s="24" t="s">
        <v>71</v>
      </c>
      <c r="G130" s="24">
        <v>478</v>
      </c>
      <c r="H130" s="24">
        <v>762</v>
      </c>
      <c r="I130" s="24">
        <v>763</v>
      </c>
      <c r="J130" s="30" t="s">
        <v>166</v>
      </c>
      <c r="K130" s="32" t="s">
        <v>1324</v>
      </c>
      <c r="L130" s="26"/>
      <c r="M130" s="69">
        <v>42116</v>
      </c>
      <c r="N130" s="7">
        <v>540</v>
      </c>
      <c r="O130" s="24" t="s">
        <v>1326</v>
      </c>
      <c r="P130" s="26"/>
      <c r="Q130" s="45" t="s">
        <v>1328</v>
      </c>
      <c r="R130" s="251"/>
      <c r="S130" s="251"/>
      <c r="T130" s="251"/>
      <c r="U130" s="251"/>
      <c r="V130" s="251"/>
      <c r="W130" s="251"/>
      <c r="X130" s="251"/>
      <c r="Y130" s="279"/>
    </row>
    <row r="131" spans="1:25" ht="30.75" customHeight="1">
      <c r="A131" s="24" t="s">
        <v>52</v>
      </c>
      <c r="B131" s="28" t="s">
        <v>69</v>
      </c>
      <c r="C131" s="24" t="s">
        <v>867</v>
      </c>
      <c r="D131" s="24" t="s">
        <v>70</v>
      </c>
      <c r="E131" s="24">
        <v>436</v>
      </c>
      <c r="F131" s="24" t="s">
        <v>903</v>
      </c>
      <c r="G131" s="24" t="s">
        <v>903</v>
      </c>
      <c r="H131" s="24">
        <v>845</v>
      </c>
      <c r="I131" s="32">
        <v>846</v>
      </c>
      <c r="J131" s="30" t="s">
        <v>53</v>
      </c>
      <c r="K131" s="32" t="s">
        <v>1338</v>
      </c>
      <c r="L131" s="26"/>
      <c r="M131" s="69">
        <v>42142</v>
      </c>
      <c r="N131" s="7">
        <v>551</v>
      </c>
      <c r="O131" s="24" t="s">
        <v>977</v>
      </c>
      <c r="P131" s="26"/>
      <c r="Q131" s="45"/>
      <c r="R131" s="251"/>
      <c r="S131" s="251"/>
      <c r="T131" s="251"/>
      <c r="U131" s="251"/>
      <c r="V131" s="251"/>
      <c r="W131" s="251"/>
      <c r="X131" s="251"/>
      <c r="Y131" s="279"/>
    </row>
    <row r="132" spans="1:25" ht="21" customHeight="1">
      <c r="A132" s="24" t="s">
        <v>52</v>
      </c>
      <c r="B132" s="28" t="s">
        <v>69</v>
      </c>
      <c r="C132" s="24" t="s">
        <v>867</v>
      </c>
      <c r="D132" s="24" t="s">
        <v>70</v>
      </c>
      <c r="E132" s="24"/>
      <c r="F132" s="24"/>
      <c r="G132" s="24">
        <v>551</v>
      </c>
      <c r="H132" s="26"/>
      <c r="I132" s="63"/>
      <c r="J132" s="30" t="s">
        <v>53</v>
      </c>
      <c r="K132" s="32" t="s">
        <v>1341</v>
      </c>
      <c r="L132" s="26"/>
      <c r="M132" s="26"/>
      <c r="N132" s="206"/>
      <c r="O132" s="26"/>
      <c r="P132" s="26"/>
      <c r="Q132" s="45"/>
      <c r="R132" s="251"/>
      <c r="S132" s="251"/>
      <c r="T132" s="251"/>
      <c r="U132" s="251"/>
      <c r="V132" s="251"/>
      <c r="W132" s="251"/>
      <c r="X132" s="251"/>
      <c r="Y132" s="279"/>
    </row>
    <row r="133" spans="1:25" ht="27.75" customHeight="1">
      <c r="A133" s="45" t="s">
        <v>1343</v>
      </c>
      <c r="B133" s="28"/>
      <c r="C133" s="24"/>
      <c r="D133" s="24"/>
      <c r="E133" s="45">
        <v>566</v>
      </c>
      <c r="F133" s="45" t="s">
        <v>224</v>
      </c>
      <c r="G133" s="47">
        <v>596</v>
      </c>
      <c r="H133" s="45">
        <v>1050</v>
      </c>
      <c r="I133" s="45">
        <v>1051</v>
      </c>
      <c r="J133" s="233" t="s">
        <v>53</v>
      </c>
      <c r="K133" s="49" t="s">
        <v>1348</v>
      </c>
      <c r="L133" s="39"/>
      <c r="M133" s="69">
        <v>42514</v>
      </c>
      <c r="N133" s="9">
        <v>649</v>
      </c>
      <c r="O133" s="45" t="s">
        <v>1349</v>
      </c>
      <c r="P133" s="26"/>
      <c r="Q133" s="24"/>
      <c r="R133" s="26"/>
      <c r="S133" s="26"/>
      <c r="T133" s="26"/>
      <c r="U133" s="26"/>
      <c r="V133" s="26"/>
      <c r="W133" s="26"/>
      <c r="X133" s="26"/>
      <c r="Y133" s="284"/>
    </row>
    <row r="134" spans="1:25" ht="27.75" customHeight="1">
      <c r="A134" s="45" t="s">
        <v>1343</v>
      </c>
      <c r="B134" s="28"/>
      <c r="C134" s="24"/>
      <c r="D134" s="24"/>
      <c r="E134" s="45">
        <v>566</v>
      </c>
      <c r="F134" s="45" t="s">
        <v>224</v>
      </c>
      <c r="G134" s="47" t="s">
        <v>1350</v>
      </c>
      <c r="H134" s="26"/>
      <c r="I134" s="26"/>
      <c r="J134" s="233" t="s">
        <v>53</v>
      </c>
      <c r="K134" s="49" t="s">
        <v>1351</v>
      </c>
      <c r="L134" s="39"/>
      <c r="M134" s="286">
        <v>42543</v>
      </c>
      <c r="N134" s="9">
        <v>676</v>
      </c>
      <c r="O134" s="45" t="s">
        <v>1353</v>
      </c>
      <c r="P134" s="26"/>
      <c r="Q134" s="45" t="s">
        <v>1354</v>
      </c>
      <c r="R134" s="26"/>
      <c r="S134" s="26"/>
      <c r="T134" s="26"/>
      <c r="U134" s="26"/>
      <c r="V134" s="26"/>
      <c r="W134" s="26"/>
      <c r="X134" s="26"/>
      <c r="Y134" s="284"/>
    </row>
    <row r="135" spans="1:25" ht="20.25" customHeight="1">
      <c r="A135" s="45" t="s">
        <v>862</v>
      </c>
      <c r="B135" s="28"/>
      <c r="C135" s="26"/>
      <c r="D135" s="26"/>
      <c r="E135" s="45">
        <v>554</v>
      </c>
      <c r="F135" s="45" t="s">
        <v>1355</v>
      </c>
      <c r="G135" s="45">
        <v>481</v>
      </c>
      <c r="H135" s="45">
        <v>1055</v>
      </c>
      <c r="I135" s="49">
        <v>1056</v>
      </c>
      <c r="J135" s="264" t="s">
        <v>121</v>
      </c>
      <c r="K135" s="49" t="s">
        <v>1356</v>
      </c>
      <c r="L135" s="34"/>
      <c r="M135" s="286">
        <v>42530</v>
      </c>
      <c r="N135" s="3">
        <v>672</v>
      </c>
      <c r="O135" s="45" t="s">
        <v>1357</v>
      </c>
      <c r="P135" s="26"/>
      <c r="Q135" s="45" t="s">
        <v>1354</v>
      </c>
      <c r="R135" s="26"/>
      <c r="S135" s="26"/>
      <c r="T135" s="26"/>
      <c r="U135" s="26"/>
      <c r="V135" s="26"/>
      <c r="W135" s="26"/>
      <c r="X135" s="26"/>
      <c r="Y135" s="288"/>
    </row>
    <row r="136" spans="1:25" ht="13">
      <c r="A136" s="45" t="s">
        <v>862</v>
      </c>
      <c r="B136" s="28"/>
      <c r="C136" s="26"/>
      <c r="D136" s="26"/>
      <c r="E136" s="45">
        <v>554</v>
      </c>
      <c r="F136" s="45" t="s">
        <v>1358</v>
      </c>
      <c r="G136" s="45">
        <v>233</v>
      </c>
      <c r="H136" s="45">
        <v>1057</v>
      </c>
      <c r="I136" s="49">
        <v>1058</v>
      </c>
      <c r="J136" s="264" t="s">
        <v>121</v>
      </c>
      <c r="K136" s="49" t="s">
        <v>1359</v>
      </c>
      <c r="L136" s="34"/>
      <c r="M136" s="286">
        <v>42528</v>
      </c>
      <c r="N136" s="3">
        <v>663</v>
      </c>
      <c r="O136" s="45" t="s">
        <v>1360</v>
      </c>
      <c r="P136" s="26"/>
      <c r="Q136" s="45" t="s">
        <v>1361</v>
      </c>
      <c r="R136" s="26"/>
      <c r="S136" s="26"/>
      <c r="T136" s="26"/>
      <c r="U136" s="26"/>
      <c r="V136" s="26"/>
      <c r="W136" s="26"/>
      <c r="X136" s="26"/>
      <c r="Y136" s="288"/>
    </row>
    <row r="137" spans="1:25" ht="13">
      <c r="A137" s="45" t="s">
        <v>707</v>
      </c>
      <c r="B137" s="28"/>
      <c r="C137" s="26"/>
      <c r="D137" s="26"/>
      <c r="E137" s="45">
        <v>487</v>
      </c>
      <c r="F137" s="45" t="s">
        <v>224</v>
      </c>
      <c r="G137" s="45">
        <v>482</v>
      </c>
      <c r="H137" s="45" t="s">
        <v>903</v>
      </c>
      <c r="I137" s="45" t="s">
        <v>903</v>
      </c>
      <c r="J137" s="264" t="s">
        <v>53</v>
      </c>
      <c r="K137" s="224" t="s">
        <v>1362</v>
      </c>
      <c r="L137" s="34"/>
      <c r="M137" s="286">
        <v>42543</v>
      </c>
      <c r="N137" s="3">
        <v>677</v>
      </c>
      <c r="O137" s="45" t="s">
        <v>1363</v>
      </c>
      <c r="P137" s="26"/>
      <c r="Q137" s="45" t="s">
        <v>1364</v>
      </c>
      <c r="R137" s="26"/>
      <c r="S137" s="26"/>
      <c r="T137" s="26"/>
      <c r="U137" s="26"/>
      <c r="V137" s="26"/>
      <c r="W137" s="26"/>
      <c r="X137" s="26"/>
      <c r="Y137" s="290"/>
    </row>
    <row r="138" spans="1:25" ht="13">
      <c r="A138" s="45" t="s">
        <v>52</v>
      </c>
      <c r="B138" s="28"/>
      <c r="C138" s="26"/>
      <c r="D138" s="26"/>
      <c r="E138" s="45">
        <v>304</v>
      </c>
      <c r="F138" s="45" t="s">
        <v>1137</v>
      </c>
      <c r="G138" s="45">
        <v>552</v>
      </c>
      <c r="H138" s="45">
        <v>963</v>
      </c>
      <c r="I138" s="45">
        <v>964</v>
      </c>
      <c r="J138" s="264" t="s">
        <v>53</v>
      </c>
      <c r="K138" s="224" t="s">
        <v>1367</v>
      </c>
      <c r="L138" s="34"/>
      <c r="M138" s="69">
        <v>42521</v>
      </c>
      <c r="N138" s="3">
        <v>653</v>
      </c>
      <c r="O138" s="45" t="s">
        <v>1368</v>
      </c>
      <c r="P138" s="26"/>
      <c r="Q138" s="26"/>
      <c r="R138" s="26"/>
      <c r="S138" s="26"/>
      <c r="T138" s="26"/>
      <c r="U138" s="26"/>
      <c r="V138" s="26"/>
      <c r="W138" s="26"/>
      <c r="X138" s="26"/>
      <c r="Y138" s="56"/>
    </row>
    <row r="139" spans="1:25" ht="13">
      <c r="A139" s="24" t="s">
        <v>52</v>
      </c>
      <c r="B139" s="28" t="s">
        <v>839</v>
      </c>
      <c r="C139" s="24" t="s">
        <v>567</v>
      </c>
      <c r="D139" s="24" t="s">
        <v>840</v>
      </c>
      <c r="E139" s="24">
        <v>242</v>
      </c>
      <c r="F139" s="24" t="s">
        <v>772</v>
      </c>
      <c r="G139" s="24">
        <v>267</v>
      </c>
      <c r="H139" s="24" t="s">
        <v>1369</v>
      </c>
      <c r="I139" s="32" t="s">
        <v>1370</v>
      </c>
      <c r="J139" s="99" t="s">
        <v>53</v>
      </c>
      <c r="K139" s="32" t="s">
        <v>1371</v>
      </c>
      <c r="L139" s="26"/>
      <c r="M139" s="286">
        <v>42529</v>
      </c>
      <c r="N139" s="3">
        <v>671</v>
      </c>
      <c r="O139" s="24" t="s">
        <v>1372</v>
      </c>
      <c r="P139" s="26"/>
      <c r="Q139" s="45"/>
      <c r="R139" s="26"/>
      <c r="S139" s="26"/>
      <c r="T139" s="26"/>
      <c r="U139" s="26"/>
      <c r="V139" s="26"/>
      <c r="W139" s="26"/>
      <c r="X139" s="26"/>
      <c r="Y139" s="296"/>
    </row>
    <row r="140" spans="1:25" ht="26">
      <c r="A140" s="24" t="s">
        <v>95</v>
      </c>
      <c r="B140" s="28" t="s">
        <v>1375</v>
      </c>
      <c r="C140" s="26"/>
      <c r="D140" s="26"/>
      <c r="E140" s="24">
        <v>360</v>
      </c>
      <c r="F140" s="24" t="s">
        <v>637</v>
      </c>
      <c r="G140" s="24">
        <v>340</v>
      </c>
      <c r="H140" s="24" t="s">
        <v>1376</v>
      </c>
      <c r="I140" s="32" t="s">
        <v>1377</v>
      </c>
      <c r="J140" s="99" t="s">
        <v>53</v>
      </c>
      <c r="K140" s="32" t="s">
        <v>1378</v>
      </c>
      <c r="L140" s="34"/>
      <c r="M140" s="299">
        <v>42578</v>
      </c>
      <c r="N140" s="3">
        <v>689</v>
      </c>
      <c r="O140" s="24" t="s">
        <v>1387</v>
      </c>
      <c r="P140" s="26"/>
      <c r="Q140" s="45" t="s">
        <v>1361</v>
      </c>
      <c r="R140" s="26"/>
      <c r="S140" s="26"/>
      <c r="T140" s="26"/>
      <c r="U140" s="26"/>
      <c r="V140" s="26"/>
      <c r="W140" s="26"/>
      <c r="X140" s="26"/>
      <c r="Y140" s="26"/>
    </row>
    <row r="141" spans="1:25" ht="26">
      <c r="A141" s="24" t="s">
        <v>95</v>
      </c>
      <c r="B141" s="28" t="s">
        <v>1375</v>
      </c>
      <c r="C141" s="26"/>
      <c r="D141" s="26"/>
      <c r="E141" s="24">
        <v>360</v>
      </c>
      <c r="F141" s="24" t="s">
        <v>637</v>
      </c>
      <c r="G141" s="24">
        <v>93</v>
      </c>
      <c r="H141" s="24" t="s">
        <v>1389</v>
      </c>
      <c r="I141" s="32" t="s">
        <v>1390</v>
      </c>
      <c r="J141" s="99" t="s">
        <v>53</v>
      </c>
      <c r="K141" s="32" t="s">
        <v>1392</v>
      </c>
      <c r="L141" s="34"/>
      <c r="M141" s="299">
        <v>42578</v>
      </c>
      <c r="N141" s="3">
        <v>690</v>
      </c>
      <c r="O141" s="24" t="s">
        <v>1394</v>
      </c>
      <c r="P141" s="26"/>
      <c r="Q141" s="45" t="s">
        <v>1395</v>
      </c>
      <c r="R141" s="26"/>
      <c r="S141" s="26"/>
      <c r="T141" s="26"/>
      <c r="U141" s="26"/>
      <c r="V141" s="26"/>
      <c r="W141" s="26"/>
      <c r="X141" s="26"/>
      <c r="Y141" s="26"/>
    </row>
    <row r="142" spans="1:25" ht="26">
      <c r="A142" s="24" t="s">
        <v>95</v>
      </c>
      <c r="B142" s="28" t="s">
        <v>1375</v>
      </c>
      <c r="C142" s="26"/>
      <c r="D142" s="26"/>
      <c r="E142" s="24">
        <v>360</v>
      </c>
      <c r="F142" s="24" t="s">
        <v>637</v>
      </c>
      <c r="G142" s="24">
        <v>235</v>
      </c>
      <c r="H142" s="24" t="s">
        <v>1399</v>
      </c>
      <c r="I142" s="32" t="s">
        <v>1400</v>
      </c>
      <c r="J142" s="99" t="s">
        <v>53</v>
      </c>
      <c r="K142" s="32" t="s">
        <v>1401</v>
      </c>
      <c r="L142" s="34"/>
      <c r="M142" s="299">
        <v>42578</v>
      </c>
      <c r="N142" s="3">
        <v>691</v>
      </c>
      <c r="O142" s="24" t="s">
        <v>1402</v>
      </c>
      <c r="P142" s="26"/>
      <c r="Q142" s="45" t="s">
        <v>530</v>
      </c>
      <c r="R142" s="26"/>
      <c r="S142" s="26"/>
      <c r="T142" s="26"/>
      <c r="U142" s="26"/>
      <c r="V142" s="26"/>
      <c r="W142" s="26"/>
      <c r="X142" s="26"/>
      <c r="Y142" s="26"/>
    </row>
    <row r="143" spans="1:25" ht="26">
      <c r="A143" s="24" t="s">
        <v>95</v>
      </c>
      <c r="B143" s="28" t="s">
        <v>1375</v>
      </c>
      <c r="C143" s="26"/>
      <c r="D143" s="26"/>
      <c r="E143" s="24">
        <v>360</v>
      </c>
      <c r="F143" s="24" t="s">
        <v>637</v>
      </c>
      <c r="G143" s="24">
        <v>233</v>
      </c>
      <c r="H143" s="24" t="s">
        <v>1403</v>
      </c>
      <c r="I143" s="32" t="s">
        <v>1404</v>
      </c>
      <c r="J143" s="99" t="s">
        <v>53</v>
      </c>
      <c r="K143" s="32" t="s">
        <v>1405</v>
      </c>
      <c r="L143" s="34"/>
      <c r="M143" s="299">
        <v>42578</v>
      </c>
      <c r="N143" s="3">
        <v>692</v>
      </c>
      <c r="O143" s="24" t="s">
        <v>1407</v>
      </c>
      <c r="P143" s="26"/>
      <c r="Q143" s="45" t="s">
        <v>1361</v>
      </c>
      <c r="R143" s="26"/>
      <c r="S143" s="26"/>
      <c r="T143" s="26"/>
      <c r="U143" s="26"/>
      <c r="V143" s="26"/>
      <c r="W143" s="26"/>
      <c r="X143" s="26"/>
      <c r="Y143" s="26"/>
    </row>
    <row r="144" spans="1:25" ht="27.75" customHeight="1">
      <c r="A144" s="45" t="s">
        <v>52</v>
      </c>
      <c r="B144" s="28"/>
      <c r="C144" s="24"/>
      <c r="D144" s="24"/>
      <c r="E144" s="45">
        <v>573</v>
      </c>
      <c r="F144" s="45" t="s">
        <v>1033</v>
      </c>
      <c r="G144" s="47">
        <v>657</v>
      </c>
      <c r="H144" s="45" t="s">
        <v>1411</v>
      </c>
      <c r="I144" s="45" t="s">
        <v>1412</v>
      </c>
      <c r="J144" s="233" t="s">
        <v>53</v>
      </c>
      <c r="K144" s="49" t="s">
        <v>1413</v>
      </c>
      <c r="L144" s="69">
        <v>42522</v>
      </c>
      <c r="M144" s="69">
        <v>42614</v>
      </c>
      <c r="N144" s="9">
        <v>698</v>
      </c>
      <c r="O144" s="45" t="s">
        <v>1415</v>
      </c>
      <c r="P144" s="26"/>
      <c r="Q144" s="45" t="s">
        <v>1395</v>
      </c>
      <c r="R144" s="26"/>
      <c r="S144" s="26"/>
      <c r="T144" s="26"/>
      <c r="U144" s="26"/>
      <c r="V144" s="26"/>
      <c r="W144" s="26"/>
      <c r="X144" s="26"/>
      <c r="Y144" s="26"/>
    </row>
    <row r="145" spans="1:25" ht="27.75" customHeight="1">
      <c r="A145" s="45" t="s">
        <v>52</v>
      </c>
      <c r="B145" s="28"/>
      <c r="C145" s="24"/>
      <c r="D145" s="24"/>
      <c r="E145" s="45">
        <v>573</v>
      </c>
      <c r="F145" s="45" t="s">
        <v>1033</v>
      </c>
      <c r="G145" s="47">
        <v>656</v>
      </c>
      <c r="H145" s="45" t="s">
        <v>1411</v>
      </c>
      <c r="I145" s="45" t="s">
        <v>1412</v>
      </c>
      <c r="J145" s="233" t="s">
        <v>53</v>
      </c>
      <c r="K145" s="49" t="s">
        <v>1420</v>
      </c>
      <c r="L145" s="69">
        <v>42522</v>
      </c>
      <c r="M145" s="286">
        <v>42614</v>
      </c>
      <c r="N145" s="9">
        <v>699</v>
      </c>
      <c r="O145" s="45" t="s">
        <v>1421</v>
      </c>
      <c r="P145" s="26"/>
      <c r="Q145" s="45" t="s">
        <v>1354</v>
      </c>
      <c r="R145" s="26"/>
      <c r="S145" s="26"/>
      <c r="T145" s="26"/>
      <c r="U145" s="26"/>
      <c r="V145" s="26"/>
      <c r="W145" s="26"/>
      <c r="X145" s="26"/>
      <c r="Y145" s="26"/>
    </row>
    <row r="146" spans="1:25" ht="27.75" customHeight="1">
      <c r="A146" s="152" t="s">
        <v>1294</v>
      </c>
      <c r="B146" s="272" t="s">
        <v>1296</v>
      </c>
      <c r="C146" s="152" t="s">
        <v>567</v>
      </c>
      <c r="D146" s="152" t="s">
        <v>1088</v>
      </c>
      <c r="E146" s="152">
        <v>566</v>
      </c>
      <c r="F146" s="152" t="s">
        <v>1422</v>
      </c>
      <c r="G146" s="152">
        <v>566</v>
      </c>
      <c r="H146" s="152" t="s">
        <v>1423</v>
      </c>
      <c r="I146" s="152" t="s">
        <v>1424</v>
      </c>
      <c r="J146" s="99" t="s">
        <v>53</v>
      </c>
      <c r="K146" s="146" t="s">
        <v>1425</v>
      </c>
      <c r="L146" s="128">
        <v>42571</v>
      </c>
      <c r="M146" s="114">
        <v>42614</v>
      </c>
      <c r="N146" s="230">
        <v>697</v>
      </c>
      <c r="O146" s="152" t="s">
        <v>1427</v>
      </c>
      <c r="P146" s="148"/>
      <c r="Q146" s="152" t="s">
        <v>1428</v>
      </c>
      <c r="R146" s="26"/>
      <c r="S146" s="26"/>
      <c r="T146" s="26"/>
      <c r="U146" s="26"/>
      <c r="V146" s="26"/>
      <c r="W146" s="26"/>
      <c r="X146" s="26"/>
      <c r="Y146" s="284"/>
    </row>
    <row r="147" spans="1:25" ht="26.25" customHeight="1">
      <c r="A147" s="152" t="s">
        <v>1430</v>
      </c>
      <c r="B147" s="272" t="s">
        <v>1050</v>
      </c>
      <c r="C147" s="91"/>
      <c r="D147" s="91"/>
      <c r="E147" s="152">
        <v>566</v>
      </c>
      <c r="F147" s="152" t="s">
        <v>224</v>
      </c>
      <c r="G147" s="152">
        <v>532</v>
      </c>
      <c r="H147" s="152">
        <v>1132</v>
      </c>
      <c r="I147" s="146">
        <v>1133</v>
      </c>
      <c r="J147" s="264" t="s">
        <v>53</v>
      </c>
      <c r="K147" s="146" t="s">
        <v>1433</v>
      </c>
      <c r="L147" s="314">
        <v>42675</v>
      </c>
      <c r="M147" s="316">
        <v>42690</v>
      </c>
      <c r="N147" s="230">
        <v>708</v>
      </c>
      <c r="O147" s="152" t="s">
        <v>1462</v>
      </c>
      <c r="P147" s="148"/>
      <c r="Q147" s="152" t="s">
        <v>1463</v>
      </c>
      <c r="R147" s="26"/>
      <c r="S147" s="26"/>
      <c r="T147" s="26"/>
      <c r="U147" s="26"/>
      <c r="V147" s="26"/>
      <c r="W147" s="26"/>
      <c r="X147" s="26"/>
      <c r="Y147" s="26"/>
    </row>
    <row r="148" spans="1:25" ht="26.25" customHeight="1">
      <c r="A148" s="152" t="s">
        <v>1430</v>
      </c>
      <c r="B148" s="272" t="s">
        <v>1050</v>
      </c>
      <c r="C148" s="91"/>
      <c r="D148" s="91"/>
      <c r="E148" s="152">
        <v>566</v>
      </c>
      <c r="F148" s="152" t="s">
        <v>224</v>
      </c>
      <c r="G148" s="152">
        <v>501</v>
      </c>
      <c r="H148" s="152">
        <v>1134</v>
      </c>
      <c r="I148" s="146">
        <v>1135</v>
      </c>
      <c r="J148" s="264" t="s">
        <v>53</v>
      </c>
      <c r="K148" s="146" t="s">
        <v>1467</v>
      </c>
      <c r="L148" s="314">
        <v>42675</v>
      </c>
      <c r="M148" s="316">
        <v>42690</v>
      </c>
      <c r="N148" s="230">
        <v>709</v>
      </c>
      <c r="O148" s="152" t="s">
        <v>1468</v>
      </c>
      <c r="P148" s="148"/>
      <c r="Q148" s="152" t="s">
        <v>1470</v>
      </c>
      <c r="R148" s="26"/>
      <c r="S148" s="26"/>
      <c r="T148" s="26"/>
      <c r="U148" s="26"/>
      <c r="V148" s="26"/>
      <c r="W148" s="26"/>
      <c r="X148" s="26"/>
      <c r="Y148" s="26"/>
    </row>
    <row r="149" spans="1:25" ht="26.25" customHeight="1">
      <c r="A149" s="152" t="s">
        <v>1430</v>
      </c>
      <c r="B149" s="272" t="s">
        <v>1050</v>
      </c>
      <c r="C149" s="91"/>
      <c r="D149" s="91"/>
      <c r="E149" s="152">
        <v>369</v>
      </c>
      <c r="F149" s="152" t="s">
        <v>1473</v>
      </c>
      <c r="G149" s="152">
        <v>362</v>
      </c>
      <c r="H149" s="152">
        <v>1155</v>
      </c>
      <c r="I149" s="146">
        <v>1156</v>
      </c>
      <c r="J149" s="264" t="s">
        <v>53</v>
      </c>
      <c r="K149" s="146" t="s">
        <v>1475</v>
      </c>
      <c r="L149" s="314">
        <v>42710</v>
      </c>
      <c r="M149" s="316">
        <v>42782</v>
      </c>
      <c r="N149" s="230">
        <v>723</v>
      </c>
      <c r="O149" s="152" t="s">
        <v>1476</v>
      </c>
      <c r="P149" s="148"/>
      <c r="Q149" s="152" t="s">
        <v>1477</v>
      </c>
      <c r="R149" s="26"/>
      <c r="S149" s="26"/>
      <c r="T149" s="26"/>
      <c r="U149" s="26"/>
      <c r="V149" s="26"/>
      <c r="W149" s="26"/>
      <c r="X149" s="26"/>
      <c r="Y149" s="26"/>
    </row>
    <row r="150" spans="1:25" ht="26.25" customHeight="1">
      <c r="A150" s="152" t="s">
        <v>1430</v>
      </c>
      <c r="B150" s="272" t="s">
        <v>1050</v>
      </c>
      <c r="C150" s="91"/>
      <c r="D150" s="91"/>
      <c r="E150" s="152">
        <v>369</v>
      </c>
      <c r="F150" s="152" t="s">
        <v>1473</v>
      </c>
      <c r="G150" s="152">
        <v>370</v>
      </c>
      <c r="H150" s="152">
        <v>1147</v>
      </c>
      <c r="I150" s="146">
        <v>1148</v>
      </c>
      <c r="J150" s="264" t="s">
        <v>53</v>
      </c>
      <c r="K150" s="146" t="s">
        <v>1480</v>
      </c>
      <c r="L150" s="314">
        <v>42710</v>
      </c>
      <c r="M150" s="316">
        <v>42782</v>
      </c>
      <c r="N150" s="230">
        <v>724</v>
      </c>
      <c r="O150" s="152" t="s">
        <v>1481</v>
      </c>
      <c r="P150" s="148"/>
      <c r="Q150" s="152" t="s">
        <v>530</v>
      </c>
      <c r="R150" s="26"/>
      <c r="S150" s="26"/>
      <c r="T150" s="26"/>
      <c r="U150" s="26"/>
      <c r="V150" s="26"/>
      <c r="W150" s="26"/>
      <c r="X150" s="26"/>
      <c r="Y150" s="26"/>
    </row>
    <row r="151" spans="1:25" ht="26.25" customHeight="1">
      <c r="A151" s="321" t="s">
        <v>1430</v>
      </c>
      <c r="B151" s="322" t="s">
        <v>1050</v>
      </c>
      <c r="C151" s="323"/>
      <c r="D151" s="323"/>
      <c r="E151" s="152">
        <v>693</v>
      </c>
      <c r="F151" s="325" t="s">
        <v>1493</v>
      </c>
      <c r="G151" s="327">
        <v>370</v>
      </c>
      <c r="H151" s="325">
        <v>1151</v>
      </c>
      <c r="I151" s="328">
        <v>1152</v>
      </c>
      <c r="J151" s="329" t="s">
        <v>53</v>
      </c>
      <c r="K151" s="330" t="s">
        <v>1495</v>
      </c>
      <c r="L151" s="332">
        <v>42710</v>
      </c>
      <c r="M151" s="334"/>
      <c r="N151" s="336"/>
      <c r="O151" s="338" t="s">
        <v>1499</v>
      </c>
      <c r="P151" s="340"/>
      <c r="Q151" s="340" t="s">
        <v>1501</v>
      </c>
      <c r="R151" s="323"/>
      <c r="S151" s="323"/>
      <c r="T151" s="323"/>
      <c r="U151" s="323"/>
      <c r="V151" s="323"/>
      <c r="W151" s="323"/>
      <c r="X151" s="323"/>
      <c r="Y151" s="323"/>
    </row>
    <row r="152" spans="1:25" ht="26.25" customHeight="1">
      <c r="A152" s="152" t="s">
        <v>1430</v>
      </c>
      <c r="B152" s="272" t="s">
        <v>1050</v>
      </c>
      <c r="C152" s="91"/>
      <c r="D152" s="91"/>
      <c r="E152" s="152">
        <v>369</v>
      </c>
      <c r="F152" s="152" t="s">
        <v>1473</v>
      </c>
      <c r="G152" s="152">
        <v>541</v>
      </c>
      <c r="H152" s="152">
        <v>1149</v>
      </c>
      <c r="I152" s="146">
        <v>1150</v>
      </c>
      <c r="J152" s="264" t="s">
        <v>53</v>
      </c>
      <c r="K152" s="146" t="s">
        <v>1502</v>
      </c>
      <c r="L152" s="314">
        <v>42710</v>
      </c>
      <c r="M152" s="316">
        <v>42782</v>
      </c>
      <c r="N152" s="230">
        <v>725</v>
      </c>
      <c r="O152" s="152" t="s">
        <v>1503</v>
      </c>
      <c r="P152" s="148"/>
      <c r="Q152" s="152" t="s">
        <v>1477</v>
      </c>
      <c r="R152" s="26"/>
      <c r="S152" s="26"/>
      <c r="T152" s="26"/>
      <c r="U152" s="26"/>
      <c r="V152" s="26"/>
      <c r="W152" s="26"/>
      <c r="X152" s="26"/>
      <c r="Y152" s="26"/>
    </row>
    <row r="153" spans="1:25" ht="26.25" customHeight="1">
      <c r="A153" s="321" t="s">
        <v>1430</v>
      </c>
      <c r="B153" s="322" t="s">
        <v>1050</v>
      </c>
      <c r="C153" s="323"/>
      <c r="D153" s="323"/>
      <c r="E153" s="152">
        <v>693</v>
      </c>
      <c r="F153" s="325" t="s">
        <v>1493</v>
      </c>
      <c r="G153" s="327">
        <v>541</v>
      </c>
      <c r="H153" s="325">
        <v>1153</v>
      </c>
      <c r="I153" s="328">
        <v>1154</v>
      </c>
      <c r="J153" s="329" t="s">
        <v>53</v>
      </c>
      <c r="K153" s="330" t="s">
        <v>1505</v>
      </c>
      <c r="L153" s="344">
        <v>42710</v>
      </c>
      <c r="M153" s="316">
        <v>42795</v>
      </c>
      <c r="N153" s="230">
        <v>736</v>
      </c>
      <c r="O153" s="152" t="s">
        <v>1517</v>
      </c>
      <c r="P153" s="148"/>
      <c r="Q153" s="152" t="s">
        <v>1395</v>
      </c>
      <c r="R153" s="323"/>
      <c r="S153" s="323"/>
      <c r="T153" s="323"/>
      <c r="U153" s="323"/>
      <c r="V153" s="323"/>
      <c r="W153" s="323"/>
      <c r="X153" s="323"/>
      <c r="Y153" s="323"/>
    </row>
    <row r="154" spans="1:25" ht="26.25" customHeight="1">
      <c r="A154" s="327" t="s">
        <v>1521</v>
      </c>
      <c r="B154" s="346" t="s">
        <v>1522</v>
      </c>
      <c r="C154" s="348"/>
      <c r="D154" s="348"/>
      <c r="E154" s="327">
        <v>434</v>
      </c>
      <c r="F154" s="351" t="s">
        <v>1297</v>
      </c>
      <c r="G154" s="327">
        <v>719</v>
      </c>
      <c r="H154" s="351">
        <v>1136</v>
      </c>
      <c r="I154" s="351">
        <v>1137</v>
      </c>
      <c r="J154" s="329" t="s">
        <v>53</v>
      </c>
      <c r="K154" s="330" t="s">
        <v>1538</v>
      </c>
      <c r="L154" s="353">
        <v>42713</v>
      </c>
      <c r="M154" s="355">
        <v>42760</v>
      </c>
      <c r="N154" s="356">
        <v>719</v>
      </c>
      <c r="O154" s="351" t="s">
        <v>1555</v>
      </c>
      <c r="P154" s="348"/>
      <c r="Q154" s="351" t="s">
        <v>1557</v>
      </c>
      <c r="R154" s="348"/>
      <c r="S154" s="348"/>
      <c r="T154" s="348"/>
      <c r="U154" s="348"/>
      <c r="V154" s="348"/>
      <c r="W154" s="348"/>
      <c r="X154" s="348"/>
      <c r="Y154" s="26"/>
    </row>
    <row r="155" spans="1:25" ht="26.25" customHeight="1">
      <c r="A155" s="336" t="s">
        <v>1521</v>
      </c>
      <c r="B155" s="358" t="s">
        <v>1522</v>
      </c>
      <c r="C155" s="360"/>
      <c r="D155" s="360"/>
      <c r="E155" s="336">
        <v>434</v>
      </c>
      <c r="F155" s="362" t="s">
        <v>1297</v>
      </c>
      <c r="G155" s="336">
        <v>719</v>
      </c>
      <c r="H155" s="362">
        <v>1142</v>
      </c>
      <c r="I155" s="362">
        <v>1143</v>
      </c>
      <c r="J155" s="364" t="s">
        <v>53</v>
      </c>
      <c r="K155" s="366" t="s">
        <v>1613</v>
      </c>
      <c r="L155" s="314">
        <v>42713</v>
      </c>
      <c r="M155" s="316">
        <v>42766</v>
      </c>
      <c r="N155" s="230">
        <v>721</v>
      </c>
      <c r="O155" s="152" t="s">
        <v>1618</v>
      </c>
      <c r="P155" s="148"/>
      <c r="Q155" s="152" t="s">
        <v>1354</v>
      </c>
      <c r="R155" s="338"/>
      <c r="S155" s="338"/>
      <c r="T155" s="338"/>
      <c r="U155" s="338"/>
      <c r="V155" s="338"/>
      <c r="W155" s="338"/>
      <c r="X155" s="338"/>
      <c r="Y155" s="338"/>
    </row>
    <row r="156" spans="1:25" ht="26.25" customHeight="1">
      <c r="A156" s="368" t="s">
        <v>52</v>
      </c>
      <c r="B156" s="370" t="s">
        <v>1619</v>
      </c>
      <c r="C156" s="372"/>
      <c r="D156" s="372"/>
      <c r="E156" s="368">
        <v>479</v>
      </c>
      <c r="F156" s="372"/>
      <c r="G156" s="368">
        <v>698</v>
      </c>
      <c r="H156" s="368">
        <v>1065</v>
      </c>
      <c r="I156" s="368">
        <v>1066</v>
      </c>
      <c r="J156" s="374" t="s">
        <v>53</v>
      </c>
      <c r="K156" s="376" t="s">
        <v>1620</v>
      </c>
      <c r="L156" s="378">
        <v>42775</v>
      </c>
      <c r="M156" s="382"/>
      <c r="N156" s="384"/>
      <c r="O156" s="386" t="s">
        <v>1673</v>
      </c>
      <c r="P156" s="372"/>
      <c r="Q156" s="372"/>
      <c r="R156" s="372"/>
      <c r="S156" s="372"/>
      <c r="T156" s="372"/>
      <c r="U156" s="372"/>
      <c r="V156" s="372"/>
      <c r="W156" s="372"/>
      <c r="X156" s="372"/>
      <c r="Y156" s="372"/>
    </row>
    <row r="157" spans="1:25" ht="23.25" customHeight="1">
      <c r="A157" s="340" t="s">
        <v>52</v>
      </c>
      <c r="B157" s="388" t="s">
        <v>1619</v>
      </c>
      <c r="C157" s="338"/>
      <c r="D157" s="338"/>
      <c r="E157" s="340">
        <v>479</v>
      </c>
      <c r="F157" s="338"/>
      <c r="G157" s="340">
        <v>699</v>
      </c>
      <c r="H157" s="340">
        <v>1065</v>
      </c>
      <c r="I157" s="340">
        <v>1066</v>
      </c>
      <c r="J157" s="364" t="s">
        <v>53</v>
      </c>
      <c r="K157" s="390" t="s">
        <v>1674</v>
      </c>
      <c r="L157" s="392">
        <v>42775</v>
      </c>
      <c r="M157" s="394"/>
      <c r="N157" s="396"/>
      <c r="O157" s="336" t="s">
        <v>1673</v>
      </c>
      <c r="P157" s="338"/>
      <c r="Q157" s="338"/>
      <c r="R157" s="338"/>
      <c r="S157" s="338"/>
      <c r="T157" s="338"/>
      <c r="U157" s="338"/>
      <c r="V157" s="338"/>
      <c r="W157" s="338"/>
      <c r="X157" s="338"/>
      <c r="Y157" s="338"/>
    </row>
    <row r="158" spans="1:25" ht="23.25" customHeight="1">
      <c r="A158" s="368" t="s">
        <v>1688</v>
      </c>
      <c r="B158" s="370" t="s">
        <v>1689</v>
      </c>
      <c r="C158" s="372"/>
      <c r="D158" s="372"/>
      <c r="E158" s="368">
        <v>228</v>
      </c>
      <c r="F158" s="372"/>
      <c r="G158" s="368">
        <v>304</v>
      </c>
      <c r="H158" s="372"/>
      <c r="I158" s="372"/>
      <c r="J158" s="374" t="s">
        <v>53</v>
      </c>
      <c r="K158" s="376" t="s">
        <v>1692</v>
      </c>
      <c r="L158" s="378">
        <v>42788</v>
      </c>
      <c r="M158" s="382"/>
      <c r="N158" s="398">
        <v>739</v>
      </c>
      <c r="O158" s="386" t="s">
        <v>1549</v>
      </c>
      <c r="P158" s="382"/>
      <c r="Q158" s="382"/>
      <c r="R158" s="372"/>
      <c r="S158" s="372"/>
      <c r="T158" s="372"/>
      <c r="U158" s="372"/>
      <c r="V158" s="372"/>
      <c r="W158" s="372"/>
      <c r="X158" s="372"/>
      <c r="Y158" s="372"/>
    </row>
    <row r="159" spans="1:25" ht="13">
      <c r="A159" s="400" t="s">
        <v>52</v>
      </c>
      <c r="B159" s="400" t="s">
        <v>1619</v>
      </c>
      <c r="C159" s="402"/>
      <c r="D159" s="402"/>
      <c r="E159" s="400">
        <v>479</v>
      </c>
      <c r="F159" s="400" t="s">
        <v>1726</v>
      </c>
      <c r="G159" s="400">
        <v>557</v>
      </c>
      <c r="H159" s="402"/>
      <c r="I159" s="402"/>
      <c r="J159" s="364" t="s">
        <v>53</v>
      </c>
      <c r="K159" s="390" t="s">
        <v>1727</v>
      </c>
      <c r="L159" s="392">
        <v>42788</v>
      </c>
      <c r="M159" s="404">
        <v>42851</v>
      </c>
      <c r="N159" s="334">
        <v>770</v>
      </c>
      <c r="O159" s="336" t="s">
        <v>1730</v>
      </c>
      <c r="P159" s="402"/>
      <c r="Q159" s="402"/>
      <c r="R159" s="402"/>
      <c r="S159" s="402"/>
      <c r="T159" s="402"/>
      <c r="U159" s="402"/>
      <c r="V159" s="402"/>
      <c r="W159" s="402"/>
      <c r="X159" s="402"/>
      <c r="Y159" s="402"/>
    </row>
    <row r="160" spans="1:25" ht="27.75" customHeight="1">
      <c r="A160" s="406" t="s">
        <v>1731</v>
      </c>
      <c r="B160" s="406" t="s">
        <v>1296</v>
      </c>
      <c r="C160" s="408"/>
      <c r="D160" s="408"/>
      <c r="E160" s="406">
        <v>120</v>
      </c>
      <c r="F160" s="406" t="s">
        <v>224</v>
      </c>
      <c r="G160" s="406">
        <v>282</v>
      </c>
      <c r="H160" s="406">
        <v>1219</v>
      </c>
      <c r="I160" s="406">
        <v>1220</v>
      </c>
      <c r="J160" s="410" t="s">
        <v>166</v>
      </c>
      <c r="K160" s="376" t="s">
        <v>1734</v>
      </c>
      <c r="L160" s="378">
        <v>42793</v>
      </c>
      <c r="M160" s="414">
        <v>42867</v>
      </c>
      <c r="N160" s="398">
        <v>773</v>
      </c>
      <c r="O160" s="386" t="s">
        <v>1745</v>
      </c>
      <c r="P160" s="408"/>
      <c r="Q160" s="406" t="s">
        <v>530</v>
      </c>
      <c r="R160" s="408"/>
      <c r="S160" s="408"/>
      <c r="T160" s="408"/>
      <c r="U160" s="408"/>
      <c r="V160" s="408"/>
      <c r="W160" s="408"/>
      <c r="X160" s="408"/>
      <c r="Y160" s="408"/>
    </row>
    <row r="161" spans="1:25" ht="24" customHeight="1">
      <c r="A161" s="400" t="s">
        <v>1746</v>
      </c>
      <c r="B161" s="402"/>
      <c r="C161" s="402"/>
      <c r="D161" s="402"/>
      <c r="E161" s="400">
        <v>752</v>
      </c>
      <c r="F161" s="400" t="s">
        <v>1748</v>
      </c>
      <c r="G161" s="400">
        <v>772</v>
      </c>
      <c r="H161" s="400">
        <v>1224</v>
      </c>
      <c r="I161" s="400">
        <v>1225</v>
      </c>
      <c r="J161" s="364" t="s">
        <v>53</v>
      </c>
      <c r="K161" s="390" t="s">
        <v>1750</v>
      </c>
      <c r="L161" s="332">
        <v>42802</v>
      </c>
      <c r="M161" s="394"/>
      <c r="N161" s="396"/>
      <c r="O161" s="336" t="s">
        <v>1752</v>
      </c>
      <c r="P161" s="402"/>
      <c r="Q161" s="402"/>
      <c r="R161" s="402"/>
      <c r="S161" s="402"/>
      <c r="T161" s="402"/>
      <c r="U161" s="402"/>
      <c r="V161" s="402"/>
      <c r="W161" s="402"/>
      <c r="X161" s="402"/>
      <c r="Y161" s="402"/>
    </row>
    <row r="162" spans="1:25" ht="24" customHeight="1">
      <c r="A162" s="24" t="s">
        <v>52</v>
      </c>
      <c r="B162" s="28" t="s">
        <v>839</v>
      </c>
      <c r="C162" s="24" t="s">
        <v>567</v>
      </c>
      <c r="D162" s="24" t="s">
        <v>840</v>
      </c>
      <c r="E162" s="24">
        <v>185</v>
      </c>
      <c r="F162" s="26"/>
      <c r="G162" s="24">
        <v>242</v>
      </c>
      <c r="H162" s="26"/>
      <c r="I162" s="63"/>
      <c r="J162" s="30" t="s">
        <v>166</v>
      </c>
      <c r="K162" s="32" t="s">
        <v>1758</v>
      </c>
      <c r="L162" s="26"/>
      <c r="M162" s="26"/>
      <c r="N162" s="206"/>
      <c r="O162" s="45" t="s">
        <v>1759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</row>
    <row r="163" spans="1:25" ht="27" customHeight="1">
      <c r="A163" s="45" t="s">
        <v>1254</v>
      </c>
      <c r="B163" s="227" t="s">
        <v>1296</v>
      </c>
      <c r="C163" s="26"/>
      <c r="D163" s="26"/>
      <c r="E163" s="45">
        <v>700</v>
      </c>
      <c r="F163" s="45" t="s">
        <v>1762</v>
      </c>
      <c r="G163" s="240">
        <v>479</v>
      </c>
      <c r="H163" s="45">
        <v>1221</v>
      </c>
      <c r="I163" s="49">
        <v>1222</v>
      </c>
      <c r="J163" s="329" t="s">
        <v>53</v>
      </c>
      <c r="K163" s="224" t="s">
        <v>1764</v>
      </c>
      <c r="L163" s="378">
        <v>42830</v>
      </c>
      <c r="M163" s="414">
        <v>42867</v>
      </c>
      <c r="N163" s="398">
        <v>774</v>
      </c>
      <c r="O163" s="386" t="s">
        <v>1766</v>
      </c>
      <c r="P163" s="26"/>
      <c r="Q163" s="45" t="s">
        <v>1767</v>
      </c>
      <c r="R163" s="26"/>
      <c r="S163" s="26"/>
      <c r="T163" s="26"/>
      <c r="U163" s="26"/>
      <c r="V163" s="26"/>
      <c r="W163" s="26"/>
      <c r="X163" s="26"/>
      <c r="Y163" s="26"/>
    </row>
    <row r="164" spans="1:25" ht="27" customHeight="1">
      <c r="A164" s="340" t="s">
        <v>1254</v>
      </c>
      <c r="B164" s="388" t="s">
        <v>1296</v>
      </c>
      <c r="C164" s="338"/>
      <c r="D164" s="338"/>
      <c r="E164" s="340">
        <v>701</v>
      </c>
      <c r="F164" s="340" t="s">
        <v>1762</v>
      </c>
      <c r="G164" s="400">
        <v>479</v>
      </c>
      <c r="H164" s="340">
        <v>1221</v>
      </c>
      <c r="I164" s="390">
        <v>1222</v>
      </c>
      <c r="J164" s="364" t="s">
        <v>53</v>
      </c>
      <c r="K164" s="417" t="s">
        <v>1771</v>
      </c>
      <c r="L164" s="392">
        <v>42830</v>
      </c>
      <c r="M164" s="404">
        <v>42867</v>
      </c>
      <c r="N164" s="334">
        <v>775</v>
      </c>
      <c r="O164" s="336" t="s">
        <v>1784</v>
      </c>
      <c r="P164" s="338"/>
      <c r="Q164" s="340" t="s">
        <v>1395</v>
      </c>
      <c r="R164" s="338"/>
      <c r="S164" s="338"/>
      <c r="T164" s="338"/>
      <c r="U164" s="338"/>
      <c r="V164" s="338"/>
      <c r="W164" s="338"/>
      <c r="X164" s="338"/>
      <c r="Y164" s="338"/>
    </row>
    <row r="165" spans="1:25" ht="24" customHeight="1">
      <c r="A165" s="240"/>
      <c r="B165" s="251"/>
      <c r="C165" s="251"/>
      <c r="D165" s="251"/>
      <c r="E165" s="240">
        <v>642</v>
      </c>
      <c r="F165" s="251"/>
      <c r="G165" s="251"/>
      <c r="H165" s="240">
        <v>1157</v>
      </c>
      <c r="I165" s="240">
        <v>1158</v>
      </c>
      <c r="J165" s="418" t="s">
        <v>1786</v>
      </c>
      <c r="K165" s="224" t="s">
        <v>1788</v>
      </c>
      <c r="L165" s="251"/>
      <c r="M165" s="419">
        <v>42846</v>
      </c>
      <c r="N165" s="420">
        <v>768</v>
      </c>
      <c r="O165" s="240" t="s">
        <v>1797</v>
      </c>
      <c r="P165" s="251"/>
      <c r="Q165" s="240" t="s">
        <v>1557</v>
      </c>
      <c r="R165" s="251"/>
      <c r="S165" s="251"/>
      <c r="T165" s="251"/>
      <c r="U165" s="251"/>
      <c r="V165" s="251"/>
      <c r="W165" s="251"/>
      <c r="X165" s="251"/>
      <c r="Y165" s="251"/>
    </row>
    <row r="166" spans="1:25" ht="24" customHeight="1">
      <c r="A166" s="400" t="s">
        <v>1800</v>
      </c>
      <c r="B166" s="402"/>
      <c r="C166" s="402"/>
      <c r="D166" s="402"/>
      <c r="E166" s="400">
        <v>566</v>
      </c>
      <c r="F166" s="400" t="s">
        <v>224</v>
      </c>
      <c r="G166" s="400">
        <v>501</v>
      </c>
      <c r="H166" s="400">
        <v>1230</v>
      </c>
      <c r="I166" s="400">
        <v>1231</v>
      </c>
      <c r="J166" s="422" t="s">
        <v>53</v>
      </c>
      <c r="K166" s="417" t="s">
        <v>1807</v>
      </c>
      <c r="L166" s="423">
        <v>42831</v>
      </c>
      <c r="M166" s="423">
        <v>42947</v>
      </c>
      <c r="N166" s="424">
        <v>787</v>
      </c>
      <c r="O166" s="400" t="s">
        <v>1817</v>
      </c>
      <c r="P166" s="402"/>
      <c r="Q166" s="400" t="s">
        <v>1395</v>
      </c>
      <c r="R166" s="402"/>
      <c r="S166" s="402"/>
      <c r="T166" s="402"/>
      <c r="U166" s="402"/>
      <c r="V166" s="402"/>
      <c r="W166" s="402"/>
      <c r="X166" s="402"/>
      <c r="Y166" s="402"/>
    </row>
    <row r="167" spans="1:25" ht="24" customHeight="1">
      <c r="A167" s="240" t="s">
        <v>52</v>
      </c>
      <c r="B167" s="240" t="s">
        <v>1818</v>
      </c>
      <c r="C167" s="251"/>
      <c r="D167" s="251"/>
      <c r="E167" s="240">
        <v>573</v>
      </c>
      <c r="F167" s="240" t="s">
        <v>1819</v>
      </c>
      <c r="G167" s="240">
        <v>763</v>
      </c>
      <c r="H167" s="240">
        <v>1252</v>
      </c>
      <c r="I167" s="240">
        <v>1253</v>
      </c>
      <c r="J167" s="418" t="s">
        <v>53</v>
      </c>
      <c r="K167" s="49" t="s">
        <v>1820</v>
      </c>
      <c r="L167" s="427">
        <v>42900</v>
      </c>
      <c r="M167" s="427">
        <v>42911</v>
      </c>
      <c r="N167" s="428">
        <v>769</v>
      </c>
      <c r="O167" s="327" t="s">
        <v>1831</v>
      </c>
      <c r="P167" s="251"/>
      <c r="Q167" s="240" t="s">
        <v>1364</v>
      </c>
      <c r="R167" s="251"/>
      <c r="S167" s="251"/>
      <c r="T167" s="251"/>
      <c r="U167" s="251"/>
      <c r="V167" s="251"/>
      <c r="W167" s="251"/>
      <c r="X167" s="251"/>
      <c r="Y167" s="251"/>
    </row>
    <row r="168" spans="1:25" ht="24" customHeight="1">
      <c r="A168" s="240" t="s">
        <v>52</v>
      </c>
      <c r="B168" s="251"/>
      <c r="C168" s="251"/>
      <c r="D168" s="251"/>
      <c r="E168" s="240">
        <v>120</v>
      </c>
      <c r="F168" s="240" t="s">
        <v>1833</v>
      </c>
      <c r="G168" s="240">
        <v>360</v>
      </c>
      <c r="H168" s="240">
        <v>1254</v>
      </c>
      <c r="I168" s="240">
        <v>1255</v>
      </c>
      <c r="J168" s="418" t="s">
        <v>166</v>
      </c>
      <c r="K168" s="429" t="s">
        <v>1834</v>
      </c>
      <c r="L168" s="430"/>
      <c r="M168" s="431">
        <v>42947</v>
      </c>
      <c r="N168" s="433">
        <v>786</v>
      </c>
      <c r="O168" s="439" t="s">
        <v>1853</v>
      </c>
      <c r="P168" s="251"/>
      <c r="Q168" s="240" t="s">
        <v>1767</v>
      </c>
      <c r="R168" s="251"/>
      <c r="S168" s="251"/>
      <c r="T168" s="251"/>
      <c r="U168" s="251"/>
      <c r="V168" s="251"/>
      <c r="W168" s="251"/>
      <c r="X168" s="251"/>
      <c r="Y168" s="251"/>
    </row>
    <row r="169" spans="1:25" ht="24" customHeight="1">
      <c r="A169" s="240" t="s">
        <v>1800</v>
      </c>
      <c r="B169" s="251"/>
      <c r="C169" s="251"/>
      <c r="D169" s="251"/>
      <c r="E169" s="240">
        <v>566</v>
      </c>
      <c r="F169" s="406" t="s">
        <v>224</v>
      </c>
      <c r="G169" s="240">
        <v>501</v>
      </c>
      <c r="H169" s="251"/>
      <c r="I169" s="251"/>
      <c r="J169" s="441"/>
      <c r="K169" s="224" t="s">
        <v>1859</v>
      </c>
      <c r="L169" s="443">
        <v>42831</v>
      </c>
      <c r="M169" s="240" t="s">
        <v>1336</v>
      </c>
      <c r="N169" s="251"/>
      <c r="O169" s="240" t="s">
        <v>1860</v>
      </c>
      <c r="P169" s="251"/>
      <c r="Q169" s="251"/>
      <c r="R169" s="251"/>
      <c r="S169" s="251"/>
      <c r="T169" s="251"/>
      <c r="U169" s="251"/>
      <c r="V169" s="251"/>
      <c r="W169" s="251"/>
      <c r="X169" s="251"/>
      <c r="Y169" s="251"/>
    </row>
    <row r="170" spans="1:25" ht="24" customHeight="1">
      <c r="A170" s="400" t="s">
        <v>1746</v>
      </c>
      <c r="B170" s="402"/>
      <c r="C170" s="402"/>
      <c r="D170" s="402"/>
      <c r="E170" s="402"/>
      <c r="F170" s="402"/>
      <c r="G170" s="400">
        <v>752</v>
      </c>
      <c r="H170" s="402"/>
      <c r="I170" s="402"/>
      <c r="J170" s="364" t="s">
        <v>53</v>
      </c>
      <c r="K170" s="390" t="s">
        <v>1861</v>
      </c>
      <c r="L170" s="332">
        <v>42846</v>
      </c>
      <c r="M170" s="394"/>
      <c r="N170" s="396"/>
      <c r="O170" s="336"/>
      <c r="P170" s="402"/>
      <c r="Q170" s="402"/>
      <c r="R170" s="402"/>
      <c r="S170" s="402"/>
      <c r="T170" s="402"/>
      <c r="U170" s="402"/>
      <c r="V170" s="402"/>
      <c r="W170" s="402"/>
      <c r="X170" s="402"/>
      <c r="Y170" s="402"/>
    </row>
    <row r="171" spans="1:25" ht="24" customHeight="1">
      <c r="A171" s="240" t="s">
        <v>1746</v>
      </c>
      <c r="B171" s="251"/>
      <c r="C171" s="251"/>
      <c r="D171" s="251"/>
      <c r="E171" s="240">
        <v>772</v>
      </c>
      <c r="F171" s="251"/>
      <c r="G171" s="240">
        <v>752</v>
      </c>
      <c r="H171" s="251"/>
      <c r="I171" s="251"/>
      <c r="J171" s="329" t="s">
        <v>53</v>
      </c>
      <c r="K171" s="376" t="s">
        <v>1862</v>
      </c>
      <c r="L171" s="452">
        <v>42846</v>
      </c>
      <c r="M171" s="382"/>
      <c r="N171" s="384"/>
      <c r="O171" s="386"/>
      <c r="P171" s="251"/>
      <c r="Q171" s="251"/>
      <c r="R171" s="251"/>
      <c r="S171" s="251"/>
      <c r="T171" s="251"/>
      <c r="U171" s="251"/>
      <c r="V171" s="251"/>
      <c r="W171" s="251"/>
      <c r="X171" s="251"/>
      <c r="Y171" s="251"/>
    </row>
    <row r="172" spans="1:25" ht="24" customHeight="1">
      <c r="A172" s="251"/>
      <c r="B172" s="251"/>
      <c r="C172" s="251"/>
      <c r="D172" s="251"/>
      <c r="E172" s="240">
        <v>190</v>
      </c>
      <c r="F172" s="240" t="s">
        <v>253</v>
      </c>
      <c r="G172" s="240" t="s">
        <v>1876</v>
      </c>
      <c r="H172" s="251"/>
      <c r="I172" s="251"/>
      <c r="J172" s="418" t="s">
        <v>53</v>
      </c>
      <c r="K172" s="49" t="s">
        <v>1877</v>
      </c>
      <c r="L172" s="427">
        <v>42872</v>
      </c>
      <c r="M172" s="454"/>
      <c r="N172" s="455"/>
      <c r="O172" s="454"/>
      <c r="P172" s="251"/>
      <c r="Q172" s="240" t="s">
        <v>1885</v>
      </c>
      <c r="R172" s="251"/>
      <c r="S172" s="251"/>
      <c r="T172" s="251"/>
      <c r="U172" s="251"/>
      <c r="V172" s="251"/>
      <c r="W172" s="251"/>
      <c r="X172" s="251"/>
      <c r="Y172" s="251"/>
    </row>
    <row r="173" spans="1:25" ht="24" customHeight="1">
      <c r="A173" s="240" t="s">
        <v>1800</v>
      </c>
      <c r="B173" s="251"/>
      <c r="C173" s="251"/>
      <c r="D173" s="251"/>
      <c r="E173" s="240">
        <v>708</v>
      </c>
      <c r="F173" s="240" t="s">
        <v>1889</v>
      </c>
      <c r="G173" s="240">
        <v>241</v>
      </c>
      <c r="H173" s="251"/>
      <c r="I173" s="251"/>
      <c r="J173" s="418" t="s">
        <v>53</v>
      </c>
      <c r="K173" s="429" t="s">
        <v>1891</v>
      </c>
      <c r="L173" s="431">
        <v>42950</v>
      </c>
      <c r="M173" s="430"/>
      <c r="N173" s="457"/>
      <c r="O173" s="439" t="s">
        <v>1898</v>
      </c>
      <c r="P173" s="251"/>
      <c r="Q173" s="251"/>
      <c r="R173" s="251"/>
      <c r="S173" s="251"/>
      <c r="T173" s="251"/>
      <c r="U173" s="251"/>
      <c r="V173" s="251"/>
      <c r="W173" s="251"/>
      <c r="X173" s="251"/>
      <c r="Y173" s="251"/>
    </row>
    <row r="174" spans="1:25" ht="24" customHeight="1">
      <c r="A174" s="251"/>
      <c r="B174" s="251"/>
      <c r="C174" s="251"/>
      <c r="D174" s="251"/>
      <c r="E174" s="251"/>
      <c r="F174" s="251"/>
      <c r="G174" s="251"/>
      <c r="H174" s="251"/>
      <c r="I174" s="251"/>
      <c r="J174" s="441"/>
      <c r="K174" s="429" t="s">
        <v>1899</v>
      </c>
      <c r="L174" s="251"/>
      <c r="M174" s="251"/>
      <c r="N174" s="251"/>
      <c r="O174" s="251"/>
      <c r="P174" s="251"/>
      <c r="Q174" s="251"/>
      <c r="R174" s="251"/>
      <c r="S174" s="251"/>
      <c r="T174" s="251"/>
      <c r="U174" s="251"/>
      <c r="V174" s="251"/>
      <c r="W174" s="251"/>
      <c r="X174" s="251"/>
      <c r="Y174" s="251"/>
    </row>
    <row r="175" spans="1:25" ht="24" customHeight="1">
      <c r="A175" s="251"/>
      <c r="B175" s="251"/>
      <c r="C175" s="251"/>
      <c r="D175" s="251"/>
      <c r="E175" s="251"/>
      <c r="F175" s="251"/>
      <c r="G175" s="251"/>
      <c r="H175" s="251"/>
      <c r="I175" s="251"/>
      <c r="J175" s="441"/>
      <c r="K175" s="459"/>
      <c r="L175" s="251"/>
      <c r="M175" s="251"/>
      <c r="N175" s="251"/>
      <c r="O175" s="251"/>
      <c r="P175" s="251"/>
      <c r="Q175" s="251"/>
      <c r="R175" s="251"/>
      <c r="S175" s="251"/>
      <c r="T175" s="251"/>
      <c r="U175" s="251"/>
      <c r="V175" s="251"/>
      <c r="W175" s="251"/>
      <c r="X175" s="251"/>
      <c r="Y175" s="251"/>
    </row>
    <row r="176" spans="1:25" ht="24" customHeight="1">
      <c r="A176" s="251"/>
      <c r="B176" s="251"/>
      <c r="C176" s="251"/>
      <c r="D176" s="251"/>
      <c r="E176" s="251"/>
      <c r="F176" s="251"/>
      <c r="G176" s="251"/>
      <c r="H176" s="251"/>
      <c r="I176" s="251"/>
      <c r="J176" s="441"/>
      <c r="K176" s="459"/>
      <c r="L176" s="251"/>
      <c r="M176" s="251"/>
      <c r="N176" s="251"/>
      <c r="O176" s="251"/>
      <c r="P176" s="251"/>
      <c r="Q176" s="251"/>
      <c r="R176" s="251"/>
      <c r="S176" s="251"/>
      <c r="T176" s="251"/>
      <c r="U176" s="251"/>
      <c r="V176" s="251"/>
      <c r="W176" s="251"/>
      <c r="X176" s="251"/>
      <c r="Y176" s="251"/>
    </row>
    <row r="177" spans="1:25" ht="24" customHeight="1">
      <c r="A177" s="251"/>
      <c r="B177" s="251"/>
      <c r="C177" s="251"/>
      <c r="D177" s="251"/>
      <c r="E177" s="251"/>
      <c r="F177" s="251"/>
      <c r="G177" s="251"/>
      <c r="H177" s="251"/>
      <c r="I177" s="251"/>
      <c r="J177" s="441"/>
      <c r="K177" s="459"/>
      <c r="L177" s="251"/>
      <c r="M177" s="251"/>
      <c r="N177" s="251"/>
      <c r="O177" s="251"/>
      <c r="P177" s="251"/>
      <c r="Q177" s="251"/>
      <c r="R177" s="251"/>
      <c r="S177" s="251"/>
      <c r="T177" s="251"/>
      <c r="U177" s="251"/>
      <c r="V177" s="251"/>
      <c r="W177" s="251"/>
      <c r="X177" s="251"/>
      <c r="Y177" s="251"/>
    </row>
    <row r="178" spans="1:25" ht="24" customHeight="1">
      <c r="A178" s="251"/>
      <c r="B178" s="251"/>
      <c r="C178" s="251"/>
      <c r="D178" s="251"/>
      <c r="E178" s="251"/>
      <c r="F178" s="251"/>
      <c r="G178" s="251"/>
      <c r="H178" s="251"/>
      <c r="I178" s="251"/>
      <c r="J178" s="441"/>
      <c r="K178" s="459"/>
      <c r="L178" s="251"/>
      <c r="M178" s="251"/>
      <c r="N178" s="251"/>
      <c r="O178" s="251"/>
      <c r="P178" s="251"/>
      <c r="Q178" s="251"/>
      <c r="R178" s="251"/>
      <c r="S178" s="251"/>
      <c r="T178" s="251"/>
      <c r="U178" s="251"/>
      <c r="V178" s="251"/>
      <c r="W178" s="251"/>
      <c r="X178" s="251"/>
      <c r="Y178" s="251"/>
    </row>
    <row r="179" spans="1:25" ht="24" customHeight="1">
      <c r="A179" s="251"/>
      <c r="B179" s="251"/>
      <c r="C179" s="251"/>
      <c r="D179" s="251"/>
      <c r="E179" s="251"/>
      <c r="F179" s="251"/>
      <c r="G179" s="251"/>
      <c r="H179" s="251"/>
      <c r="I179" s="251"/>
      <c r="J179" s="441"/>
      <c r="K179" s="459"/>
      <c r="L179" s="251"/>
      <c r="M179" s="251"/>
      <c r="N179" s="251"/>
      <c r="O179" s="251"/>
      <c r="P179" s="251"/>
      <c r="Q179" s="251"/>
      <c r="R179" s="251"/>
      <c r="S179" s="251"/>
      <c r="T179" s="251"/>
      <c r="U179" s="251"/>
      <c r="V179" s="251"/>
      <c r="W179" s="251"/>
      <c r="X179" s="251"/>
      <c r="Y179" s="251"/>
    </row>
    <row r="180" spans="1:25" ht="1.5" customHeight="1">
      <c r="A180" s="461" t="s">
        <v>161</v>
      </c>
      <c r="B180" s="463" t="s">
        <v>139</v>
      </c>
      <c r="C180" s="461" t="s">
        <v>178</v>
      </c>
      <c r="D180" s="461" t="s">
        <v>288</v>
      </c>
      <c r="E180" s="461">
        <v>237</v>
      </c>
      <c r="F180" s="65"/>
      <c r="G180" s="465"/>
      <c r="H180" s="65"/>
      <c r="I180" s="472"/>
      <c r="J180" s="473" t="s">
        <v>53</v>
      </c>
      <c r="K180" s="475" t="s">
        <v>1951</v>
      </c>
      <c r="L180" s="477"/>
      <c r="M180" s="481"/>
      <c r="N180" s="484"/>
      <c r="O180" s="486"/>
      <c r="P180" s="461" t="s">
        <v>86</v>
      </c>
      <c r="Q180" s="65"/>
      <c r="R180" s="65"/>
      <c r="S180" s="65"/>
      <c r="T180" s="65"/>
      <c r="U180" s="65"/>
      <c r="V180" s="65"/>
      <c r="W180" s="65"/>
      <c r="X180" s="65"/>
      <c r="Y180" s="65"/>
    </row>
    <row r="181" spans="1:25" ht="1.5" customHeight="1">
      <c r="A181" s="488" t="s">
        <v>52</v>
      </c>
      <c r="B181" s="489" t="s">
        <v>139</v>
      </c>
      <c r="C181" s="488" t="s">
        <v>567</v>
      </c>
      <c r="D181" s="488" t="s">
        <v>568</v>
      </c>
      <c r="E181" s="488" t="s">
        <v>1991</v>
      </c>
      <c r="F181" s="491"/>
      <c r="G181" s="488">
        <v>235</v>
      </c>
      <c r="H181" s="488"/>
      <c r="I181" s="488"/>
      <c r="J181" s="493" t="s">
        <v>53</v>
      </c>
      <c r="K181" s="495" t="s">
        <v>2008</v>
      </c>
      <c r="L181" s="491"/>
      <c r="M181" s="491"/>
      <c r="N181" s="503"/>
      <c r="O181" s="488"/>
      <c r="P181" s="253"/>
      <c r="Q181" s="253"/>
      <c r="R181" s="253"/>
      <c r="S181" s="253"/>
      <c r="T181" s="253"/>
      <c r="U181" s="253"/>
      <c r="V181" s="253"/>
      <c r="W181" s="253"/>
      <c r="X181" s="253"/>
      <c r="Y181" s="253"/>
    </row>
    <row r="182" spans="1:25" ht="1.5" customHeight="1">
      <c r="A182" s="505" t="s">
        <v>52</v>
      </c>
      <c r="B182" s="507" t="s">
        <v>69</v>
      </c>
      <c r="C182" s="505" t="s">
        <v>55</v>
      </c>
      <c r="D182" s="505" t="s">
        <v>70</v>
      </c>
      <c r="E182" s="56"/>
      <c r="F182" s="56"/>
      <c r="G182" s="505" t="s">
        <v>82</v>
      </c>
      <c r="H182" s="56"/>
      <c r="I182" s="509"/>
      <c r="J182" s="511" t="s">
        <v>53</v>
      </c>
      <c r="K182" s="513" t="s">
        <v>2075</v>
      </c>
      <c r="L182" s="514"/>
      <c r="M182" s="56"/>
      <c r="N182" s="515"/>
      <c r="O182" s="517"/>
      <c r="P182" s="56"/>
      <c r="Q182" s="56"/>
      <c r="R182" s="56"/>
      <c r="S182" s="56"/>
      <c r="T182" s="56"/>
      <c r="U182" s="56"/>
      <c r="V182" s="56"/>
      <c r="W182" s="56"/>
      <c r="X182" s="56"/>
      <c r="Y182" s="56"/>
    </row>
    <row r="183" spans="1:25" ht="12">
      <c r="A183" s="251"/>
      <c r="B183" s="251"/>
      <c r="C183" s="251"/>
      <c r="D183" s="251"/>
      <c r="E183" s="251"/>
      <c r="F183" s="251"/>
      <c r="G183" s="251"/>
      <c r="H183" s="251"/>
      <c r="I183" s="251"/>
      <c r="J183" s="441"/>
      <c r="K183" s="459"/>
      <c r="L183" s="251"/>
      <c r="M183" s="251"/>
      <c r="N183" s="251"/>
      <c r="O183" s="251"/>
      <c r="P183" s="251"/>
      <c r="Q183" s="251"/>
      <c r="R183" s="251"/>
      <c r="S183" s="251"/>
      <c r="T183" s="251"/>
      <c r="U183" s="251"/>
      <c r="V183" s="251"/>
      <c r="W183" s="251"/>
      <c r="X183" s="251"/>
      <c r="Y183" s="251"/>
    </row>
    <row r="184" spans="1:25" ht="12">
      <c r="A184" s="251"/>
      <c r="B184" s="251"/>
      <c r="C184" s="251"/>
      <c r="D184" s="251"/>
      <c r="E184" s="251"/>
      <c r="F184" s="251"/>
      <c r="G184" s="251"/>
      <c r="H184" s="251"/>
      <c r="I184" s="251"/>
      <c r="J184" s="441"/>
      <c r="K184" s="459"/>
      <c r="L184" s="251"/>
      <c r="M184" s="251"/>
      <c r="N184" s="251"/>
      <c r="O184" s="251"/>
      <c r="P184" s="251"/>
      <c r="Q184" s="251"/>
      <c r="R184" s="251"/>
      <c r="S184" s="251"/>
      <c r="T184" s="251"/>
      <c r="U184" s="251"/>
      <c r="V184" s="251"/>
      <c r="W184" s="251"/>
      <c r="X184" s="251"/>
      <c r="Y184" s="251"/>
    </row>
    <row r="185" spans="1:25" ht="12">
      <c r="A185" s="251"/>
      <c r="B185" s="251"/>
      <c r="C185" s="251"/>
      <c r="D185" s="251"/>
      <c r="E185" s="251"/>
      <c r="F185" s="251"/>
      <c r="G185" s="251"/>
      <c r="H185" s="251"/>
      <c r="I185" s="251"/>
      <c r="J185" s="441"/>
      <c r="K185" s="459"/>
      <c r="L185" s="251"/>
      <c r="M185" s="251"/>
      <c r="N185" s="251"/>
      <c r="O185" s="251"/>
      <c r="P185" s="251"/>
      <c r="Q185" s="251"/>
      <c r="R185" s="251"/>
      <c r="S185" s="251"/>
      <c r="T185" s="251"/>
      <c r="U185" s="251"/>
      <c r="V185" s="251"/>
      <c r="W185" s="251"/>
      <c r="X185" s="251"/>
      <c r="Y185" s="251"/>
    </row>
    <row r="186" spans="1:25" ht="12">
      <c r="A186" s="251"/>
      <c r="B186" s="251"/>
      <c r="C186" s="251"/>
      <c r="D186" s="251"/>
      <c r="E186" s="251"/>
      <c r="F186" s="251"/>
      <c r="G186" s="251"/>
      <c r="H186" s="251"/>
      <c r="I186" s="251"/>
      <c r="J186" s="441"/>
      <c r="K186" s="459"/>
      <c r="L186" s="251"/>
      <c r="M186" s="251"/>
      <c r="N186" s="251"/>
      <c r="O186" s="251"/>
      <c r="P186" s="251"/>
      <c r="Q186" s="251"/>
      <c r="R186" s="251"/>
      <c r="S186" s="251"/>
      <c r="T186" s="251"/>
      <c r="U186" s="251"/>
      <c r="V186" s="251"/>
      <c r="W186" s="251"/>
      <c r="X186" s="251"/>
      <c r="Y186" s="251"/>
    </row>
    <row r="187" spans="1:25" ht="13">
      <c r="A187" s="26"/>
      <c r="B187" s="83"/>
      <c r="C187" s="26"/>
      <c r="D187" s="26"/>
      <c r="E187" s="26"/>
      <c r="F187" s="26"/>
      <c r="G187" s="26"/>
      <c r="H187" s="26"/>
      <c r="I187" s="63"/>
      <c r="J187" s="34"/>
      <c r="K187" s="63"/>
      <c r="L187" s="34"/>
      <c r="M187" s="26"/>
      <c r="N187" s="20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</row>
    <row r="188" spans="1:25" ht="13">
      <c r="A188" s="26"/>
      <c r="B188" s="83"/>
      <c r="C188" s="26"/>
      <c r="D188" s="26"/>
      <c r="E188" s="26"/>
      <c r="F188" s="26"/>
      <c r="G188" s="26"/>
      <c r="H188" s="26"/>
      <c r="I188" s="63"/>
      <c r="J188" s="34"/>
      <c r="K188" s="63"/>
      <c r="L188" s="34"/>
      <c r="M188" s="26"/>
      <c r="N188" s="20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</row>
    <row r="189" spans="1:25" ht="13">
      <c r="A189" s="26"/>
      <c r="B189" s="83"/>
      <c r="C189" s="26"/>
      <c r="D189" s="26"/>
      <c r="E189" s="26"/>
      <c r="F189" s="26"/>
      <c r="G189" s="26"/>
      <c r="H189" s="26"/>
      <c r="I189" s="63"/>
      <c r="J189" s="34"/>
      <c r="K189" s="63"/>
      <c r="L189" s="34"/>
      <c r="M189" s="26"/>
      <c r="N189" s="20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</row>
    <row r="190" spans="1:25" ht="13">
      <c r="A190" s="26"/>
      <c r="B190" s="83"/>
      <c r="C190" s="26"/>
      <c r="D190" s="26"/>
      <c r="E190" s="26"/>
      <c r="F190" s="26"/>
      <c r="G190" s="26"/>
      <c r="H190" s="26"/>
      <c r="I190" s="63"/>
      <c r="J190" s="34"/>
      <c r="K190" s="63"/>
      <c r="L190" s="34"/>
      <c r="M190" s="26"/>
      <c r="N190" s="20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</row>
    <row r="191" spans="1:25" ht="13">
      <c r="A191" s="26"/>
      <c r="B191" s="83"/>
      <c r="C191" s="26"/>
      <c r="D191" s="26"/>
      <c r="E191" s="26"/>
      <c r="F191" s="26"/>
      <c r="G191" s="26"/>
      <c r="H191" s="26"/>
      <c r="I191" s="63"/>
      <c r="J191" s="34"/>
      <c r="K191" s="63"/>
      <c r="L191" s="34"/>
      <c r="M191" s="26"/>
      <c r="N191" s="20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</row>
    <row r="192" spans="1:25" ht="13">
      <c r="A192" s="26"/>
      <c r="B192" s="83"/>
      <c r="C192" s="26"/>
      <c r="D192" s="26"/>
      <c r="E192" s="26"/>
      <c r="F192" s="26"/>
      <c r="G192" s="26"/>
      <c r="H192" s="26"/>
      <c r="I192" s="63"/>
      <c r="J192" s="34"/>
      <c r="K192" s="63"/>
      <c r="L192" s="34"/>
      <c r="M192" s="26"/>
      <c r="N192" s="20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</row>
    <row r="193" spans="1:25" ht="13">
      <c r="A193" s="26"/>
      <c r="B193" s="83"/>
      <c r="C193" s="26"/>
      <c r="D193" s="26"/>
      <c r="E193" s="26"/>
      <c r="F193" s="26"/>
      <c r="G193" s="26"/>
      <c r="H193" s="26"/>
      <c r="I193" s="63"/>
      <c r="J193" s="34"/>
      <c r="K193" s="63"/>
      <c r="L193" s="34"/>
      <c r="M193" s="26"/>
      <c r="N193" s="20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</row>
    <row r="194" spans="1:25" ht="13">
      <c r="A194" s="26"/>
      <c r="B194" s="83"/>
      <c r="C194" s="26"/>
      <c r="D194" s="26"/>
      <c r="E194" s="26"/>
      <c r="F194" s="26"/>
      <c r="G194" s="26"/>
      <c r="H194" s="26"/>
      <c r="I194" s="26"/>
      <c r="J194" s="34"/>
      <c r="K194" s="63"/>
      <c r="L194" s="26"/>
      <c r="M194" s="26"/>
      <c r="N194" s="20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</row>
    <row r="195" spans="1:25" ht="13">
      <c r="A195" s="26"/>
      <c r="B195" s="83"/>
      <c r="C195" s="26"/>
      <c r="D195" s="26"/>
      <c r="E195" s="26"/>
      <c r="F195" s="26"/>
      <c r="G195" s="26"/>
      <c r="H195" s="26"/>
      <c r="I195" s="26"/>
      <c r="J195" s="34"/>
      <c r="K195" s="63"/>
      <c r="L195" s="26"/>
      <c r="M195" s="26"/>
      <c r="N195" s="20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</row>
    <row r="196" spans="1:25" ht="13">
      <c r="A196" s="26"/>
      <c r="B196" s="83"/>
      <c r="C196" s="26"/>
      <c r="D196" s="26"/>
      <c r="E196" s="26"/>
      <c r="F196" s="26"/>
      <c r="G196" s="26"/>
      <c r="H196" s="26"/>
      <c r="I196" s="26"/>
      <c r="J196" s="34"/>
      <c r="K196" s="63"/>
      <c r="L196" s="26"/>
      <c r="M196" s="26"/>
      <c r="N196" s="20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</row>
    <row r="197" spans="1:25" ht="13">
      <c r="A197" s="26"/>
      <c r="B197" s="83"/>
      <c r="C197" s="26"/>
      <c r="D197" s="26"/>
      <c r="E197" s="26"/>
      <c r="F197" s="26"/>
      <c r="G197" s="26"/>
      <c r="H197" s="26"/>
      <c r="I197" s="26"/>
      <c r="J197" s="34"/>
      <c r="K197" s="63"/>
      <c r="L197" s="26"/>
      <c r="M197" s="26"/>
      <c r="N197" s="20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</row>
    <row r="198" spans="1:25" ht="13">
      <c r="A198" s="26"/>
      <c r="B198" s="83"/>
      <c r="C198" s="26"/>
      <c r="D198" s="26"/>
      <c r="E198" s="26"/>
      <c r="F198" s="26"/>
      <c r="G198" s="26"/>
      <c r="H198" s="26"/>
      <c r="I198" s="26"/>
      <c r="J198" s="34"/>
      <c r="K198" s="63"/>
      <c r="L198" s="26"/>
      <c r="M198" s="26"/>
      <c r="N198" s="20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</row>
    <row r="199" spans="1:25" ht="13">
      <c r="A199" s="26"/>
      <c r="B199" s="83"/>
      <c r="C199" s="26"/>
      <c r="D199" s="26"/>
      <c r="E199" s="26"/>
      <c r="F199" s="26"/>
      <c r="G199" s="26"/>
      <c r="H199" s="26"/>
      <c r="I199" s="26"/>
      <c r="J199" s="34"/>
      <c r="K199" s="63"/>
      <c r="L199" s="26"/>
      <c r="M199" s="26"/>
      <c r="N199" s="20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</row>
    <row r="200" spans="1:25" ht="12">
      <c r="A200" s="251"/>
      <c r="B200" s="251"/>
      <c r="C200" s="251"/>
      <c r="D200" s="251"/>
      <c r="E200" s="251"/>
      <c r="F200" s="251"/>
      <c r="G200" s="251"/>
      <c r="H200" s="251"/>
      <c r="I200" s="251"/>
      <c r="J200" s="251"/>
      <c r="K200" s="251"/>
      <c r="L200" s="251"/>
      <c r="M200" s="251"/>
      <c r="N200" s="251"/>
      <c r="O200" s="251"/>
      <c r="P200" s="251"/>
      <c r="Q200" s="251"/>
      <c r="R200" s="251"/>
      <c r="S200" s="251"/>
      <c r="T200" s="251"/>
      <c r="U200" s="251"/>
      <c r="V200" s="251"/>
      <c r="W200" s="251"/>
      <c r="X200" s="251"/>
      <c r="Y200" s="251"/>
    </row>
    <row r="201" spans="1:25" ht="12">
      <c r="A201" s="251"/>
      <c r="B201" s="251"/>
      <c r="C201" s="251"/>
      <c r="D201" s="251"/>
      <c r="E201" s="251"/>
      <c r="F201" s="251"/>
      <c r="G201" s="251"/>
      <c r="H201" s="251"/>
      <c r="I201" s="251"/>
      <c r="J201" s="251"/>
      <c r="K201" s="251"/>
      <c r="L201" s="251"/>
      <c r="M201" s="251"/>
      <c r="N201" s="251"/>
      <c r="O201" s="251"/>
      <c r="P201" s="251"/>
      <c r="Q201" s="251"/>
      <c r="R201" s="251"/>
      <c r="S201" s="251"/>
      <c r="T201" s="251"/>
      <c r="U201" s="251"/>
      <c r="V201" s="251"/>
      <c r="W201" s="251"/>
      <c r="X201" s="251"/>
      <c r="Y201" s="251"/>
    </row>
    <row r="202" spans="1:25" ht="13">
      <c r="A202" s="26"/>
      <c r="B202" s="83"/>
      <c r="C202" s="26"/>
      <c r="D202" s="26"/>
      <c r="E202" s="26"/>
      <c r="F202" s="26"/>
      <c r="G202" s="26"/>
      <c r="H202" s="26"/>
      <c r="I202" s="26"/>
      <c r="J202" s="34"/>
      <c r="K202" s="63"/>
      <c r="L202" s="26"/>
      <c r="M202" s="26"/>
      <c r="N202" s="20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</row>
    <row r="203" spans="1:25" ht="13">
      <c r="A203" s="26"/>
      <c r="B203" s="83"/>
      <c r="C203" s="26"/>
      <c r="D203" s="26"/>
      <c r="E203" s="26"/>
      <c r="F203" s="26"/>
      <c r="G203" s="26"/>
      <c r="H203" s="26"/>
      <c r="I203" s="26"/>
      <c r="J203" s="34"/>
      <c r="K203" s="63"/>
      <c r="L203" s="26"/>
      <c r="M203" s="26"/>
      <c r="N203" s="20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</row>
    <row r="204" spans="1:25" ht="13">
      <c r="A204" s="26"/>
      <c r="B204" s="83"/>
      <c r="C204" s="26"/>
      <c r="D204" s="26"/>
      <c r="E204" s="26"/>
      <c r="F204" s="26"/>
      <c r="G204" s="26"/>
      <c r="H204" s="26"/>
      <c r="I204" s="26"/>
      <c r="J204" s="34"/>
      <c r="K204" s="63"/>
      <c r="L204" s="26"/>
      <c r="M204" s="26"/>
      <c r="N204" s="20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</row>
    <row r="205" spans="1:25" ht="13">
      <c r="A205" s="26"/>
      <c r="B205" s="83"/>
      <c r="C205" s="26"/>
      <c r="D205" s="26"/>
      <c r="E205" s="26"/>
      <c r="F205" s="26"/>
      <c r="G205" s="26"/>
      <c r="H205" s="26"/>
      <c r="I205" s="26"/>
      <c r="J205" s="34"/>
      <c r="K205" s="63"/>
      <c r="L205" s="26"/>
      <c r="M205" s="26"/>
      <c r="N205" s="20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</row>
    <row r="206" spans="1:25" ht="13">
      <c r="A206" s="26"/>
      <c r="B206" s="83"/>
      <c r="C206" s="26"/>
      <c r="D206" s="26"/>
      <c r="E206" s="26"/>
      <c r="F206" s="26"/>
      <c r="G206" s="26"/>
      <c r="H206" s="26"/>
      <c r="I206" s="26"/>
      <c r="J206" s="34"/>
      <c r="K206" s="63"/>
      <c r="L206" s="26"/>
      <c r="M206" s="26"/>
      <c r="N206" s="20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</row>
    <row r="207" spans="1:25" ht="13">
      <c r="A207" s="26"/>
      <c r="B207" s="83"/>
      <c r="C207" s="26"/>
      <c r="D207" s="26"/>
      <c r="E207" s="26"/>
      <c r="F207" s="26"/>
      <c r="G207" s="26"/>
      <c r="H207" s="26"/>
      <c r="I207" s="26"/>
      <c r="J207" s="34"/>
      <c r="K207" s="63"/>
      <c r="L207" s="26"/>
      <c r="M207" s="26"/>
      <c r="N207" s="20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</row>
    <row r="208" spans="1:25" ht="13">
      <c r="A208" s="26"/>
      <c r="B208" s="83"/>
      <c r="C208" s="26"/>
      <c r="D208" s="26"/>
      <c r="E208" s="26"/>
      <c r="F208" s="26"/>
      <c r="G208" s="26"/>
      <c r="H208" s="26"/>
      <c r="I208" s="26"/>
      <c r="J208" s="34"/>
      <c r="K208" s="63"/>
      <c r="L208" s="26"/>
      <c r="M208" s="26"/>
      <c r="N208" s="20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</row>
    <row r="209" spans="1:25" ht="13">
      <c r="A209" s="26"/>
      <c r="B209" s="83"/>
      <c r="C209" s="26"/>
      <c r="D209" s="26"/>
      <c r="E209" s="26"/>
      <c r="F209" s="26"/>
      <c r="G209" s="26"/>
      <c r="H209" s="26"/>
      <c r="I209" s="26"/>
      <c r="J209" s="34"/>
      <c r="K209" s="63"/>
      <c r="L209" s="26"/>
      <c r="M209" s="26"/>
      <c r="N209" s="20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</row>
    <row r="210" spans="1:25" ht="13">
      <c r="A210" s="26"/>
      <c r="B210" s="83"/>
      <c r="C210" s="26"/>
      <c r="D210" s="26"/>
      <c r="E210" s="26"/>
      <c r="F210" s="26"/>
      <c r="G210" s="26"/>
      <c r="H210" s="26"/>
      <c r="I210" s="26"/>
      <c r="J210" s="34"/>
      <c r="K210" s="63"/>
      <c r="L210" s="26"/>
      <c r="M210" s="26"/>
      <c r="N210" s="20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</row>
    <row r="211" spans="1:25" ht="13">
      <c r="A211" s="26"/>
      <c r="B211" s="83"/>
      <c r="C211" s="26"/>
      <c r="D211" s="26"/>
      <c r="E211" s="26"/>
      <c r="F211" s="26"/>
      <c r="G211" s="26"/>
      <c r="H211" s="26"/>
      <c r="I211" s="26"/>
      <c r="J211" s="34"/>
      <c r="K211" s="63"/>
      <c r="L211" s="26"/>
      <c r="M211" s="26"/>
      <c r="N211" s="20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</row>
    <row r="212" spans="1:25" ht="13">
      <c r="A212" s="26"/>
      <c r="B212" s="83"/>
      <c r="C212" s="26"/>
      <c r="D212" s="26"/>
      <c r="E212" s="26"/>
      <c r="F212" s="26"/>
      <c r="G212" s="26"/>
      <c r="H212" s="26"/>
      <c r="I212" s="26"/>
      <c r="J212" s="34"/>
      <c r="K212" s="63"/>
      <c r="L212" s="26"/>
      <c r="M212" s="26"/>
      <c r="N212" s="20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</row>
    <row r="213" spans="1:25" ht="13">
      <c r="A213" s="26"/>
      <c r="B213" s="83"/>
      <c r="C213" s="26"/>
      <c r="D213" s="26"/>
      <c r="E213" s="26"/>
      <c r="F213" s="26"/>
      <c r="G213" s="26"/>
      <c r="H213" s="26"/>
      <c r="I213" s="26"/>
      <c r="J213" s="34"/>
      <c r="K213" s="63"/>
      <c r="L213" s="26"/>
      <c r="M213" s="26"/>
      <c r="N213" s="20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</row>
    <row r="214" spans="1:25" ht="13">
      <c r="A214" s="26"/>
      <c r="B214" s="83"/>
      <c r="C214" s="26"/>
      <c r="D214" s="26"/>
      <c r="E214" s="26"/>
      <c r="F214" s="26"/>
      <c r="G214" s="26"/>
      <c r="H214" s="26"/>
      <c r="I214" s="26"/>
      <c r="J214" s="34"/>
      <c r="K214" s="63"/>
      <c r="L214" s="26"/>
      <c r="M214" s="26"/>
      <c r="N214" s="20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</row>
    <row r="215" spans="1:25" ht="13">
      <c r="A215" s="26"/>
      <c r="B215" s="83"/>
      <c r="C215" s="26"/>
      <c r="D215" s="26"/>
      <c r="E215" s="26"/>
      <c r="F215" s="26"/>
      <c r="G215" s="26"/>
      <c r="H215" s="26"/>
      <c r="I215" s="26"/>
      <c r="J215" s="34"/>
      <c r="K215" s="63"/>
      <c r="L215" s="26"/>
      <c r="M215" s="26"/>
      <c r="N215" s="20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</row>
    <row r="216" spans="1:25" ht="13">
      <c r="A216" s="26"/>
      <c r="B216" s="83"/>
      <c r="C216" s="26"/>
      <c r="D216" s="26"/>
      <c r="E216" s="26"/>
      <c r="F216" s="26"/>
      <c r="G216" s="26"/>
      <c r="H216" s="26"/>
      <c r="I216" s="26"/>
      <c r="J216" s="34"/>
      <c r="K216" s="63"/>
      <c r="L216" s="26"/>
      <c r="M216" s="26"/>
      <c r="N216" s="20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</row>
    <row r="217" spans="1:25" ht="13">
      <c r="A217" s="26"/>
      <c r="B217" s="83"/>
      <c r="C217" s="26"/>
      <c r="D217" s="26"/>
      <c r="E217" s="26"/>
      <c r="F217" s="26"/>
      <c r="G217" s="26"/>
      <c r="H217" s="26"/>
      <c r="I217" s="63"/>
      <c r="J217" s="34"/>
      <c r="K217" s="63"/>
      <c r="L217" s="34"/>
      <c r="M217" s="26"/>
      <c r="N217" s="20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</row>
    <row r="218" spans="1:25" ht="13">
      <c r="A218" s="26"/>
      <c r="B218" s="83"/>
      <c r="C218" s="26"/>
      <c r="D218" s="26"/>
      <c r="E218" s="26"/>
      <c r="F218" s="26"/>
      <c r="G218" s="26"/>
      <c r="H218" s="26"/>
      <c r="I218" s="63"/>
      <c r="J218" s="34"/>
      <c r="K218" s="63"/>
      <c r="L218" s="34"/>
      <c r="M218" s="26"/>
      <c r="N218" s="20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</row>
    <row r="219" spans="1:25" ht="13">
      <c r="A219" s="26"/>
      <c r="B219" s="83"/>
      <c r="C219" s="26"/>
      <c r="D219" s="26"/>
      <c r="E219" s="26"/>
      <c r="F219" s="26"/>
      <c r="G219" s="26"/>
      <c r="H219" s="26"/>
      <c r="I219" s="26"/>
      <c r="J219" s="34"/>
      <c r="K219" s="63"/>
      <c r="L219" s="26"/>
      <c r="M219" s="26"/>
      <c r="N219" s="20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</row>
    <row r="220" spans="1:25" ht="13">
      <c r="A220" s="26"/>
      <c r="B220" s="83"/>
      <c r="C220" s="26"/>
      <c r="D220" s="26"/>
      <c r="E220" s="26"/>
      <c r="F220" s="26"/>
      <c r="G220" s="26"/>
      <c r="H220" s="26"/>
      <c r="I220" s="26"/>
      <c r="J220" s="34"/>
      <c r="K220" s="63"/>
      <c r="L220" s="26"/>
      <c r="M220" s="26"/>
      <c r="N220" s="20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</row>
    <row r="221" spans="1:25" ht="13">
      <c r="A221" s="26"/>
      <c r="B221" s="83"/>
      <c r="C221" s="26"/>
      <c r="D221" s="26"/>
      <c r="E221" s="26"/>
      <c r="F221" s="26"/>
      <c r="G221" s="26"/>
      <c r="H221" s="26"/>
      <c r="I221" s="26"/>
      <c r="J221" s="34"/>
      <c r="K221" s="63"/>
      <c r="L221" s="26"/>
      <c r="M221" s="26"/>
      <c r="N221" s="20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</row>
    <row r="222" spans="1:25" ht="13">
      <c r="A222" s="26"/>
      <c r="B222" s="83"/>
      <c r="C222" s="26"/>
      <c r="D222" s="26"/>
      <c r="E222" s="26"/>
      <c r="F222" s="26"/>
      <c r="G222" s="26"/>
      <c r="H222" s="26"/>
      <c r="I222" s="26"/>
      <c r="J222" s="34"/>
      <c r="K222" s="63"/>
      <c r="L222" s="26"/>
      <c r="M222" s="26"/>
      <c r="N222" s="20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</row>
    <row r="223" spans="1:25" ht="13">
      <c r="A223" s="26"/>
      <c r="B223" s="83"/>
      <c r="C223" s="26"/>
      <c r="D223" s="26"/>
      <c r="E223" s="26"/>
      <c r="F223" s="26"/>
      <c r="G223" s="26"/>
      <c r="H223" s="26"/>
      <c r="I223" s="26"/>
      <c r="J223" s="34"/>
      <c r="K223" s="63"/>
      <c r="L223" s="26"/>
      <c r="M223" s="26"/>
      <c r="N223" s="20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</row>
    <row r="224" spans="1:25" ht="13">
      <c r="A224" s="26"/>
      <c r="B224" s="83"/>
      <c r="C224" s="26"/>
      <c r="D224" s="26"/>
      <c r="E224" s="26"/>
      <c r="F224" s="26"/>
      <c r="G224" s="26"/>
      <c r="H224" s="26"/>
      <c r="I224" s="26"/>
      <c r="J224" s="34"/>
      <c r="K224" s="63"/>
      <c r="L224" s="26"/>
      <c r="M224" s="26"/>
      <c r="N224" s="20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</row>
    <row r="225" spans="1:25" ht="13">
      <c r="A225" s="26"/>
      <c r="B225" s="83"/>
      <c r="C225" s="26"/>
      <c r="D225" s="26"/>
      <c r="E225" s="26"/>
      <c r="F225" s="26"/>
      <c r="G225" s="26"/>
      <c r="H225" s="26"/>
      <c r="I225" s="26"/>
      <c r="J225" s="34"/>
      <c r="K225" s="63"/>
      <c r="L225" s="26"/>
      <c r="M225" s="26"/>
      <c r="N225" s="20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</row>
    <row r="226" spans="1:25" ht="13">
      <c r="A226" s="26"/>
      <c r="B226" s="83"/>
      <c r="C226" s="26"/>
      <c r="D226" s="26"/>
      <c r="E226" s="26"/>
      <c r="F226" s="26"/>
      <c r="G226" s="26"/>
      <c r="H226" s="26"/>
      <c r="I226" s="26"/>
      <c r="J226" s="34"/>
      <c r="K226" s="63"/>
      <c r="L226" s="26"/>
      <c r="M226" s="26"/>
      <c r="N226" s="20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</row>
    <row r="227" spans="1:25" ht="13">
      <c r="A227" s="26"/>
      <c r="B227" s="83"/>
      <c r="C227" s="26"/>
      <c r="D227" s="26"/>
      <c r="E227" s="26"/>
      <c r="F227" s="26"/>
      <c r="G227" s="26"/>
      <c r="H227" s="26"/>
      <c r="I227" s="26"/>
      <c r="J227" s="34"/>
      <c r="K227" s="63"/>
      <c r="L227" s="26"/>
      <c r="M227" s="26"/>
      <c r="N227" s="20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</row>
    <row r="228" spans="1:25" ht="13">
      <c r="A228" s="26"/>
      <c r="B228" s="83"/>
      <c r="C228" s="26"/>
      <c r="D228" s="26"/>
      <c r="E228" s="26"/>
      <c r="F228" s="26"/>
      <c r="G228" s="26"/>
      <c r="H228" s="26"/>
      <c r="I228" s="26"/>
      <c r="J228" s="34"/>
      <c r="K228" s="63"/>
      <c r="L228" s="26"/>
      <c r="M228" s="26"/>
      <c r="N228" s="20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</row>
    <row r="229" spans="1:25" ht="13">
      <c r="A229" s="26"/>
      <c r="B229" s="83"/>
      <c r="C229" s="26"/>
      <c r="D229" s="26"/>
      <c r="E229" s="26"/>
      <c r="F229" s="26"/>
      <c r="G229" s="26"/>
      <c r="H229" s="26"/>
      <c r="I229" s="26"/>
      <c r="J229" s="34"/>
      <c r="K229" s="63"/>
      <c r="L229" s="26"/>
      <c r="M229" s="26"/>
      <c r="N229" s="20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</row>
    <row r="230" spans="1:25" ht="13">
      <c r="A230" s="26"/>
      <c r="B230" s="83"/>
      <c r="C230" s="26"/>
      <c r="D230" s="26"/>
      <c r="E230" s="26"/>
      <c r="F230" s="26"/>
      <c r="G230" s="26"/>
      <c r="H230" s="26"/>
      <c r="I230" s="26"/>
      <c r="J230" s="34"/>
      <c r="K230" s="63"/>
      <c r="L230" s="26"/>
      <c r="M230" s="26"/>
      <c r="N230" s="20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</row>
    <row r="231" spans="1:25" ht="19.5" customHeight="1">
      <c r="A231" s="251"/>
      <c r="B231" s="251"/>
      <c r="C231" s="251"/>
      <c r="D231" s="251"/>
      <c r="E231" s="251"/>
      <c r="F231" s="251"/>
      <c r="G231" s="251"/>
      <c r="H231" s="251"/>
      <c r="I231" s="251"/>
      <c r="J231" s="441"/>
      <c r="K231" s="459"/>
      <c r="L231" s="251"/>
      <c r="M231" s="251"/>
      <c r="N231" s="251"/>
      <c r="O231" s="251"/>
      <c r="P231" s="251"/>
      <c r="Q231" s="251"/>
      <c r="R231" s="251"/>
      <c r="S231" s="251"/>
      <c r="T231" s="251"/>
      <c r="U231" s="251"/>
      <c r="V231" s="251"/>
      <c r="W231" s="251"/>
      <c r="X231" s="251"/>
      <c r="Y231" s="251"/>
    </row>
    <row r="232" spans="1:25" ht="24" customHeight="1">
      <c r="A232" s="251"/>
      <c r="B232" s="251"/>
      <c r="C232" s="251"/>
      <c r="D232" s="251"/>
      <c r="E232" s="251"/>
      <c r="F232" s="251"/>
      <c r="G232" s="251"/>
      <c r="H232" s="251"/>
      <c r="I232" s="251"/>
      <c r="J232" s="441"/>
      <c r="K232" s="459"/>
      <c r="L232" s="251"/>
      <c r="M232" s="251"/>
      <c r="N232" s="251"/>
      <c r="O232" s="251"/>
      <c r="P232" s="251"/>
      <c r="Q232" s="251"/>
      <c r="R232" s="251"/>
      <c r="S232" s="251"/>
      <c r="T232" s="251"/>
      <c r="U232" s="251"/>
      <c r="V232" s="251"/>
      <c r="W232" s="251"/>
      <c r="X232" s="251"/>
      <c r="Y232" s="251"/>
    </row>
    <row r="233" spans="1:25" ht="29.25" customHeight="1">
      <c r="A233" s="251"/>
      <c r="B233" s="251"/>
      <c r="C233" s="251"/>
      <c r="D233" s="251"/>
      <c r="E233" s="251"/>
      <c r="F233" s="251"/>
      <c r="G233" s="251"/>
      <c r="H233" s="251"/>
      <c r="I233" s="251"/>
      <c r="J233" s="441"/>
      <c r="K233" s="459"/>
      <c r="L233" s="251"/>
      <c r="M233" s="251"/>
      <c r="N233" s="251"/>
      <c r="O233" s="251"/>
      <c r="P233" s="251"/>
      <c r="Q233" s="251"/>
      <c r="R233" s="251"/>
      <c r="S233" s="251"/>
      <c r="T233" s="251"/>
      <c r="U233" s="251"/>
      <c r="V233" s="251"/>
      <c r="W233" s="251"/>
      <c r="X233" s="251"/>
      <c r="Y233" s="251"/>
    </row>
    <row r="234" spans="1:25" ht="12">
      <c r="A234" s="251"/>
      <c r="B234" s="251"/>
      <c r="C234" s="251"/>
      <c r="D234" s="251"/>
      <c r="E234" s="251"/>
      <c r="F234" s="251"/>
      <c r="G234" s="251"/>
      <c r="H234" s="251"/>
      <c r="I234" s="251"/>
      <c r="J234" s="441"/>
      <c r="K234" s="459"/>
      <c r="L234" s="251"/>
      <c r="M234" s="251"/>
      <c r="N234" s="251"/>
      <c r="O234" s="251"/>
      <c r="P234" s="251"/>
      <c r="Q234" s="251"/>
      <c r="R234" s="251"/>
      <c r="S234" s="251"/>
      <c r="T234" s="251"/>
      <c r="U234" s="251"/>
      <c r="V234" s="251"/>
      <c r="W234" s="251"/>
      <c r="X234" s="251"/>
      <c r="Y234" s="251"/>
    </row>
    <row r="235" spans="1:25" ht="12">
      <c r="A235" s="251"/>
      <c r="B235" s="251"/>
      <c r="C235" s="251"/>
      <c r="D235" s="251"/>
      <c r="E235" s="251"/>
      <c r="F235" s="251"/>
      <c r="G235" s="251"/>
      <c r="H235" s="251"/>
      <c r="I235" s="251"/>
      <c r="J235" s="441"/>
      <c r="K235" s="459"/>
      <c r="L235" s="251"/>
      <c r="M235" s="251"/>
      <c r="N235" s="251"/>
      <c r="O235" s="251"/>
      <c r="P235" s="251"/>
      <c r="Q235" s="251"/>
      <c r="R235" s="251"/>
      <c r="S235" s="251"/>
      <c r="T235" s="251"/>
      <c r="U235" s="251"/>
      <c r="V235" s="251"/>
      <c r="W235" s="251"/>
      <c r="X235" s="251"/>
      <c r="Y235" s="251"/>
    </row>
    <row r="236" spans="1:25" ht="12">
      <c r="A236" s="251"/>
      <c r="B236" s="251"/>
      <c r="C236" s="251"/>
      <c r="D236" s="251"/>
      <c r="E236" s="251"/>
      <c r="F236" s="251"/>
      <c r="G236" s="251"/>
      <c r="H236" s="251"/>
      <c r="I236" s="251"/>
      <c r="J236" s="441"/>
      <c r="K236" s="459"/>
      <c r="L236" s="251"/>
      <c r="M236" s="251"/>
      <c r="N236" s="251"/>
      <c r="O236" s="251"/>
      <c r="P236" s="251"/>
      <c r="Q236" s="251"/>
      <c r="R236" s="251"/>
      <c r="S236" s="251"/>
      <c r="T236" s="251"/>
      <c r="U236" s="251"/>
      <c r="V236" s="251"/>
      <c r="W236" s="251"/>
      <c r="X236" s="251"/>
      <c r="Y236" s="251"/>
    </row>
    <row r="237" spans="1:25" ht="13">
      <c r="A237" s="26"/>
      <c r="B237" s="83"/>
      <c r="C237" s="26"/>
      <c r="D237" s="26"/>
      <c r="E237" s="26"/>
      <c r="F237" s="26"/>
      <c r="G237" s="26"/>
      <c r="H237" s="26"/>
      <c r="I237" s="26"/>
      <c r="J237" s="34"/>
      <c r="K237" s="63"/>
      <c r="L237" s="26"/>
      <c r="M237" s="26"/>
      <c r="N237" s="20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</row>
    <row r="238" spans="1:25" ht="13">
      <c r="A238" s="26"/>
      <c r="B238" s="83"/>
      <c r="C238" s="26"/>
      <c r="D238" s="26"/>
      <c r="E238" s="26"/>
      <c r="F238" s="26"/>
      <c r="G238" s="26"/>
      <c r="H238" s="26"/>
      <c r="I238" s="26"/>
      <c r="J238" s="34"/>
      <c r="K238" s="63"/>
      <c r="L238" s="26"/>
      <c r="M238" s="26"/>
      <c r="N238" s="20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</row>
    <row r="239" spans="1:25" ht="13">
      <c r="A239" s="26"/>
      <c r="B239" s="83"/>
      <c r="C239" s="26"/>
      <c r="D239" s="26"/>
      <c r="E239" s="26"/>
      <c r="F239" s="26"/>
      <c r="G239" s="26"/>
      <c r="H239" s="26"/>
      <c r="I239" s="26"/>
      <c r="J239" s="34"/>
      <c r="K239" s="63"/>
      <c r="L239" s="26"/>
      <c r="M239" s="26"/>
      <c r="N239" s="20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</row>
    <row r="240" spans="1:25" ht="13">
      <c r="A240" s="26"/>
      <c r="B240" s="83"/>
      <c r="C240" s="26"/>
      <c r="D240" s="26"/>
      <c r="E240" s="26"/>
      <c r="F240" s="26"/>
      <c r="G240" s="26"/>
      <c r="H240" s="26"/>
      <c r="I240" s="26"/>
      <c r="J240" s="34"/>
      <c r="K240" s="63"/>
      <c r="L240" s="26"/>
      <c r="M240" s="26"/>
      <c r="N240" s="20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</row>
    <row r="241" spans="1:25" ht="13">
      <c r="A241" s="26"/>
      <c r="B241" s="83"/>
      <c r="C241" s="26"/>
      <c r="D241" s="26"/>
      <c r="E241" s="26"/>
      <c r="F241" s="26"/>
      <c r="G241" s="26"/>
      <c r="H241" s="26"/>
      <c r="I241" s="26"/>
      <c r="J241" s="34"/>
      <c r="K241" s="63"/>
      <c r="L241" s="26"/>
      <c r="M241" s="26"/>
      <c r="N241" s="20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</row>
    <row r="242" spans="1:25" ht="13">
      <c r="A242" s="26"/>
      <c r="B242" s="83"/>
      <c r="C242" s="26"/>
      <c r="D242" s="26"/>
      <c r="E242" s="26"/>
      <c r="F242" s="26"/>
      <c r="G242" s="26"/>
      <c r="H242" s="26"/>
      <c r="I242" s="26"/>
      <c r="J242" s="34"/>
      <c r="K242" s="63"/>
      <c r="L242" s="26"/>
      <c r="M242" s="26"/>
      <c r="N242" s="20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</row>
    <row r="243" spans="1:25" ht="13">
      <c r="A243" s="26"/>
      <c r="B243" s="83"/>
      <c r="C243" s="26"/>
      <c r="D243" s="26"/>
      <c r="E243" s="26"/>
      <c r="F243" s="26"/>
      <c r="G243" s="26"/>
      <c r="H243" s="26"/>
      <c r="I243" s="26"/>
      <c r="J243" s="34"/>
      <c r="K243" s="63"/>
      <c r="L243" s="26"/>
      <c r="M243" s="26"/>
      <c r="N243" s="20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</row>
    <row r="244" spans="1:25" ht="13">
      <c r="A244" s="26"/>
      <c r="B244" s="83"/>
      <c r="C244" s="26"/>
      <c r="D244" s="26"/>
      <c r="E244" s="26"/>
      <c r="F244" s="26"/>
      <c r="G244" s="26"/>
      <c r="H244" s="26"/>
      <c r="I244" s="26"/>
      <c r="J244" s="34"/>
      <c r="K244" s="63"/>
      <c r="L244" s="26"/>
      <c r="M244" s="26"/>
      <c r="N244" s="20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</row>
    <row r="245" spans="1:25" ht="13">
      <c r="A245" s="26"/>
      <c r="B245" s="83"/>
      <c r="C245" s="26"/>
      <c r="D245" s="26"/>
      <c r="E245" s="26"/>
      <c r="F245" s="26"/>
      <c r="G245" s="26"/>
      <c r="H245" s="26"/>
      <c r="I245" s="26"/>
      <c r="J245" s="34"/>
      <c r="K245" s="63"/>
      <c r="L245" s="26"/>
      <c r="M245" s="26"/>
      <c r="N245" s="20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</row>
    <row r="246" spans="1:25" ht="13">
      <c r="A246" s="26"/>
      <c r="B246" s="83"/>
      <c r="C246" s="26"/>
      <c r="D246" s="26"/>
      <c r="E246" s="26"/>
      <c r="F246" s="26"/>
      <c r="G246" s="26"/>
      <c r="H246" s="26"/>
      <c r="I246" s="26"/>
      <c r="J246" s="34"/>
      <c r="K246" s="63"/>
      <c r="L246" s="26"/>
      <c r="M246" s="26"/>
      <c r="N246" s="20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</row>
    <row r="247" spans="1:25" ht="13">
      <c r="A247" s="26"/>
      <c r="B247" s="83"/>
      <c r="C247" s="26"/>
      <c r="D247" s="26"/>
      <c r="E247" s="26"/>
      <c r="F247" s="26"/>
      <c r="G247" s="26"/>
      <c r="H247" s="26"/>
      <c r="I247" s="26"/>
      <c r="J247" s="34"/>
      <c r="K247" s="63"/>
      <c r="L247" s="26"/>
      <c r="M247" s="26"/>
      <c r="N247" s="20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</row>
    <row r="248" spans="1:25" ht="13">
      <c r="A248" s="26"/>
      <c r="B248" s="83"/>
      <c r="C248" s="26"/>
      <c r="D248" s="26"/>
      <c r="E248" s="26"/>
      <c r="F248" s="26"/>
      <c r="G248" s="26"/>
      <c r="H248" s="26"/>
      <c r="I248" s="26"/>
      <c r="J248" s="34"/>
      <c r="K248" s="63"/>
      <c r="L248" s="26"/>
      <c r="M248" s="26"/>
      <c r="N248" s="20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</row>
    <row r="249" spans="1:25" ht="13">
      <c r="A249" s="26"/>
      <c r="B249" s="83"/>
      <c r="C249" s="26"/>
      <c r="D249" s="26"/>
      <c r="E249" s="26"/>
      <c r="F249" s="26"/>
      <c r="G249" s="26"/>
      <c r="H249" s="26"/>
      <c r="I249" s="26"/>
      <c r="J249" s="34"/>
      <c r="K249" s="63"/>
      <c r="L249" s="26"/>
      <c r="M249" s="26"/>
      <c r="N249" s="20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</row>
    <row r="250" spans="1:25" ht="13">
      <c r="A250" s="26"/>
      <c r="B250" s="83"/>
      <c r="C250" s="26"/>
      <c r="D250" s="26"/>
      <c r="E250" s="26"/>
      <c r="F250" s="26"/>
      <c r="G250" s="26"/>
      <c r="H250" s="26"/>
      <c r="I250" s="26"/>
      <c r="J250" s="34"/>
      <c r="K250" s="63"/>
      <c r="L250" s="26"/>
      <c r="M250" s="26"/>
      <c r="N250" s="20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</row>
    <row r="251" spans="1:25" ht="13">
      <c r="A251" s="26"/>
      <c r="B251" s="83"/>
      <c r="C251" s="26"/>
      <c r="D251" s="26"/>
      <c r="E251" s="26"/>
      <c r="F251" s="26"/>
      <c r="G251" s="26"/>
      <c r="H251" s="26"/>
      <c r="I251" s="26"/>
      <c r="J251" s="34"/>
      <c r="K251" s="63"/>
      <c r="L251" s="26"/>
      <c r="M251" s="26"/>
      <c r="N251" s="20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</row>
    <row r="252" spans="1:25" ht="13">
      <c r="A252" s="26"/>
      <c r="B252" s="83"/>
      <c r="C252" s="26"/>
      <c r="D252" s="26"/>
      <c r="E252" s="26"/>
      <c r="F252" s="26"/>
      <c r="G252" s="26"/>
      <c r="H252" s="26"/>
      <c r="I252" s="26"/>
      <c r="J252" s="34"/>
      <c r="K252" s="63"/>
      <c r="L252" s="26"/>
      <c r="M252" s="26"/>
      <c r="N252" s="20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</row>
    <row r="253" spans="1:25" ht="13">
      <c r="A253" s="26"/>
      <c r="B253" s="83"/>
      <c r="C253" s="26"/>
      <c r="D253" s="26"/>
      <c r="E253" s="26"/>
      <c r="F253" s="26"/>
      <c r="G253" s="26"/>
      <c r="H253" s="26"/>
      <c r="I253" s="26"/>
      <c r="J253" s="34"/>
      <c r="K253" s="63"/>
      <c r="L253" s="26"/>
      <c r="M253" s="26"/>
      <c r="N253" s="20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</row>
    <row r="254" spans="1:25" ht="13">
      <c r="A254" s="26"/>
      <c r="B254" s="83"/>
      <c r="C254" s="26"/>
      <c r="D254" s="26"/>
      <c r="E254" s="26"/>
      <c r="F254" s="26"/>
      <c r="G254" s="26"/>
      <c r="H254" s="26"/>
      <c r="I254" s="26"/>
      <c r="J254" s="34"/>
      <c r="K254" s="63"/>
      <c r="L254" s="26"/>
      <c r="M254" s="26"/>
      <c r="N254" s="20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</row>
    <row r="255" spans="1:25" ht="13">
      <c r="A255" s="26"/>
      <c r="B255" s="83"/>
      <c r="C255" s="26"/>
      <c r="D255" s="26"/>
      <c r="E255" s="26"/>
      <c r="F255" s="26"/>
      <c r="G255" s="26"/>
      <c r="H255" s="26"/>
      <c r="I255" s="26"/>
      <c r="J255" s="34"/>
      <c r="K255" s="63"/>
      <c r="L255" s="26"/>
      <c r="M255" s="26"/>
      <c r="N255" s="20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</row>
    <row r="256" spans="1:25" ht="13">
      <c r="A256" s="26"/>
      <c r="B256" s="83"/>
      <c r="C256" s="26"/>
      <c r="D256" s="26"/>
      <c r="E256" s="26"/>
      <c r="F256" s="26"/>
      <c r="G256" s="26"/>
      <c r="H256" s="26"/>
      <c r="I256" s="26"/>
      <c r="J256" s="34"/>
      <c r="K256" s="63"/>
      <c r="L256" s="26"/>
      <c r="M256" s="26"/>
      <c r="N256" s="20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</row>
    <row r="257" spans="1:25" ht="13">
      <c r="A257" s="26"/>
      <c r="B257" s="83"/>
      <c r="C257" s="26"/>
      <c r="D257" s="26"/>
      <c r="E257" s="26"/>
      <c r="F257" s="26"/>
      <c r="G257" s="26"/>
      <c r="H257" s="26"/>
      <c r="I257" s="26"/>
      <c r="J257" s="34"/>
      <c r="K257" s="63"/>
      <c r="L257" s="26"/>
      <c r="M257" s="26"/>
      <c r="N257" s="20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</row>
    <row r="258" spans="1:25" ht="13">
      <c r="A258" s="26"/>
      <c r="B258" s="83"/>
      <c r="C258" s="26"/>
      <c r="D258" s="26"/>
      <c r="E258" s="26"/>
      <c r="F258" s="26"/>
      <c r="G258" s="26"/>
      <c r="H258" s="26"/>
      <c r="I258" s="26"/>
      <c r="J258" s="34"/>
      <c r="K258" s="63"/>
      <c r="L258" s="26"/>
      <c r="M258" s="26"/>
      <c r="N258" s="20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</row>
    <row r="259" spans="1:25" ht="13">
      <c r="A259" s="26"/>
      <c r="B259" s="83"/>
      <c r="C259" s="26"/>
      <c r="D259" s="26"/>
      <c r="E259" s="26"/>
      <c r="F259" s="26"/>
      <c r="G259" s="26"/>
      <c r="H259" s="26"/>
      <c r="I259" s="26"/>
      <c r="J259" s="34"/>
      <c r="K259" s="63"/>
      <c r="L259" s="26"/>
      <c r="M259" s="26"/>
      <c r="N259" s="20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</row>
    <row r="260" spans="1:25" ht="13">
      <c r="A260" s="26"/>
      <c r="B260" s="83"/>
      <c r="C260" s="26"/>
      <c r="D260" s="26"/>
      <c r="E260" s="26"/>
      <c r="F260" s="26"/>
      <c r="G260" s="26"/>
      <c r="H260" s="26"/>
      <c r="I260" s="26"/>
      <c r="J260" s="34"/>
      <c r="K260" s="63"/>
      <c r="L260" s="26"/>
      <c r="M260" s="26"/>
      <c r="N260" s="20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</row>
    <row r="261" spans="1:25" ht="13">
      <c r="A261" s="26"/>
      <c r="B261" s="83"/>
      <c r="C261" s="26"/>
      <c r="D261" s="26"/>
      <c r="E261" s="26"/>
      <c r="F261" s="26"/>
      <c r="G261" s="26"/>
      <c r="H261" s="26"/>
      <c r="I261" s="26"/>
      <c r="J261" s="34"/>
      <c r="K261" s="63"/>
      <c r="L261" s="26"/>
      <c r="M261" s="26"/>
      <c r="N261" s="20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</row>
    <row r="262" spans="1:25" ht="13">
      <c r="A262" s="26"/>
      <c r="B262" s="83"/>
      <c r="C262" s="26"/>
      <c r="D262" s="26"/>
      <c r="E262" s="26"/>
      <c r="F262" s="26"/>
      <c r="G262" s="26"/>
      <c r="H262" s="26"/>
      <c r="I262" s="26"/>
      <c r="J262" s="34"/>
      <c r="K262" s="63"/>
      <c r="L262" s="26"/>
      <c r="M262" s="26"/>
      <c r="N262" s="20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</row>
    <row r="263" spans="1:25" ht="13">
      <c r="A263" s="26"/>
      <c r="B263" s="83"/>
      <c r="C263" s="26"/>
      <c r="D263" s="26"/>
      <c r="E263" s="26"/>
      <c r="F263" s="26"/>
      <c r="G263" s="26"/>
      <c r="H263" s="26"/>
      <c r="I263" s="26"/>
      <c r="J263" s="34"/>
      <c r="K263" s="63"/>
      <c r="L263" s="26"/>
      <c r="M263" s="26"/>
      <c r="N263" s="20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</row>
    <row r="264" spans="1:25" ht="13">
      <c r="A264" s="26"/>
      <c r="B264" s="83"/>
      <c r="C264" s="26"/>
      <c r="D264" s="26"/>
      <c r="E264" s="26"/>
      <c r="F264" s="26"/>
      <c r="G264" s="26"/>
      <c r="H264" s="26"/>
      <c r="I264" s="26"/>
      <c r="J264" s="34"/>
      <c r="K264" s="63"/>
      <c r="L264" s="26"/>
      <c r="M264" s="26"/>
      <c r="N264" s="20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</row>
    <row r="265" spans="1:25" ht="13">
      <c r="A265" s="26"/>
      <c r="B265" s="83"/>
      <c r="C265" s="26"/>
      <c r="D265" s="26"/>
      <c r="E265" s="26"/>
      <c r="F265" s="26"/>
      <c r="G265" s="26"/>
      <c r="H265" s="26"/>
      <c r="I265" s="26"/>
      <c r="J265" s="34"/>
      <c r="K265" s="63"/>
      <c r="L265" s="26"/>
      <c r="M265" s="26"/>
      <c r="N265" s="20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</row>
    <row r="266" spans="1:25" ht="13">
      <c r="A266" s="26"/>
      <c r="B266" s="83"/>
      <c r="C266" s="26"/>
      <c r="D266" s="26"/>
      <c r="E266" s="26"/>
      <c r="F266" s="26"/>
      <c r="G266" s="26"/>
      <c r="H266" s="26"/>
      <c r="I266" s="26"/>
      <c r="J266" s="34"/>
      <c r="K266" s="63"/>
      <c r="L266" s="26"/>
      <c r="M266" s="26"/>
      <c r="N266" s="20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</row>
    <row r="267" spans="1:25" ht="13">
      <c r="A267" s="26"/>
      <c r="B267" s="83"/>
      <c r="C267" s="26"/>
      <c r="D267" s="26"/>
      <c r="E267" s="26"/>
      <c r="F267" s="26"/>
      <c r="G267" s="26"/>
      <c r="H267" s="26"/>
      <c r="I267" s="26"/>
      <c r="J267" s="34"/>
      <c r="K267" s="63"/>
      <c r="L267" s="26"/>
      <c r="M267" s="26"/>
      <c r="N267" s="20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</row>
    <row r="268" spans="1:25" ht="13">
      <c r="A268" s="26"/>
      <c r="B268" s="83"/>
      <c r="C268" s="26"/>
      <c r="D268" s="26"/>
      <c r="E268" s="26"/>
      <c r="F268" s="26"/>
      <c r="G268" s="26"/>
      <c r="H268" s="26"/>
      <c r="I268" s="26"/>
      <c r="J268" s="34"/>
      <c r="K268" s="63"/>
      <c r="L268" s="26"/>
      <c r="M268" s="26"/>
      <c r="N268" s="20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</row>
    <row r="269" spans="1:25" ht="13">
      <c r="A269" s="26"/>
      <c r="B269" s="83"/>
      <c r="C269" s="26"/>
      <c r="D269" s="26"/>
      <c r="E269" s="26"/>
      <c r="F269" s="26"/>
      <c r="G269" s="26"/>
      <c r="H269" s="26"/>
      <c r="I269" s="26"/>
      <c r="J269" s="34"/>
      <c r="K269" s="63"/>
      <c r="L269" s="26"/>
      <c r="M269" s="26"/>
      <c r="N269" s="20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</row>
    <row r="270" spans="1:25" ht="13">
      <c r="A270" s="26"/>
      <c r="B270" s="83"/>
      <c r="C270" s="26"/>
      <c r="D270" s="26"/>
      <c r="E270" s="26"/>
      <c r="F270" s="26"/>
      <c r="G270" s="26"/>
      <c r="H270" s="26"/>
      <c r="I270" s="26"/>
      <c r="J270" s="34"/>
      <c r="K270" s="63"/>
      <c r="L270" s="26"/>
      <c r="M270" s="26"/>
      <c r="N270" s="20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</row>
    <row r="271" spans="1:25" ht="13">
      <c r="A271" s="26"/>
      <c r="B271" s="83"/>
      <c r="C271" s="26"/>
      <c r="D271" s="26"/>
      <c r="E271" s="26"/>
      <c r="F271" s="26"/>
      <c r="G271" s="26"/>
      <c r="H271" s="26"/>
      <c r="I271" s="26"/>
      <c r="J271" s="34"/>
      <c r="K271" s="63"/>
      <c r="L271" s="26"/>
      <c r="M271" s="26"/>
      <c r="N271" s="20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</row>
    <row r="272" spans="1:25" ht="13">
      <c r="A272" s="26"/>
      <c r="B272" s="83"/>
      <c r="C272" s="26"/>
      <c r="D272" s="26"/>
      <c r="E272" s="26"/>
      <c r="F272" s="26"/>
      <c r="G272" s="26"/>
      <c r="H272" s="26"/>
      <c r="I272" s="26"/>
      <c r="J272" s="34"/>
      <c r="K272" s="63"/>
      <c r="L272" s="26"/>
      <c r="M272" s="26"/>
      <c r="N272" s="20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</row>
    <row r="273" spans="1:25" ht="13">
      <c r="A273" s="26"/>
      <c r="B273" s="83"/>
      <c r="C273" s="26"/>
      <c r="D273" s="26"/>
      <c r="E273" s="26"/>
      <c r="F273" s="26"/>
      <c r="G273" s="26"/>
      <c r="H273" s="26"/>
      <c r="I273" s="26"/>
      <c r="J273" s="34"/>
      <c r="K273" s="63"/>
      <c r="L273" s="26"/>
      <c r="M273" s="26"/>
      <c r="N273" s="20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</row>
    <row r="274" spans="1:25" ht="13">
      <c r="A274" s="26"/>
      <c r="B274" s="83"/>
      <c r="C274" s="26"/>
      <c r="D274" s="26"/>
      <c r="E274" s="26"/>
      <c r="F274" s="26"/>
      <c r="G274" s="26"/>
      <c r="H274" s="26"/>
      <c r="I274" s="26"/>
      <c r="J274" s="34"/>
      <c r="K274" s="63"/>
      <c r="L274" s="26"/>
      <c r="M274" s="26"/>
      <c r="N274" s="20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</row>
    <row r="275" spans="1:25" ht="13">
      <c r="A275" s="26"/>
      <c r="B275" s="83"/>
      <c r="C275" s="26"/>
      <c r="D275" s="26"/>
      <c r="E275" s="26"/>
      <c r="F275" s="26"/>
      <c r="G275" s="26"/>
      <c r="H275" s="26"/>
      <c r="I275" s="26"/>
      <c r="J275" s="34"/>
      <c r="K275" s="63"/>
      <c r="L275" s="26"/>
      <c r="M275" s="26"/>
      <c r="N275" s="20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</row>
    <row r="276" spans="1:25" ht="13">
      <c r="A276" s="26"/>
      <c r="B276" s="83"/>
      <c r="C276" s="26"/>
      <c r="D276" s="26"/>
      <c r="E276" s="26"/>
      <c r="F276" s="26"/>
      <c r="G276" s="26"/>
      <c r="H276" s="26"/>
      <c r="I276" s="26"/>
      <c r="J276" s="34"/>
      <c r="K276" s="63"/>
      <c r="L276" s="26"/>
      <c r="M276" s="26"/>
      <c r="N276" s="20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</row>
    <row r="277" spans="1:25" ht="13">
      <c r="A277" s="26"/>
      <c r="B277" s="83"/>
      <c r="C277" s="26"/>
      <c r="D277" s="26"/>
      <c r="E277" s="26"/>
      <c r="F277" s="26"/>
      <c r="G277" s="26"/>
      <c r="H277" s="26"/>
      <c r="I277" s="26"/>
      <c r="J277" s="34"/>
      <c r="K277" s="63"/>
      <c r="L277" s="26"/>
      <c r="M277" s="26"/>
      <c r="N277" s="20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</row>
    <row r="278" spans="1:25" ht="13">
      <c r="A278" s="26"/>
      <c r="B278" s="83"/>
      <c r="C278" s="26"/>
      <c r="D278" s="26"/>
      <c r="E278" s="26"/>
      <c r="F278" s="26"/>
      <c r="G278" s="26"/>
      <c r="H278" s="26"/>
      <c r="I278" s="26"/>
      <c r="J278" s="34"/>
      <c r="K278" s="63"/>
      <c r="L278" s="26"/>
      <c r="M278" s="26"/>
      <c r="N278" s="20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</row>
    <row r="279" spans="1:25" ht="13">
      <c r="A279" s="26"/>
      <c r="B279" s="83"/>
      <c r="C279" s="26"/>
      <c r="D279" s="26"/>
      <c r="E279" s="26"/>
      <c r="F279" s="26"/>
      <c r="G279" s="26"/>
      <c r="H279" s="26"/>
      <c r="I279" s="26"/>
      <c r="J279" s="34"/>
      <c r="K279" s="63"/>
      <c r="L279" s="26"/>
      <c r="M279" s="26"/>
      <c r="N279" s="20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</row>
    <row r="280" spans="1:25" ht="13">
      <c r="A280" s="26"/>
      <c r="B280" s="83"/>
      <c r="C280" s="26"/>
      <c r="D280" s="26"/>
      <c r="E280" s="26"/>
      <c r="F280" s="26"/>
      <c r="G280" s="26"/>
      <c r="H280" s="26"/>
      <c r="I280" s="26"/>
      <c r="J280" s="34"/>
      <c r="K280" s="63"/>
      <c r="L280" s="26"/>
      <c r="M280" s="26"/>
      <c r="N280" s="20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</row>
    <row r="281" spans="1:25" ht="13">
      <c r="A281" s="26"/>
      <c r="B281" s="83"/>
      <c r="C281" s="26"/>
      <c r="D281" s="26"/>
      <c r="E281" s="26"/>
      <c r="F281" s="26"/>
      <c r="G281" s="26"/>
      <c r="H281" s="26"/>
      <c r="I281" s="26"/>
      <c r="J281" s="34"/>
      <c r="K281" s="63"/>
      <c r="L281" s="26"/>
      <c r="M281" s="26"/>
      <c r="N281" s="20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</row>
    <row r="282" spans="1:25" ht="13">
      <c r="A282" s="26"/>
      <c r="B282" s="83"/>
      <c r="C282" s="26"/>
      <c r="D282" s="26"/>
      <c r="E282" s="26"/>
      <c r="F282" s="26"/>
      <c r="G282" s="26"/>
      <c r="H282" s="26"/>
      <c r="I282" s="26"/>
      <c r="J282" s="34"/>
      <c r="K282" s="63"/>
      <c r="L282" s="26"/>
      <c r="M282" s="26"/>
      <c r="N282" s="20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</row>
    <row r="283" spans="1:25" ht="13">
      <c r="A283" s="26"/>
      <c r="B283" s="83"/>
      <c r="C283" s="26"/>
      <c r="D283" s="26"/>
      <c r="E283" s="26"/>
      <c r="F283" s="26"/>
      <c r="G283" s="26"/>
      <c r="H283" s="26"/>
      <c r="I283" s="26"/>
      <c r="J283" s="34"/>
      <c r="K283" s="63"/>
      <c r="L283" s="26"/>
      <c r="M283" s="26"/>
      <c r="N283" s="20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</row>
    <row r="284" spans="1:25" ht="13">
      <c r="A284" s="26"/>
      <c r="B284" s="83"/>
      <c r="C284" s="26"/>
      <c r="D284" s="26"/>
      <c r="E284" s="26"/>
      <c r="F284" s="26"/>
      <c r="G284" s="26"/>
      <c r="H284" s="26"/>
      <c r="I284" s="26"/>
      <c r="J284" s="34"/>
      <c r="K284" s="63"/>
      <c r="L284" s="26"/>
      <c r="M284" s="26"/>
      <c r="N284" s="20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</row>
    <row r="285" spans="1:25" ht="13">
      <c r="A285" s="26"/>
      <c r="B285" s="83"/>
      <c r="C285" s="26"/>
      <c r="D285" s="26"/>
      <c r="E285" s="26"/>
      <c r="F285" s="26"/>
      <c r="G285" s="26"/>
      <c r="H285" s="26"/>
      <c r="I285" s="26"/>
      <c r="J285" s="34"/>
      <c r="K285" s="63"/>
      <c r="L285" s="26"/>
      <c r="M285" s="26"/>
      <c r="N285" s="20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</row>
    <row r="286" spans="1:25" ht="13">
      <c r="A286" s="26"/>
      <c r="B286" s="83"/>
      <c r="C286" s="26"/>
      <c r="D286" s="26"/>
      <c r="E286" s="26"/>
      <c r="F286" s="26"/>
      <c r="G286" s="26"/>
      <c r="H286" s="26"/>
      <c r="I286" s="26"/>
      <c r="J286" s="34"/>
      <c r="K286" s="63"/>
      <c r="L286" s="26"/>
      <c r="M286" s="26"/>
      <c r="N286" s="20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</row>
    <row r="287" spans="1:25" ht="13">
      <c r="A287" s="26"/>
      <c r="B287" s="83"/>
      <c r="C287" s="26"/>
      <c r="D287" s="26"/>
      <c r="E287" s="26"/>
      <c r="F287" s="26"/>
      <c r="G287" s="26"/>
      <c r="H287" s="26"/>
      <c r="I287" s="26"/>
      <c r="J287" s="34"/>
      <c r="K287" s="63"/>
      <c r="L287" s="26"/>
      <c r="M287" s="26"/>
      <c r="N287" s="20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</row>
    <row r="288" spans="1:25" ht="13">
      <c r="A288" s="26"/>
      <c r="B288" s="83"/>
      <c r="C288" s="26"/>
      <c r="D288" s="26"/>
      <c r="E288" s="26"/>
      <c r="F288" s="26"/>
      <c r="G288" s="26"/>
      <c r="H288" s="26"/>
      <c r="I288" s="26"/>
      <c r="J288" s="34"/>
      <c r="K288" s="63"/>
      <c r="L288" s="26"/>
      <c r="M288" s="26"/>
      <c r="N288" s="20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</row>
    <row r="289" spans="1:25" ht="13">
      <c r="A289" s="26"/>
      <c r="B289" s="83"/>
      <c r="C289" s="26"/>
      <c r="D289" s="26"/>
      <c r="E289" s="26"/>
      <c r="F289" s="26"/>
      <c r="G289" s="26"/>
      <c r="H289" s="26"/>
      <c r="I289" s="26"/>
      <c r="J289" s="34"/>
      <c r="K289" s="63"/>
      <c r="L289" s="26"/>
      <c r="M289" s="26"/>
      <c r="N289" s="20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</row>
    <row r="290" spans="1:25" ht="13">
      <c r="A290" s="26"/>
      <c r="B290" s="83"/>
      <c r="C290" s="26"/>
      <c r="D290" s="26"/>
      <c r="E290" s="26"/>
      <c r="F290" s="26"/>
      <c r="G290" s="26"/>
      <c r="H290" s="26"/>
      <c r="I290" s="26"/>
      <c r="J290" s="34"/>
      <c r="K290" s="63"/>
      <c r="L290" s="26"/>
      <c r="M290" s="26"/>
      <c r="N290" s="20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</row>
    <row r="291" spans="1:25" ht="13">
      <c r="A291" s="26"/>
      <c r="B291" s="83"/>
      <c r="C291" s="26"/>
      <c r="D291" s="26"/>
      <c r="E291" s="26"/>
      <c r="F291" s="26"/>
      <c r="G291" s="26"/>
      <c r="H291" s="26"/>
      <c r="I291" s="26"/>
      <c r="J291" s="34"/>
      <c r="K291" s="63"/>
      <c r="L291" s="26"/>
      <c r="M291" s="26"/>
      <c r="N291" s="20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</row>
    <row r="292" spans="1:25" ht="13">
      <c r="A292" s="26"/>
      <c r="B292" s="83"/>
      <c r="C292" s="26"/>
      <c r="D292" s="26"/>
      <c r="E292" s="26"/>
      <c r="F292" s="26"/>
      <c r="G292" s="26"/>
      <c r="H292" s="26"/>
      <c r="I292" s="26"/>
      <c r="J292" s="34"/>
      <c r="K292" s="63"/>
      <c r="L292" s="26"/>
      <c r="M292" s="26"/>
      <c r="N292" s="20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</row>
    <row r="293" spans="1:25" ht="13">
      <c r="A293" s="26"/>
      <c r="B293" s="83"/>
      <c r="C293" s="26"/>
      <c r="D293" s="26"/>
      <c r="E293" s="26"/>
      <c r="F293" s="26"/>
      <c r="G293" s="26"/>
      <c r="H293" s="26"/>
      <c r="I293" s="26"/>
      <c r="J293" s="34"/>
      <c r="K293" s="63"/>
      <c r="L293" s="26"/>
      <c r="M293" s="26"/>
      <c r="N293" s="20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</row>
    <row r="294" spans="1:25" ht="13">
      <c r="A294" s="26"/>
      <c r="B294" s="83"/>
      <c r="C294" s="26"/>
      <c r="D294" s="26"/>
      <c r="E294" s="26"/>
      <c r="F294" s="26"/>
      <c r="G294" s="26"/>
      <c r="H294" s="26"/>
      <c r="I294" s="26"/>
      <c r="J294" s="34"/>
      <c r="K294" s="63"/>
      <c r="L294" s="26"/>
      <c r="M294" s="26"/>
      <c r="N294" s="20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</row>
    <row r="295" spans="1:25" ht="13">
      <c r="A295" s="26"/>
      <c r="B295" s="83"/>
      <c r="C295" s="26"/>
      <c r="D295" s="26"/>
      <c r="E295" s="26"/>
      <c r="F295" s="26"/>
      <c r="G295" s="26"/>
      <c r="H295" s="26"/>
      <c r="I295" s="26"/>
      <c r="J295" s="34"/>
      <c r="K295" s="63"/>
      <c r="L295" s="26"/>
      <c r="M295" s="26"/>
      <c r="N295" s="20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</row>
    <row r="296" spans="1:25" ht="13">
      <c r="A296" s="26"/>
      <c r="B296" s="83"/>
      <c r="C296" s="26"/>
      <c r="D296" s="26"/>
      <c r="E296" s="26"/>
      <c r="F296" s="26"/>
      <c r="G296" s="26"/>
      <c r="H296" s="26"/>
      <c r="I296" s="26"/>
      <c r="J296" s="34"/>
      <c r="K296" s="63"/>
      <c r="L296" s="26"/>
      <c r="M296" s="26"/>
      <c r="N296" s="20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</row>
    <row r="297" spans="1:25" ht="13">
      <c r="A297" s="26"/>
      <c r="B297" s="83"/>
      <c r="C297" s="26"/>
      <c r="D297" s="26"/>
      <c r="E297" s="26"/>
      <c r="F297" s="26"/>
      <c r="G297" s="26"/>
      <c r="H297" s="26"/>
      <c r="I297" s="26"/>
      <c r="J297" s="34"/>
      <c r="K297" s="63"/>
      <c r="L297" s="26"/>
      <c r="M297" s="26"/>
      <c r="N297" s="20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</row>
    <row r="298" spans="1:25" ht="13">
      <c r="A298" s="26"/>
      <c r="B298" s="83"/>
      <c r="C298" s="26"/>
      <c r="D298" s="26"/>
      <c r="E298" s="26"/>
      <c r="F298" s="26"/>
      <c r="G298" s="26"/>
      <c r="H298" s="26"/>
      <c r="I298" s="26"/>
      <c r="J298" s="34"/>
      <c r="K298" s="63"/>
      <c r="L298" s="26"/>
      <c r="M298" s="26"/>
      <c r="N298" s="20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</row>
    <row r="299" spans="1:25" ht="13">
      <c r="A299" s="26"/>
      <c r="B299" s="83"/>
      <c r="C299" s="26"/>
      <c r="D299" s="26"/>
      <c r="E299" s="26"/>
      <c r="F299" s="26"/>
      <c r="G299" s="26"/>
      <c r="H299" s="26"/>
      <c r="I299" s="26"/>
      <c r="J299" s="34"/>
      <c r="K299" s="63"/>
      <c r="L299" s="26"/>
      <c r="M299" s="26"/>
      <c r="N299" s="20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</row>
    <row r="300" spans="1:25" ht="13">
      <c r="A300" s="26"/>
      <c r="B300" s="83"/>
      <c r="C300" s="26"/>
      <c r="D300" s="26"/>
      <c r="E300" s="26"/>
      <c r="F300" s="26"/>
      <c r="G300" s="26"/>
      <c r="H300" s="26"/>
      <c r="I300" s="26"/>
      <c r="J300" s="34"/>
      <c r="K300" s="63"/>
      <c r="L300" s="26"/>
      <c r="M300" s="26"/>
      <c r="N300" s="20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</row>
    <row r="301" spans="1:25" ht="13">
      <c r="A301" s="26"/>
      <c r="B301" s="83"/>
      <c r="C301" s="26"/>
      <c r="D301" s="26"/>
      <c r="E301" s="26"/>
      <c r="F301" s="26"/>
      <c r="G301" s="26"/>
      <c r="H301" s="26"/>
      <c r="I301" s="26"/>
      <c r="J301" s="34"/>
      <c r="K301" s="63"/>
      <c r="L301" s="26"/>
      <c r="M301" s="26"/>
      <c r="N301" s="20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</row>
    <row r="302" spans="1:25" ht="13">
      <c r="A302" s="26"/>
      <c r="B302" s="83"/>
      <c r="C302" s="26"/>
      <c r="D302" s="26"/>
      <c r="E302" s="26"/>
      <c r="F302" s="26"/>
      <c r="G302" s="26"/>
      <c r="H302" s="26"/>
      <c r="I302" s="26"/>
      <c r="J302" s="34"/>
      <c r="K302" s="63"/>
      <c r="L302" s="26"/>
      <c r="M302" s="26"/>
      <c r="N302" s="20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</row>
    <row r="303" spans="1:25" ht="13">
      <c r="A303" s="26"/>
      <c r="B303" s="83"/>
      <c r="C303" s="26"/>
      <c r="D303" s="26"/>
      <c r="E303" s="26"/>
      <c r="F303" s="26"/>
      <c r="G303" s="26"/>
      <c r="H303" s="26"/>
      <c r="I303" s="26"/>
      <c r="J303" s="34"/>
      <c r="K303" s="63"/>
      <c r="L303" s="26"/>
      <c r="M303" s="26"/>
      <c r="N303" s="20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</row>
    <row r="304" spans="1:25" ht="13">
      <c r="A304" s="26"/>
      <c r="B304" s="83"/>
      <c r="C304" s="26"/>
      <c r="D304" s="26"/>
      <c r="E304" s="26"/>
      <c r="F304" s="26"/>
      <c r="G304" s="26"/>
      <c r="H304" s="26"/>
      <c r="I304" s="26"/>
      <c r="J304" s="34"/>
      <c r="K304" s="63"/>
      <c r="L304" s="26"/>
      <c r="M304" s="26"/>
      <c r="N304" s="20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</row>
    <row r="305" spans="1:25" ht="13">
      <c r="A305" s="26"/>
      <c r="B305" s="83"/>
      <c r="C305" s="26"/>
      <c r="D305" s="26"/>
      <c r="E305" s="26"/>
      <c r="F305" s="26"/>
      <c r="G305" s="26"/>
      <c r="H305" s="26"/>
      <c r="I305" s="26"/>
      <c r="J305" s="34"/>
      <c r="K305" s="63"/>
      <c r="L305" s="26"/>
      <c r="M305" s="26"/>
      <c r="N305" s="20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</row>
    <row r="306" spans="1:25" ht="13">
      <c r="A306" s="26"/>
      <c r="B306" s="83"/>
      <c r="C306" s="26"/>
      <c r="D306" s="26"/>
      <c r="E306" s="26"/>
      <c r="F306" s="26"/>
      <c r="G306" s="26"/>
      <c r="H306" s="26"/>
      <c r="I306" s="26"/>
      <c r="J306" s="34"/>
      <c r="K306" s="63"/>
      <c r="L306" s="26"/>
      <c r="M306" s="26"/>
      <c r="N306" s="20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</row>
    <row r="307" spans="1:25" ht="13">
      <c r="A307" s="26"/>
      <c r="B307" s="83"/>
      <c r="C307" s="26"/>
      <c r="D307" s="26"/>
      <c r="E307" s="26"/>
      <c r="F307" s="26"/>
      <c r="G307" s="26"/>
      <c r="H307" s="26"/>
      <c r="I307" s="26"/>
      <c r="J307" s="34"/>
      <c r="K307" s="63"/>
      <c r="L307" s="26"/>
      <c r="M307" s="26"/>
      <c r="N307" s="20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</row>
    <row r="308" spans="1:25" ht="13">
      <c r="A308" s="26"/>
      <c r="B308" s="83"/>
      <c r="C308" s="26"/>
      <c r="D308" s="26"/>
      <c r="E308" s="26"/>
      <c r="F308" s="26"/>
      <c r="G308" s="26"/>
      <c r="H308" s="26"/>
      <c r="I308" s="26"/>
      <c r="J308" s="34"/>
      <c r="K308" s="63"/>
      <c r="L308" s="26"/>
      <c r="M308" s="26"/>
      <c r="N308" s="20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</row>
    <row r="309" spans="1:25" ht="13">
      <c r="A309" s="26"/>
      <c r="B309" s="83"/>
      <c r="C309" s="26"/>
      <c r="D309" s="26"/>
      <c r="E309" s="26"/>
      <c r="F309" s="26"/>
      <c r="G309" s="26"/>
      <c r="H309" s="26"/>
      <c r="I309" s="26"/>
      <c r="J309" s="34"/>
      <c r="K309" s="63"/>
      <c r="L309" s="26"/>
      <c r="M309" s="26"/>
      <c r="N309" s="20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</row>
    <row r="310" spans="1:25" ht="13">
      <c r="A310" s="26"/>
      <c r="B310" s="83"/>
      <c r="C310" s="26"/>
      <c r="D310" s="26"/>
      <c r="E310" s="26"/>
      <c r="F310" s="26"/>
      <c r="G310" s="26"/>
      <c r="H310" s="26"/>
      <c r="I310" s="26"/>
      <c r="J310" s="34"/>
      <c r="K310" s="63"/>
      <c r="L310" s="26"/>
      <c r="M310" s="26"/>
      <c r="N310" s="20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</row>
    <row r="311" spans="1:25" ht="13">
      <c r="A311" s="26"/>
      <c r="B311" s="83"/>
      <c r="C311" s="26"/>
      <c r="D311" s="26"/>
      <c r="E311" s="26"/>
      <c r="F311" s="26"/>
      <c r="G311" s="26"/>
      <c r="H311" s="26"/>
      <c r="I311" s="26"/>
      <c r="J311" s="34"/>
      <c r="K311" s="63"/>
      <c r="L311" s="26"/>
      <c r="M311" s="26"/>
      <c r="N311" s="20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</row>
    <row r="312" spans="1:25" ht="13">
      <c r="A312" s="26"/>
      <c r="B312" s="83"/>
      <c r="C312" s="26"/>
      <c r="D312" s="26"/>
      <c r="E312" s="26"/>
      <c r="F312" s="26"/>
      <c r="G312" s="26"/>
      <c r="H312" s="26"/>
      <c r="I312" s="26"/>
      <c r="J312" s="34"/>
      <c r="K312" s="63"/>
      <c r="L312" s="26"/>
      <c r="M312" s="26"/>
      <c r="N312" s="20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</row>
    <row r="313" spans="1:25" ht="13">
      <c r="A313" s="26"/>
      <c r="B313" s="83"/>
      <c r="C313" s="26"/>
      <c r="D313" s="26"/>
      <c r="E313" s="26"/>
      <c r="F313" s="26"/>
      <c r="G313" s="26"/>
      <c r="H313" s="26"/>
      <c r="I313" s="26"/>
      <c r="J313" s="34"/>
      <c r="K313" s="63"/>
      <c r="L313" s="26"/>
      <c r="M313" s="26"/>
      <c r="N313" s="20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</row>
    <row r="314" spans="1:25" ht="13">
      <c r="A314" s="26"/>
      <c r="B314" s="83"/>
      <c r="C314" s="26"/>
      <c r="D314" s="26"/>
      <c r="E314" s="26"/>
      <c r="F314" s="26"/>
      <c r="G314" s="26"/>
      <c r="H314" s="26"/>
      <c r="I314" s="26"/>
      <c r="J314" s="34"/>
      <c r="K314" s="63"/>
      <c r="L314" s="26"/>
      <c r="M314" s="26"/>
      <c r="N314" s="20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</row>
    <row r="315" spans="1:25" ht="13">
      <c r="A315" s="26"/>
      <c r="B315" s="83"/>
      <c r="C315" s="26"/>
      <c r="D315" s="26"/>
      <c r="E315" s="26"/>
      <c r="F315" s="26"/>
      <c r="G315" s="26"/>
      <c r="H315" s="26"/>
      <c r="I315" s="26"/>
      <c r="J315" s="34"/>
      <c r="K315" s="63"/>
      <c r="L315" s="26"/>
      <c r="M315" s="26"/>
      <c r="N315" s="20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</row>
    <row r="316" spans="1:25" ht="13">
      <c r="A316" s="26"/>
      <c r="B316" s="83"/>
      <c r="C316" s="26"/>
      <c r="D316" s="26"/>
      <c r="E316" s="26"/>
      <c r="F316" s="26"/>
      <c r="G316" s="26"/>
      <c r="H316" s="26"/>
      <c r="I316" s="26"/>
      <c r="J316" s="34"/>
      <c r="K316" s="63"/>
      <c r="L316" s="26"/>
      <c r="M316" s="26"/>
      <c r="N316" s="20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</row>
    <row r="317" spans="1:25" ht="13">
      <c r="A317" s="26"/>
      <c r="B317" s="83"/>
      <c r="C317" s="26"/>
      <c r="D317" s="26"/>
      <c r="E317" s="26"/>
      <c r="F317" s="26"/>
      <c r="G317" s="26"/>
      <c r="H317" s="26"/>
      <c r="I317" s="26"/>
      <c r="J317" s="34"/>
      <c r="K317" s="63"/>
      <c r="L317" s="26"/>
      <c r="M317" s="26"/>
      <c r="N317" s="20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</row>
    <row r="318" spans="1:25" ht="13">
      <c r="A318" s="26"/>
      <c r="B318" s="83"/>
      <c r="C318" s="26"/>
      <c r="D318" s="26"/>
      <c r="E318" s="26"/>
      <c r="F318" s="26"/>
      <c r="G318" s="26"/>
      <c r="H318" s="26"/>
      <c r="I318" s="26"/>
      <c r="J318" s="34"/>
      <c r="K318" s="63"/>
      <c r="L318" s="26"/>
      <c r="M318" s="26"/>
      <c r="N318" s="20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</row>
    <row r="319" spans="1:25" ht="13">
      <c r="A319" s="26"/>
      <c r="B319" s="83"/>
      <c r="C319" s="26"/>
      <c r="D319" s="26"/>
      <c r="E319" s="26"/>
      <c r="F319" s="26"/>
      <c r="G319" s="26"/>
      <c r="H319" s="26"/>
      <c r="I319" s="26"/>
      <c r="J319" s="34"/>
      <c r="K319" s="63"/>
      <c r="L319" s="26"/>
      <c r="M319" s="26"/>
      <c r="N319" s="20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</row>
    <row r="320" spans="1:25" ht="13">
      <c r="A320" s="26"/>
      <c r="B320" s="83"/>
      <c r="C320" s="26"/>
      <c r="D320" s="26"/>
      <c r="E320" s="26"/>
      <c r="F320" s="26"/>
      <c r="G320" s="26"/>
      <c r="H320" s="26"/>
      <c r="I320" s="26"/>
      <c r="J320" s="34"/>
      <c r="K320" s="63"/>
      <c r="L320" s="26"/>
      <c r="M320" s="26"/>
      <c r="N320" s="20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</row>
    <row r="321" spans="1:25" ht="13">
      <c r="A321" s="26"/>
      <c r="B321" s="83"/>
      <c r="C321" s="26"/>
      <c r="D321" s="26"/>
      <c r="E321" s="26"/>
      <c r="F321" s="26"/>
      <c r="G321" s="26"/>
      <c r="H321" s="26"/>
      <c r="I321" s="26"/>
      <c r="J321" s="34"/>
      <c r="K321" s="63"/>
      <c r="L321" s="26"/>
      <c r="M321" s="26"/>
      <c r="N321" s="20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</row>
    <row r="322" spans="1:25" ht="13">
      <c r="A322" s="26"/>
      <c r="B322" s="83"/>
      <c r="C322" s="26"/>
      <c r="D322" s="26"/>
      <c r="E322" s="26"/>
      <c r="F322" s="26"/>
      <c r="G322" s="26"/>
      <c r="H322" s="26"/>
      <c r="I322" s="26"/>
      <c r="J322" s="34"/>
      <c r="K322" s="63"/>
      <c r="L322" s="26"/>
      <c r="M322" s="26"/>
      <c r="N322" s="20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</row>
    <row r="323" spans="1:25" ht="13">
      <c r="A323" s="26"/>
      <c r="B323" s="83"/>
      <c r="C323" s="26"/>
      <c r="D323" s="26"/>
      <c r="E323" s="26"/>
      <c r="F323" s="26"/>
      <c r="G323" s="26"/>
      <c r="H323" s="26"/>
      <c r="I323" s="26"/>
      <c r="J323" s="34"/>
      <c r="K323" s="63"/>
      <c r="L323" s="26"/>
      <c r="M323" s="26"/>
      <c r="N323" s="20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</row>
    <row r="324" spans="1:25" ht="13">
      <c r="A324" s="26"/>
      <c r="B324" s="83"/>
      <c r="C324" s="26"/>
      <c r="D324" s="26"/>
      <c r="E324" s="26"/>
      <c r="F324" s="26"/>
      <c r="G324" s="26"/>
      <c r="H324" s="26"/>
      <c r="I324" s="26"/>
      <c r="J324" s="34"/>
      <c r="K324" s="63"/>
      <c r="L324" s="26"/>
      <c r="M324" s="26"/>
      <c r="N324" s="20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</row>
    <row r="325" spans="1:25" ht="13">
      <c r="A325" s="26"/>
      <c r="B325" s="83"/>
      <c r="C325" s="26"/>
      <c r="D325" s="26"/>
      <c r="E325" s="26"/>
      <c r="F325" s="26"/>
      <c r="G325" s="26"/>
      <c r="H325" s="26"/>
      <c r="I325" s="26"/>
      <c r="J325" s="34"/>
      <c r="K325" s="63"/>
      <c r="L325" s="26"/>
      <c r="M325" s="26"/>
      <c r="N325" s="20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</row>
    <row r="326" spans="1:25" ht="13">
      <c r="A326" s="26"/>
      <c r="B326" s="83"/>
      <c r="C326" s="26"/>
      <c r="D326" s="26"/>
      <c r="E326" s="26"/>
      <c r="F326" s="26"/>
      <c r="G326" s="26"/>
      <c r="H326" s="26"/>
      <c r="I326" s="26"/>
      <c r="J326" s="34"/>
      <c r="K326" s="63"/>
      <c r="L326" s="26"/>
      <c r="M326" s="26"/>
      <c r="N326" s="20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</row>
    <row r="327" spans="1:25" ht="13">
      <c r="A327" s="26"/>
      <c r="B327" s="83"/>
      <c r="C327" s="26"/>
      <c r="D327" s="26"/>
      <c r="E327" s="26"/>
      <c r="F327" s="26"/>
      <c r="G327" s="26"/>
      <c r="H327" s="26"/>
      <c r="I327" s="26"/>
      <c r="J327" s="34"/>
      <c r="K327" s="63"/>
      <c r="L327" s="26"/>
      <c r="M327" s="26"/>
      <c r="N327" s="20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</row>
    <row r="328" spans="1:25" ht="13">
      <c r="A328" s="26"/>
      <c r="B328" s="83"/>
      <c r="C328" s="26"/>
      <c r="D328" s="26"/>
      <c r="E328" s="26"/>
      <c r="F328" s="26"/>
      <c r="G328" s="26"/>
      <c r="H328" s="26"/>
      <c r="I328" s="26"/>
      <c r="J328" s="34"/>
      <c r="K328" s="63"/>
      <c r="L328" s="26"/>
      <c r="M328" s="26"/>
      <c r="N328" s="20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</row>
    <row r="329" spans="1:25" ht="13">
      <c r="A329" s="26"/>
      <c r="B329" s="83"/>
      <c r="C329" s="26"/>
      <c r="D329" s="26"/>
      <c r="E329" s="26"/>
      <c r="F329" s="26"/>
      <c r="G329" s="26"/>
      <c r="H329" s="26"/>
      <c r="I329" s="26"/>
      <c r="J329" s="34"/>
      <c r="K329" s="63"/>
      <c r="L329" s="26"/>
      <c r="M329" s="26"/>
      <c r="N329" s="20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</row>
    <row r="330" spans="1:25" ht="13">
      <c r="A330" s="26"/>
      <c r="B330" s="83"/>
      <c r="C330" s="26"/>
      <c r="D330" s="26"/>
      <c r="E330" s="26"/>
      <c r="F330" s="26"/>
      <c r="G330" s="26"/>
      <c r="H330" s="26"/>
      <c r="I330" s="26"/>
      <c r="J330" s="34"/>
      <c r="K330" s="63"/>
      <c r="L330" s="26"/>
      <c r="M330" s="26"/>
      <c r="N330" s="20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</row>
    <row r="331" spans="1:25" ht="13">
      <c r="A331" s="26"/>
      <c r="B331" s="83"/>
      <c r="C331" s="26"/>
      <c r="D331" s="26"/>
      <c r="E331" s="26"/>
      <c r="F331" s="26"/>
      <c r="G331" s="26"/>
      <c r="H331" s="26"/>
      <c r="I331" s="26"/>
      <c r="J331" s="34"/>
      <c r="K331" s="63"/>
      <c r="L331" s="26"/>
      <c r="M331" s="26"/>
      <c r="N331" s="20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</row>
    <row r="332" spans="1:25" ht="13">
      <c r="A332" s="26"/>
      <c r="B332" s="83"/>
      <c r="C332" s="26"/>
      <c r="D332" s="26"/>
      <c r="E332" s="26"/>
      <c r="F332" s="26"/>
      <c r="G332" s="26"/>
      <c r="H332" s="26"/>
      <c r="I332" s="26"/>
      <c r="J332" s="34"/>
      <c r="K332" s="63"/>
      <c r="L332" s="26"/>
      <c r="M332" s="26"/>
      <c r="N332" s="20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</row>
    <row r="333" spans="1:25" ht="13">
      <c r="A333" s="26"/>
      <c r="B333" s="83"/>
      <c r="C333" s="26"/>
      <c r="D333" s="26"/>
      <c r="E333" s="26"/>
      <c r="F333" s="26"/>
      <c r="G333" s="26"/>
      <c r="H333" s="26"/>
      <c r="I333" s="26"/>
      <c r="J333" s="34"/>
      <c r="K333" s="63"/>
      <c r="L333" s="26"/>
      <c r="M333" s="26"/>
      <c r="N333" s="20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</row>
    <row r="334" spans="1:25" ht="13">
      <c r="A334" s="26"/>
      <c r="B334" s="83"/>
      <c r="C334" s="26"/>
      <c r="D334" s="26"/>
      <c r="E334" s="26"/>
      <c r="F334" s="26"/>
      <c r="G334" s="26"/>
      <c r="H334" s="26"/>
      <c r="I334" s="26"/>
      <c r="J334" s="34"/>
      <c r="K334" s="63"/>
      <c r="L334" s="26"/>
      <c r="M334" s="26"/>
      <c r="N334" s="20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</row>
    <row r="335" spans="1:25" ht="13">
      <c r="A335" s="26"/>
      <c r="B335" s="83"/>
      <c r="C335" s="26"/>
      <c r="D335" s="26"/>
      <c r="E335" s="26"/>
      <c r="F335" s="26"/>
      <c r="G335" s="26"/>
      <c r="H335" s="26"/>
      <c r="I335" s="26"/>
      <c r="J335" s="34"/>
      <c r="K335" s="63"/>
      <c r="L335" s="26"/>
      <c r="M335" s="26"/>
      <c r="N335" s="20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</row>
    <row r="336" spans="1:25" ht="13">
      <c r="A336" s="26"/>
      <c r="B336" s="83"/>
      <c r="C336" s="26"/>
      <c r="D336" s="26"/>
      <c r="E336" s="26"/>
      <c r="F336" s="26"/>
      <c r="G336" s="26"/>
      <c r="H336" s="26"/>
      <c r="I336" s="26"/>
      <c r="J336" s="34"/>
      <c r="K336" s="63"/>
      <c r="L336" s="26"/>
      <c r="M336" s="26"/>
      <c r="N336" s="20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</row>
    <row r="337" spans="1:25" ht="13">
      <c r="A337" s="26"/>
      <c r="B337" s="83"/>
      <c r="C337" s="26"/>
      <c r="D337" s="26"/>
      <c r="E337" s="26"/>
      <c r="F337" s="26"/>
      <c r="G337" s="26"/>
      <c r="H337" s="26"/>
      <c r="I337" s="26"/>
      <c r="J337" s="34"/>
      <c r="K337" s="63"/>
      <c r="L337" s="26"/>
      <c r="M337" s="26"/>
      <c r="N337" s="20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</row>
    <row r="338" spans="1:25" ht="13">
      <c r="A338" s="26"/>
      <c r="B338" s="83"/>
      <c r="C338" s="26"/>
      <c r="D338" s="26"/>
      <c r="E338" s="26"/>
      <c r="F338" s="26"/>
      <c r="G338" s="26"/>
      <c r="H338" s="26"/>
      <c r="I338" s="26"/>
      <c r="J338" s="34"/>
      <c r="K338" s="63"/>
      <c r="L338" s="26"/>
      <c r="M338" s="26"/>
      <c r="N338" s="20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</row>
    <row r="339" spans="1:25" ht="13">
      <c r="A339" s="26"/>
      <c r="B339" s="83"/>
      <c r="C339" s="26"/>
      <c r="D339" s="26"/>
      <c r="E339" s="26"/>
      <c r="F339" s="26"/>
      <c r="G339" s="26"/>
      <c r="H339" s="26"/>
      <c r="I339" s="26"/>
      <c r="J339" s="34"/>
      <c r="K339" s="63"/>
      <c r="L339" s="26"/>
      <c r="M339" s="26"/>
      <c r="N339" s="20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</row>
    <row r="340" spans="1:25" ht="13">
      <c r="A340" s="26"/>
      <c r="B340" s="83"/>
      <c r="C340" s="26"/>
      <c r="D340" s="26"/>
      <c r="E340" s="26"/>
      <c r="F340" s="26"/>
      <c r="G340" s="26"/>
      <c r="H340" s="26"/>
      <c r="I340" s="26"/>
      <c r="J340" s="34"/>
      <c r="K340" s="63"/>
      <c r="L340" s="26"/>
      <c r="M340" s="26"/>
      <c r="N340" s="20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</row>
    <row r="341" spans="1:25" ht="13">
      <c r="A341" s="26"/>
      <c r="B341" s="83"/>
      <c r="C341" s="26"/>
      <c r="D341" s="26"/>
      <c r="E341" s="26"/>
      <c r="F341" s="26"/>
      <c r="G341" s="26"/>
      <c r="H341" s="26"/>
      <c r="I341" s="26"/>
      <c r="J341" s="34"/>
      <c r="K341" s="63"/>
      <c r="L341" s="26"/>
      <c r="M341" s="26"/>
      <c r="N341" s="20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</row>
    <row r="342" spans="1:25" ht="13">
      <c r="A342" s="26"/>
      <c r="B342" s="83"/>
      <c r="C342" s="26"/>
      <c r="D342" s="26"/>
      <c r="E342" s="26"/>
      <c r="F342" s="26"/>
      <c r="G342" s="26"/>
      <c r="H342" s="26"/>
      <c r="I342" s="26"/>
      <c r="J342" s="34"/>
      <c r="K342" s="63"/>
      <c r="L342" s="26"/>
      <c r="M342" s="26"/>
      <c r="N342" s="20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</row>
    <row r="343" spans="1:25" ht="13">
      <c r="A343" s="26"/>
      <c r="B343" s="83"/>
      <c r="C343" s="26"/>
      <c r="D343" s="26"/>
      <c r="E343" s="26"/>
      <c r="F343" s="26"/>
      <c r="G343" s="26"/>
      <c r="H343" s="26"/>
      <c r="I343" s="26"/>
      <c r="J343" s="34"/>
      <c r="K343" s="63"/>
      <c r="L343" s="26"/>
      <c r="M343" s="26"/>
      <c r="N343" s="20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</row>
    <row r="344" spans="1:25" ht="13">
      <c r="A344" s="26"/>
      <c r="B344" s="83"/>
      <c r="C344" s="26"/>
      <c r="D344" s="26"/>
      <c r="E344" s="26"/>
      <c r="F344" s="26"/>
      <c r="G344" s="26"/>
      <c r="H344" s="26"/>
      <c r="I344" s="26"/>
      <c r="J344" s="34"/>
      <c r="K344" s="63"/>
      <c r="L344" s="26"/>
      <c r="M344" s="26"/>
      <c r="N344" s="20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</row>
    <row r="345" spans="1:25" ht="13">
      <c r="A345" s="26"/>
      <c r="B345" s="83"/>
      <c r="C345" s="26"/>
      <c r="D345" s="26"/>
      <c r="E345" s="26"/>
      <c r="F345" s="26"/>
      <c r="G345" s="26"/>
      <c r="H345" s="26"/>
      <c r="I345" s="26"/>
      <c r="J345" s="34"/>
      <c r="K345" s="63"/>
      <c r="L345" s="26"/>
      <c r="M345" s="26"/>
      <c r="N345" s="20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</row>
    <row r="346" spans="1:25" ht="13">
      <c r="A346" s="26"/>
      <c r="B346" s="83"/>
      <c r="C346" s="26"/>
      <c r="D346" s="26"/>
      <c r="E346" s="26"/>
      <c r="F346" s="26"/>
      <c r="G346" s="26"/>
      <c r="H346" s="26"/>
      <c r="I346" s="26"/>
      <c r="J346" s="34"/>
      <c r="K346" s="63"/>
      <c r="L346" s="26"/>
      <c r="M346" s="26"/>
      <c r="N346" s="20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</row>
    <row r="347" spans="1:25" ht="13">
      <c r="A347" s="26"/>
      <c r="B347" s="83"/>
      <c r="C347" s="26"/>
      <c r="D347" s="26"/>
      <c r="E347" s="26"/>
      <c r="F347" s="26"/>
      <c r="G347" s="26"/>
      <c r="H347" s="26"/>
      <c r="I347" s="26"/>
      <c r="J347" s="34"/>
      <c r="K347" s="63"/>
      <c r="L347" s="26"/>
      <c r="M347" s="26"/>
      <c r="N347" s="20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</row>
    <row r="348" spans="1:25" ht="13">
      <c r="A348" s="26"/>
      <c r="B348" s="83"/>
      <c r="C348" s="26"/>
      <c r="D348" s="26"/>
      <c r="E348" s="26"/>
      <c r="F348" s="26"/>
      <c r="G348" s="26"/>
      <c r="H348" s="26"/>
      <c r="I348" s="26"/>
      <c r="J348" s="34"/>
      <c r="K348" s="63"/>
      <c r="L348" s="26"/>
      <c r="M348" s="26"/>
      <c r="N348" s="20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</row>
    <row r="349" spans="1:25" ht="13">
      <c r="A349" s="26"/>
      <c r="B349" s="83"/>
      <c r="C349" s="26"/>
      <c r="D349" s="26"/>
      <c r="E349" s="26"/>
      <c r="F349" s="26"/>
      <c r="G349" s="26"/>
      <c r="H349" s="26"/>
      <c r="I349" s="26"/>
      <c r="J349" s="34"/>
      <c r="K349" s="63"/>
      <c r="L349" s="26"/>
      <c r="M349" s="26"/>
      <c r="N349" s="20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</row>
    <row r="350" spans="1:25" ht="13">
      <c r="A350" s="26"/>
      <c r="B350" s="83"/>
      <c r="C350" s="26"/>
      <c r="D350" s="26"/>
      <c r="E350" s="26"/>
      <c r="F350" s="26"/>
      <c r="G350" s="26"/>
      <c r="H350" s="26"/>
      <c r="I350" s="26"/>
      <c r="J350" s="34"/>
      <c r="K350" s="63"/>
      <c r="L350" s="26"/>
      <c r="M350" s="26"/>
      <c r="N350" s="20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</row>
    <row r="351" spans="1:25" ht="13">
      <c r="A351" s="26"/>
      <c r="B351" s="83"/>
      <c r="C351" s="26"/>
      <c r="D351" s="26"/>
      <c r="E351" s="26"/>
      <c r="F351" s="26"/>
      <c r="G351" s="26"/>
      <c r="H351" s="26"/>
      <c r="I351" s="26"/>
      <c r="J351" s="34"/>
      <c r="K351" s="63"/>
      <c r="L351" s="26"/>
      <c r="M351" s="26"/>
      <c r="N351" s="20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</row>
    <row r="352" spans="1:25" ht="13">
      <c r="A352" s="26"/>
      <c r="B352" s="83"/>
      <c r="C352" s="26"/>
      <c r="D352" s="26"/>
      <c r="E352" s="26"/>
      <c r="F352" s="26"/>
      <c r="G352" s="26"/>
      <c r="H352" s="26"/>
      <c r="I352" s="26"/>
      <c r="J352" s="34"/>
      <c r="K352" s="63"/>
      <c r="L352" s="26"/>
      <c r="M352" s="26"/>
      <c r="N352" s="20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</row>
    <row r="353" spans="1:25" ht="13">
      <c r="A353" s="26"/>
      <c r="B353" s="83"/>
      <c r="C353" s="26"/>
      <c r="D353" s="26"/>
      <c r="E353" s="26"/>
      <c r="F353" s="26"/>
      <c r="G353" s="26"/>
      <c r="H353" s="26"/>
      <c r="I353" s="26"/>
      <c r="J353" s="34"/>
      <c r="K353" s="63"/>
      <c r="L353" s="26"/>
      <c r="M353" s="26"/>
      <c r="N353" s="20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</row>
    <row r="354" spans="1:25" ht="13">
      <c r="A354" s="26"/>
      <c r="B354" s="83"/>
      <c r="C354" s="26"/>
      <c r="D354" s="26"/>
      <c r="E354" s="26"/>
      <c r="F354" s="26"/>
      <c r="G354" s="26"/>
      <c r="H354" s="26"/>
      <c r="I354" s="26"/>
      <c r="J354" s="34"/>
      <c r="K354" s="63"/>
      <c r="L354" s="26"/>
      <c r="M354" s="26"/>
      <c r="N354" s="20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</row>
    <row r="355" spans="1:25" ht="13">
      <c r="A355" s="26"/>
      <c r="B355" s="83"/>
      <c r="C355" s="26"/>
      <c r="D355" s="26"/>
      <c r="E355" s="26"/>
      <c r="F355" s="26"/>
      <c r="G355" s="26"/>
      <c r="H355" s="26"/>
      <c r="I355" s="26"/>
      <c r="J355" s="34"/>
      <c r="K355" s="63"/>
      <c r="L355" s="26"/>
      <c r="M355" s="26"/>
      <c r="N355" s="20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</row>
    <row r="356" spans="1:25" ht="13">
      <c r="A356" s="26"/>
      <c r="B356" s="83"/>
      <c r="C356" s="26"/>
      <c r="D356" s="26"/>
      <c r="E356" s="26"/>
      <c r="F356" s="26"/>
      <c r="G356" s="26"/>
      <c r="H356" s="26"/>
      <c r="I356" s="26"/>
      <c r="J356" s="34"/>
      <c r="K356" s="63"/>
      <c r="L356" s="26"/>
      <c r="M356" s="26"/>
      <c r="N356" s="20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</row>
    <row r="357" spans="1:25" ht="13">
      <c r="A357" s="26"/>
      <c r="B357" s="83"/>
      <c r="C357" s="26"/>
      <c r="D357" s="26"/>
      <c r="E357" s="26"/>
      <c r="F357" s="26"/>
      <c r="G357" s="26"/>
      <c r="H357" s="26"/>
      <c r="I357" s="26"/>
      <c r="J357" s="34"/>
      <c r="K357" s="63"/>
      <c r="L357" s="26"/>
      <c r="M357" s="26"/>
      <c r="N357" s="20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</row>
    <row r="358" spans="1:25" ht="13">
      <c r="A358" s="26"/>
      <c r="B358" s="83"/>
      <c r="C358" s="26"/>
      <c r="D358" s="26"/>
      <c r="E358" s="26"/>
      <c r="F358" s="26"/>
      <c r="G358" s="26"/>
      <c r="H358" s="26"/>
      <c r="I358" s="26"/>
      <c r="J358" s="34"/>
      <c r="K358" s="63"/>
      <c r="L358" s="26"/>
      <c r="M358" s="26"/>
      <c r="N358" s="20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</row>
    <row r="359" spans="1:25" ht="13">
      <c r="A359" s="26"/>
      <c r="B359" s="83"/>
      <c r="C359" s="26"/>
      <c r="D359" s="26"/>
      <c r="E359" s="26"/>
      <c r="F359" s="26"/>
      <c r="G359" s="26"/>
      <c r="H359" s="26"/>
      <c r="I359" s="26"/>
      <c r="J359" s="34"/>
      <c r="K359" s="63"/>
      <c r="L359" s="26"/>
      <c r="M359" s="26"/>
      <c r="N359" s="20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</row>
    <row r="360" spans="1:25" ht="13">
      <c r="A360" s="26"/>
      <c r="B360" s="83"/>
      <c r="C360" s="26"/>
      <c r="D360" s="26"/>
      <c r="E360" s="26"/>
      <c r="F360" s="26"/>
      <c r="G360" s="26"/>
      <c r="H360" s="26"/>
      <c r="I360" s="26"/>
      <c r="J360" s="34"/>
      <c r="K360" s="63"/>
      <c r="L360" s="26"/>
      <c r="M360" s="26"/>
      <c r="N360" s="20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</row>
    <row r="361" spans="1:25" ht="13">
      <c r="A361" s="26"/>
      <c r="B361" s="83"/>
      <c r="C361" s="26"/>
      <c r="D361" s="26"/>
      <c r="E361" s="26"/>
      <c r="F361" s="26"/>
      <c r="G361" s="26"/>
      <c r="H361" s="26"/>
      <c r="I361" s="26"/>
      <c r="J361" s="34"/>
      <c r="K361" s="63"/>
      <c r="L361" s="26"/>
      <c r="M361" s="26"/>
      <c r="N361" s="20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</row>
    <row r="362" spans="1:25" ht="13">
      <c r="A362" s="26"/>
      <c r="B362" s="83"/>
      <c r="C362" s="26"/>
      <c r="D362" s="26"/>
      <c r="E362" s="26"/>
      <c r="F362" s="26"/>
      <c r="G362" s="26"/>
      <c r="H362" s="26"/>
      <c r="I362" s="26"/>
      <c r="J362" s="34"/>
      <c r="K362" s="63"/>
      <c r="L362" s="26"/>
      <c r="M362" s="26"/>
      <c r="N362" s="20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</row>
    <row r="363" spans="1:25" ht="13">
      <c r="A363" s="26"/>
      <c r="B363" s="83"/>
      <c r="C363" s="26"/>
      <c r="D363" s="26"/>
      <c r="E363" s="26"/>
      <c r="F363" s="26"/>
      <c r="G363" s="26"/>
      <c r="H363" s="26"/>
      <c r="I363" s="26"/>
      <c r="J363" s="34"/>
      <c r="K363" s="63"/>
      <c r="L363" s="26"/>
      <c r="M363" s="26"/>
      <c r="N363" s="20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</row>
    <row r="364" spans="1:25" ht="13">
      <c r="A364" s="26"/>
      <c r="B364" s="83"/>
      <c r="C364" s="26"/>
      <c r="D364" s="26"/>
      <c r="E364" s="26"/>
      <c r="F364" s="26"/>
      <c r="G364" s="26"/>
      <c r="H364" s="26"/>
      <c r="I364" s="26"/>
      <c r="J364" s="34"/>
      <c r="K364" s="63"/>
      <c r="L364" s="26"/>
      <c r="M364" s="26"/>
      <c r="N364" s="20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</row>
    <row r="365" spans="1:25" ht="13">
      <c r="A365" s="26"/>
      <c r="B365" s="83"/>
      <c r="C365" s="26"/>
      <c r="D365" s="26"/>
      <c r="E365" s="26"/>
      <c r="F365" s="26"/>
      <c r="G365" s="26"/>
      <c r="H365" s="26"/>
      <c r="I365" s="26"/>
      <c r="J365" s="34"/>
      <c r="K365" s="63"/>
      <c r="L365" s="26"/>
      <c r="M365" s="26"/>
      <c r="N365" s="20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</row>
    <row r="366" spans="1:25" ht="13">
      <c r="A366" s="26"/>
      <c r="B366" s="83"/>
      <c r="C366" s="26"/>
      <c r="D366" s="26"/>
      <c r="E366" s="26"/>
      <c r="F366" s="26"/>
      <c r="G366" s="26"/>
      <c r="H366" s="26"/>
      <c r="I366" s="26"/>
      <c r="J366" s="34"/>
      <c r="K366" s="63"/>
      <c r="L366" s="26"/>
      <c r="M366" s="26"/>
      <c r="N366" s="20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</row>
    <row r="367" spans="1:25" ht="13">
      <c r="A367" s="26"/>
      <c r="B367" s="83"/>
      <c r="C367" s="26"/>
      <c r="D367" s="26"/>
      <c r="E367" s="26"/>
      <c r="F367" s="26"/>
      <c r="G367" s="26"/>
      <c r="H367" s="26"/>
      <c r="I367" s="26"/>
      <c r="J367" s="34"/>
      <c r="K367" s="63"/>
      <c r="L367" s="26"/>
      <c r="M367" s="26"/>
      <c r="N367" s="20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</row>
    <row r="368" spans="1:25" ht="13">
      <c r="A368" s="26"/>
      <c r="B368" s="83"/>
      <c r="C368" s="26"/>
      <c r="D368" s="26"/>
      <c r="E368" s="26"/>
      <c r="F368" s="26"/>
      <c r="G368" s="26"/>
      <c r="H368" s="26"/>
      <c r="I368" s="26"/>
      <c r="J368" s="34"/>
      <c r="K368" s="63"/>
      <c r="L368" s="26"/>
      <c r="M368" s="26"/>
      <c r="N368" s="20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</row>
    <row r="369" spans="1:25" ht="13">
      <c r="A369" s="26"/>
      <c r="B369" s="83"/>
      <c r="C369" s="26"/>
      <c r="D369" s="26"/>
      <c r="E369" s="26"/>
      <c r="F369" s="26"/>
      <c r="G369" s="26"/>
      <c r="H369" s="26"/>
      <c r="I369" s="26"/>
      <c r="J369" s="34"/>
      <c r="K369" s="63"/>
      <c r="L369" s="26"/>
      <c r="M369" s="26"/>
      <c r="N369" s="20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</row>
    <row r="370" spans="1:25" ht="13">
      <c r="A370" s="26"/>
      <c r="B370" s="83"/>
      <c r="C370" s="26"/>
      <c r="D370" s="26"/>
      <c r="E370" s="26"/>
      <c r="F370" s="26"/>
      <c r="G370" s="26"/>
      <c r="H370" s="26"/>
      <c r="I370" s="26"/>
      <c r="J370" s="34"/>
      <c r="K370" s="63"/>
      <c r="L370" s="26"/>
      <c r="M370" s="26"/>
      <c r="N370" s="20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</row>
    <row r="371" spans="1:25" ht="13">
      <c r="A371" s="26"/>
      <c r="B371" s="83"/>
      <c r="C371" s="26"/>
      <c r="D371" s="26"/>
      <c r="E371" s="26"/>
      <c r="F371" s="26"/>
      <c r="G371" s="26"/>
      <c r="H371" s="26"/>
      <c r="I371" s="26"/>
      <c r="J371" s="34"/>
      <c r="K371" s="63"/>
      <c r="L371" s="26"/>
      <c r="M371" s="26"/>
      <c r="N371" s="20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</row>
    <row r="372" spans="1:25" ht="13">
      <c r="A372" s="26"/>
      <c r="B372" s="83"/>
      <c r="C372" s="26"/>
      <c r="D372" s="26"/>
      <c r="E372" s="26"/>
      <c r="F372" s="26"/>
      <c r="G372" s="26"/>
      <c r="H372" s="26"/>
      <c r="I372" s="26"/>
      <c r="J372" s="34"/>
      <c r="K372" s="63"/>
      <c r="L372" s="26"/>
      <c r="M372" s="26"/>
      <c r="N372" s="20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</row>
    <row r="373" spans="1:25" ht="13">
      <c r="A373" s="26"/>
      <c r="B373" s="83"/>
      <c r="C373" s="26"/>
      <c r="D373" s="26"/>
      <c r="E373" s="26"/>
      <c r="F373" s="26"/>
      <c r="G373" s="26"/>
      <c r="H373" s="26"/>
      <c r="I373" s="26"/>
      <c r="J373" s="34"/>
      <c r="K373" s="63"/>
      <c r="L373" s="26"/>
      <c r="M373" s="26"/>
      <c r="N373" s="20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</row>
    <row r="374" spans="1:25" ht="13">
      <c r="A374" s="26"/>
      <c r="B374" s="83"/>
      <c r="C374" s="26"/>
      <c r="D374" s="26"/>
      <c r="E374" s="26"/>
      <c r="F374" s="26"/>
      <c r="G374" s="26"/>
      <c r="H374" s="26"/>
      <c r="I374" s="26"/>
      <c r="J374" s="34"/>
      <c r="K374" s="63"/>
      <c r="L374" s="26"/>
      <c r="M374" s="26"/>
      <c r="N374" s="20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</row>
    <row r="375" spans="1:25" ht="13">
      <c r="A375" s="26"/>
      <c r="B375" s="83"/>
      <c r="C375" s="26"/>
      <c r="D375" s="26"/>
      <c r="E375" s="26"/>
      <c r="F375" s="26"/>
      <c r="G375" s="26"/>
      <c r="H375" s="26"/>
      <c r="I375" s="26"/>
      <c r="J375" s="34"/>
      <c r="K375" s="63"/>
      <c r="L375" s="26"/>
      <c r="M375" s="26"/>
      <c r="N375" s="20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</row>
    <row r="376" spans="1:25" ht="13">
      <c r="A376" s="26"/>
      <c r="B376" s="83"/>
      <c r="C376" s="26"/>
      <c r="D376" s="26"/>
      <c r="E376" s="26"/>
      <c r="F376" s="26"/>
      <c r="G376" s="26"/>
      <c r="H376" s="26"/>
      <c r="I376" s="26"/>
      <c r="J376" s="34"/>
      <c r="K376" s="63"/>
      <c r="L376" s="26"/>
      <c r="M376" s="26"/>
      <c r="N376" s="20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</row>
    <row r="377" spans="1:25" ht="13">
      <c r="A377" s="26"/>
      <c r="B377" s="83"/>
      <c r="C377" s="26"/>
      <c r="D377" s="26"/>
      <c r="E377" s="26"/>
      <c r="F377" s="26"/>
      <c r="G377" s="26"/>
      <c r="H377" s="26"/>
      <c r="I377" s="26"/>
      <c r="J377" s="34"/>
      <c r="K377" s="63"/>
      <c r="L377" s="26"/>
      <c r="M377" s="26"/>
      <c r="N377" s="20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</row>
    <row r="378" spans="1:25" ht="13">
      <c r="A378" s="26"/>
      <c r="B378" s="83"/>
      <c r="C378" s="26"/>
      <c r="D378" s="26"/>
      <c r="E378" s="26"/>
      <c r="F378" s="26"/>
      <c r="G378" s="26"/>
      <c r="H378" s="26"/>
      <c r="I378" s="26"/>
      <c r="J378" s="34"/>
      <c r="K378" s="63"/>
      <c r="L378" s="26"/>
      <c r="M378" s="26"/>
      <c r="N378" s="20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</row>
    <row r="379" spans="1:25" ht="13">
      <c r="A379" s="26"/>
      <c r="B379" s="83"/>
      <c r="C379" s="26"/>
      <c r="D379" s="26"/>
      <c r="E379" s="26"/>
      <c r="F379" s="26"/>
      <c r="G379" s="26"/>
      <c r="H379" s="26"/>
      <c r="I379" s="26"/>
      <c r="J379" s="34"/>
      <c r="K379" s="63"/>
      <c r="L379" s="26"/>
      <c r="M379" s="26"/>
      <c r="N379" s="20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</row>
    <row r="380" spans="1:25" ht="13">
      <c r="A380" s="26"/>
      <c r="B380" s="83"/>
      <c r="C380" s="26"/>
      <c r="D380" s="26"/>
      <c r="E380" s="26"/>
      <c r="F380" s="26"/>
      <c r="G380" s="26"/>
      <c r="H380" s="26"/>
      <c r="I380" s="26"/>
      <c r="J380" s="34"/>
      <c r="K380" s="63"/>
      <c r="L380" s="26"/>
      <c r="M380" s="26"/>
      <c r="N380" s="20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</row>
    <row r="381" spans="1:25" ht="13">
      <c r="A381" s="26"/>
      <c r="B381" s="83"/>
      <c r="C381" s="26"/>
      <c r="D381" s="26"/>
      <c r="E381" s="26"/>
      <c r="F381" s="26"/>
      <c r="G381" s="26"/>
      <c r="H381" s="26"/>
      <c r="I381" s="26"/>
      <c r="J381" s="34"/>
      <c r="K381" s="63"/>
      <c r="L381" s="26"/>
      <c r="M381" s="26"/>
      <c r="N381" s="20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</row>
    <row r="382" spans="1:25" ht="13">
      <c r="A382" s="26"/>
      <c r="B382" s="83"/>
      <c r="C382" s="26"/>
      <c r="D382" s="26"/>
      <c r="E382" s="26"/>
      <c r="F382" s="26"/>
      <c r="G382" s="26"/>
      <c r="H382" s="26"/>
      <c r="I382" s="26"/>
      <c r="J382" s="34"/>
      <c r="K382" s="63"/>
      <c r="L382" s="26"/>
      <c r="M382" s="26"/>
      <c r="N382" s="20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</row>
    <row r="383" spans="1:25" ht="13">
      <c r="A383" s="26"/>
      <c r="B383" s="83"/>
      <c r="C383" s="26"/>
      <c r="D383" s="26"/>
      <c r="E383" s="26"/>
      <c r="F383" s="26"/>
      <c r="G383" s="26"/>
      <c r="H383" s="26"/>
      <c r="I383" s="26"/>
      <c r="J383" s="34"/>
      <c r="K383" s="63"/>
      <c r="L383" s="26"/>
      <c r="M383" s="26"/>
      <c r="N383" s="20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</row>
    <row r="384" spans="1:25" ht="13">
      <c r="A384" s="26"/>
      <c r="B384" s="83"/>
      <c r="C384" s="26"/>
      <c r="D384" s="26"/>
      <c r="E384" s="26"/>
      <c r="F384" s="26"/>
      <c r="G384" s="26"/>
      <c r="H384" s="26"/>
      <c r="I384" s="26"/>
      <c r="J384" s="34"/>
      <c r="K384" s="63"/>
      <c r="L384" s="26"/>
      <c r="M384" s="26"/>
      <c r="N384" s="20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</row>
    <row r="385" spans="1:25" ht="13">
      <c r="A385" s="26"/>
      <c r="B385" s="83"/>
      <c r="C385" s="26"/>
      <c r="D385" s="26"/>
      <c r="E385" s="26"/>
      <c r="F385" s="26"/>
      <c r="G385" s="26"/>
      <c r="H385" s="26"/>
      <c r="I385" s="26"/>
      <c r="J385" s="34"/>
      <c r="K385" s="63"/>
      <c r="L385" s="26"/>
      <c r="M385" s="26"/>
      <c r="N385" s="20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</row>
    <row r="386" spans="1:25" ht="13">
      <c r="A386" s="26"/>
      <c r="B386" s="83"/>
      <c r="C386" s="26"/>
      <c r="D386" s="26"/>
      <c r="E386" s="26"/>
      <c r="F386" s="26"/>
      <c r="G386" s="26"/>
      <c r="H386" s="26"/>
      <c r="I386" s="26"/>
      <c r="J386" s="34"/>
      <c r="K386" s="63"/>
      <c r="L386" s="26"/>
      <c r="M386" s="26"/>
      <c r="N386" s="20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</row>
    <row r="387" spans="1:25" ht="13">
      <c r="A387" s="26"/>
      <c r="B387" s="83"/>
      <c r="C387" s="26"/>
      <c r="D387" s="26"/>
      <c r="E387" s="26"/>
      <c r="F387" s="26"/>
      <c r="G387" s="26"/>
      <c r="H387" s="26"/>
      <c r="I387" s="26"/>
      <c r="J387" s="34"/>
      <c r="K387" s="63"/>
      <c r="L387" s="26"/>
      <c r="M387" s="26"/>
      <c r="N387" s="20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</row>
    <row r="388" spans="1:25" ht="13">
      <c r="A388" s="26"/>
      <c r="B388" s="83"/>
      <c r="C388" s="26"/>
      <c r="D388" s="26"/>
      <c r="E388" s="26"/>
      <c r="F388" s="26"/>
      <c r="G388" s="26"/>
      <c r="H388" s="26"/>
      <c r="I388" s="26"/>
      <c r="J388" s="34"/>
      <c r="K388" s="63"/>
      <c r="L388" s="26"/>
      <c r="M388" s="26"/>
      <c r="N388" s="20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</row>
    <row r="389" spans="1:25" ht="13">
      <c r="A389" s="26"/>
      <c r="B389" s="83"/>
      <c r="C389" s="26"/>
      <c r="D389" s="26"/>
      <c r="E389" s="26"/>
      <c r="F389" s="26"/>
      <c r="G389" s="26"/>
      <c r="H389" s="26"/>
      <c r="I389" s="26"/>
      <c r="J389" s="34"/>
      <c r="K389" s="63"/>
      <c r="L389" s="26"/>
      <c r="M389" s="26"/>
      <c r="N389" s="20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</row>
    <row r="390" spans="1:25" ht="13">
      <c r="A390" s="26"/>
      <c r="B390" s="83"/>
      <c r="C390" s="26"/>
      <c r="D390" s="26"/>
      <c r="E390" s="26"/>
      <c r="F390" s="26"/>
      <c r="G390" s="26"/>
      <c r="H390" s="26"/>
      <c r="I390" s="26"/>
      <c r="J390" s="34"/>
      <c r="K390" s="63"/>
      <c r="L390" s="26"/>
      <c r="M390" s="26"/>
      <c r="N390" s="20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</row>
    <row r="391" spans="1:25" ht="13">
      <c r="A391" s="26"/>
      <c r="B391" s="83"/>
      <c r="C391" s="26"/>
      <c r="D391" s="26"/>
      <c r="E391" s="26"/>
      <c r="F391" s="26"/>
      <c r="G391" s="26"/>
      <c r="H391" s="26"/>
      <c r="I391" s="26"/>
      <c r="J391" s="34"/>
      <c r="K391" s="63"/>
      <c r="L391" s="26"/>
      <c r="M391" s="26"/>
      <c r="N391" s="20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</row>
    <row r="392" spans="1:25" ht="13">
      <c r="A392" s="26"/>
      <c r="B392" s="83"/>
      <c r="C392" s="26"/>
      <c r="D392" s="26"/>
      <c r="E392" s="26"/>
      <c r="F392" s="26"/>
      <c r="G392" s="26"/>
      <c r="H392" s="26"/>
      <c r="I392" s="26"/>
      <c r="J392" s="34"/>
      <c r="K392" s="63"/>
      <c r="L392" s="26"/>
      <c r="M392" s="26"/>
      <c r="N392" s="20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</row>
    <row r="393" spans="1:25" ht="13">
      <c r="A393" s="26"/>
      <c r="B393" s="83"/>
      <c r="C393" s="26"/>
      <c r="D393" s="26"/>
      <c r="E393" s="26"/>
      <c r="F393" s="26"/>
      <c r="G393" s="26"/>
      <c r="H393" s="26"/>
      <c r="I393" s="26"/>
      <c r="J393" s="34"/>
      <c r="K393" s="63"/>
      <c r="L393" s="26"/>
      <c r="M393" s="26"/>
      <c r="N393" s="20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</row>
    <row r="394" spans="1:25" ht="13">
      <c r="A394" s="26"/>
      <c r="B394" s="83"/>
      <c r="C394" s="26"/>
      <c r="D394" s="26"/>
      <c r="E394" s="26"/>
      <c r="F394" s="26"/>
      <c r="G394" s="26"/>
      <c r="H394" s="26"/>
      <c r="I394" s="26"/>
      <c r="J394" s="34"/>
      <c r="K394" s="63"/>
      <c r="L394" s="26"/>
      <c r="M394" s="26"/>
      <c r="N394" s="20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</row>
    <row r="395" spans="1:25" ht="13">
      <c r="A395" s="26"/>
      <c r="B395" s="83"/>
      <c r="C395" s="26"/>
      <c r="D395" s="26"/>
      <c r="E395" s="26"/>
      <c r="F395" s="26"/>
      <c r="G395" s="26"/>
      <c r="H395" s="26"/>
      <c r="I395" s="26"/>
      <c r="J395" s="34"/>
      <c r="K395" s="63"/>
      <c r="L395" s="26"/>
      <c r="M395" s="26"/>
      <c r="N395" s="20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</row>
    <row r="396" spans="1:25" ht="13">
      <c r="A396" s="26"/>
      <c r="B396" s="83"/>
      <c r="C396" s="26"/>
      <c r="D396" s="26"/>
      <c r="E396" s="26"/>
      <c r="F396" s="26"/>
      <c r="G396" s="26"/>
      <c r="H396" s="26"/>
      <c r="I396" s="26"/>
      <c r="J396" s="34"/>
      <c r="K396" s="63"/>
      <c r="L396" s="26"/>
      <c r="M396" s="26"/>
      <c r="N396" s="20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</row>
    <row r="397" spans="1:25" ht="13">
      <c r="A397" s="26"/>
      <c r="B397" s="83"/>
      <c r="C397" s="26"/>
      <c r="D397" s="26"/>
      <c r="E397" s="26"/>
      <c r="F397" s="26"/>
      <c r="G397" s="26"/>
      <c r="H397" s="26"/>
      <c r="I397" s="26"/>
      <c r="J397" s="34"/>
      <c r="K397" s="63"/>
      <c r="L397" s="26"/>
      <c r="M397" s="26"/>
      <c r="N397" s="20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</row>
    <row r="398" spans="1:25" ht="13">
      <c r="A398" s="26"/>
      <c r="B398" s="83"/>
      <c r="C398" s="26"/>
      <c r="D398" s="26"/>
      <c r="E398" s="26"/>
      <c r="F398" s="26"/>
      <c r="G398" s="26"/>
      <c r="H398" s="26"/>
      <c r="I398" s="26"/>
      <c r="J398" s="34"/>
      <c r="K398" s="63"/>
      <c r="L398" s="26"/>
      <c r="M398" s="26"/>
      <c r="N398" s="20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</row>
    <row r="399" spans="1:25" ht="13">
      <c r="A399" s="26"/>
      <c r="B399" s="83"/>
      <c r="C399" s="26"/>
      <c r="D399" s="26"/>
      <c r="E399" s="26"/>
      <c r="F399" s="26"/>
      <c r="G399" s="26"/>
      <c r="H399" s="26"/>
      <c r="I399" s="26"/>
      <c r="J399" s="34"/>
      <c r="K399" s="63"/>
      <c r="L399" s="26"/>
      <c r="M399" s="26"/>
      <c r="N399" s="20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</row>
    <row r="400" spans="1:25" ht="13">
      <c r="A400" s="26"/>
      <c r="B400" s="83"/>
      <c r="C400" s="26"/>
      <c r="D400" s="26"/>
      <c r="E400" s="26"/>
      <c r="F400" s="26"/>
      <c r="G400" s="26"/>
      <c r="H400" s="26"/>
      <c r="I400" s="26"/>
      <c r="J400" s="34"/>
      <c r="K400" s="63"/>
      <c r="L400" s="26"/>
      <c r="M400" s="26"/>
      <c r="N400" s="20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</row>
    <row r="401" spans="1:25" ht="13">
      <c r="A401" s="26"/>
      <c r="B401" s="83"/>
      <c r="C401" s="26"/>
      <c r="D401" s="26"/>
      <c r="E401" s="26"/>
      <c r="F401" s="26"/>
      <c r="G401" s="26"/>
      <c r="H401" s="26"/>
      <c r="I401" s="26"/>
      <c r="J401" s="34"/>
      <c r="K401" s="63"/>
      <c r="L401" s="26"/>
      <c r="M401" s="26"/>
      <c r="N401" s="20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</row>
    <row r="402" spans="1:25" ht="13">
      <c r="A402" s="26"/>
      <c r="B402" s="83"/>
      <c r="C402" s="26"/>
      <c r="D402" s="26"/>
      <c r="E402" s="26"/>
      <c r="F402" s="26"/>
      <c r="G402" s="26"/>
      <c r="H402" s="26"/>
      <c r="I402" s="26"/>
      <c r="J402" s="34"/>
      <c r="K402" s="63"/>
      <c r="L402" s="26"/>
      <c r="M402" s="26"/>
      <c r="N402" s="20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</row>
    <row r="403" spans="1:25" ht="13">
      <c r="A403" s="26"/>
      <c r="B403" s="83"/>
      <c r="C403" s="26"/>
      <c r="D403" s="26"/>
      <c r="E403" s="26"/>
      <c r="F403" s="26"/>
      <c r="G403" s="26"/>
      <c r="H403" s="26"/>
      <c r="I403" s="26"/>
      <c r="J403" s="34"/>
      <c r="K403" s="63"/>
      <c r="L403" s="26"/>
      <c r="M403" s="26"/>
      <c r="N403" s="20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</row>
    <row r="404" spans="1:25" ht="13">
      <c r="A404" s="26"/>
      <c r="B404" s="83"/>
      <c r="C404" s="26"/>
      <c r="D404" s="26"/>
      <c r="E404" s="26"/>
      <c r="F404" s="26"/>
      <c r="G404" s="26"/>
      <c r="H404" s="26"/>
      <c r="I404" s="26"/>
      <c r="J404" s="34"/>
      <c r="K404" s="63"/>
      <c r="L404" s="26"/>
      <c r="M404" s="26"/>
      <c r="N404" s="20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</row>
    <row r="405" spans="1:25" ht="13">
      <c r="A405" s="26"/>
      <c r="B405" s="83"/>
      <c r="C405" s="26"/>
      <c r="D405" s="26"/>
      <c r="E405" s="26"/>
      <c r="F405" s="26"/>
      <c r="G405" s="26"/>
      <c r="H405" s="26"/>
      <c r="I405" s="26"/>
      <c r="J405" s="34"/>
      <c r="K405" s="63"/>
      <c r="L405" s="26"/>
      <c r="M405" s="26"/>
      <c r="N405" s="20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</row>
    <row r="406" spans="1:25" ht="13">
      <c r="A406" s="26"/>
      <c r="B406" s="83"/>
      <c r="C406" s="26"/>
      <c r="D406" s="26"/>
      <c r="E406" s="26"/>
      <c r="F406" s="26"/>
      <c r="G406" s="26"/>
      <c r="H406" s="26"/>
      <c r="I406" s="26"/>
      <c r="J406" s="34"/>
      <c r="K406" s="63"/>
      <c r="L406" s="26"/>
      <c r="M406" s="26"/>
      <c r="N406" s="20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</row>
    <row r="407" spans="1:25" ht="13">
      <c r="A407" s="26"/>
      <c r="B407" s="83"/>
      <c r="C407" s="26"/>
      <c r="D407" s="26"/>
      <c r="E407" s="26"/>
      <c r="F407" s="26"/>
      <c r="G407" s="26"/>
      <c r="H407" s="26"/>
      <c r="I407" s="26"/>
      <c r="J407" s="34"/>
      <c r="K407" s="63"/>
      <c r="L407" s="26"/>
      <c r="M407" s="26"/>
      <c r="N407" s="20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</row>
    <row r="408" spans="1:25" ht="13">
      <c r="A408" s="26"/>
      <c r="B408" s="83"/>
      <c r="C408" s="26"/>
      <c r="D408" s="26"/>
      <c r="E408" s="26"/>
      <c r="F408" s="26"/>
      <c r="G408" s="26"/>
      <c r="H408" s="26"/>
      <c r="I408" s="26"/>
      <c r="J408" s="34"/>
      <c r="K408" s="63"/>
      <c r="L408" s="26"/>
      <c r="M408" s="26"/>
      <c r="N408" s="20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</row>
    <row r="409" spans="1:25" ht="13">
      <c r="A409" s="26"/>
      <c r="B409" s="83"/>
      <c r="C409" s="26"/>
      <c r="D409" s="26"/>
      <c r="E409" s="26"/>
      <c r="F409" s="26"/>
      <c r="G409" s="26"/>
      <c r="H409" s="26"/>
      <c r="I409" s="26"/>
      <c r="J409" s="34"/>
      <c r="K409" s="63"/>
      <c r="L409" s="26"/>
      <c r="M409" s="26"/>
      <c r="N409" s="20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</row>
    <row r="410" spans="1:25" ht="13">
      <c r="A410" s="26"/>
      <c r="B410" s="83"/>
      <c r="C410" s="26"/>
      <c r="D410" s="26"/>
      <c r="E410" s="26"/>
      <c r="F410" s="26"/>
      <c r="G410" s="26"/>
      <c r="H410" s="26"/>
      <c r="I410" s="26"/>
      <c r="J410" s="34"/>
      <c r="K410" s="63"/>
      <c r="L410" s="26"/>
      <c r="M410" s="26"/>
      <c r="N410" s="20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</row>
    <row r="411" spans="1:25" ht="13">
      <c r="A411" s="26"/>
      <c r="B411" s="83"/>
      <c r="C411" s="26"/>
      <c r="D411" s="26"/>
      <c r="E411" s="26"/>
      <c r="F411" s="26"/>
      <c r="G411" s="26"/>
      <c r="H411" s="26"/>
      <c r="I411" s="26"/>
      <c r="J411" s="34"/>
      <c r="K411" s="63"/>
      <c r="L411" s="26"/>
      <c r="M411" s="26"/>
      <c r="N411" s="20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</row>
    <row r="412" spans="1:25" ht="13">
      <c r="A412" s="26"/>
      <c r="B412" s="83"/>
      <c r="C412" s="26"/>
      <c r="D412" s="26"/>
      <c r="E412" s="26"/>
      <c r="F412" s="26"/>
      <c r="G412" s="26"/>
      <c r="H412" s="26"/>
      <c r="I412" s="26"/>
      <c r="J412" s="34"/>
      <c r="K412" s="63"/>
      <c r="L412" s="26"/>
      <c r="M412" s="26"/>
      <c r="N412" s="20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</row>
    <row r="413" spans="1:25" ht="13">
      <c r="A413" s="26"/>
      <c r="B413" s="83"/>
      <c r="C413" s="26"/>
      <c r="D413" s="26"/>
      <c r="E413" s="26"/>
      <c r="F413" s="26"/>
      <c r="G413" s="26"/>
      <c r="H413" s="26"/>
      <c r="I413" s="26"/>
      <c r="J413" s="34"/>
      <c r="K413" s="63"/>
      <c r="L413" s="26"/>
      <c r="M413" s="26"/>
      <c r="N413" s="20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</row>
    <row r="414" spans="1:25" ht="13">
      <c r="A414" s="26"/>
      <c r="B414" s="83"/>
      <c r="C414" s="26"/>
      <c r="D414" s="26"/>
      <c r="E414" s="26"/>
      <c r="F414" s="26"/>
      <c r="G414" s="26"/>
      <c r="H414" s="26"/>
      <c r="I414" s="26"/>
      <c r="J414" s="34"/>
      <c r="K414" s="63"/>
      <c r="L414" s="26"/>
      <c r="M414" s="26"/>
      <c r="N414" s="20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</row>
    <row r="415" spans="1:25" ht="13">
      <c r="A415" s="26"/>
      <c r="B415" s="83"/>
      <c r="C415" s="26"/>
      <c r="D415" s="26"/>
      <c r="E415" s="26"/>
      <c r="F415" s="26"/>
      <c r="G415" s="26"/>
      <c r="H415" s="26"/>
      <c r="I415" s="26"/>
      <c r="J415" s="34"/>
      <c r="K415" s="63"/>
      <c r="L415" s="26"/>
      <c r="M415" s="26"/>
      <c r="N415" s="20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</row>
    <row r="416" spans="1:25" ht="13">
      <c r="A416" s="26"/>
      <c r="B416" s="83"/>
      <c r="C416" s="26"/>
      <c r="D416" s="26"/>
      <c r="E416" s="26"/>
      <c r="F416" s="26"/>
      <c r="G416" s="26"/>
      <c r="H416" s="26"/>
      <c r="I416" s="26"/>
      <c r="J416" s="34"/>
      <c r="K416" s="63"/>
      <c r="L416" s="26"/>
      <c r="M416" s="26"/>
      <c r="N416" s="20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</row>
    <row r="417" spans="1:25" ht="13">
      <c r="A417" s="26"/>
      <c r="B417" s="83"/>
      <c r="C417" s="26"/>
      <c r="D417" s="26"/>
      <c r="E417" s="26"/>
      <c r="F417" s="26"/>
      <c r="G417" s="26"/>
      <c r="H417" s="26"/>
      <c r="I417" s="26"/>
      <c r="J417" s="34"/>
      <c r="K417" s="63"/>
      <c r="L417" s="26"/>
      <c r="M417" s="26"/>
      <c r="N417" s="20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</row>
    <row r="418" spans="1:25" ht="13">
      <c r="A418" s="26"/>
      <c r="B418" s="83"/>
      <c r="C418" s="26"/>
      <c r="D418" s="26"/>
      <c r="E418" s="26"/>
      <c r="F418" s="26"/>
      <c r="G418" s="26"/>
      <c r="H418" s="26"/>
      <c r="I418" s="26"/>
      <c r="J418" s="34"/>
      <c r="K418" s="63"/>
      <c r="L418" s="26"/>
      <c r="M418" s="26"/>
      <c r="N418" s="20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</row>
    <row r="419" spans="1:25" ht="13">
      <c r="A419" s="26"/>
      <c r="B419" s="83"/>
      <c r="C419" s="26"/>
      <c r="D419" s="26"/>
      <c r="E419" s="26"/>
      <c r="F419" s="26"/>
      <c r="G419" s="26"/>
      <c r="H419" s="26"/>
      <c r="I419" s="26"/>
      <c r="J419" s="34"/>
      <c r="K419" s="63"/>
      <c r="L419" s="26"/>
      <c r="M419" s="26"/>
      <c r="N419" s="20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</row>
    <row r="420" spans="1:25" ht="13">
      <c r="A420" s="26"/>
      <c r="B420" s="83"/>
      <c r="C420" s="26"/>
      <c r="D420" s="26"/>
      <c r="E420" s="26"/>
      <c r="F420" s="26"/>
      <c r="G420" s="26"/>
      <c r="H420" s="26"/>
      <c r="I420" s="26"/>
      <c r="J420" s="34"/>
      <c r="K420" s="63"/>
      <c r="L420" s="26"/>
      <c r="M420" s="26"/>
      <c r="N420" s="20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</row>
    <row r="421" spans="1:25" ht="13">
      <c r="A421" s="26"/>
      <c r="B421" s="83"/>
      <c r="C421" s="26"/>
      <c r="D421" s="26"/>
      <c r="E421" s="26"/>
      <c r="F421" s="26"/>
      <c r="G421" s="26"/>
      <c r="H421" s="26"/>
      <c r="I421" s="26"/>
      <c r="J421" s="34"/>
      <c r="K421" s="63"/>
      <c r="L421" s="26"/>
      <c r="M421" s="26"/>
      <c r="N421" s="20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</row>
    <row r="422" spans="1:25" ht="13">
      <c r="A422" s="26"/>
      <c r="B422" s="83"/>
      <c r="C422" s="26"/>
      <c r="D422" s="26"/>
      <c r="E422" s="26"/>
      <c r="F422" s="26"/>
      <c r="G422" s="26"/>
      <c r="H422" s="26"/>
      <c r="I422" s="26"/>
      <c r="J422" s="34"/>
      <c r="K422" s="63"/>
      <c r="L422" s="26"/>
      <c r="M422" s="26"/>
      <c r="N422" s="20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</row>
    <row r="423" spans="1:25" ht="13">
      <c r="A423" s="26"/>
      <c r="B423" s="83"/>
      <c r="C423" s="26"/>
      <c r="D423" s="26"/>
      <c r="E423" s="26"/>
      <c r="F423" s="26"/>
      <c r="G423" s="26"/>
      <c r="H423" s="26"/>
      <c r="I423" s="26"/>
      <c r="J423" s="34"/>
      <c r="K423" s="63"/>
      <c r="L423" s="26"/>
      <c r="M423" s="26"/>
      <c r="N423" s="20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</row>
    <row r="424" spans="1:25" ht="13">
      <c r="A424" s="26"/>
      <c r="B424" s="83"/>
      <c r="C424" s="26"/>
      <c r="D424" s="26"/>
      <c r="E424" s="26"/>
      <c r="F424" s="26"/>
      <c r="G424" s="26"/>
      <c r="H424" s="26"/>
      <c r="I424" s="26"/>
      <c r="J424" s="34"/>
      <c r="K424" s="63"/>
      <c r="L424" s="26"/>
      <c r="M424" s="26"/>
      <c r="N424" s="20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</row>
    <row r="425" spans="1:25" ht="13">
      <c r="A425" s="26"/>
      <c r="B425" s="83"/>
      <c r="C425" s="26"/>
      <c r="D425" s="26"/>
      <c r="E425" s="26"/>
      <c r="F425" s="26"/>
      <c r="G425" s="26"/>
      <c r="H425" s="26"/>
      <c r="I425" s="26"/>
      <c r="J425" s="34"/>
      <c r="K425" s="63"/>
      <c r="L425" s="26"/>
      <c r="M425" s="26"/>
      <c r="N425" s="20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</row>
    <row r="426" spans="1:25" ht="13">
      <c r="A426" s="26"/>
      <c r="B426" s="83"/>
      <c r="C426" s="26"/>
      <c r="D426" s="26"/>
      <c r="E426" s="26"/>
      <c r="F426" s="26"/>
      <c r="G426" s="26"/>
      <c r="H426" s="26"/>
      <c r="I426" s="26"/>
      <c r="J426" s="34"/>
      <c r="K426" s="63"/>
      <c r="L426" s="26"/>
      <c r="M426" s="26"/>
      <c r="N426" s="20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</row>
    <row r="427" spans="1:25" ht="13">
      <c r="A427" s="26"/>
      <c r="B427" s="83"/>
      <c r="C427" s="26"/>
      <c r="D427" s="26"/>
      <c r="E427" s="26"/>
      <c r="F427" s="26"/>
      <c r="G427" s="26"/>
      <c r="H427" s="26"/>
      <c r="I427" s="26"/>
      <c r="J427" s="34"/>
      <c r="K427" s="63"/>
      <c r="L427" s="26"/>
      <c r="M427" s="26"/>
      <c r="N427" s="20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</row>
    <row r="428" spans="1:25" ht="13">
      <c r="A428" s="26"/>
      <c r="B428" s="83"/>
      <c r="C428" s="26"/>
      <c r="D428" s="26"/>
      <c r="E428" s="26"/>
      <c r="F428" s="26"/>
      <c r="G428" s="26"/>
      <c r="H428" s="26"/>
      <c r="I428" s="26"/>
      <c r="J428" s="34"/>
      <c r="K428" s="63"/>
      <c r="L428" s="26"/>
      <c r="M428" s="26"/>
      <c r="N428" s="20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</row>
    <row r="429" spans="1:25" ht="13">
      <c r="A429" s="26"/>
      <c r="B429" s="83"/>
      <c r="C429" s="26"/>
      <c r="D429" s="26"/>
      <c r="E429" s="26"/>
      <c r="F429" s="26"/>
      <c r="G429" s="26"/>
      <c r="H429" s="26"/>
      <c r="I429" s="26"/>
      <c r="J429" s="34"/>
      <c r="K429" s="63"/>
      <c r="L429" s="26"/>
      <c r="M429" s="26"/>
      <c r="N429" s="20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1:25" ht="13">
      <c r="A430" s="26"/>
      <c r="B430" s="83"/>
      <c r="C430" s="26"/>
      <c r="D430" s="26"/>
      <c r="E430" s="26"/>
      <c r="F430" s="26"/>
      <c r="G430" s="26"/>
      <c r="H430" s="26"/>
      <c r="I430" s="26"/>
      <c r="J430" s="34"/>
      <c r="K430" s="63"/>
      <c r="L430" s="26"/>
      <c r="M430" s="26"/>
      <c r="N430" s="20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1:25" ht="13">
      <c r="A431" s="26"/>
      <c r="B431" s="83"/>
      <c r="C431" s="26"/>
      <c r="D431" s="26"/>
      <c r="E431" s="26"/>
      <c r="F431" s="26"/>
      <c r="G431" s="26"/>
      <c r="H431" s="26"/>
      <c r="I431" s="26"/>
      <c r="J431" s="34"/>
      <c r="K431" s="63"/>
      <c r="L431" s="26"/>
      <c r="M431" s="26"/>
      <c r="N431" s="20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1:25" ht="13">
      <c r="A432" s="26"/>
      <c r="B432" s="83"/>
      <c r="C432" s="26"/>
      <c r="D432" s="26"/>
      <c r="E432" s="26"/>
      <c r="F432" s="26"/>
      <c r="G432" s="26"/>
      <c r="H432" s="26"/>
      <c r="I432" s="26"/>
      <c r="J432" s="34"/>
      <c r="K432" s="63"/>
      <c r="L432" s="26"/>
      <c r="M432" s="26"/>
      <c r="N432" s="20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1:25" ht="13">
      <c r="A433" s="26"/>
      <c r="B433" s="83"/>
      <c r="C433" s="26"/>
      <c r="D433" s="26"/>
      <c r="E433" s="26"/>
      <c r="F433" s="26"/>
      <c r="G433" s="26"/>
      <c r="H433" s="26"/>
      <c r="I433" s="26"/>
      <c r="J433" s="34"/>
      <c r="K433" s="63"/>
      <c r="L433" s="26"/>
      <c r="M433" s="26"/>
      <c r="N433" s="20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1:25" ht="13">
      <c r="A434" s="26"/>
      <c r="B434" s="83"/>
      <c r="C434" s="26"/>
      <c r="D434" s="26"/>
      <c r="E434" s="26"/>
      <c r="F434" s="26"/>
      <c r="G434" s="26"/>
      <c r="H434" s="26"/>
      <c r="I434" s="26"/>
      <c r="J434" s="34"/>
      <c r="K434" s="63"/>
      <c r="L434" s="26"/>
      <c r="M434" s="26"/>
      <c r="N434" s="20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1:25" ht="13">
      <c r="A435" s="26"/>
      <c r="B435" s="83"/>
      <c r="C435" s="26"/>
      <c r="D435" s="26"/>
      <c r="E435" s="26"/>
      <c r="F435" s="26"/>
      <c r="G435" s="26"/>
      <c r="H435" s="26"/>
      <c r="I435" s="26"/>
      <c r="J435" s="34"/>
      <c r="K435" s="63"/>
      <c r="L435" s="26"/>
      <c r="M435" s="26"/>
      <c r="N435" s="20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1:25" ht="13">
      <c r="A436" s="26"/>
      <c r="B436" s="83"/>
      <c r="C436" s="26"/>
      <c r="D436" s="26"/>
      <c r="E436" s="26"/>
      <c r="F436" s="26"/>
      <c r="G436" s="26"/>
      <c r="H436" s="26"/>
      <c r="I436" s="26"/>
      <c r="J436" s="34"/>
      <c r="K436" s="63"/>
      <c r="L436" s="26"/>
      <c r="M436" s="26"/>
      <c r="N436" s="20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1:25" ht="13">
      <c r="A437" s="26"/>
      <c r="B437" s="83"/>
      <c r="C437" s="26"/>
      <c r="D437" s="26"/>
      <c r="E437" s="26"/>
      <c r="F437" s="26"/>
      <c r="G437" s="26"/>
      <c r="H437" s="26"/>
      <c r="I437" s="26"/>
      <c r="J437" s="34"/>
      <c r="K437" s="63"/>
      <c r="L437" s="26"/>
      <c r="M437" s="26"/>
      <c r="N437" s="20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1:25" ht="13">
      <c r="A438" s="26"/>
      <c r="B438" s="83"/>
      <c r="C438" s="26"/>
      <c r="D438" s="26"/>
      <c r="E438" s="26"/>
      <c r="F438" s="26"/>
      <c r="G438" s="26"/>
      <c r="H438" s="26"/>
      <c r="I438" s="26"/>
      <c r="J438" s="34"/>
      <c r="K438" s="63"/>
      <c r="L438" s="26"/>
      <c r="M438" s="26"/>
      <c r="N438" s="20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1:25" ht="13">
      <c r="A439" s="26"/>
      <c r="B439" s="83"/>
      <c r="C439" s="26"/>
      <c r="D439" s="26"/>
      <c r="E439" s="26"/>
      <c r="F439" s="26"/>
      <c r="G439" s="26"/>
      <c r="H439" s="26"/>
      <c r="I439" s="26"/>
      <c r="J439" s="34"/>
      <c r="K439" s="63"/>
      <c r="L439" s="26"/>
      <c r="M439" s="26"/>
      <c r="N439" s="20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</row>
    <row r="440" spans="1:25" ht="13">
      <c r="A440" s="26"/>
      <c r="B440" s="83"/>
      <c r="C440" s="26"/>
      <c r="D440" s="26"/>
      <c r="E440" s="26"/>
      <c r="F440" s="26"/>
      <c r="G440" s="26"/>
      <c r="H440" s="26"/>
      <c r="I440" s="26"/>
      <c r="J440" s="34"/>
      <c r="K440" s="63"/>
      <c r="L440" s="26"/>
      <c r="M440" s="26"/>
      <c r="N440" s="20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</row>
    <row r="441" spans="1:25" ht="13">
      <c r="A441" s="26"/>
      <c r="B441" s="83"/>
      <c r="C441" s="26"/>
      <c r="D441" s="26"/>
      <c r="E441" s="26"/>
      <c r="F441" s="26"/>
      <c r="G441" s="26"/>
      <c r="H441" s="26"/>
      <c r="I441" s="26"/>
      <c r="J441" s="34"/>
      <c r="K441" s="63"/>
      <c r="L441" s="26"/>
      <c r="M441" s="26"/>
      <c r="N441" s="20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</row>
    <row r="442" spans="1:25" ht="13">
      <c r="A442" s="26"/>
      <c r="B442" s="83"/>
      <c r="C442" s="26"/>
      <c r="D442" s="26"/>
      <c r="E442" s="26"/>
      <c r="F442" s="26"/>
      <c r="G442" s="26"/>
      <c r="H442" s="26"/>
      <c r="I442" s="26"/>
      <c r="J442" s="34"/>
      <c r="K442" s="63"/>
      <c r="L442" s="26"/>
      <c r="M442" s="26"/>
      <c r="N442" s="20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</row>
    <row r="443" spans="1:25" ht="13">
      <c r="A443" s="26"/>
      <c r="B443" s="83"/>
      <c r="C443" s="26"/>
      <c r="D443" s="26"/>
      <c r="E443" s="26"/>
      <c r="F443" s="26"/>
      <c r="G443" s="26"/>
      <c r="H443" s="26"/>
      <c r="I443" s="26"/>
      <c r="J443" s="34"/>
      <c r="K443" s="63"/>
      <c r="L443" s="26"/>
      <c r="M443" s="26"/>
      <c r="N443" s="20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</row>
    <row r="444" spans="1:25" ht="13">
      <c r="A444" s="26"/>
      <c r="B444" s="83"/>
      <c r="C444" s="26"/>
      <c r="D444" s="26"/>
      <c r="E444" s="26"/>
      <c r="F444" s="26"/>
      <c r="G444" s="26"/>
      <c r="H444" s="26"/>
      <c r="I444" s="26"/>
      <c r="J444" s="34"/>
      <c r="K444" s="63"/>
      <c r="L444" s="26"/>
      <c r="M444" s="26"/>
      <c r="N444" s="20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</row>
    <row r="445" spans="1:25" ht="13">
      <c r="A445" s="26"/>
      <c r="B445" s="83"/>
      <c r="C445" s="26"/>
      <c r="D445" s="26"/>
      <c r="E445" s="26"/>
      <c r="F445" s="26"/>
      <c r="G445" s="26"/>
      <c r="H445" s="26"/>
      <c r="I445" s="26"/>
      <c r="J445" s="34"/>
      <c r="K445" s="63"/>
      <c r="L445" s="26"/>
      <c r="M445" s="26"/>
      <c r="N445" s="20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</row>
    <row r="446" spans="1:25" ht="13">
      <c r="A446" s="26"/>
      <c r="B446" s="83"/>
      <c r="C446" s="26"/>
      <c r="D446" s="26"/>
      <c r="E446" s="26"/>
      <c r="F446" s="26"/>
      <c r="G446" s="26"/>
      <c r="H446" s="26"/>
      <c r="I446" s="26"/>
      <c r="J446" s="34"/>
      <c r="K446" s="63"/>
      <c r="L446" s="26"/>
      <c r="M446" s="26"/>
      <c r="N446" s="20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</row>
    <row r="447" spans="1:25" ht="13">
      <c r="A447" s="26"/>
      <c r="B447" s="83"/>
      <c r="C447" s="26"/>
      <c r="D447" s="26"/>
      <c r="E447" s="26"/>
      <c r="F447" s="26"/>
      <c r="G447" s="26"/>
      <c r="H447" s="26"/>
      <c r="I447" s="26"/>
      <c r="J447" s="34"/>
      <c r="K447" s="63"/>
      <c r="L447" s="26"/>
      <c r="M447" s="26"/>
      <c r="N447" s="20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</row>
    <row r="448" spans="1:25" ht="13">
      <c r="A448" s="26"/>
      <c r="B448" s="83"/>
      <c r="C448" s="26"/>
      <c r="D448" s="26"/>
      <c r="E448" s="26"/>
      <c r="F448" s="26"/>
      <c r="G448" s="26"/>
      <c r="H448" s="26"/>
      <c r="I448" s="26"/>
      <c r="J448" s="34"/>
      <c r="K448" s="63"/>
      <c r="L448" s="26"/>
      <c r="M448" s="26"/>
      <c r="N448" s="20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</row>
    <row r="449" spans="1:25" ht="13">
      <c r="A449" s="26"/>
      <c r="B449" s="83"/>
      <c r="C449" s="26"/>
      <c r="D449" s="26"/>
      <c r="E449" s="26"/>
      <c r="F449" s="26"/>
      <c r="G449" s="26"/>
      <c r="H449" s="26"/>
      <c r="I449" s="26"/>
      <c r="J449" s="34"/>
      <c r="K449" s="63"/>
      <c r="L449" s="26"/>
      <c r="M449" s="26"/>
      <c r="N449" s="20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</row>
    <row r="450" spans="1:25" ht="13">
      <c r="A450" s="26"/>
      <c r="B450" s="83"/>
      <c r="C450" s="26"/>
      <c r="D450" s="26"/>
      <c r="E450" s="26"/>
      <c r="F450" s="26"/>
      <c r="G450" s="26"/>
      <c r="H450" s="26"/>
      <c r="I450" s="26"/>
      <c r="J450" s="34"/>
      <c r="K450" s="63"/>
      <c r="L450" s="26"/>
      <c r="M450" s="26"/>
      <c r="N450" s="20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</row>
    <row r="451" spans="1:25" ht="13">
      <c r="A451" s="26"/>
      <c r="B451" s="83"/>
      <c r="C451" s="26"/>
      <c r="D451" s="26"/>
      <c r="E451" s="26"/>
      <c r="F451" s="26"/>
      <c r="G451" s="26"/>
      <c r="H451" s="26"/>
      <c r="I451" s="26"/>
      <c r="J451" s="34"/>
      <c r="K451" s="63"/>
      <c r="L451" s="26"/>
      <c r="M451" s="26"/>
      <c r="N451" s="20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</row>
    <row r="452" spans="1:25" ht="13">
      <c r="A452" s="26"/>
      <c r="B452" s="83"/>
      <c r="C452" s="26"/>
      <c r="D452" s="26"/>
      <c r="E452" s="26"/>
      <c r="F452" s="26"/>
      <c r="G452" s="26"/>
      <c r="H452" s="26"/>
      <c r="I452" s="26"/>
      <c r="J452" s="34"/>
      <c r="K452" s="63"/>
      <c r="L452" s="26"/>
      <c r="M452" s="26"/>
      <c r="N452" s="20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</row>
    <row r="453" spans="1:25" ht="13">
      <c r="A453" s="26"/>
      <c r="B453" s="83"/>
      <c r="C453" s="26"/>
      <c r="D453" s="26"/>
      <c r="E453" s="26"/>
      <c r="F453" s="26"/>
      <c r="G453" s="26"/>
      <c r="H453" s="26"/>
      <c r="I453" s="26"/>
      <c r="J453" s="34"/>
      <c r="K453" s="63"/>
      <c r="L453" s="26"/>
      <c r="M453" s="26"/>
      <c r="N453" s="20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</row>
    <row r="454" spans="1:25" ht="13">
      <c r="A454" s="26"/>
      <c r="B454" s="83"/>
      <c r="C454" s="26"/>
      <c r="D454" s="26"/>
      <c r="E454" s="26"/>
      <c r="F454" s="26"/>
      <c r="G454" s="26"/>
      <c r="H454" s="26"/>
      <c r="I454" s="26"/>
      <c r="J454" s="34"/>
      <c r="K454" s="63"/>
      <c r="L454" s="26"/>
      <c r="M454" s="26"/>
      <c r="N454" s="20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</row>
    <row r="455" spans="1:25" ht="13">
      <c r="A455" s="26"/>
      <c r="B455" s="83"/>
      <c r="C455" s="26"/>
      <c r="D455" s="26"/>
      <c r="E455" s="26"/>
      <c r="F455" s="26"/>
      <c r="G455" s="26"/>
      <c r="H455" s="26"/>
      <c r="I455" s="26"/>
      <c r="J455" s="34"/>
      <c r="K455" s="63"/>
      <c r="L455" s="26"/>
      <c r="M455" s="26"/>
      <c r="N455" s="20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</row>
    <row r="456" spans="1:25" ht="13">
      <c r="A456" s="26"/>
      <c r="B456" s="83"/>
      <c r="C456" s="26"/>
      <c r="D456" s="26"/>
      <c r="E456" s="26"/>
      <c r="F456" s="26"/>
      <c r="G456" s="26"/>
      <c r="H456" s="26"/>
      <c r="I456" s="26"/>
      <c r="J456" s="34"/>
      <c r="K456" s="63"/>
      <c r="L456" s="26"/>
      <c r="M456" s="26"/>
      <c r="N456" s="20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</row>
    <row r="457" spans="1:25" ht="13">
      <c r="A457" s="26"/>
      <c r="B457" s="83"/>
      <c r="C457" s="26"/>
      <c r="D457" s="26"/>
      <c r="E457" s="26"/>
      <c r="F457" s="26"/>
      <c r="G457" s="26"/>
      <c r="H457" s="26"/>
      <c r="I457" s="26"/>
      <c r="J457" s="34"/>
      <c r="K457" s="63"/>
      <c r="L457" s="26"/>
      <c r="M457" s="26"/>
      <c r="N457" s="20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</row>
    <row r="458" spans="1:25" ht="13">
      <c r="A458" s="26"/>
      <c r="B458" s="83"/>
      <c r="C458" s="26"/>
      <c r="D458" s="26"/>
      <c r="E458" s="26"/>
      <c r="F458" s="26"/>
      <c r="G458" s="26"/>
      <c r="H458" s="26"/>
      <c r="I458" s="26"/>
      <c r="J458" s="34"/>
      <c r="K458" s="63"/>
      <c r="L458" s="26"/>
      <c r="M458" s="26"/>
      <c r="N458" s="20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</row>
    <row r="459" spans="1:25" ht="13">
      <c r="A459" s="26"/>
      <c r="B459" s="83"/>
      <c r="C459" s="26"/>
      <c r="D459" s="26"/>
      <c r="E459" s="26"/>
      <c r="F459" s="26"/>
      <c r="G459" s="26"/>
      <c r="H459" s="26"/>
      <c r="I459" s="26"/>
      <c r="J459" s="34"/>
      <c r="K459" s="63"/>
      <c r="L459" s="26"/>
      <c r="M459" s="26"/>
      <c r="N459" s="20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</row>
    <row r="460" spans="1:25" ht="13">
      <c r="A460" s="26"/>
      <c r="B460" s="83"/>
      <c r="C460" s="26"/>
      <c r="D460" s="26"/>
      <c r="E460" s="26"/>
      <c r="F460" s="26"/>
      <c r="G460" s="26"/>
      <c r="H460" s="26"/>
      <c r="I460" s="26"/>
      <c r="J460" s="34"/>
      <c r="K460" s="63"/>
      <c r="L460" s="26"/>
      <c r="M460" s="26"/>
      <c r="N460" s="20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</row>
    <row r="461" spans="1:25" ht="13">
      <c r="A461" s="26"/>
      <c r="B461" s="83"/>
      <c r="C461" s="26"/>
      <c r="D461" s="26"/>
      <c r="E461" s="26"/>
      <c r="F461" s="26"/>
      <c r="G461" s="26"/>
      <c r="H461" s="26"/>
      <c r="I461" s="26"/>
      <c r="J461" s="34"/>
      <c r="K461" s="63"/>
      <c r="L461" s="26"/>
      <c r="M461" s="26"/>
      <c r="N461" s="20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</row>
    <row r="462" spans="1:25" ht="13">
      <c r="A462" s="26"/>
      <c r="B462" s="83"/>
      <c r="C462" s="26"/>
      <c r="D462" s="26"/>
      <c r="E462" s="26"/>
      <c r="F462" s="26"/>
      <c r="G462" s="26"/>
      <c r="H462" s="26"/>
      <c r="I462" s="26"/>
      <c r="J462" s="34"/>
      <c r="K462" s="63"/>
      <c r="L462" s="26"/>
      <c r="M462" s="26"/>
      <c r="N462" s="20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</row>
    <row r="463" spans="1:25" ht="13">
      <c r="A463" s="26"/>
      <c r="B463" s="83"/>
      <c r="C463" s="26"/>
      <c r="D463" s="26"/>
      <c r="E463" s="26"/>
      <c r="F463" s="26"/>
      <c r="G463" s="26"/>
      <c r="H463" s="26"/>
      <c r="I463" s="26"/>
      <c r="J463" s="34"/>
      <c r="K463" s="63"/>
      <c r="L463" s="26"/>
      <c r="M463" s="26"/>
      <c r="N463" s="20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</row>
    <row r="464" spans="1:25" ht="13">
      <c r="A464" s="26"/>
      <c r="B464" s="83"/>
      <c r="C464" s="26"/>
      <c r="D464" s="26"/>
      <c r="E464" s="26"/>
      <c r="F464" s="26"/>
      <c r="G464" s="26"/>
      <c r="H464" s="26"/>
      <c r="I464" s="26"/>
      <c r="J464" s="34"/>
      <c r="K464" s="63"/>
      <c r="L464" s="26"/>
      <c r="M464" s="26"/>
      <c r="N464" s="20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</row>
    <row r="465" spans="1:25" ht="13">
      <c r="A465" s="26"/>
      <c r="B465" s="83"/>
      <c r="C465" s="26"/>
      <c r="D465" s="26"/>
      <c r="E465" s="26"/>
      <c r="F465" s="26"/>
      <c r="G465" s="26"/>
      <c r="H465" s="26"/>
      <c r="I465" s="26"/>
      <c r="J465" s="34"/>
      <c r="K465" s="63"/>
      <c r="L465" s="26"/>
      <c r="M465" s="26"/>
      <c r="N465" s="20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</row>
    <row r="466" spans="1:25" ht="13">
      <c r="A466" s="26"/>
      <c r="B466" s="83"/>
      <c r="C466" s="26"/>
      <c r="D466" s="26"/>
      <c r="E466" s="26"/>
      <c r="F466" s="26"/>
      <c r="G466" s="26"/>
      <c r="H466" s="26"/>
      <c r="I466" s="26"/>
      <c r="J466" s="34"/>
      <c r="K466" s="63"/>
      <c r="L466" s="26"/>
      <c r="M466" s="26"/>
      <c r="N466" s="20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</row>
    <row r="467" spans="1:25" ht="13">
      <c r="A467" s="26"/>
      <c r="B467" s="83"/>
      <c r="C467" s="26"/>
      <c r="D467" s="26"/>
      <c r="E467" s="26"/>
      <c r="F467" s="26"/>
      <c r="G467" s="26"/>
      <c r="H467" s="26"/>
      <c r="I467" s="26"/>
      <c r="J467" s="34"/>
      <c r="K467" s="63"/>
      <c r="L467" s="26"/>
      <c r="M467" s="26"/>
      <c r="N467" s="20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</row>
    <row r="468" spans="1:25" ht="13">
      <c r="A468" s="26"/>
      <c r="B468" s="83"/>
      <c r="C468" s="26"/>
      <c r="D468" s="26"/>
      <c r="E468" s="26"/>
      <c r="F468" s="26"/>
      <c r="G468" s="26"/>
      <c r="H468" s="26"/>
      <c r="I468" s="26"/>
      <c r="J468" s="34"/>
      <c r="K468" s="63"/>
      <c r="L468" s="26"/>
      <c r="M468" s="26"/>
      <c r="N468" s="20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</row>
    <row r="469" spans="1:25" ht="13">
      <c r="A469" s="26"/>
      <c r="B469" s="83"/>
      <c r="C469" s="26"/>
      <c r="D469" s="26"/>
      <c r="E469" s="26"/>
      <c r="F469" s="26"/>
      <c r="G469" s="26"/>
      <c r="H469" s="26"/>
      <c r="I469" s="26"/>
      <c r="J469" s="34"/>
      <c r="K469" s="63"/>
      <c r="L469" s="26"/>
      <c r="M469" s="26"/>
      <c r="N469" s="20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</row>
    <row r="470" spans="1:25" ht="13">
      <c r="A470" s="26"/>
      <c r="B470" s="83"/>
      <c r="C470" s="26"/>
      <c r="D470" s="26"/>
      <c r="E470" s="26"/>
      <c r="F470" s="26"/>
      <c r="G470" s="26"/>
      <c r="H470" s="26"/>
      <c r="I470" s="26"/>
      <c r="J470" s="34"/>
      <c r="K470" s="63"/>
      <c r="L470" s="26"/>
      <c r="M470" s="26"/>
      <c r="N470" s="20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</row>
    <row r="471" spans="1:25" ht="13">
      <c r="A471" s="26"/>
      <c r="B471" s="83"/>
      <c r="C471" s="26"/>
      <c r="D471" s="26"/>
      <c r="E471" s="26"/>
      <c r="F471" s="26"/>
      <c r="G471" s="26"/>
      <c r="H471" s="26"/>
      <c r="I471" s="26"/>
      <c r="J471" s="34"/>
      <c r="K471" s="63"/>
      <c r="L471" s="26"/>
      <c r="M471" s="26"/>
      <c r="N471" s="20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</row>
    <row r="472" spans="1:25" ht="13">
      <c r="A472" s="26"/>
      <c r="B472" s="83"/>
      <c r="C472" s="26"/>
      <c r="D472" s="26"/>
      <c r="E472" s="26"/>
      <c r="F472" s="26"/>
      <c r="G472" s="26"/>
      <c r="H472" s="26"/>
      <c r="I472" s="26"/>
      <c r="J472" s="34"/>
      <c r="K472" s="63"/>
      <c r="L472" s="26"/>
      <c r="M472" s="26"/>
      <c r="N472" s="20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</row>
    <row r="473" spans="1:25" ht="13">
      <c r="A473" s="26"/>
      <c r="B473" s="83"/>
      <c r="C473" s="26"/>
      <c r="D473" s="26"/>
      <c r="E473" s="26"/>
      <c r="F473" s="26"/>
      <c r="G473" s="26"/>
      <c r="H473" s="26"/>
      <c r="I473" s="26"/>
      <c r="J473" s="34"/>
      <c r="K473" s="63"/>
      <c r="L473" s="26"/>
      <c r="M473" s="26"/>
      <c r="N473" s="20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</row>
    <row r="474" spans="1:25" ht="13">
      <c r="A474" s="26"/>
      <c r="B474" s="83"/>
      <c r="C474" s="26"/>
      <c r="D474" s="26"/>
      <c r="E474" s="26"/>
      <c r="F474" s="26"/>
      <c r="G474" s="26"/>
      <c r="H474" s="26"/>
      <c r="I474" s="26"/>
      <c r="J474" s="34"/>
      <c r="K474" s="63"/>
      <c r="L474" s="26"/>
      <c r="M474" s="26"/>
      <c r="N474" s="20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</row>
    <row r="475" spans="1:25" ht="13">
      <c r="A475" s="26"/>
      <c r="B475" s="83"/>
      <c r="C475" s="26"/>
      <c r="D475" s="26"/>
      <c r="E475" s="26"/>
      <c r="F475" s="26"/>
      <c r="G475" s="26"/>
      <c r="H475" s="26"/>
      <c r="I475" s="26"/>
      <c r="J475" s="34"/>
      <c r="K475" s="63"/>
      <c r="L475" s="26"/>
      <c r="M475" s="26"/>
      <c r="N475" s="20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</row>
    <row r="476" spans="1:25" ht="13">
      <c r="A476" s="26"/>
      <c r="B476" s="83"/>
      <c r="C476" s="26"/>
      <c r="D476" s="26"/>
      <c r="E476" s="26"/>
      <c r="F476" s="26"/>
      <c r="G476" s="26"/>
      <c r="H476" s="26"/>
      <c r="I476" s="26"/>
      <c r="J476" s="34"/>
      <c r="K476" s="63"/>
      <c r="L476" s="26"/>
      <c r="M476" s="26"/>
      <c r="N476" s="20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</row>
    <row r="477" spans="1:25" ht="13">
      <c r="A477" s="26"/>
      <c r="B477" s="83"/>
      <c r="C477" s="26"/>
      <c r="D477" s="26"/>
      <c r="E477" s="26"/>
      <c r="F477" s="26"/>
      <c r="G477" s="26"/>
      <c r="H477" s="26"/>
      <c r="I477" s="26"/>
      <c r="J477" s="34"/>
      <c r="K477" s="63"/>
      <c r="L477" s="26"/>
      <c r="M477" s="26"/>
      <c r="N477" s="20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</row>
    <row r="478" spans="1:25" ht="13">
      <c r="A478" s="26"/>
      <c r="B478" s="83"/>
      <c r="C478" s="26"/>
      <c r="D478" s="26"/>
      <c r="E478" s="26"/>
      <c r="F478" s="26"/>
      <c r="G478" s="26"/>
      <c r="H478" s="26"/>
      <c r="I478" s="26"/>
      <c r="J478" s="34"/>
      <c r="K478" s="63"/>
      <c r="L478" s="26"/>
      <c r="M478" s="26"/>
      <c r="N478" s="20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</row>
    <row r="479" spans="1:25" ht="13">
      <c r="A479" s="26"/>
      <c r="B479" s="83"/>
      <c r="C479" s="26"/>
      <c r="D479" s="26"/>
      <c r="E479" s="26"/>
      <c r="F479" s="26"/>
      <c r="G479" s="26"/>
      <c r="H479" s="26"/>
      <c r="I479" s="26"/>
      <c r="J479" s="34"/>
      <c r="K479" s="63"/>
      <c r="L479" s="26"/>
      <c r="M479" s="26"/>
      <c r="N479" s="20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</row>
    <row r="480" spans="1:25" ht="13">
      <c r="A480" s="26"/>
      <c r="B480" s="83"/>
      <c r="C480" s="26"/>
      <c r="D480" s="26"/>
      <c r="E480" s="26"/>
      <c r="F480" s="26"/>
      <c r="G480" s="26"/>
      <c r="H480" s="26"/>
      <c r="I480" s="26"/>
      <c r="J480" s="34"/>
      <c r="K480" s="63"/>
      <c r="L480" s="26"/>
      <c r="M480" s="26"/>
      <c r="N480" s="20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</row>
    <row r="481" spans="1:25" ht="13">
      <c r="A481" s="26"/>
      <c r="B481" s="83"/>
      <c r="C481" s="26"/>
      <c r="D481" s="26"/>
      <c r="E481" s="26"/>
      <c r="F481" s="26"/>
      <c r="G481" s="26"/>
      <c r="H481" s="26"/>
      <c r="I481" s="26"/>
      <c r="J481" s="34"/>
      <c r="K481" s="63"/>
      <c r="L481" s="26"/>
      <c r="M481" s="26"/>
      <c r="N481" s="20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</row>
    <row r="482" spans="1:25" ht="13">
      <c r="A482" s="26"/>
      <c r="B482" s="83"/>
      <c r="C482" s="26"/>
      <c r="D482" s="26"/>
      <c r="E482" s="26"/>
      <c r="F482" s="26"/>
      <c r="G482" s="26"/>
      <c r="H482" s="26"/>
      <c r="I482" s="26"/>
      <c r="J482" s="34"/>
      <c r="K482" s="63"/>
      <c r="L482" s="26"/>
      <c r="M482" s="26"/>
      <c r="N482" s="20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</row>
    <row r="483" spans="1:25" ht="13">
      <c r="A483" s="26"/>
      <c r="B483" s="83"/>
      <c r="C483" s="26"/>
      <c r="D483" s="26"/>
      <c r="E483" s="26"/>
      <c r="F483" s="26"/>
      <c r="G483" s="26"/>
      <c r="H483" s="26"/>
      <c r="I483" s="26"/>
      <c r="J483" s="34"/>
      <c r="K483" s="63"/>
      <c r="L483" s="26"/>
      <c r="M483" s="26"/>
      <c r="N483" s="20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</row>
    <row r="484" spans="1:25" ht="13">
      <c r="A484" s="26"/>
      <c r="B484" s="83"/>
      <c r="C484" s="26"/>
      <c r="D484" s="26"/>
      <c r="E484" s="26"/>
      <c r="F484" s="26"/>
      <c r="G484" s="26"/>
      <c r="H484" s="26"/>
      <c r="I484" s="26"/>
      <c r="J484" s="34"/>
      <c r="K484" s="63"/>
      <c r="L484" s="26"/>
      <c r="M484" s="26"/>
      <c r="N484" s="20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</row>
    <row r="485" spans="1:25" ht="13">
      <c r="A485" s="26"/>
      <c r="B485" s="83"/>
      <c r="C485" s="26"/>
      <c r="D485" s="26"/>
      <c r="E485" s="26"/>
      <c r="F485" s="26"/>
      <c r="G485" s="26"/>
      <c r="H485" s="26"/>
      <c r="I485" s="26"/>
      <c r="J485" s="34"/>
      <c r="K485" s="63"/>
      <c r="L485" s="26"/>
      <c r="M485" s="26"/>
      <c r="N485" s="20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</row>
    <row r="486" spans="1:25" ht="13">
      <c r="A486" s="26"/>
      <c r="B486" s="83"/>
      <c r="C486" s="26"/>
      <c r="D486" s="26"/>
      <c r="E486" s="26"/>
      <c r="F486" s="26"/>
      <c r="G486" s="26"/>
      <c r="H486" s="26"/>
      <c r="I486" s="26"/>
      <c r="J486" s="34"/>
      <c r="K486" s="63"/>
      <c r="L486" s="26"/>
      <c r="M486" s="26"/>
      <c r="N486" s="20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</row>
    <row r="487" spans="1:25" ht="13">
      <c r="A487" s="26"/>
      <c r="B487" s="83"/>
      <c r="C487" s="26"/>
      <c r="D487" s="26"/>
      <c r="E487" s="26"/>
      <c r="F487" s="26"/>
      <c r="G487" s="26"/>
      <c r="H487" s="26"/>
      <c r="I487" s="26"/>
      <c r="J487" s="34"/>
      <c r="K487" s="63"/>
      <c r="L487" s="26"/>
      <c r="M487" s="26"/>
      <c r="N487" s="20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</row>
    <row r="488" spans="1:25" ht="13">
      <c r="A488" s="26"/>
      <c r="B488" s="83"/>
      <c r="C488" s="26"/>
      <c r="D488" s="26"/>
      <c r="E488" s="26"/>
      <c r="F488" s="26"/>
      <c r="G488" s="26"/>
      <c r="H488" s="26"/>
      <c r="I488" s="26"/>
      <c r="J488" s="34"/>
      <c r="K488" s="63"/>
      <c r="L488" s="26"/>
      <c r="M488" s="26"/>
      <c r="N488" s="20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</row>
    <row r="489" spans="1:25" ht="13">
      <c r="A489" s="26"/>
      <c r="B489" s="83"/>
      <c r="C489" s="26"/>
      <c r="D489" s="26"/>
      <c r="E489" s="26"/>
      <c r="F489" s="26"/>
      <c r="G489" s="26"/>
      <c r="H489" s="26"/>
      <c r="I489" s="26"/>
      <c r="J489" s="34"/>
      <c r="K489" s="63"/>
      <c r="L489" s="26"/>
      <c r="M489" s="26"/>
      <c r="N489" s="20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</row>
    <row r="490" spans="1:25" ht="13">
      <c r="A490" s="26"/>
      <c r="B490" s="83"/>
      <c r="C490" s="26"/>
      <c r="D490" s="26"/>
      <c r="E490" s="26"/>
      <c r="F490" s="26"/>
      <c r="G490" s="26"/>
      <c r="H490" s="26"/>
      <c r="I490" s="26"/>
      <c r="J490" s="34"/>
      <c r="K490" s="63"/>
      <c r="L490" s="26"/>
      <c r="M490" s="26"/>
      <c r="N490" s="20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</row>
    <row r="491" spans="1:25" ht="13">
      <c r="A491" s="26"/>
      <c r="B491" s="83"/>
      <c r="C491" s="26"/>
      <c r="D491" s="26"/>
      <c r="E491" s="26"/>
      <c r="F491" s="26"/>
      <c r="G491" s="26"/>
      <c r="H491" s="26"/>
      <c r="I491" s="26"/>
      <c r="J491" s="34"/>
      <c r="K491" s="63"/>
      <c r="L491" s="26"/>
      <c r="M491" s="26"/>
      <c r="N491" s="20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</row>
    <row r="492" spans="1:25" ht="13">
      <c r="A492" s="26"/>
      <c r="B492" s="83"/>
      <c r="C492" s="26"/>
      <c r="D492" s="26"/>
      <c r="E492" s="26"/>
      <c r="F492" s="26"/>
      <c r="G492" s="26"/>
      <c r="H492" s="26"/>
      <c r="I492" s="26"/>
      <c r="J492" s="34"/>
      <c r="K492" s="63"/>
      <c r="L492" s="26"/>
      <c r="M492" s="26"/>
      <c r="N492" s="20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</row>
    <row r="493" spans="1:25" ht="13">
      <c r="A493" s="26"/>
      <c r="B493" s="83"/>
      <c r="C493" s="26"/>
      <c r="D493" s="26"/>
      <c r="E493" s="26"/>
      <c r="F493" s="26"/>
      <c r="G493" s="26"/>
      <c r="H493" s="26"/>
      <c r="I493" s="26"/>
      <c r="J493" s="34"/>
      <c r="K493" s="63"/>
      <c r="L493" s="26"/>
      <c r="M493" s="26"/>
      <c r="N493" s="20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</row>
    <row r="494" spans="1:25" ht="13">
      <c r="A494" s="26"/>
      <c r="B494" s="83"/>
      <c r="C494" s="26"/>
      <c r="D494" s="26"/>
      <c r="E494" s="26"/>
      <c r="F494" s="26"/>
      <c r="G494" s="26"/>
      <c r="H494" s="26"/>
      <c r="I494" s="26"/>
      <c r="J494" s="34"/>
      <c r="K494" s="63"/>
      <c r="L494" s="26"/>
      <c r="M494" s="26"/>
      <c r="N494" s="20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</row>
    <row r="495" spans="1:25" ht="13">
      <c r="A495" s="26"/>
      <c r="B495" s="83"/>
      <c r="C495" s="26"/>
      <c r="D495" s="26"/>
      <c r="E495" s="26"/>
      <c r="F495" s="26"/>
      <c r="G495" s="26"/>
      <c r="H495" s="26"/>
      <c r="I495" s="26"/>
      <c r="J495" s="34"/>
      <c r="K495" s="63"/>
      <c r="L495" s="26"/>
      <c r="M495" s="26"/>
      <c r="N495" s="20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</row>
    <row r="496" spans="1:25" ht="13">
      <c r="A496" s="26"/>
      <c r="B496" s="83"/>
      <c r="C496" s="26"/>
      <c r="D496" s="26"/>
      <c r="E496" s="26"/>
      <c r="F496" s="26"/>
      <c r="G496" s="26"/>
      <c r="H496" s="26"/>
      <c r="I496" s="26"/>
      <c r="J496" s="34"/>
      <c r="K496" s="63"/>
      <c r="L496" s="26"/>
      <c r="M496" s="26"/>
      <c r="N496" s="20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</row>
    <row r="497" spans="1:25" ht="13">
      <c r="A497" s="26"/>
      <c r="B497" s="83"/>
      <c r="C497" s="26"/>
      <c r="D497" s="26"/>
      <c r="E497" s="26"/>
      <c r="F497" s="26"/>
      <c r="G497" s="26"/>
      <c r="H497" s="26"/>
      <c r="I497" s="26"/>
      <c r="J497" s="34"/>
      <c r="K497" s="63"/>
      <c r="L497" s="26"/>
      <c r="M497" s="26"/>
      <c r="N497" s="20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</row>
    <row r="498" spans="1:25" ht="13">
      <c r="A498" s="26"/>
      <c r="B498" s="83"/>
      <c r="C498" s="26"/>
      <c r="D498" s="26"/>
      <c r="E498" s="26"/>
      <c r="F498" s="26"/>
      <c r="G498" s="26"/>
      <c r="H498" s="26"/>
      <c r="I498" s="26"/>
      <c r="J498" s="34"/>
      <c r="K498" s="63"/>
      <c r="L498" s="26"/>
      <c r="M498" s="26"/>
      <c r="N498" s="20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</row>
    <row r="499" spans="1:25" ht="13">
      <c r="A499" s="26"/>
      <c r="B499" s="83"/>
      <c r="C499" s="26"/>
      <c r="D499" s="26"/>
      <c r="E499" s="26"/>
      <c r="F499" s="26"/>
      <c r="G499" s="26"/>
      <c r="H499" s="26"/>
      <c r="I499" s="26"/>
      <c r="J499" s="34"/>
      <c r="K499" s="63"/>
      <c r="L499" s="26"/>
      <c r="M499" s="26"/>
      <c r="N499" s="20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</row>
    <row r="500" spans="1:25" ht="13">
      <c r="A500" s="26"/>
      <c r="B500" s="83"/>
      <c r="C500" s="26"/>
      <c r="D500" s="26"/>
      <c r="E500" s="26"/>
      <c r="F500" s="26"/>
      <c r="G500" s="26"/>
      <c r="H500" s="26"/>
      <c r="I500" s="26"/>
      <c r="J500" s="34"/>
      <c r="K500" s="63"/>
      <c r="L500" s="26"/>
      <c r="M500" s="26"/>
      <c r="N500" s="20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</row>
    <row r="501" spans="1:25" ht="13">
      <c r="A501" s="26"/>
      <c r="B501" s="83"/>
      <c r="C501" s="26"/>
      <c r="D501" s="26"/>
      <c r="E501" s="26"/>
      <c r="F501" s="26"/>
      <c r="G501" s="26"/>
      <c r="H501" s="26"/>
      <c r="I501" s="26"/>
      <c r="J501" s="34"/>
      <c r="K501" s="63"/>
      <c r="L501" s="26"/>
      <c r="M501" s="26"/>
      <c r="N501" s="20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</row>
    <row r="502" spans="1:25" ht="13">
      <c r="A502" s="26"/>
      <c r="B502" s="83"/>
      <c r="C502" s="26"/>
      <c r="D502" s="26"/>
      <c r="E502" s="26"/>
      <c r="F502" s="26"/>
      <c r="G502" s="26"/>
      <c r="H502" s="26"/>
      <c r="I502" s="26"/>
      <c r="J502" s="34"/>
      <c r="K502" s="63"/>
      <c r="L502" s="26"/>
      <c r="M502" s="26"/>
      <c r="N502" s="20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</row>
    <row r="503" spans="1:25" ht="13">
      <c r="A503" s="26"/>
      <c r="B503" s="83"/>
      <c r="C503" s="26"/>
      <c r="D503" s="26"/>
      <c r="E503" s="26"/>
      <c r="F503" s="26"/>
      <c r="G503" s="26"/>
      <c r="H503" s="26"/>
      <c r="I503" s="26"/>
      <c r="J503" s="34"/>
      <c r="K503" s="63"/>
      <c r="L503" s="26"/>
      <c r="M503" s="26"/>
      <c r="N503" s="20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</row>
    <row r="504" spans="1:25" ht="13">
      <c r="A504" s="26"/>
      <c r="B504" s="83"/>
      <c r="C504" s="26"/>
      <c r="D504" s="26"/>
      <c r="E504" s="26"/>
      <c r="F504" s="26"/>
      <c r="G504" s="26"/>
      <c r="H504" s="26"/>
      <c r="I504" s="26"/>
      <c r="J504" s="34"/>
      <c r="K504" s="63"/>
      <c r="L504" s="26"/>
      <c r="M504" s="26"/>
      <c r="N504" s="20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</row>
    <row r="505" spans="1:25" ht="13">
      <c r="A505" s="26"/>
      <c r="B505" s="83"/>
      <c r="C505" s="26"/>
      <c r="D505" s="26"/>
      <c r="E505" s="26"/>
      <c r="F505" s="26"/>
      <c r="G505" s="26"/>
      <c r="H505" s="26"/>
      <c r="I505" s="26"/>
      <c r="J505" s="34"/>
      <c r="K505" s="63"/>
      <c r="L505" s="26"/>
      <c r="M505" s="26"/>
      <c r="N505" s="20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</row>
    <row r="506" spans="1:25" ht="13">
      <c r="A506" s="26"/>
      <c r="B506" s="83"/>
      <c r="C506" s="26"/>
      <c r="D506" s="26"/>
      <c r="E506" s="26"/>
      <c r="F506" s="26"/>
      <c r="G506" s="26"/>
      <c r="H506" s="26"/>
      <c r="I506" s="26"/>
      <c r="J506" s="34"/>
      <c r="K506" s="63"/>
      <c r="L506" s="26"/>
      <c r="M506" s="26"/>
      <c r="N506" s="20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</row>
    <row r="507" spans="1:25" ht="13">
      <c r="A507" s="26"/>
      <c r="B507" s="83"/>
      <c r="C507" s="26"/>
      <c r="D507" s="26"/>
      <c r="E507" s="26"/>
      <c r="F507" s="26"/>
      <c r="G507" s="26"/>
      <c r="H507" s="26"/>
      <c r="I507" s="26"/>
      <c r="J507" s="34"/>
      <c r="K507" s="63"/>
      <c r="L507" s="26"/>
      <c r="M507" s="26"/>
      <c r="N507" s="20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</row>
    <row r="508" spans="1:25" ht="13">
      <c r="A508" s="26"/>
      <c r="B508" s="83"/>
      <c r="C508" s="26"/>
      <c r="D508" s="26"/>
      <c r="E508" s="26"/>
      <c r="F508" s="26"/>
      <c r="G508" s="26"/>
      <c r="H508" s="26"/>
      <c r="I508" s="26"/>
      <c r="J508" s="34"/>
      <c r="K508" s="63"/>
      <c r="L508" s="26"/>
      <c r="M508" s="26"/>
      <c r="N508" s="20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</row>
    <row r="509" spans="1:25" ht="13">
      <c r="A509" s="26"/>
      <c r="B509" s="83"/>
      <c r="C509" s="26"/>
      <c r="D509" s="26"/>
      <c r="E509" s="26"/>
      <c r="F509" s="26"/>
      <c r="G509" s="26"/>
      <c r="H509" s="26"/>
      <c r="I509" s="26"/>
      <c r="J509" s="34"/>
      <c r="K509" s="63"/>
      <c r="L509" s="26"/>
      <c r="M509" s="26"/>
      <c r="N509" s="20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</row>
    <row r="510" spans="1:25" ht="13">
      <c r="A510" s="26"/>
      <c r="B510" s="83"/>
      <c r="C510" s="26"/>
      <c r="D510" s="26"/>
      <c r="E510" s="26"/>
      <c r="F510" s="26"/>
      <c r="G510" s="26"/>
      <c r="H510" s="26"/>
      <c r="I510" s="26"/>
      <c r="J510" s="34"/>
      <c r="K510" s="63"/>
      <c r="L510" s="26"/>
      <c r="M510" s="26"/>
      <c r="N510" s="20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</row>
    <row r="511" spans="1:25" ht="13">
      <c r="A511" s="26"/>
      <c r="B511" s="83"/>
      <c r="C511" s="26"/>
      <c r="D511" s="26"/>
      <c r="E511" s="26"/>
      <c r="F511" s="26"/>
      <c r="G511" s="26"/>
      <c r="H511" s="26"/>
      <c r="I511" s="26"/>
      <c r="J511" s="34"/>
      <c r="K511" s="63"/>
      <c r="L511" s="26"/>
      <c r="M511" s="26"/>
      <c r="N511" s="20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</row>
    <row r="512" spans="1:25" ht="13">
      <c r="A512" s="26"/>
      <c r="B512" s="83"/>
      <c r="C512" s="26"/>
      <c r="D512" s="26"/>
      <c r="E512" s="26"/>
      <c r="F512" s="26"/>
      <c r="G512" s="26"/>
      <c r="H512" s="26"/>
      <c r="I512" s="26"/>
      <c r="J512" s="34"/>
      <c r="K512" s="63"/>
      <c r="L512" s="26"/>
      <c r="M512" s="26"/>
      <c r="N512" s="20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</row>
    <row r="513" spans="1:25" ht="13">
      <c r="A513" s="26"/>
      <c r="B513" s="83"/>
      <c r="C513" s="26"/>
      <c r="D513" s="26"/>
      <c r="E513" s="26"/>
      <c r="F513" s="26"/>
      <c r="G513" s="26"/>
      <c r="H513" s="26"/>
      <c r="I513" s="26"/>
      <c r="J513" s="34"/>
      <c r="K513" s="63"/>
      <c r="L513" s="26"/>
      <c r="M513" s="26"/>
      <c r="N513" s="20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</row>
    <row r="514" spans="1:25" ht="13">
      <c r="A514" s="26"/>
      <c r="B514" s="83"/>
      <c r="C514" s="26"/>
      <c r="D514" s="26"/>
      <c r="E514" s="26"/>
      <c r="F514" s="26"/>
      <c r="G514" s="26"/>
      <c r="H514" s="26"/>
      <c r="I514" s="26"/>
      <c r="J514" s="34"/>
      <c r="K514" s="63"/>
      <c r="L514" s="26"/>
      <c r="M514" s="26"/>
      <c r="N514" s="20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  <row r="515" spans="1:25" ht="13">
      <c r="A515" s="26"/>
      <c r="B515" s="83"/>
      <c r="C515" s="26"/>
      <c r="D515" s="26"/>
      <c r="E515" s="26"/>
      <c r="F515" s="26"/>
      <c r="G515" s="26"/>
      <c r="H515" s="26"/>
      <c r="I515" s="26"/>
      <c r="J515" s="34"/>
      <c r="K515" s="63"/>
      <c r="L515" s="26"/>
      <c r="M515" s="26"/>
      <c r="N515" s="20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</row>
    <row r="516" spans="1:25" ht="13">
      <c r="A516" s="26"/>
      <c r="B516" s="83"/>
      <c r="C516" s="26"/>
      <c r="D516" s="26"/>
      <c r="E516" s="26"/>
      <c r="F516" s="26"/>
      <c r="G516" s="26"/>
      <c r="H516" s="26"/>
      <c r="I516" s="26"/>
      <c r="J516" s="34"/>
      <c r="K516" s="63"/>
      <c r="L516" s="26"/>
      <c r="M516" s="26"/>
      <c r="N516" s="20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</row>
    <row r="517" spans="1:25" ht="13">
      <c r="A517" s="26"/>
      <c r="B517" s="83"/>
      <c r="C517" s="26"/>
      <c r="D517" s="26"/>
      <c r="E517" s="26"/>
      <c r="F517" s="26"/>
      <c r="G517" s="26"/>
      <c r="H517" s="26"/>
      <c r="I517" s="26"/>
      <c r="J517" s="34"/>
      <c r="K517" s="63"/>
      <c r="L517" s="26"/>
      <c r="M517" s="26"/>
      <c r="N517" s="20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</row>
    <row r="518" spans="1:25" ht="13">
      <c r="A518" s="26"/>
      <c r="B518" s="83"/>
      <c r="C518" s="26"/>
      <c r="D518" s="26"/>
      <c r="E518" s="26"/>
      <c r="F518" s="26"/>
      <c r="G518" s="26"/>
      <c r="H518" s="26"/>
      <c r="I518" s="26"/>
      <c r="J518" s="34"/>
      <c r="K518" s="63"/>
      <c r="L518" s="26"/>
      <c r="M518" s="26"/>
      <c r="N518" s="20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</row>
    <row r="519" spans="1:25" ht="13">
      <c r="A519" s="26"/>
      <c r="B519" s="83"/>
      <c r="C519" s="26"/>
      <c r="D519" s="26"/>
      <c r="E519" s="26"/>
      <c r="F519" s="26"/>
      <c r="G519" s="26"/>
      <c r="H519" s="26"/>
      <c r="I519" s="26"/>
      <c r="J519" s="34"/>
      <c r="K519" s="63"/>
      <c r="L519" s="26"/>
      <c r="M519" s="26"/>
      <c r="N519" s="20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</row>
    <row r="520" spans="1:25" ht="13">
      <c r="A520" s="26"/>
      <c r="B520" s="83"/>
      <c r="C520" s="26"/>
      <c r="D520" s="26"/>
      <c r="E520" s="26"/>
      <c r="F520" s="26"/>
      <c r="G520" s="26"/>
      <c r="H520" s="26"/>
      <c r="I520" s="26"/>
      <c r="J520" s="34"/>
      <c r="K520" s="63"/>
      <c r="L520" s="26"/>
      <c r="M520" s="26"/>
      <c r="N520" s="20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</row>
    <row r="521" spans="1:25" ht="13">
      <c r="A521" s="26"/>
      <c r="B521" s="83"/>
      <c r="C521" s="26"/>
      <c r="D521" s="26"/>
      <c r="E521" s="26"/>
      <c r="F521" s="26"/>
      <c r="G521" s="26"/>
      <c r="H521" s="26"/>
      <c r="I521" s="26"/>
      <c r="J521" s="34"/>
      <c r="K521" s="63"/>
      <c r="L521" s="26"/>
      <c r="M521" s="26"/>
      <c r="N521" s="20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</row>
    <row r="522" spans="1:25" ht="13">
      <c r="A522" s="26"/>
      <c r="B522" s="83"/>
      <c r="C522" s="26"/>
      <c r="D522" s="26"/>
      <c r="E522" s="26"/>
      <c r="F522" s="26"/>
      <c r="G522" s="26"/>
      <c r="H522" s="26"/>
      <c r="I522" s="26"/>
      <c r="J522" s="34"/>
      <c r="K522" s="63"/>
      <c r="L522" s="26"/>
      <c r="M522" s="26"/>
      <c r="N522" s="20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</row>
    <row r="523" spans="1:25" ht="13">
      <c r="A523" s="26"/>
      <c r="B523" s="83"/>
      <c r="C523" s="26"/>
      <c r="D523" s="26"/>
      <c r="E523" s="26"/>
      <c r="F523" s="26"/>
      <c r="G523" s="26"/>
      <c r="H523" s="26"/>
      <c r="I523" s="26"/>
      <c r="J523" s="34"/>
      <c r="K523" s="63"/>
      <c r="L523" s="26"/>
      <c r="M523" s="26"/>
      <c r="N523" s="20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</row>
    <row r="524" spans="1:25" ht="13">
      <c r="A524" s="26"/>
      <c r="B524" s="83"/>
      <c r="C524" s="26"/>
      <c r="D524" s="26"/>
      <c r="E524" s="26"/>
      <c r="F524" s="26"/>
      <c r="G524" s="26"/>
      <c r="H524" s="26"/>
      <c r="I524" s="26"/>
      <c r="J524" s="34"/>
      <c r="K524" s="63"/>
      <c r="L524" s="26"/>
      <c r="M524" s="26"/>
      <c r="N524" s="20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</row>
    <row r="525" spans="1:25" ht="13">
      <c r="A525" s="26"/>
      <c r="B525" s="83"/>
      <c r="C525" s="26"/>
      <c r="D525" s="26"/>
      <c r="E525" s="26"/>
      <c r="F525" s="26"/>
      <c r="G525" s="26"/>
      <c r="H525" s="26"/>
      <c r="I525" s="26"/>
      <c r="J525" s="34"/>
      <c r="K525" s="63"/>
      <c r="L525" s="26"/>
      <c r="M525" s="26"/>
      <c r="N525" s="20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</row>
    <row r="526" spans="1:25" ht="13">
      <c r="A526" s="26"/>
      <c r="B526" s="83"/>
      <c r="C526" s="26"/>
      <c r="D526" s="26"/>
      <c r="E526" s="26"/>
      <c r="F526" s="26"/>
      <c r="G526" s="26"/>
      <c r="H526" s="26"/>
      <c r="I526" s="26"/>
      <c r="J526" s="34"/>
      <c r="K526" s="63"/>
      <c r="L526" s="26"/>
      <c r="M526" s="26"/>
      <c r="N526" s="20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</row>
    <row r="527" spans="1:25" ht="13">
      <c r="A527" s="26"/>
      <c r="B527" s="83"/>
      <c r="C527" s="26"/>
      <c r="D527" s="26"/>
      <c r="E527" s="26"/>
      <c r="F527" s="26"/>
      <c r="G527" s="26"/>
      <c r="H527" s="26"/>
      <c r="I527" s="26"/>
      <c r="J527" s="34"/>
      <c r="K527" s="63"/>
      <c r="L527" s="26"/>
      <c r="M527" s="26"/>
      <c r="N527" s="20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</row>
    <row r="528" spans="1:25" ht="13">
      <c r="A528" s="26"/>
      <c r="B528" s="83"/>
      <c r="C528" s="26"/>
      <c r="D528" s="26"/>
      <c r="E528" s="26"/>
      <c r="F528" s="26"/>
      <c r="G528" s="26"/>
      <c r="H528" s="26"/>
      <c r="I528" s="26"/>
      <c r="J528" s="34"/>
      <c r="K528" s="63"/>
      <c r="L528" s="26"/>
      <c r="M528" s="26"/>
      <c r="N528" s="20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</row>
    <row r="529" spans="1:25" ht="13">
      <c r="A529" s="26"/>
      <c r="B529" s="83"/>
      <c r="C529" s="26"/>
      <c r="D529" s="26"/>
      <c r="E529" s="26"/>
      <c r="F529" s="26"/>
      <c r="G529" s="26"/>
      <c r="H529" s="26"/>
      <c r="I529" s="26"/>
      <c r="J529" s="34"/>
      <c r="K529" s="63"/>
      <c r="L529" s="26"/>
      <c r="M529" s="26"/>
      <c r="N529" s="20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</row>
    <row r="530" spans="1:25" ht="13">
      <c r="A530" s="26"/>
      <c r="B530" s="83"/>
      <c r="C530" s="26"/>
      <c r="D530" s="26"/>
      <c r="E530" s="26"/>
      <c r="F530" s="26"/>
      <c r="G530" s="26"/>
      <c r="H530" s="26"/>
      <c r="I530" s="26"/>
      <c r="J530" s="34"/>
      <c r="K530" s="63"/>
      <c r="L530" s="26"/>
      <c r="M530" s="26"/>
      <c r="N530" s="20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</row>
    <row r="531" spans="1:25" ht="13">
      <c r="A531" s="26"/>
      <c r="B531" s="83"/>
      <c r="C531" s="26"/>
      <c r="D531" s="26"/>
      <c r="E531" s="26"/>
      <c r="F531" s="26"/>
      <c r="G531" s="26"/>
      <c r="H531" s="26"/>
      <c r="I531" s="26"/>
      <c r="J531" s="34"/>
      <c r="K531" s="63"/>
      <c r="L531" s="26"/>
      <c r="M531" s="26"/>
      <c r="N531" s="20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</row>
    <row r="532" spans="1:25" ht="13">
      <c r="A532" s="26"/>
      <c r="B532" s="83"/>
      <c r="C532" s="26"/>
      <c r="D532" s="26"/>
      <c r="E532" s="26"/>
      <c r="F532" s="26"/>
      <c r="G532" s="26"/>
      <c r="H532" s="26"/>
      <c r="I532" s="26"/>
      <c r="J532" s="34"/>
      <c r="K532" s="63"/>
      <c r="L532" s="26"/>
      <c r="M532" s="26"/>
      <c r="N532" s="20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</row>
    <row r="533" spans="1:25" ht="13">
      <c r="A533" s="26"/>
      <c r="B533" s="83"/>
      <c r="C533" s="26"/>
      <c r="D533" s="26"/>
      <c r="E533" s="26"/>
      <c r="F533" s="26"/>
      <c r="G533" s="26"/>
      <c r="H533" s="26"/>
      <c r="I533" s="26"/>
      <c r="J533" s="34"/>
      <c r="K533" s="63"/>
      <c r="L533" s="26"/>
      <c r="M533" s="26"/>
      <c r="N533" s="20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</row>
    <row r="534" spans="1:25" ht="13">
      <c r="A534" s="26"/>
      <c r="B534" s="83"/>
      <c r="C534" s="26"/>
      <c r="D534" s="26"/>
      <c r="E534" s="26"/>
      <c r="F534" s="26"/>
      <c r="G534" s="26"/>
      <c r="H534" s="26"/>
      <c r="I534" s="26"/>
      <c r="J534" s="34"/>
      <c r="K534" s="63"/>
      <c r="L534" s="26"/>
      <c r="M534" s="26"/>
      <c r="N534" s="20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</row>
    <row r="535" spans="1:25" ht="13">
      <c r="A535" s="26"/>
      <c r="B535" s="83"/>
      <c r="C535" s="26"/>
      <c r="D535" s="26"/>
      <c r="E535" s="26"/>
      <c r="F535" s="26"/>
      <c r="G535" s="26"/>
      <c r="H535" s="26"/>
      <c r="I535" s="26"/>
      <c r="J535" s="34"/>
      <c r="K535" s="63"/>
      <c r="L535" s="26"/>
      <c r="M535" s="26"/>
      <c r="N535" s="20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</row>
    <row r="536" spans="1:25" ht="13">
      <c r="A536" s="26"/>
      <c r="B536" s="83"/>
      <c r="C536" s="26"/>
      <c r="D536" s="26"/>
      <c r="E536" s="26"/>
      <c r="F536" s="26"/>
      <c r="G536" s="26"/>
      <c r="H536" s="26"/>
      <c r="I536" s="26"/>
      <c r="J536" s="34"/>
      <c r="K536" s="63"/>
      <c r="L536" s="26"/>
      <c r="M536" s="26"/>
      <c r="N536" s="20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</row>
    <row r="537" spans="1:25" ht="13">
      <c r="A537" s="26"/>
      <c r="B537" s="83"/>
      <c r="C537" s="26"/>
      <c r="D537" s="26"/>
      <c r="E537" s="26"/>
      <c r="F537" s="26"/>
      <c r="G537" s="26"/>
      <c r="H537" s="26"/>
      <c r="I537" s="26"/>
      <c r="J537" s="34"/>
      <c r="K537" s="63"/>
      <c r="L537" s="26"/>
      <c r="M537" s="26"/>
      <c r="N537" s="20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</row>
    <row r="538" spans="1:25" ht="13">
      <c r="A538" s="26"/>
      <c r="B538" s="83"/>
      <c r="C538" s="26"/>
      <c r="D538" s="26"/>
      <c r="E538" s="26"/>
      <c r="F538" s="26"/>
      <c r="G538" s="26"/>
      <c r="H538" s="26"/>
      <c r="I538" s="26"/>
      <c r="J538" s="34"/>
      <c r="K538" s="63"/>
      <c r="L538" s="26"/>
      <c r="M538" s="26"/>
      <c r="N538" s="20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</row>
    <row r="539" spans="1:25" ht="13">
      <c r="A539" s="26"/>
      <c r="B539" s="83"/>
      <c r="C539" s="26"/>
      <c r="D539" s="26"/>
      <c r="E539" s="26"/>
      <c r="F539" s="26"/>
      <c r="G539" s="26"/>
      <c r="H539" s="26"/>
      <c r="I539" s="26"/>
      <c r="J539" s="34"/>
      <c r="K539" s="63"/>
      <c r="L539" s="26"/>
      <c r="M539" s="26"/>
      <c r="N539" s="20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</row>
    <row r="540" spans="1:25" ht="13">
      <c r="A540" s="26"/>
      <c r="B540" s="83"/>
      <c r="C540" s="26"/>
      <c r="D540" s="26"/>
      <c r="E540" s="26"/>
      <c r="F540" s="26"/>
      <c r="G540" s="26"/>
      <c r="H540" s="26"/>
      <c r="I540" s="26"/>
      <c r="J540" s="34"/>
      <c r="K540" s="63"/>
      <c r="L540" s="26"/>
      <c r="M540" s="26"/>
      <c r="N540" s="20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</row>
    <row r="541" spans="1:25" ht="13">
      <c r="A541" s="26"/>
      <c r="B541" s="83"/>
      <c r="C541" s="26"/>
      <c r="D541" s="26"/>
      <c r="E541" s="26"/>
      <c r="F541" s="26"/>
      <c r="G541" s="26"/>
      <c r="H541" s="26"/>
      <c r="I541" s="26"/>
      <c r="J541" s="34"/>
      <c r="K541" s="63"/>
      <c r="L541" s="26"/>
      <c r="M541" s="26"/>
      <c r="N541" s="20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</row>
    <row r="542" spans="1:25" ht="13">
      <c r="A542" s="26"/>
      <c r="B542" s="83"/>
      <c r="C542" s="26"/>
      <c r="D542" s="26"/>
      <c r="E542" s="26"/>
      <c r="F542" s="26"/>
      <c r="G542" s="26"/>
      <c r="H542" s="26"/>
      <c r="I542" s="26"/>
      <c r="J542" s="34"/>
      <c r="K542" s="63"/>
      <c r="L542" s="26"/>
      <c r="M542" s="26"/>
      <c r="N542" s="20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</row>
    <row r="543" spans="1:25" ht="13">
      <c r="A543" s="26"/>
      <c r="B543" s="83"/>
      <c r="C543" s="26"/>
      <c r="D543" s="26"/>
      <c r="E543" s="26"/>
      <c r="F543" s="26"/>
      <c r="G543" s="26"/>
      <c r="H543" s="26"/>
      <c r="I543" s="26"/>
      <c r="J543" s="34"/>
      <c r="K543" s="63"/>
      <c r="L543" s="26"/>
      <c r="M543" s="26"/>
      <c r="N543" s="20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</row>
    <row r="544" spans="1:25" ht="13">
      <c r="A544" s="26"/>
      <c r="B544" s="83"/>
      <c r="C544" s="26"/>
      <c r="D544" s="26"/>
      <c r="E544" s="26"/>
      <c r="F544" s="26"/>
      <c r="G544" s="26"/>
      <c r="H544" s="26"/>
      <c r="I544" s="26"/>
      <c r="J544" s="34"/>
      <c r="K544" s="63"/>
      <c r="L544" s="26"/>
      <c r="M544" s="26"/>
      <c r="N544" s="20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</row>
    <row r="545" spans="1:25" ht="13">
      <c r="A545" s="26"/>
      <c r="B545" s="83"/>
      <c r="C545" s="26"/>
      <c r="D545" s="26"/>
      <c r="E545" s="26"/>
      <c r="F545" s="26"/>
      <c r="G545" s="26"/>
      <c r="H545" s="26"/>
      <c r="I545" s="26"/>
      <c r="J545" s="34"/>
      <c r="K545" s="63"/>
      <c r="L545" s="26"/>
      <c r="M545" s="26"/>
      <c r="N545" s="20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</row>
    <row r="546" spans="1:25" ht="13">
      <c r="A546" s="26"/>
      <c r="B546" s="83"/>
      <c r="C546" s="26"/>
      <c r="D546" s="26"/>
      <c r="E546" s="26"/>
      <c r="F546" s="26"/>
      <c r="G546" s="26"/>
      <c r="H546" s="26"/>
      <c r="I546" s="26"/>
      <c r="J546" s="34"/>
      <c r="K546" s="63"/>
      <c r="L546" s="26"/>
      <c r="M546" s="26"/>
      <c r="N546" s="20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</row>
    <row r="547" spans="1:25" ht="13">
      <c r="A547" s="26"/>
      <c r="B547" s="83"/>
      <c r="C547" s="26"/>
      <c r="D547" s="26"/>
      <c r="E547" s="26"/>
      <c r="F547" s="26"/>
      <c r="G547" s="26"/>
      <c r="H547" s="26"/>
      <c r="I547" s="26"/>
      <c r="J547" s="34"/>
      <c r="K547" s="63"/>
      <c r="L547" s="26"/>
      <c r="M547" s="26"/>
      <c r="N547" s="20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</row>
    <row r="548" spans="1:25" ht="13">
      <c r="A548" s="26"/>
      <c r="B548" s="83"/>
      <c r="C548" s="26"/>
      <c r="D548" s="26"/>
      <c r="E548" s="26"/>
      <c r="F548" s="26"/>
      <c r="G548" s="26"/>
      <c r="H548" s="26"/>
      <c r="I548" s="26"/>
      <c r="J548" s="34"/>
      <c r="K548" s="63"/>
      <c r="L548" s="26"/>
      <c r="M548" s="26"/>
      <c r="N548" s="20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</row>
    <row r="549" spans="1:25" ht="13">
      <c r="A549" s="26"/>
      <c r="B549" s="83"/>
      <c r="C549" s="26"/>
      <c r="D549" s="26"/>
      <c r="E549" s="26"/>
      <c r="F549" s="26"/>
      <c r="G549" s="26"/>
      <c r="H549" s="26"/>
      <c r="I549" s="26"/>
      <c r="J549" s="34"/>
      <c r="K549" s="63"/>
      <c r="L549" s="26"/>
      <c r="M549" s="26"/>
      <c r="N549" s="20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</row>
    <row r="550" spans="1:25" ht="13">
      <c r="A550" s="26"/>
      <c r="B550" s="83"/>
      <c r="C550" s="26"/>
      <c r="D550" s="26"/>
      <c r="E550" s="26"/>
      <c r="F550" s="26"/>
      <c r="G550" s="26"/>
      <c r="H550" s="26"/>
      <c r="I550" s="26"/>
      <c r="J550" s="34"/>
      <c r="K550" s="63"/>
      <c r="L550" s="26"/>
      <c r="M550" s="26"/>
      <c r="N550" s="20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</row>
    <row r="551" spans="1:25" ht="13">
      <c r="A551" s="26"/>
      <c r="B551" s="83"/>
      <c r="C551" s="26"/>
      <c r="D551" s="26"/>
      <c r="E551" s="26"/>
      <c r="F551" s="26"/>
      <c r="G551" s="26"/>
      <c r="H551" s="26"/>
      <c r="I551" s="26"/>
      <c r="J551" s="34"/>
      <c r="K551" s="63"/>
      <c r="L551" s="26"/>
      <c r="M551" s="26"/>
      <c r="N551" s="20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</row>
    <row r="552" spans="1:25" ht="13">
      <c r="A552" s="26"/>
      <c r="B552" s="83"/>
      <c r="C552" s="26"/>
      <c r="D552" s="26"/>
      <c r="E552" s="26"/>
      <c r="F552" s="26"/>
      <c r="G552" s="26"/>
      <c r="H552" s="26"/>
      <c r="I552" s="26"/>
      <c r="J552" s="34"/>
      <c r="K552" s="63"/>
      <c r="L552" s="26"/>
      <c r="M552" s="26"/>
      <c r="N552" s="20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</row>
    <row r="553" spans="1:25" ht="13">
      <c r="A553" s="26"/>
      <c r="B553" s="83"/>
      <c r="C553" s="26"/>
      <c r="D553" s="26"/>
      <c r="E553" s="26"/>
      <c r="F553" s="26"/>
      <c r="G553" s="26"/>
      <c r="H553" s="26"/>
      <c r="I553" s="26"/>
      <c r="J553" s="34"/>
      <c r="K553" s="63"/>
      <c r="L553" s="26"/>
      <c r="M553" s="26"/>
      <c r="N553" s="20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</row>
    <row r="554" spans="1:25" ht="13">
      <c r="A554" s="26"/>
      <c r="B554" s="83"/>
      <c r="C554" s="26"/>
      <c r="D554" s="26"/>
      <c r="E554" s="26"/>
      <c r="F554" s="26"/>
      <c r="G554" s="26"/>
      <c r="H554" s="26"/>
      <c r="I554" s="26"/>
      <c r="J554" s="34"/>
      <c r="K554" s="63"/>
      <c r="L554" s="26"/>
      <c r="M554" s="26"/>
      <c r="N554" s="20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</row>
    <row r="555" spans="1:25" ht="13">
      <c r="A555" s="26"/>
      <c r="B555" s="83"/>
      <c r="C555" s="26"/>
      <c r="D555" s="26"/>
      <c r="E555" s="26"/>
      <c r="F555" s="26"/>
      <c r="G555" s="26"/>
      <c r="H555" s="26"/>
      <c r="I555" s="26"/>
      <c r="J555" s="34"/>
      <c r="K555" s="63"/>
      <c r="L555" s="26"/>
      <c r="M555" s="26"/>
      <c r="N555" s="20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</row>
    <row r="556" spans="1:25" ht="13">
      <c r="A556" s="26"/>
      <c r="B556" s="83"/>
      <c r="C556" s="26"/>
      <c r="D556" s="26"/>
      <c r="E556" s="26"/>
      <c r="F556" s="26"/>
      <c r="G556" s="26"/>
      <c r="H556" s="26"/>
      <c r="I556" s="26"/>
      <c r="J556" s="34"/>
      <c r="K556" s="63"/>
      <c r="L556" s="26"/>
      <c r="M556" s="26"/>
      <c r="N556" s="20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</row>
    <row r="557" spans="1:25" ht="13">
      <c r="A557" s="26"/>
      <c r="B557" s="83"/>
      <c r="C557" s="26"/>
      <c r="D557" s="26"/>
      <c r="E557" s="26"/>
      <c r="F557" s="26"/>
      <c r="G557" s="26"/>
      <c r="H557" s="26"/>
      <c r="I557" s="26"/>
      <c r="J557" s="34"/>
      <c r="K557" s="63"/>
      <c r="L557" s="26"/>
      <c r="M557" s="26"/>
      <c r="N557" s="20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</row>
    <row r="558" spans="1:25" ht="13">
      <c r="A558" s="26"/>
      <c r="B558" s="83"/>
      <c r="C558" s="26"/>
      <c r="D558" s="26"/>
      <c r="E558" s="26"/>
      <c r="F558" s="26"/>
      <c r="G558" s="26"/>
      <c r="H558" s="26"/>
      <c r="I558" s="26"/>
      <c r="J558" s="34"/>
      <c r="K558" s="63"/>
      <c r="L558" s="26"/>
      <c r="M558" s="26"/>
      <c r="N558" s="20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</row>
    <row r="559" spans="1:25" ht="13">
      <c r="A559" s="26"/>
      <c r="B559" s="83"/>
      <c r="C559" s="26"/>
      <c r="D559" s="26"/>
      <c r="E559" s="26"/>
      <c r="F559" s="26"/>
      <c r="G559" s="26"/>
      <c r="H559" s="26"/>
      <c r="I559" s="26"/>
      <c r="J559" s="34"/>
      <c r="K559" s="63"/>
      <c r="L559" s="26"/>
      <c r="M559" s="26"/>
      <c r="N559" s="20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</row>
    <row r="560" spans="1:25" ht="13">
      <c r="A560" s="26"/>
      <c r="B560" s="83"/>
      <c r="C560" s="26"/>
      <c r="D560" s="26"/>
      <c r="E560" s="26"/>
      <c r="F560" s="26"/>
      <c r="G560" s="26"/>
      <c r="H560" s="26"/>
      <c r="I560" s="26"/>
      <c r="J560" s="34"/>
      <c r="K560" s="63"/>
      <c r="L560" s="26"/>
      <c r="M560" s="26"/>
      <c r="N560" s="20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</row>
    <row r="561" spans="1:25" ht="13">
      <c r="A561" s="26"/>
      <c r="B561" s="83"/>
      <c r="C561" s="26"/>
      <c r="D561" s="26"/>
      <c r="E561" s="26"/>
      <c r="F561" s="26"/>
      <c r="G561" s="26"/>
      <c r="H561" s="26"/>
      <c r="I561" s="26"/>
      <c r="J561" s="34"/>
      <c r="K561" s="63"/>
      <c r="L561" s="26"/>
      <c r="M561" s="26"/>
      <c r="N561" s="20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</row>
    <row r="562" spans="1:25" ht="13">
      <c r="A562" s="26"/>
      <c r="B562" s="83"/>
      <c r="C562" s="26"/>
      <c r="D562" s="26"/>
      <c r="E562" s="26"/>
      <c r="F562" s="26"/>
      <c r="G562" s="26"/>
      <c r="H562" s="26"/>
      <c r="I562" s="26"/>
      <c r="J562" s="34"/>
      <c r="K562" s="63"/>
      <c r="L562" s="26"/>
      <c r="M562" s="26"/>
      <c r="N562" s="20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</row>
    <row r="563" spans="1:25" ht="13">
      <c r="A563" s="26"/>
      <c r="B563" s="83"/>
      <c r="C563" s="26"/>
      <c r="D563" s="26"/>
      <c r="E563" s="26"/>
      <c r="F563" s="26"/>
      <c r="G563" s="26"/>
      <c r="H563" s="26"/>
      <c r="I563" s="26"/>
      <c r="J563" s="34"/>
      <c r="K563" s="63"/>
      <c r="L563" s="26"/>
      <c r="M563" s="26"/>
      <c r="N563" s="20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</row>
    <row r="564" spans="1:25" ht="13">
      <c r="A564" s="26"/>
      <c r="B564" s="83"/>
      <c r="C564" s="26"/>
      <c r="D564" s="26"/>
      <c r="E564" s="26"/>
      <c r="F564" s="26"/>
      <c r="G564" s="26"/>
      <c r="H564" s="26"/>
      <c r="I564" s="26"/>
      <c r="J564" s="34"/>
      <c r="K564" s="63"/>
      <c r="L564" s="26"/>
      <c r="M564" s="26"/>
      <c r="N564" s="20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</row>
    <row r="565" spans="1:25" ht="13">
      <c r="A565" s="26"/>
      <c r="B565" s="83"/>
      <c r="C565" s="26"/>
      <c r="D565" s="26"/>
      <c r="E565" s="26"/>
      <c r="F565" s="26"/>
      <c r="G565" s="26"/>
      <c r="H565" s="26"/>
      <c r="I565" s="26"/>
      <c r="J565" s="34"/>
      <c r="K565" s="63"/>
      <c r="L565" s="26"/>
      <c r="M565" s="26"/>
      <c r="N565" s="20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</row>
    <row r="566" spans="1:25" ht="13">
      <c r="A566" s="26"/>
      <c r="B566" s="83"/>
      <c r="C566" s="26"/>
      <c r="D566" s="26"/>
      <c r="E566" s="26"/>
      <c r="F566" s="26"/>
      <c r="G566" s="26"/>
      <c r="H566" s="26"/>
      <c r="I566" s="26"/>
      <c r="J566" s="34"/>
      <c r="K566" s="63"/>
      <c r="L566" s="26"/>
      <c r="M566" s="26"/>
      <c r="N566" s="20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</row>
    <row r="567" spans="1:25" ht="13">
      <c r="A567" s="26"/>
      <c r="B567" s="83"/>
      <c r="C567" s="26"/>
      <c r="D567" s="26"/>
      <c r="E567" s="26"/>
      <c r="F567" s="26"/>
      <c r="G567" s="26"/>
      <c r="H567" s="26"/>
      <c r="I567" s="26"/>
      <c r="J567" s="34"/>
      <c r="K567" s="63"/>
      <c r="L567" s="26"/>
      <c r="M567" s="26"/>
      <c r="N567" s="20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</row>
    <row r="568" spans="1:25" ht="13">
      <c r="A568" s="26"/>
      <c r="B568" s="83"/>
      <c r="C568" s="26"/>
      <c r="D568" s="26"/>
      <c r="E568" s="26"/>
      <c r="F568" s="26"/>
      <c r="G568" s="26"/>
      <c r="H568" s="26"/>
      <c r="I568" s="26"/>
      <c r="J568" s="34"/>
      <c r="K568" s="63"/>
      <c r="L568" s="26"/>
      <c r="M568" s="26"/>
      <c r="N568" s="20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</row>
    <row r="569" spans="1:25" ht="13">
      <c r="A569" s="26"/>
      <c r="B569" s="83"/>
      <c r="C569" s="26"/>
      <c r="D569" s="26"/>
      <c r="E569" s="26"/>
      <c r="F569" s="26"/>
      <c r="G569" s="26"/>
      <c r="H569" s="26"/>
      <c r="I569" s="26"/>
      <c r="J569" s="34"/>
      <c r="K569" s="63"/>
      <c r="L569" s="26"/>
      <c r="M569" s="26"/>
      <c r="N569" s="20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</row>
    <row r="570" spans="1:25" ht="13">
      <c r="A570" s="26"/>
      <c r="B570" s="83"/>
      <c r="C570" s="26"/>
      <c r="D570" s="26"/>
      <c r="E570" s="26"/>
      <c r="F570" s="26"/>
      <c r="G570" s="26"/>
      <c r="H570" s="26"/>
      <c r="I570" s="26"/>
      <c r="J570" s="34"/>
      <c r="K570" s="63"/>
      <c r="L570" s="26"/>
      <c r="M570" s="26"/>
      <c r="N570" s="20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</row>
    <row r="571" spans="1:25" ht="13">
      <c r="A571" s="26"/>
      <c r="B571" s="83"/>
      <c r="C571" s="26"/>
      <c r="D571" s="26"/>
      <c r="E571" s="26"/>
      <c r="F571" s="26"/>
      <c r="G571" s="26"/>
      <c r="H571" s="26"/>
      <c r="I571" s="26"/>
      <c r="J571" s="34"/>
      <c r="K571" s="63"/>
      <c r="L571" s="26"/>
      <c r="M571" s="26"/>
      <c r="N571" s="20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</row>
    <row r="572" spans="1:25" ht="13">
      <c r="A572" s="26"/>
      <c r="B572" s="83"/>
      <c r="C572" s="26"/>
      <c r="D572" s="26"/>
      <c r="E572" s="26"/>
      <c r="F572" s="26"/>
      <c r="G572" s="26"/>
      <c r="H572" s="26"/>
      <c r="I572" s="26"/>
      <c r="J572" s="34"/>
      <c r="K572" s="63"/>
      <c r="L572" s="26"/>
      <c r="M572" s="26"/>
      <c r="N572" s="20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</row>
    <row r="573" spans="1:25" ht="13">
      <c r="A573" s="26"/>
      <c r="B573" s="83"/>
      <c r="C573" s="26"/>
      <c r="D573" s="26"/>
      <c r="E573" s="26"/>
      <c r="F573" s="26"/>
      <c r="G573" s="26"/>
      <c r="H573" s="26"/>
      <c r="I573" s="26"/>
      <c r="J573" s="34"/>
      <c r="K573" s="63"/>
      <c r="L573" s="26"/>
      <c r="M573" s="26"/>
      <c r="N573" s="20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</row>
    <row r="574" spans="1:25" ht="13">
      <c r="A574" s="26"/>
      <c r="B574" s="83"/>
      <c r="C574" s="26"/>
      <c r="D574" s="26"/>
      <c r="E574" s="26"/>
      <c r="F574" s="26"/>
      <c r="G574" s="26"/>
      <c r="H574" s="26"/>
      <c r="I574" s="26"/>
      <c r="J574" s="34"/>
      <c r="K574" s="63"/>
      <c r="L574" s="26"/>
      <c r="M574" s="26"/>
      <c r="N574" s="20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</row>
    <row r="575" spans="1:25" ht="13">
      <c r="A575" s="26"/>
      <c r="B575" s="83"/>
      <c r="C575" s="26"/>
      <c r="D575" s="26"/>
      <c r="E575" s="26"/>
      <c r="F575" s="26"/>
      <c r="G575" s="26"/>
      <c r="H575" s="26"/>
      <c r="I575" s="26"/>
      <c r="J575" s="34"/>
      <c r="K575" s="63"/>
      <c r="L575" s="26"/>
      <c r="M575" s="26"/>
      <c r="N575" s="20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</row>
    <row r="576" spans="1:25" ht="13">
      <c r="A576" s="26"/>
      <c r="B576" s="83"/>
      <c r="C576" s="26"/>
      <c r="D576" s="26"/>
      <c r="E576" s="26"/>
      <c r="F576" s="26"/>
      <c r="G576" s="26"/>
      <c r="H576" s="26"/>
      <c r="I576" s="26"/>
      <c r="J576" s="34"/>
      <c r="K576" s="63"/>
      <c r="L576" s="26"/>
      <c r="M576" s="26"/>
      <c r="N576" s="20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</row>
    <row r="577" spans="1:25" ht="13">
      <c r="A577" s="26"/>
      <c r="B577" s="83"/>
      <c r="C577" s="26"/>
      <c r="D577" s="26"/>
      <c r="E577" s="26"/>
      <c r="F577" s="26"/>
      <c r="G577" s="26"/>
      <c r="H577" s="26"/>
      <c r="I577" s="26"/>
      <c r="J577" s="34"/>
      <c r="K577" s="63"/>
      <c r="L577" s="26"/>
      <c r="M577" s="26"/>
      <c r="N577" s="20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</row>
    <row r="578" spans="1:25" ht="13">
      <c r="A578" s="26"/>
      <c r="B578" s="83"/>
      <c r="C578" s="26"/>
      <c r="D578" s="26"/>
      <c r="E578" s="26"/>
      <c r="F578" s="26"/>
      <c r="G578" s="26"/>
      <c r="H578" s="26"/>
      <c r="I578" s="26"/>
      <c r="J578" s="34"/>
      <c r="K578" s="63"/>
      <c r="L578" s="26"/>
      <c r="M578" s="26"/>
      <c r="N578" s="20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</row>
    <row r="579" spans="1:25" ht="13">
      <c r="A579" s="26"/>
      <c r="B579" s="83"/>
      <c r="C579" s="26"/>
      <c r="D579" s="26"/>
      <c r="E579" s="26"/>
      <c r="F579" s="26"/>
      <c r="G579" s="26"/>
      <c r="H579" s="26"/>
      <c r="I579" s="26"/>
      <c r="J579" s="34"/>
      <c r="K579" s="63"/>
      <c r="L579" s="26"/>
      <c r="M579" s="26"/>
      <c r="N579" s="20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</row>
    <row r="580" spans="1:25" ht="13">
      <c r="A580" s="26"/>
      <c r="B580" s="83"/>
      <c r="C580" s="26"/>
      <c r="D580" s="26"/>
      <c r="E580" s="26"/>
      <c r="F580" s="26"/>
      <c r="G580" s="26"/>
      <c r="H580" s="26"/>
      <c r="I580" s="26"/>
      <c r="J580" s="34"/>
      <c r="K580" s="63"/>
      <c r="L580" s="26"/>
      <c r="M580" s="26"/>
      <c r="N580" s="20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</row>
    <row r="581" spans="1:25" ht="13">
      <c r="A581" s="26"/>
      <c r="B581" s="83"/>
      <c r="C581" s="26"/>
      <c r="D581" s="26"/>
      <c r="E581" s="26"/>
      <c r="F581" s="26"/>
      <c r="G581" s="26"/>
      <c r="H581" s="26"/>
      <c r="I581" s="26"/>
      <c r="J581" s="34"/>
      <c r="K581" s="63"/>
      <c r="L581" s="26"/>
      <c r="M581" s="26"/>
      <c r="N581" s="20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</row>
    <row r="582" spans="1:25" ht="13">
      <c r="A582" s="26"/>
      <c r="B582" s="83"/>
      <c r="C582" s="26"/>
      <c r="D582" s="26"/>
      <c r="E582" s="26"/>
      <c r="F582" s="26"/>
      <c r="G582" s="26"/>
      <c r="H582" s="26"/>
      <c r="I582" s="26"/>
      <c r="J582" s="34"/>
      <c r="K582" s="63"/>
      <c r="L582" s="26"/>
      <c r="M582" s="26"/>
      <c r="N582" s="20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</row>
    <row r="583" spans="1:25" ht="13">
      <c r="A583" s="26"/>
      <c r="B583" s="83"/>
      <c r="C583" s="26"/>
      <c r="D583" s="26"/>
      <c r="E583" s="26"/>
      <c r="F583" s="26"/>
      <c r="G583" s="26"/>
      <c r="H583" s="26"/>
      <c r="I583" s="26"/>
      <c r="J583" s="34"/>
      <c r="K583" s="63"/>
      <c r="L583" s="26"/>
      <c r="M583" s="26"/>
      <c r="N583" s="20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</row>
    <row r="584" spans="1:25" ht="13">
      <c r="A584" s="26"/>
      <c r="B584" s="83"/>
      <c r="C584" s="26"/>
      <c r="D584" s="26"/>
      <c r="E584" s="26"/>
      <c r="F584" s="26"/>
      <c r="G584" s="26"/>
      <c r="H584" s="26"/>
      <c r="I584" s="26"/>
      <c r="J584" s="34"/>
      <c r="K584" s="63"/>
      <c r="L584" s="26"/>
      <c r="M584" s="26"/>
      <c r="N584" s="20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</row>
    <row r="585" spans="1:25" ht="13">
      <c r="A585" s="26"/>
      <c r="B585" s="83"/>
      <c r="C585" s="26"/>
      <c r="D585" s="26"/>
      <c r="E585" s="26"/>
      <c r="F585" s="26"/>
      <c r="G585" s="26"/>
      <c r="H585" s="26"/>
      <c r="I585" s="26"/>
      <c r="J585" s="34"/>
      <c r="K585" s="63"/>
      <c r="L585" s="26"/>
      <c r="M585" s="26"/>
      <c r="N585" s="20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</row>
    <row r="586" spans="1:25" ht="13">
      <c r="A586" s="26"/>
      <c r="B586" s="83"/>
      <c r="C586" s="26"/>
      <c r="D586" s="26"/>
      <c r="E586" s="26"/>
      <c r="F586" s="26"/>
      <c r="G586" s="26"/>
      <c r="H586" s="26"/>
      <c r="I586" s="26"/>
      <c r="J586" s="34"/>
      <c r="K586" s="63"/>
      <c r="L586" s="26"/>
      <c r="M586" s="26"/>
      <c r="N586" s="20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</row>
    <row r="587" spans="1:25" ht="13">
      <c r="A587" s="26"/>
      <c r="B587" s="83"/>
      <c r="C587" s="26"/>
      <c r="D587" s="26"/>
      <c r="E587" s="26"/>
      <c r="F587" s="26"/>
      <c r="G587" s="26"/>
      <c r="H587" s="26"/>
      <c r="I587" s="26"/>
      <c r="J587" s="34"/>
      <c r="K587" s="63"/>
      <c r="L587" s="26"/>
      <c r="M587" s="26"/>
      <c r="N587" s="20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</row>
    <row r="588" spans="1:25" ht="13">
      <c r="A588" s="26"/>
      <c r="B588" s="83"/>
      <c r="C588" s="26"/>
      <c r="D588" s="26"/>
      <c r="E588" s="26"/>
      <c r="F588" s="26"/>
      <c r="G588" s="26"/>
      <c r="H588" s="26"/>
      <c r="I588" s="26"/>
      <c r="J588" s="34"/>
      <c r="K588" s="63"/>
      <c r="L588" s="26"/>
      <c r="M588" s="26"/>
      <c r="N588" s="20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</row>
    <row r="589" spans="1:25" ht="13">
      <c r="A589" s="26"/>
      <c r="B589" s="83"/>
      <c r="C589" s="26"/>
      <c r="D589" s="26"/>
      <c r="E589" s="26"/>
      <c r="F589" s="26"/>
      <c r="G589" s="26"/>
      <c r="H589" s="26"/>
      <c r="I589" s="26"/>
      <c r="J589" s="34"/>
      <c r="K589" s="63"/>
      <c r="L589" s="26"/>
      <c r="M589" s="26"/>
      <c r="N589" s="20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</row>
    <row r="590" spans="1:25" ht="13">
      <c r="A590" s="26"/>
      <c r="B590" s="83"/>
      <c r="C590" s="26"/>
      <c r="D590" s="26"/>
      <c r="E590" s="26"/>
      <c r="F590" s="26"/>
      <c r="G590" s="26"/>
      <c r="H590" s="26"/>
      <c r="I590" s="26"/>
      <c r="J590" s="34"/>
      <c r="K590" s="63"/>
      <c r="L590" s="26"/>
      <c r="M590" s="26"/>
      <c r="N590" s="20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</row>
    <row r="591" spans="1:25" ht="13">
      <c r="A591" s="26"/>
      <c r="B591" s="83"/>
      <c r="C591" s="26"/>
      <c r="D591" s="26"/>
      <c r="E591" s="26"/>
      <c r="F591" s="26"/>
      <c r="G591" s="26"/>
      <c r="H591" s="26"/>
      <c r="I591" s="26"/>
      <c r="J591" s="34"/>
      <c r="K591" s="63"/>
      <c r="L591" s="26"/>
      <c r="M591" s="26"/>
      <c r="N591" s="20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</row>
    <row r="592" spans="1:25" ht="13">
      <c r="A592" s="26"/>
      <c r="B592" s="83"/>
      <c r="C592" s="26"/>
      <c r="D592" s="26"/>
      <c r="E592" s="26"/>
      <c r="F592" s="26"/>
      <c r="G592" s="26"/>
      <c r="H592" s="26"/>
      <c r="I592" s="26"/>
      <c r="J592" s="34"/>
      <c r="K592" s="63"/>
      <c r="L592" s="26"/>
      <c r="M592" s="26"/>
      <c r="N592" s="20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</row>
    <row r="593" spans="1:25" ht="13">
      <c r="A593" s="26"/>
      <c r="B593" s="83"/>
      <c r="C593" s="26"/>
      <c r="D593" s="26"/>
      <c r="E593" s="26"/>
      <c r="F593" s="26"/>
      <c r="G593" s="26"/>
      <c r="H593" s="26"/>
      <c r="I593" s="26"/>
      <c r="J593" s="34"/>
      <c r="K593" s="63"/>
      <c r="L593" s="26"/>
      <c r="M593" s="26"/>
      <c r="N593" s="20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</row>
    <row r="594" spans="1:25" ht="13">
      <c r="A594" s="26"/>
      <c r="B594" s="83"/>
      <c r="C594" s="26"/>
      <c r="D594" s="26"/>
      <c r="E594" s="26"/>
      <c r="F594" s="26"/>
      <c r="G594" s="26"/>
      <c r="H594" s="26"/>
      <c r="I594" s="26"/>
      <c r="J594" s="34"/>
      <c r="K594" s="63"/>
      <c r="L594" s="26"/>
      <c r="M594" s="26"/>
      <c r="N594" s="20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</row>
    <row r="595" spans="1:25" ht="13">
      <c r="A595" s="26"/>
      <c r="B595" s="83"/>
      <c r="C595" s="26"/>
      <c r="D595" s="26"/>
      <c r="E595" s="26"/>
      <c r="F595" s="26"/>
      <c r="G595" s="26"/>
      <c r="H595" s="26"/>
      <c r="I595" s="26"/>
      <c r="J595" s="34"/>
      <c r="K595" s="63"/>
      <c r="L595" s="26"/>
      <c r="M595" s="26"/>
      <c r="N595" s="20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</row>
    <row r="596" spans="1:25" ht="13">
      <c r="A596" s="26"/>
      <c r="B596" s="83"/>
      <c r="C596" s="26"/>
      <c r="D596" s="26"/>
      <c r="E596" s="26"/>
      <c r="F596" s="26"/>
      <c r="G596" s="26"/>
      <c r="H596" s="26"/>
      <c r="I596" s="26"/>
      <c r="J596" s="34"/>
      <c r="K596" s="63"/>
      <c r="L596" s="26"/>
      <c r="M596" s="26"/>
      <c r="N596" s="20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</row>
    <row r="597" spans="1:25" ht="13">
      <c r="A597" s="26"/>
      <c r="B597" s="83"/>
      <c r="C597" s="26"/>
      <c r="D597" s="26"/>
      <c r="E597" s="26"/>
      <c r="F597" s="26"/>
      <c r="G597" s="26"/>
      <c r="H597" s="26"/>
      <c r="I597" s="26"/>
      <c r="J597" s="34"/>
      <c r="K597" s="63"/>
      <c r="L597" s="26"/>
      <c r="M597" s="26"/>
      <c r="N597" s="20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</row>
    <row r="598" spans="1:25" ht="13">
      <c r="A598" s="26"/>
      <c r="B598" s="83"/>
      <c r="C598" s="26"/>
      <c r="D598" s="26"/>
      <c r="E598" s="26"/>
      <c r="F598" s="26"/>
      <c r="G598" s="26"/>
      <c r="H598" s="26"/>
      <c r="I598" s="26"/>
      <c r="J598" s="34"/>
      <c r="K598" s="63"/>
      <c r="L598" s="26"/>
      <c r="M598" s="26"/>
      <c r="N598" s="20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</row>
    <row r="599" spans="1:25" ht="13">
      <c r="A599" s="26"/>
      <c r="B599" s="83"/>
      <c r="C599" s="26"/>
      <c r="D599" s="26"/>
      <c r="E599" s="26"/>
      <c r="F599" s="26"/>
      <c r="G599" s="26"/>
      <c r="H599" s="26"/>
      <c r="I599" s="26"/>
      <c r="J599" s="34"/>
      <c r="K599" s="63"/>
      <c r="L599" s="26"/>
      <c r="M599" s="26"/>
      <c r="N599" s="20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</row>
    <row r="600" spans="1:25" ht="13">
      <c r="A600" s="26"/>
      <c r="B600" s="83"/>
      <c r="C600" s="26"/>
      <c r="D600" s="26"/>
      <c r="E600" s="26"/>
      <c r="F600" s="26"/>
      <c r="G600" s="26"/>
      <c r="H600" s="26"/>
      <c r="I600" s="26"/>
      <c r="J600" s="34"/>
      <c r="K600" s="63"/>
      <c r="L600" s="26"/>
      <c r="M600" s="26"/>
      <c r="N600" s="20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</row>
    <row r="601" spans="1:25" ht="13">
      <c r="A601" s="26"/>
      <c r="B601" s="83"/>
      <c r="C601" s="26"/>
      <c r="D601" s="26"/>
      <c r="E601" s="26"/>
      <c r="F601" s="26"/>
      <c r="G601" s="26"/>
      <c r="H601" s="26"/>
      <c r="I601" s="26"/>
      <c r="J601" s="34"/>
      <c r="K601" s="63"/>
      <c r="L601" s="26"/>
      <c r="M601" s="26"/>
      <c r="N601" s="20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</row>
    <row r="602" spans="1:25" ht="13">
      <c r="A602" s="26"/>
      <c r="B602" s="83"/>
      <c r="C602" s="26"/>
      <c r="D602" s="26"/>
      <c r="E602" s="26"/>
      <c r="F602" s="26"/>
      <c r="G602" s="26"/>
      <c r="H602" s="26"/>
      <c r="I602" s="26"/>
      <c r="J602" s="34"/>
      <c r="K602" s="63"/>
      <c r="L602" s="26"/>
      <c r="M602" s="26"/>
      <c r="N602" s="20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</row>
    <row r="603" spans="1:25" ht="13">
      <c r="A603" s="26"/>
      <c r="B603" s="83"/>
      <c r="C603" s="26"/>
      <c r="D603" s="26"/>
      <c r="E603" s="26"/>
      <c r="F603" s="26"/>
      <c r="G603" s="26"/>
      <c r="H603" s="26"/>
      <c r="I603" s="26"/>
      <c r="J603" s="34"/>
      <c r="K603" s="63"/>
      <c r="L603" s="26"/>
      <c r="M603" s="26"/>
      <c r="N603" s="20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</row>
    <row r="604" spans="1:25" ht="13">
      <c r="A604" s="26"/>
      <c r="B604" s="83"/>
      <c r="C604" s="26"/>
      <c r="D604" s="26"/>
      <c r="E604" s="26"/>
      <c r="F604" s="26"/>
      <c r="G604" s="26"/>
      <c r="H604" s="26"/>
      <c r="I604" s="26"/>
      <c r="J604" s="34"/>
      <c r="K604" s="63"/>
      <c r="L604" s="26"/>
      <c r="M604" s="26"/>
      <c r="N604" s="20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</row>
    <row r="605" spans="1:25" ht="13">
      <c r="A605" s="26"/>
      <c r="B605" s="83"/>
      <c r="C605" s="26"/>
      <c r="D605" s="26"/>
      <c r="E605" s="26"/>
      <c r="F605" s="26"/>
      <c r="G605" s="26"/>
      <c r="H605" s="26"/>
      <c r="I605" s="26"/>
      <c r="J605" s="34"/>
      <c r="K605" s="63"/>
      <c r="L605" s="26"/>
      <c r="M605" s="26"/>
      <c r="N605" s="20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</row>
    <row r="606" spans="1:25" ht="13">
      <c r="A606" s="26"/>
      <c r="B606" s="83"/>
      <c r="C606" s="26"/>
      <c r="D606" s="26"/>
      <c r="E606" s="26"/>
      <c r="F606" s="26"/>
      <c r="G606" s="26"/>
      <c r="H606" s="26"/>
      <c r="I606" s="26"/>
      <c r="J606" s="34"/>
      <c r="K606" s="63"/>
      <c r="L606" s="26"/>
      <c r="M606" s="26"/>
      <c r="N606" s="20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</row>
    <row r="607" spans="1:25" ht="13">
      <c r="A607" s="26"/>
      <c r="B607" s="83"/>
      <c r="C607" s="26"/>
      <c r="D607" s="26"/>
      <c r="E607" s="26"/>
      <c r="F607" s="26"/>
      <c r="G607" s="26"/>
      <c r="H607" s="26"/>
      <c r="I607" s="26"/>
      <c r="J607" s="34"/>
      <c r="K607" s="63"/>
      <c r="L607" s="26"/>
      <c r="M607" s="26"/>
      <c r="N607" s="20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</row>
    <row r="608" spans="1:25" ht="13">
      <c r="A608" s="26"/>
      <c r="B608" s="83"/>
      <c r="C608" s="26"/>
      <c r="D608" s="26"/>
      <c r="E608" s="26"/>
      <c r="F608" s="26"/>
      <c r="G608" s="26"/>
      <c r="H608" s="26"/>
      <c r="I608" s="26"/>
      <c r="J608" s="34"/>
      <c r="K608" s="63"/>
      <c r="L608" s="26"/>
      <c r="M608" s="26"/>
      <c r="N608" s="20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</row>
    <row r="609" spans="1:25" ht="13">
      <c r="A609" s="26"/>
      <c r="B609" s="83"/>
      <c r="C609" s="26"/>
      <c r="D609" s="26"/>
      <c r="E609" s="26"/>
      <c r="F609" s="26"/>
      <c r="G609" s="26"/>
      <c r="H609" s="26"/>
      <c r="I609" s="26"/>
      <c r="J609" s="34"/>
      <c r="K609" s="63"/>
      <c r="L609" s="26"/>
      <c r="M609" s="26"/>
      <c r="N609" s="20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</row>
    <row r="610" spans="1:25" ht="13">
      <c r="A610" s="26"/>
      <c r="B610" s="83"/>
      <c r="C610" s="26"/>
      <c r="D610" s="26"/>
      <c r="E610" s="26"/>
      <c r="F610" s="26"/>
      <c r="G610" s="26"/>
      <c r="H610" s="26"/>
      <c r="I610" s="26"/>
      <c r="J610" s="34"/>
      <c r="K610" s="63"/>
      <c r="L610" s="26"/>
      <c r="M610" s="26"/>
      <c r="N610" s="20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</row>
    <row r="611" spans="1:25" ht="13">
      <c r="A611" s="26"/>
      <c r="B611" s="83"/>
      <c r="C611" s="26"/>
      <c r="D611" s="26"/>
      <c r="E611" s="26"/>
      <c r="F611" s="26"/>
      <c r="G611" s="26"/>
      <c r="H611" s="26"/>
      <c r="I611" s="26"/>
      <c r="J611" s="34"/>
      <c r="K611" s="63"/>
      <c r="L611" s="26"/>
      <c r="M611" s="26"/>
      <c r="N611" s="20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</row>
    <row r="612" spans="1:25" ht="13">
      <c r="A612" s="26"/>
      <c r="B612" s="83"/>
      <c r="C612" s="26"/>
      <c r="D612" s="26"/>
      <c r="E612" s="26"/>
      <c r="F612" s="26"/>
      <c r="G612" s="26"/>
      <c r="H612" s="26"/>
      <c r="I612" s="26"/>
      <c r="J612" s="34"/>
      <c r="K612" s="63"/>
      <c r="L612" s="26"/>
      <c r="M612" s="26"/>
      <c r="N612" s="20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</row>
    <row r="613" spans="1:25" ht="13">
      <c r="A613" s="26"/>
      <c r="B613" s="83"/>
      <c r="C613" s="26"/>
      <c r="D613" s="26"/>
      <c r="E613" s="26"/>
      <c r="F613" s="26"/>
      <c r="G613" s="26"/>
      <c r="H613" s="26"/>
      <c r="I613" s="26"/>
      <c r="J613" s="34"/>
      <c r="K613" s="63"/>
      <c r="L613" s="26"/>
      <c r="M613" s="26"/>
      <c r="N613" s="20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</row>
    <row r="614" spans="1:25" ht="13">
      <c r="A614" s="26"/>
      <c r="B614" s="83"/>
      <c r="C614" s="26"/>
      <c r="D614" s="26"/>
      <c r="E614" s="26"/>
      <c r="F614" s="26"/>
      <c r="G614" s="26"/>
      <c r="H614" s="26"/>
      <c r="I614" s="26"/>
      <c r="J614" s="34"/>
      <c r="K614" s="63"/>
      <c r="L614" s="26"/>
      <c r="M614" s="26"/>
      <c r="N614" s="20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</row>
    <row r="615" spans="1:25" ht="13">
      <c r="A615" s="26"/>
      <c r="B615" s="83"/>
      <c r="C615" s="26"/>
      <c r="D615" s="26"/>
      <c r="E615" s="26"/>
      <c r="F615" s="26"/>
      <c r="G615" s="26"/>
      <c r="H615" s="26"/>
      <c r="I615" s="26"/>
      <c r="J615" s="34"/>
      <c r="K615" s="63"/>
      <c r="L615" s="26"/>
      <c r="M615" s="26"/>
      <c r="N615" s="20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</row>
    <row r="616" spans="1:25" ht="13">
      <c r="A616" s="26"/>
      <c r="B616" s="83"/>
      <c r="C616" s="26"/>
      <c r="D616" s="26"/>
      <c r="E616" s="26"/>
      <c r="F616" s="26"/>
      <c r="G616" s="26"/>
      <c r="H616" s="26"/>
      <c r="I616" s="26"/>
      <c r="J616" s="34"/>
      <c r="K616" s="63"/>
      <c r="L616" s="26"/>
      <c r="M616" s="26"/>
      <c r="N616" s="20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</row>
    <row r="617" spans="1:25" ht="13">
      <c r="A617" s="26"/>
      <c r="B617" s="83"/>
      <c r="C617" s="26"/>
      <c r="D617" s="26"/>
      <c r="E617" s="26"/>
      <c r="F617" s="26"/>
      <c r="G617" s="26"/>
      <c r="H617" s="26"/>
      <c r="I617" s="26"/>
      <c r="J617" s="34"/>
      <c r="K617" s="63"/>
      <c r="L617" s="26"/>
      <c r="M617" s="26"/>
      <c r="N617" s="20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</row>
    <row r="618" spans="1:25" ht="13">
      <c r="A618" s="26"/>
      <c r="B618" s="83"/>
      <c r="C618" s="26"/>
      <c r="D618" s="26"/>
      <c r="E618" s="26"/>
      <c r="F618" s="26"/>
      <c r="G618" s="26"/>
      <c r="H618" s="26"/>
      <c r="I618" s="26"/>
      <c r="J618" s="34"/>
      <c r="K618" s="63"/>
      <c r="L618" s="26"/>
      <c r="M618" s="26"/>
      <c r="N618" s="20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</row>
    <row r="619" spans="1:25" ht="13">
      <c r="A619" s="26"/>
      <c r="B619" s="83"/>
      <c r="C619" s="26"/>
      <c r="D619" s="26"/>
      <c r="E619" s="26"/>
      <c r="F619" s="26"/>
      <c r="G619" s="26"/>
      <c r="H619" s="26"/>
      <c r="I619" s="26"/>
      <c r="J619" s="34"/>
      <c r="K619" s="63"/>
      <c r="L619" s="26"/>
      <c r="M619" s="26"/>
      <c r="N619" s="20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</row>
    <row r="620" spans="1:25" ht="13">
      <c r="A620" s="26"/>
      <c r="B620" s="83"/>
      <c r="C620" s="26"/>
      <c r="D620" s="26"/>
      <c r="E620" s="26"/>
      <c r="F620" s="26"/>
      <c r="G620" s="26"/>
      <c r="H620" s="26"/>
      <c r="I620" s="26"/>
      <c r="J620" s="34"/>
      <c r="K620" s="63"/>
      <c r="L620" s="26"/>
      <c r="M620" s="26"/>
      <c r="N620" s="20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</row>
    <row r="621" spans="1:25" ht="13">
      <c r="A621" s="26"/>
      <c r="B621" s="83"/>
      <c r="C621" s="26"/>
      <c r="D621" s="26"/>
      <c r="E621" s="26"/>
      <c r="F621" s="26"/>
      <c r="G621" s="26"/>
      <c r="H621" s="26"/>
      <c r="I621" s="26"/>
      <c r="J621" s="34"/>
      <c r="K621" s="63"/>
      <c r="L621" s="26"/>
      <c r="M621" s="26"/>
      <c r="N621" s="20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</row>
    <row r="622" spans="1:25" ht="13">
      <c r="A622" s="26"/>
      <c r="B622" s="83"/>
      <c r="C622" s="26"/>
      <c r="D622" s="26"/>
      <c r="E622" s="26"/>
      <c r="F622" s="26"/>
      <c r="G622" s="26"/>
      <c r="H622" s="26"/>
      <c r="I622" s="26"/>
      <c r="J622" s="34"/>
      <c r="K622" s="63"/>
      <c r="L622" s="26"/>
      <c r="M622" s="26"/>
      <c r="N622" s="20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</row>
    <row r="623" spans="1:25" ht="13">
      <c r="A623" s="26"/>
      <c r="B623" s="83"/>
      <c r="C623" s="26"/>
      <c r="D623" s="26"/>
      <c r="E623" s="26"/>
      <c r="F623" s="26"/>
      <c r="G623" s="26"/>
      <c r="H623" s="26"/>
      <c r="I623" s="26"/>
      <c r="J623" s="34"/>
      <c r="K623" s="63"/>
      <c r="L623" s="26"/>
      <c r="M623" s="26"/>
      <c r="N623" s="20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</row>
    <row r="624" spans="1:25" ht="13">
      <c r="A624" s="26"/>
      <c r="B624" s="83"/>
      <c r="C624" s="26"/>
      <c r="D624" s="26"/>
      <c r="E624" s="26"/>
      <c r="F624" s="26"/>
      <c r="G624" s="26"/>
      <c r="H624" s="26"/>
      <c r="I624" s="26"/>
      <c r="J624" s="34"/>
      <c r="K624" s="63"/>
      <c r="L624" s="26"/>
      <c r="M624" s="26"/>
      <c r="N624" s="20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</row>
    <row r="625" spans="1:25" ht="13">
      <c r="A625" s="26"/>
      <c r="B625" s="83"/>
      <c r="C625" s="26"/>
      <c r="D625" s="26"/>
      <c r="E625" s="26"/>
      <c r="F625" s="26"/>
      <c r="G625" s="26"/>
      <c r="H625" s="26"/>
      <c r="I625" s="26"/>
      <c r="J625" s="34"/>
      <c r="K625" s="63"/>
      <c r="L625" s="26"/>
      <c r="M625" s="26"/>
      <c r="N625" s="20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</row>
    <row r="626" spans="1:25" ht="13">
      <c r="A626" s="26"/>
      <c r="B626" s="83"/>
      <c r="C626" s="26"/>
      <c r="D626" s="26"/>
      <c r="E626" s="26"/>
      <c r="F626" s="26"/>
      <c r="G626" s="26"/>
      <c r="H626" s="26"/>
      <c r="I626" s="26"/>
      <c r="J626" s="34"/>
      <c r="K626" s="63"/>
      <c r="L626" s="26"/>
      <c r="M626" s="26"/>
      <c r="N626" s="20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</row>
    <row r="627" spans="1:25" ht="13">
      <c r="A627" s="26"/>
      <c r="B627" s="83"/>
      <c r="C627" s="26"/>
      <c r="D627" s="26"/>
      <c r="E627" s="26"/>
      <c r="F627" s="26"/>
      <c r="G627" s="26"/>
      <c r="H627" s="26"/>
      <c r="I627" s="26"/>
      <c r="J627" s="34"/>
      <c r="K627" s="63"/>
      <c r="L627" s="26"/>
      <c r="M627" s="26"/>
      <c r="N627" s="20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</row>
    <row r="628" spans="1:25" ht="13">
      <c r="A628" s="26"/>
      <c r="B628" s="83"/>
      <c r="C628" s="26"/>
      <c r="D628" s="26"/>
      <c r="E628" s="26"/>
      <c r="F628" s="26"/>
      <c r="G628" s="26"/>
      <c r="H628" s="26"/>
      <c r="I628" s="26"/>
      <c r="J628" s="34"/>
      <c r="K628" s="63"/>
      <c r="L628" s="26"/>
      <c r="M628" s="26"/>
      <c r="N628" s="20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</row>
    <row r="629" spans="1:25" ht="13">
      <c r="A629" s="26"/>
      <c r="B629" s="83"/>
      <c r="C629" s="26"/>
      <c r="D629" s="26"/>
      <c r="E629" s="26"/>
      <c r="F629" s="26"/>
      <c r="G629" s="26"/>
      <c r="H629" s="26"/>
      <c r="I629" s="26"/>
      <c r="J629" s="34"/>
      <c r="K629" s="63"/>
      <c r="L629" s="26"/>
      <c r="M629" s="26"/>
      <c r="N629" s="20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</row>
    <row r="630" spans="1:25" ht="13">
      <c r="A630" s="26"/>
      <c r="B630" s="83"/>
      <c r="C630" s="26"/>
      <c r="D630" s="26"/>
      <c r="E630" s="26"/>
      <c r="F630" s="26"/>
      <c r="G630" s="26"/>
      <c r="H630" s="26"/>
      <c r="I630" s="26"/>
      <c r="J630" s="34"/>
      <c r="K630" s="63"/>
      <c r="L630" s="26"/>
      <c r="M630" s="26"/>
      <c r="N630" s="20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</row>
    <row r="631" spans="1:25" ht="13">
      <c r="A631" s="26"/>
      <c r="B631" s="83"/>
      <c r="C631" s="26"/>
      <c r="D631" s="26"/>
      <c r="E631" s="26"/>
      <c r="F631" s="26"/>
      <c r="G631" s="26"/>
      <c r="H631" s="26"/>
      <c r="I631" s="26"/>
      <c r="J631" s="34"/>
      <c r="K631" s="63"/>
      <c r="L631" s="26"/>
      <c r="M631" s="26"/>
      <c r="N631" s="20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 spans="1:25" ht="13">
      <c r="A632" s="26"/>
      <c r="B632" s="83"/>
      <c r="C632" s="26"/>
      <c r="D632" s="26"/>
      <c r="E632" s="26"/>
      <c r="F632" s="26"/>
      <c r="G632" s="26"/>
      <c r="H632" s="26"/>
      <c r="I632" s="26"/>
      <c r="J632" s="34"/>
      <c r="K632" s="63"/>
      <c r="L632" s="26"/>
      <c r="M632" s="26"/>
      <c r="N632" s="20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</row>
    <row r="633" spans="1:25" ht="13">
      <c r="A633" s="26"/>
      <c r="B633" s="83"/>
      <c r="C633" s="26"/>
      <c r="D633" s="26"/>
      <c r="E633" s="26"/>
      <c r="F633" s="26"/>
      <c r="G633" s="26"/>
      <c r="H633" s="26"/>
      <c r="I633" s="26"/>
      <c r="J633" s="34"/>
      <c r="K633" s="63"/>
      <c r="L633" s="26"/>
      <c r="M633" s="26"/>
      <c r="N633" s="20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</row>
    <row r="634" spans="1:25" ht="13">
      <c r="A634" s="26"/>
      <c r="B634" s="83"/>
      <c r="C634" s="26"/>
      <c r="D634" s="26"/>
      <c r="E634" s="26"/>
      <c r="F634" s="26"/>
      <c r="G634" s="26"/>
      <c r="H634" s="26"/>
      <c r="I634" s="26"/>
      <c r="J634" s="34"/>
      <c r="K634" s="63"/>
      <c r="L634" s="26"/>
      <c r="M634" s="26"/>
      <c r="N634" s="20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</row>
    <row r="635" spans="1:25" ht="13">
      <c r="A635" s="26"/>
      <c r="B635" s="83"/>
      <c r="C635" s="26"/>
      <c r="D635" s="26"/>
      <c r="E635" s="26"/>
      <c r="F635" s="26"/>
      <c r="G635" s="26"/>
      <c r="H635" s="26"/>
      <c r="I635" s="26"/>
      <c r="J635" s="34"/>
      <c r="K635" s="63"/>
      <c r="L635" s="26"/>
      <c r="M635" s="26"/>
      <c r="N635" s="20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</row>
    <row r="636" spans="1:25" ht="13">
      <c r="A636" s="26"/>
      <c r="B636" s="83"/>
      <c r="C636" s="26"/>
      <c r="D636" s="26"/>
      <c r="E636" s="26"/>
      <c r="F636" s="26"/>
      <c r="G636" s="26"/>
      <c r="H636" s="26"/>
      <c r="I636" s="26"/>
      <c r="J636" s="34"/>
      <c r="K636" s="63"/>
      <c r="L636" s="26"/>
      <c r="M636" s="26"/>
      <c r="N636" s="20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</row>
    <row r="637" spans="1:25" ht="13">
      <c r="A637" s="26"/>
      <c r="B637" s="83"/>
      <c r="C637" s="26"/>
      <c r="D637" s="26"/>
      <c r="E637" s="26"/>
      <c r="F637" s="26"/>
      <c r="G637" s="26"/>
      <c r="H637" s="26"/>
      <c r="I637" s="26"/>
      <c r="J637" s="34"/>
      <c r="K637" s="63"/>
      <c r="L637" s="26"/>
      <c r="M637" s="26"/>
      <c r="N637" s="20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</row>
    <row r="638" spans="1:25" ht="13">
      <c r="A638" s="26"/>
      <c r="B638" s="83"/>
      <c r="C638" s="26"/>
      <c r="D638" s="26"/>
      <c r="E638" s="26"/>
      <c r="F638" s="26"/>
      <c r="G638" s="26"/>
      <c r="H638" s="26"/>
      <c r="I638" s="26"/>
      <c r="J638" s="34"/>
      <c r="K638" s="63"/>
      <c r="L638" s="26"/>
      <c r="M638" s="26"/>
      <c r="N638" s="20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</row>
    <row r="639" spans="1:25" ht="13">
      <c r="A639" s="26"/>
      <c r="B639" s="83"/>
      <c r="C639" s="26"/>
      <c r="D639" s="26"/>
      <c r="E639" s="26"/>
      <c r="F639" s="26"/>
      <c r="G639" s="26"/>
      <c r="H639" s="26"/>
      <c r="I639" s="26"/>
      <c r="J639" s="34"/>
      <c r="K639" s="63"/>
      <c r="L639" s="26"/>
      <c r="M639" s="26"/>
      <c r="N639" s="20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</row>
    <row r="640" spans="1:25" ht="13">
      <c r="A640" s="26"/>
      <c r="B640" s="83"/>
      <c r="C640" s="26"/>
      <c r="D640" s="26"/>
      <c r="E640" s="26"/>
      <c r="F640" s="26"/>
      <c r="G640" s="26"/>
      <c r="H640" s="26"/>
      <c r="I640" s="26"/>
      <c r="J640" s="34"/>
      <c r="K640" s="63"/>
      <c r="L640" s="26"/>
      <c r="M640" s="26"/>
      <c r="N640" s="20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</row>
    <row r="641" spans="1:25" ht="13">
      <c r="A641" s="26"/>
      <c r="B641" s="83"/>
      <c r="C641" s="26"/>
      <c r="D641" s="26"/>
      <c r="E641" s="26"/>
      <c r="F641" s="26"/>
      <c r="G641" s="26"/>
      <c r="H641" s="26"/>
      <c r="I641" s="26"/>
      <c r="J641" s="34"/>
      <c r="K641" s="63"/>
      <c r="L641" s="26"/>
      <c r="M641" s="26"/>
      <c r="N641" s="20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</row>
    <row r="642" spans="1:25" ht="13">
      <c r="A642" s="26"/>
      <c r="B642" s="83"/>
      <c r="C642" s="26"/>
      <c r="D642" s="26"/>
      <c r="E642" s="26"/>
      <c r="F642" s="26"/>
      <c r="G642" s="26"/>
      <c r="H642" s="26"/>
      <c r="I642" s="26"/>
      <c r="J642" s="34"/>
      <c r="K642" s="63"/>
      <c r="L642" s="26"/>
      <c r="M642" s="26"/>
      <c r="N642" s="20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</row>
    <row r="643" spans="1:25" ht="13">
      <c r="A643" s="26"/>
      <c r="B643" s="83"/>
      <c r="C643" s="26"/>
      <c r="D643" s="26"/>
      <c r="E643" s="26"/>
      <c r="F643" s="26"/>
      <c r="G643" s="26"/>
      <c r="H643" s="26"/>
      <c r="I643" s="26"/>
      <c r="J643" s="34"/>
      <c r="K643" s="63"/>
      <c r="L643" s="26"/>
      <c r="M643" s="26"/>
      <c r="N643" s="20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</row>
    <row r="644" spans="1:25" ht="13">
      <c r="A644" s="26"/>
      <c r="B644" s="83"/>
      <c r="C644" s="26"/>
      <c r="D644" s="26"/>
      <c r="E644" s="26"/>
      <c r="F644" s="26"/>
      <c r="G644" s="26"/>
      <c r="H644" s="26"/>
      <c r="I644" s="26"/>
      <c r="J644" s="34"/>
      <c r="K644" s="63"/>
      <c r="L644" s="26"/>
      <c r="M644" s="26"/>
      <c r="N644" s="20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</row>
    <row r="645" spans="1:25" ht="13">
      <c r="A645" s="26"/>
      <c r="B645" s="83"/>
      <c r="C645" s="26"/>
      <c r="D645" s="26"/>
      <c r="E645" s="26"/>
      <c r="F645" s="26"/>
      <c r="G645" s="26"/>
      <c r="H645" s="26"/>
      <c r="I645" s="26"/>
      <c r="J645" s="34"/>
      <c r="K645" s="63"/>
      <c r="L645" s="26"/>
      <c r="M645" s="26"/>
      <c r="N645" s="20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</row>
    <row r="646" spans="1:25" ht="13">
      <c r="A646" s="26"/>
      <c r="B646" s="83"/>
      <c r="C646" s="26"/>
      <c r="D646" s="26"/>
      <c r="E646" s="26"/>
      <c r="F646" s="26"/>
      <c r="G646" s="26"/>
      <c r="H646" s="26"/>
      <c r="I646" s="26"/>
      <c r="J646" s="34"/>
      <c r="K646" s="63"/>
      <c r="L646" s="26"/>
      <c r="M646" s="26"/>
      <c r="N646" s="20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</row>
    <row r="647" spans="1:25" ht="13">
      <c r="A647" s="26"/>
      <c r="B647" s="83"/>
      <c r="C647" s="26"/>
      <c r="D647" s="26"/>
      <c r="E647" s="26"/>
      <c r="F647" s="26"/>
      <c r="G647" s="26"/>
      <c r="H647" s="26"/>
      <c r="I647" s="26"/>
      <c r="J647" s="34"/>
      <c r="K647" s="63"/>
      <c r="L647" s="26"/>
      <c r="M647" s="26"/>
      <c r="N647" s="20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</row>
    <row r="648" spans="1:25" ht="13">
      <c r="A648" s="26"/>
      <c r="B648" s="83"/>
      <c r="C648" s="26"/>
      <c r="D648" s="26"/>
      <c r="E648" s="26"/>
      <c r="F648" s="26"/>
      <c r="G648" s="26"/>
      <c r="H648" s="26"/>
      <c r="I648" s="26"/>
      <c r="J648" s="34"/>
      <c r="K648" s="63"/>
      <c r="L648" s="26"/>
      <c r="M648" s="26"/>
      <c r="N648" s="20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</row>
    <row r="649" spans="1:25" ht="13">
      <c r="A649" s="26"/>
      <c r="B649" s="83"/>
      <c r="C649" s="26"/>
      <c r="D649" s="26"/>
      <c r="E649" s="26"/>
      <c r="F649" s="26"/>
      <c r="G649" s="26"/>
      <c r="H649" s="26"/>
      <c r="I649" s="26"/>
      <c r="J649" s="34"/>
      <c r="K649" s="63"/>
      <c r="L649" s="26"/>
      <c r="M649" s="26"/>
      <c r="N649" s="20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</row>
    <row r="650" spans="1:25" ht="13">
      <c r="A650" s="26"/>
      <c r="B650" s="83"/>
      <c r="C650" s="26"/>
      <c r="D650" s="26"/>
      <c r="E650" s="26"/>
      <c r="F650" s="26"/>
      <c r="G650" s="26"/>
      <c r="H650" s="26"/>
      <c r="I650" s="26"/>
      <c r="J650" s="34"/>
      <c r="K650" s="63"/>
      <c r="L650" s="26"/>
      <c r="M650" s="26"/>
      <c r="N650" s="20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</row>
    <row r="651" spans="1:25" ht="13">
      <c r="A651" s="26"/>
      <c r="B651" s="83"/>
      <c r="C651" s="26"/>
      <c r="D651" s="26"/>
      <c r="E651" s="26"/>
      <c r="F651" s="26"/>
      <c r="G651" s="26"/>
      <c r="H651" s="26"/>
      <c r="I651" s="26"/>
      <c r="J651" s="34"/>
      <c r="K651" s="63"/>
      <c r="L651" s="26"/>
      <c r="M651" s="26"/>
      <c r="N651" s="20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</row>
    <row r="652" spans="1:25" ht="13">
      <c r="A652" s="26"/>
      <c r="B652" s="83"/>
      <c r="C652" s="26"/>
      <c r="D652" s="26"/>
      <c r="E652" s="26"/>
      <c r="F652" s="26"/>
      <c r="G652" s="26"/>
      <c r="H652" s="26"/>
      <c r="I652" s="26"/>
      <c r="J652" s="34"/>
      <c r="K652" s="63"/>
      <c r="L652" s="26"/>
      <c r="M652" s="26"/>
      <c r="N652" s="20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</row>
    <row r="653" spans="1:25" ht="13">
      <c r="A653" s="26"/>
      <c r="B653" s="83"/>
      <c r="C653" s="26"/>
      <c r="D653" s="26"/>
      <c r="E653" s="26"/>
      <c r="F653" s="26"/>
      <c r="G653" s="26"/>
      <c r="H653" s="26"/>
      <c r="I653" s="26"/>
      <c r="J653" s="34"/>
      <c r="K653" s="63"/>
      <c r="L653" s="26"/>
      <c r="M653" s="26"/>
      <c r="N653" s="20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</row>
    <row r="654" spans="1:25" ht="13">
      <c r="A654" s="26"/>
      <c r="B654" s="83"/>
      <c r="C654" s="26"/>
      <c r="D654" s="26"/>
      <c r="E654" s="26"/>
      <c r="F654" s="26"/>
      <c r="G654" s="26"/>
      <c r="H654" s="26"/>
      <c r="I654" s="26"/>
      <c r="J654" s="34"/>
      <c r="K654" s="63"/>
      <c r="L654" s="26"/>
      <c r="M654" s="26"/>
      <c r="N654" s="20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</row>
    <row r="655" spans="1:25" ht="13">
      <c r="A655" s="26"/>
      <c r="B655" s="83"/>
      <c r="C655" s="26"/>
      <c r="D655" s="26"/>
      <c r="E655" s="26"/>
      <c r="F655" s="26"/>
      <c r="G655" s="26"/>
      <c r="H655" s="26"/>
      <c r="I655" s="26"/>
      <c r="J655" s="34"/>
      <c r="K655" s="63"/>
      <c r="L655" s="26"/>
      <c r="M655" s="26"/>
      <c r="N655" s="20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</row>
    <row r="656" spans="1:25" ht="13">
      <c r="A656" s="26"/>
      <c r="B656" s="83"/>
      <c r="C656" s="26"/>
      <c r="D656" s="26"/>
      <c r="E656" s="26"/>
      <c r="F656" s="26"/>
      <c r="G656" s="26"/>
      <c r="H656" s="26"/>
      <c r="I656" s="26"/>
      <c r="J656" s="34"/>
      <c r="K656" s="63"/>
      <c r="L656" s="26"/>
      <c r="M656" s="26"/>
      <c r="N656" s="20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</row>
    <row r="657" spans="1:25" ht="13">
      <c r="A657" s="26"/>
      <c r="B657" s="83"/>
      <c r="C657" s="26"/>
      <c r="D657" s="26"/>
      <c r="E657" s="26"/>
      <c r="F657" s="26"/>
      <c r="G657" s="26"/>
      <c r="H657" s="26"/>
      <c r="I657" s="26"/>
      <c r="J657" s="34"/>
      <c r="K657" s="63"/>
      <c r="L657" s="26"/>
      <c r="M657" s="26"/>
      <c r="N657" s="20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</row>
    <row r="658" spans="1:25" ht="13">
      <c r="A658" s="26"/>
      <c r="B658" s="83"/>
      <c r="C658" s="26"/>
      <c r="D658" s="26"/>
      <c r="E658" s="26"/>
      <c r="F658" s="26"/>
      <c r="G658" s="26"/>
      <c r="H658" s="26"/>
      <c r="I658" s="26"/>
      <c r="J658" s="34"/>
      <c r="K658" s="63"/>
      <c r="L658" s="26"/>
      <c r="M658" s="26"/>
      <c r="N658" s="20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</row>
    <row r="659" spans="1:25" ht="13">
      <c r="A659" s="26"/>
      <c r="B659" s="83"/>
      <c r="C659" s="26"/>
      <c r="D659" s="26"/>
      <c r="E659" s="26"/>
      <c r="F659" s="26"/>
      <c r="G659" s="26"/>
      <c r="H659" s="26"/>
      <c r="I659" s="26"/>
      <c r="J659" s="34"/>
      <c r="K659" s="63"/>
      <c r="L659" s="26"/>
      <c r="M659" s="26"/>
      <c r="N659" s="20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</row>
    <row r="660" spans="1:25" ht="13">
      <c r="A660" s="26"/>
      <c r="B660" s="83"/>
      <c r="C660" s="26"/>
      <c r="D660" s="26"/>
      <c r="E660" s="26"/>
      <c r="F660" s="26"/>
      <c r="G660" s="26"/>
      <c r="H660" s="26"/>
      <c r="I660" s="26"/>
      <c r="J660" s="34"/>
      <c r="K660" s="63"/>
      <c r="L660" s="26"/>
      <c r="M660" s="26"/>
      <c r="N660" s="20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</row>
    <row r="661" spans="1:25" ht="13">
      <c r="A661" s="26"/>
      <c r="B661" s="83"/>
      <c r="C661" s="26"/>
      <c r="D661" s="26"/>
      <c r="E661" s="26"/>
      <c r="F661" s="26"/>
      <c r="G661" s="26"/>
      <c r="H661" s="26"/>
      <c r="I661" s="26"/>
      <c r="J661" s="34"/>
      <c r="K661" s="63"/>
      <c r="L661" s="26"/>
      <c r="M661" s="26"/>
      <c r="N661" s="20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</row>
    <row r="662" spans="1:25" ht="13">
      <c r="A662" s="26"/>
      <c r="B662" s="83"/>
      <c r="C662" s="26"/>
      <c r="D662" s="26"/>
      <c r="E662" s="26"/>
      <c r="F662" s="26"/>
      <c r="G662" s="26"/>
      <c r="H662" s="26"/>
      <c r="I662" s="26"/>
      <c r="J662" s="34"/>
      <c r="K662" s="63"/>
      <c r="L662" s="26"/>
      <c r="M662" s="26"/>
      <c r="N662" s="20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</row>
    <row r="663" spans="1:25" ht="13">
      <c r="A663" s="26"/>
      <c r="B663" s="83"/>
      <c r="C663" s="26"/>
      <c r="D663" s="26"/>
      <c r="E663" s="26"/>
      <c r="F663" s="26"/>
      <c r="G663" s="26"/>
      <c r="H663" s="26"/>
      <c r="I663" s="26"/>
      <c r="J663" s="34"/>
      <c r="K663" s="63"/>
      <c r="L663" s="26"/>
      <c r="M663" s="26"/>
      <c r="N663" s="20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</row>
    <row r="664" spans="1:25" ht="13">
      <c r="A664" s="26"/>
      <c r="B664" s="83"/>
      <c r="C664" s="26"/>
      <c r="D664" s="26"/>
      <c r="E664" s="26"/>
      <c r="F664" s="26"/>
      <c r="G664" s="26"/>
      <c r="H664" s="26"/>
      <c r="I664" s="26"/>
      <c r="J664" s="34"/>
      <c r="K664" s="63"/>
      <c r="L664" s="26"/>
      <c r="M664" s="26"/>
      <c r="N664" s="20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</row>
    <row r="665" spans="1:25" ht="13">
      <c r="A665" s="26"/>
      <c r="B665" s="83"/>
      <c r="C665" s="26"/>
      <c r="D665" s="26"/>
      <c r="E665" s="26"/>
      <c r="F665" s="26"/>
      <c r="G665" s="26"/>
      <c r="H665" s="26"/>
      <c r="I665" s="26"/>
      <c r="J665" s="34"/>
      <c r="K665" s="63"/>
      <c r="L665" s="26"/>
      <c r="M665" s="26"/>
      <c r="N665" s="20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</row>
    <row r="666" spans="1:25" ht="13">
      <c r="A666" s="26"/>
      <c r="B666" s="83"/>
      <c r="C666" s="26"/>
      <c r="D666" s="26"/>
      <c r="E666" s="26"/>
      <c r="F666" s="26"/>
      <c r="G666" s="26"/>
      <c r="H666" s="26"/>
      <c r="I666" s="26"/>
      <c r="J666" s="34"/>
      <c r="K666" s="63"/>
      <c r="L666" s="26"/>
      <c r="M666" s="26"/>
      <c r="N666" s="20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</row>
    <row r="667" spans="1:25" ht="13">
      <c r="A667" s="26"/>
      <c r="B667" s="83"/>
      <c r="C667" s="26"/>
      <c r="D667" s="26"/>
      <c r="E667" s="26"/>
      <c r="F667" s="26"/>
      <c r="G667" s="26"/>
      <c r="H667" s="26"/>
      <c r="I667" s="26"/>
      <c r="J667" s="34"/>
      <c r="K667" s="63"/>
      <c r="L667" s="26"/>
      <c r="M667" s="26"/>
      <c r="N667" s="20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</row>
    <row r="668" spans="1:25" ht="13">
      <c r="A668" s="26"/>
      <c r="B668" s="83"/>
      <c r="C668" s="26"/>
      <c r="D668" s="26"/>
      <c r="E668" s="26"/>
      <c r="F668" s="26"/>
      <c r="G668" s="26"/>
      <c r="H668" s="26"/>
      <c r="I668" s="26"/>
      <c r="J668" s="34"/>
      <c r="K668" s="63"/>
      <c r="L668" s="26"/>
      <c r="M668" s="26"/>
      <c r="N668" s="20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</row>
    <row r="669" spans="1:25" ht="13">
      <c r="A669" s="26"/>
      <c r="B669" s="83"/>
      <c r="C669" s="26"/>
      <c r="D669" s="26"/>
      <c r="E669" s="26"/>
      <c r="F669" s="26"/>
      <c r="G669" s="26"/>
      <c r="H669" s="26"/>
      <c r="I669" s="26"/>
      <c r="J669" s="34"/>
      <c r="K669" s="63"/>
      <c r="L669" s="26"/>
      <c r="M669" s="26"/>
      <c r="N669" s="20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</row>
    <row r="670" spans="1:25" ht="13">
      <c r="A670" s="26"/>
      <c r="B670" s="83"/>
      <c r="C670" s="26"/>
      <c r="D670" s="26"/>
      <c r="E670" s="26"/>
      <c r="F670" s="26"/>
      <c r="G670" s="26"/>
      <c r="H670" s="26"/>
      <c r="I670" s="26"/>
      <c r="J670" s="34"/>
      <c r="K670" s="63"/>
      <c r="L670" s="26"/>
      <c r="M670" s="26"/>
      <c r="N670" s="20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</row>
    <row r="671" spans="1:25" ht="13">
      <c r="A671" s="26"/>
      <c r="B671" s="83"/>
      <c r="C671" s="26"/>
      <c r="D671" s="26"/>
      <c r="E671" s="26"/>
      <c r="F671" s="26"/>
      <c r="G671" s="26"/>
      <c r="H671" s="26"/>
      <c r="I671" s="26"/>
      <c r="J671" s="34"/>
      <c r="K671" s="63"/>
      <c r="L671" s="26"/>
      <c r="M671" s="26"/>
      <c r="N671" s="20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</row>
    <row r="672" spans="1:25" ht="13">
      <c r="A672" s="26"/>
      <c r="B672" s="83"/>
      <c r="C672" s="26"/>
      <c r="D672" s="26"/>
      <c r="E672" s="26"/>
      <c r="F672" s="26"/>
      <c r="G672" s="26"/>
      <c r="H672" s="26"/>
      <c r="I672" s="26"/>
      <c r="J672" s="34"/>
      <c r="K672" s="63"/>
      <c r="L672" s="26"/>
      <c r="M672" s="26"/>
      <c r="N672" s="20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</row>
    <row r="673" spans="1:25" ht="13">
      <c r="A673" s="26"/>
      <c r="B673" s="83"/>
      <c r="C673" s="26"/>
      <c r="D673" s="26"/>
      <c r="E673" s="26"/>
      <c r="F673" s="26"/>
      <c r="G673" s="26"/>
      <c r="H673" s="26"/>
      <c r="I673" s="26"/>
      <c r="J673" s="34"/>
      <c r="K673" s="63"/>
      <c r="L673" s="26"/>
      <c r="M673" s="26"/>
      <c r="N673" s="20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</row>
    <row r="674" spans="1:25" ht="13">
      <c r="A674" s="26"/>
      <c r="B674" s="83"/>
      <c r="C674" s="26"/>
      <c r="D674" s="26"/>
      <c r="E674" s="26"/>
      <c r="F674" s="26"/>
      <c r="G674" s="26"/>
      <c r="H674" s="26"/>
      <c r="I674" s="26"/>
      <c r="J674" s="34"/>
      <c r="K674" s="63"/>
      <c r="L674" s="26"/>
      <c r="M674" s="26"/>
      <c r="N674" s="20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</row>
    <row r="675" spans="1:25" ht="13">
      <c r="A675" s="26"/>
      <c r="B675" s="83"/>
      <c r="C675" s="26"/>
      <c r="D675" s="26"/>
      <c r="E675" s="26"/>
      <c r="F675" s="26"/>
      <c r="G675" s="26"/>
      <c r="H675" s="26"/>
      <c r="I675" s="26"/>
      <c r="J675" s="34"/>
      <c r="K675" s="63"/>
      <c r="L675" s="26"/>
      <c r="M675" s="26"/>
      <c r="N675" s="20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</row>
    <row r="676" spans="1:25" ht="13">
      <c r="A676" s="26"/>
      <c r="B676" s="83"/>
      <c r="C676" s="26"/>
      <c r="D676" s="26"/>
      <c r="E676" s="26"/>
      <c r="F676" s="26"/>
      <c r="G676" s="26"/>
      <c r="H676" s="26"/>
      <c r="I676" s="26"/>
      <c r="J676" s="34"/>
      <c r="K676" s="63"/>
      <c r="L676" s="26"/>
      <c r="M676" s="26"/>
      <c r="N676" s="20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</row>
    <row r="677" spans="1:25" ht="13">
      <c r="A677" s="26"/>
      <c r="B677" s="83"/>
      <c r="C677" s="26"/>
      <c r="D677" s="26"/>
      <c r="E677" s="26"/>
      <c r="F677" s="26"/>
      <c r="G677" s="26"/>
      <c r="H677" s="26"/>
      <c r="I677" s="26"/>
      <c r="J677" s="34"/>
      <c r="K677" s="63"/>
      <c r="L677" s="26"/>
      <c r="M677" s="26"/>
      <c r="N677" s="20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</row>
    <row r="678" spans="1:25" ht="13">
      <c r="A678" s="26"/>
      <c r="B678" s="83"/>
      <c r="C678" s="26"/>
      <c r="D678" s="26"/>
      <c r="E678" s="26"/>
      <c r="F678" s="26"/>
      <c r="G678" s="26"/>
      <c r="H678" s="26"/>
      <c r="I678" s="26"/>
      <c r="J678" s="34"/>
      <c r="K678" s="63"/>
      <c r="L678" s="26"/>
      <c r="M678" s="26"/>
      <c r="N678" s="20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</row>
    <row r="679" spans="1:25" ht="13">
      <c r="A679" s="26"/>
      <c r="B679" s="83"/>
      <c r="C679" s="26"/>
      <c r="D679" s="26"/>
      <c r="E679" s="26"/>
      <c r="F679" s="26"/>
      <c r="G679" s="26"/>
      <c r="H679" s="26"/>
      <c r="I679" s="26"/>
      <c r="J679" s="34"/>
      <c r="K679" s="63"/>
      <c r="L679" s="26"/>
      <c r="M679" s="26"/>
      <c r="N679" s="20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</row>
    <row r="680" spans="1:25" ht="13">
      <c r="A680" s="26"/>
      <c r="B680" s="83"/>
      <c r="C680" s="26"/>
      <c r="D680" s="26"/>
      <c r="E680" s="26"/>
      <c r="F680" s="26"/>
      <c r="G680" s="26"/>
      <c r="H680" s="26"/>
      <c r="I680" s="26"/>
      <c r="J680" s="34"/>
      <c r="K680" s="63"/>
      <c r="L680" s="26"/>
      <c r="M680" s="26"/>
      <c r="N680" s="20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</row>
    <row r="681" spans="1:25" ht="13">
      <c r="A681" s="26"/>
      <c r="B681" s="83"/>
      <c r="C681" s="26"/>
      <c r="D681" s="26"/>
      <c r="E681" s="26"/>
      <c r="F681" s="26"/>
      <c r="G681" s="26"/>
      <c r="H681" s="26"/>
      <c r="I681" s="26"/>
      <c r="J681" s="34"/>
      <c r="K681" s="63"/>
      <c r="L681" s="26"/>
      <c r="M681" s="26"/>
      <c r="N681" s="20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</row>
    <row r="682" spans="1:25" ht="13">
      <c r="A682" s="26"/>
      <c r="B682" s="83"/>
      <c r="C682" s="26"/>
      <c r="D682" s="26"/>
      <c r="E682" s="26"/>
      <c r="F682" s="26"/>
      <c r="G682" s="26"/>
      <c r="H682" s="26"/>
      <c r="I682" s="26"/>
      <c r="J682" s="34"/>
      <c r="K682" s="63"/>
      <c r="L682" s="26"/>
      <c r="M682" s="26"/>
      <c r="N682" s="20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</row>
    <row r="683" spans="1:25" ht="13">
      <c r="A683" s="26"/>
      <c r="B683" s="83"/>
      <c r="C683" s="26"/>
      <c r="D683" s="26"/>
      <c r="E683" s="26"/>
      <c r="F683" s="26"/>
      <c r="G683" s="26"/>
      <c r="H683" s="26"/>
      <c r="I683" s="26"/>
      <c r="J683" s="34"/>
      <c r="K683" s="63"/>
      <c r="L683" s="26"/>
      <c r="M683" s="26"/>
      <c r="N683" s="20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</row>
    <row r="684" spans="1:25" ht="13">
      <c r="A684" s="26"/>
      <c r="B684" s="83"/>
      <c r="C684" s="26"/>
      <c r="D684" s="26"/>
      <c r="E684" s="26"/>
      <c r="F684" s="26"/>
      <c r="G684" s="26"/>
      <c r="H684" s="26"/>
      <c r="I684" s="26"/>
      <c r="J684" s="34"/>
      <c r="K684" s="63"/>
      <c r="L684" s="26"/>
      <c r="M684" s="26"/>
      <c r="N684" s="20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</row>
    <row r="685" spans="1:25" ht="13">
      <c r="A685" s="26"/>
      <c r="B685" s="83"/>
      <c r="C685" s="26"/>
      <c r="D685" s="26"/>
      <c r="E685" s="26"/>
      <c r="F685" s="26"/>
      <c r="G685" s="26"/>
      <c r="H685" s="26"/>
      <c r="I685" s="26"/>
      <c r="J685" s="34"/>
      <c r="K685" s="63"/>
      <c r="L685" s="26"/>
      <c r="M685" s="26"/>
      <c r="N685" s="20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</row>
    <row r="686" spans="1:25" ht="13">
      <c r="A686" s="26"/>
      <c r="B686" s="83"/>
      <c r="C686" s="26"/>
      <c r="D686" s="26"/>
      <c r="E686" s="26"/>
      <c r="F686" s="26"/>
      <c r="G686" s="26"/>
      <c r="H686" s="26"/>
      <c r="I686" s="26"/>
      <c r="J686" s="34"/>
      <c r="K686" s="63"/>
      <c r="L686" s="26"/>
      <c r="M686" s="26"/>
      <c r="N686" s="20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</row>
    <row r="687" spans="1:25" ht="13">
      <c r="A687" s="26"/>
      <c r="B687" s="83"/>
      <c r="C687" s="26"/>
      <c r="D687" s="26"/>
      <c r="E687" s="26"/>
      <c r="F687" s="26"/>
      <c r="G687" s="26"/>
      <c r="H687" s="26"/>
      <c r="I687" s="26"/>
      <c r="J687" s="34"/>
      <c r="K687" s="63"/>
      <c r="L687" s="26"/>
      <c r="M687" s="26"/>
      <c r="N687" s="20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</row>
    <row r="688" spans="1:25" ht="13">
      <c r="A688" s="26"/>
      <c r="B688" s="83"/>
      <c r="C688" s="26"/>
      <c r="D688" s="26"/>
      <c r="E688" s="26"/>
      <c r="F688" s="26"/>
      <c r="G688" s="26"/>
      <c r="H688" s="26"/>
      <c r="I688" s="26"/>
      <c r="J688" s="34"/>
      <c r="K688" s="63"/>
      <c r="L688" s="26"/>
      <c r="M688" s="26"/>
      <c r="N688" s="20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</row>
    <row r="689" spans="1:25" ht="13">
      <c r="A689" s="26"/>
      <c r="B689" s="83"/>
      <c r="C689" s="26"/>
      <c r="D689" s="26"/>
      <c r="E689" s="26"/>
      <c r="F689" s="26"/>
      <c r="G689" s="26"/>
      <c r="H689" s="26"/>
      <c r="I689" s="26"/>
      <c r="J689" s="34"/>
      <c r="K689" s="63"/>
      <c r="L689" s="26"/>
      <c r="M689" s="26"/>
      <c r="N689" s="20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</row>
    <row r="690" spans="1:25" ht="13">
      <c r="A690" s="26"/>
      <c r="B690" s="83"/>
      <c r="C690" s="26"/>
      <c r="D690" s="26"/>
      <c r="E690" s="26"/>
      <c r="F690" s="26"/>
      <c r="G690" s="26"/>
      <c r="H690" s="26"/>
      <c r="I690" s="26"/>
      <c r="J690" s="34"/>
      <c r="K690" s="63"/>
      <c r="L690" s="26"/>
      <c r="M690" s="26"/>
      <c r="N690" s="20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</row>
    <row r="691" spans="1:25" ht="13">
      <c r="A691" s="26"/>
      <c r="B691" s="83"/>
      <c r="C691" s="26"/>
      <c r="D691" s="26"/>
      <c r="E691" s="26"/>
      <c r="F691" s="26"/>
      <c r="G691" s="26"/>
      <c r="H691" s="26"/>
      <c r="I691" s="26"/>
      <c r="J691" s="34"/>
      <c r="K691" s="63"/>
      <c r="L691" s="26"/>
      <c r="M691" s="26"/>
      <c r="N691" s="20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</row>
    <row r="692" spans="1:25" ht="13">
      <c r="A692" s="26"/>
      <c r="B692" s="83"/>
      <c r="C692" s="26"/>
      <c r="D692" s="26"/>
      <c r="E692" s="26"/>
      <c r="F692" s="26"/>
      <c r="G692" s="26"/>
      <c r="H692" s="26"/>
      <c r="I692" s="26"/>
      <c r="J692" s="34"/>
      <c r="K692" s="63"/>
      <c r="L692" s="26"/>
      <c r="M692" s="26"/>
      <c r="N692" s="20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</row>
    <row r="693" spans="1:25" ht="13">
      <c r="A693" s="26"/>
      <c r="B693" s="83"/>
      <c r="C693" s="26"/>
      <c r="D693" s="26"/>
      <c r="E693" s="26"/>
      <c r="F693" s="26"/>
      <c r="G693" s="26"/>
      <c r="H693" s="26"/>
      <c r="I693" s="26"/>
      <c r="J693" s="34"/>
      <c r="K693" s="63"/>
      <c r="L693" s="26"/>
      <c r="M693" s="26"/>
      <c r="N693" s="20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</row>
    <row r="694" spans="1:25" ht="13">
      <c r="A694" s="26"/>
      <c r="B694" s="83"/>
      <c r="C694" s="26"/>
      <c r="D694" s="26"/>
      <c r="E694" s="26"/>
      <c r="F694" s="26"/>
      <c r="G694" s="26"/>
      <c r="H694" s="26"/>
      <c r="I694" s="26"/>
      <c r="J694" s="34"/>
      <c r="K694" s="63"/>
      <c r="L694" s="26"/>
      <c r="M694" s="26"/>
      <c r="N694" s="20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 spans="1:25" ht="13">
      <c r="A695" s="26"/>
      <c r="B695" s="83"/>
      <c r="C695" s="26"/>
      <c r="D695" s="26"/>
      <c r="E695" s="26"/>
      <c r="F695" s="26"/>
      <c r="G695" s="26"/>
      <c r="H695" s="26"/>
      <c r="I695" s="26"/>
      <c r="J695" s="34"/>
      <c r="K695" s="63"/>
      <c r="L695" s="26"/>
      <c r="M695" s="26"/>
      <c r="N695" s="20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</row>
    <row r="696" spans="1:25" ht="13">
      <c r="A696" s="26"/>
      <c r="B696" s="83"/>
      <c r="C696" s="26"/>
      <c r="D696" s="26"/>
      <c r="E696" s="26"/>
      <c r="F696" s="26"/>
      <c r="G696" s="26"/>
      <c r="H696" s="26"/>
      <c r="I696" s="26"/>
      <c r="J696" s="34"/>
      <c r="K696" s="63"/>
      <c r="L696" s="26"/>
      <c r="M696" s="26"/>
      <c r="N696" s="20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</row>
    <row r="697" spans="1:25" ht="13">
      <c r="A697" s="26"/>
      <c r="B697" s="83"/>
      <c r="C697" s="26"/>
      <c r="D697" s="26"/>
      <c r="E697" s="26"/>
      <c r="F697" s="26"/>
      <c r="G697" s="26"/>
      <c r="H697" s="26"/>
      <c r="I697" s="26"/>
      <c r="J697" s="34"/>
      <c r="K697" s="63"/>
      <c r="L697" s="26"/>
      <c r="M697" s="26"/>
      <c r="N697" s="20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</row>
    <row r="698" spans="1:25" ht="13">
      <c r="A698" s="26"/>
      <c r="B698" s="83"/>
      <c r="C698" s="26"/>
      <c r="D698" s="26"/>
      <c r="E698" s="26"/>
      <c r="F698" s="26"/>
      <c r="G698" s="26"/>
      <c r="H698" s="26"/>
      <c r="I698" s="26"/>
      <c r="J698" s="34"/>
      <c r="K698" s="63"/>
      <c r="L698" s="26"/>
      <c r="M698" s="26"/>
      <c r="N698" s="20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</row>
    <row r="699" spans="1:25" ht="13">
      <c r="A699" s="26"/>
      <c r="B699" s="83"/>
      <c r="C699" s="26"/>
      <c r="D699" s="26"/>
      <c r="E699" s="26"/>
      <c r="F699" s="26"/>
      <c r="G699" s="26"/>
      <c r="H699" s="26"/>
      <c r="I699" s="26"/>
      <c r="J699" s="34"/>
      <c r="K699" s="63"/>
      <c r="L699" s="26"/>
      <c r="M699" s="26"/>
      <c r="N699" s="20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</row>
    <row r="700" spans="1:25" ht="13">
      <c r="A700" s="26"/>
      <c r="B700" s="83"/>
      <c r="C700" s="26"/>
      <c r="D700" s="26"/>
      <c r="E700" s="26"/>
      <c r="F700" s="26"/>
      <c r="G700" s="26"/>
      <c r="H700" s="26"/>
      <c r="I700" s="26"/>
      <c r="J700" s="34"/>
      <c r="K700" s="63"/>
      <c r="L700" s="26"/>
      <c r="M700" s="26"/>
      <c r="N700" s="20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</row>
    <row r="701" spans="1:25" ht="13">
      <c r="A701" s="26"/>
      <c r="B701" s="83"/>
      <c r="C701" s="26"/>
      <c r="D701" s="26"/>
      <c r="E701" s="26"/>
      <c r="F701" s="26"/>
      <c r="G701" s="26"/>
      <c r="H701" s="26"/>
      <c r="I701" s="26"/>
      <c r="J701" s="34"/>
      <c r="K701" s="63"/>
      <c r="L701" s="26"/>
      <c r="M701" s="26"/>
      <c r="N701" s="20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</row>
    <row r="702" spans="1:25" ht="13">
      <c r="A702" s="26"/>
      <c r="B702" s="83"/>
      <c r="C702" s="26"/>
      <c r="D702" s="26"/>
      <c r="E702" s="26"/>
      <c r="F702" s="26"/>
      <c r="G702" s="26"/>
      <c r="H702" s="26"/>
      <c r="I702" s="26"/>
      <c r="J702" s="34"/>
      <c r="K702" s="63"/>
      <c r="L702" s="26"/>
      <c r="M702" s="26"/>
      <c r="N702" s="20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</row>
    <row r="703" spans="1:25" ht="13">
      <c r="A703" s="26"/>
      <c r="B703" s="83"/>
      <c r="C703" s="26"/>
      <c r="D703" s="26"/>
      <c r="E703" s="26"/>
      <c r="F703" s="26"/>
      <c r="G703" s="26"/>
      <c r="H703" s="26"/>
      <c r="I703" s="26"/>
      <c r="J703" s="34"/>
      <c r="K703" s="63"/>
      <c r="L703" s="26"/>
      <c r="M703" s="26"/>
      <c r="N703" s="20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</row>
    <row r="704" spans="1:25" ht="13">
      <c r="A704" s="26"/>
      <c r="B704" s="83"/>
      <c r="C704" s="26"/>
      <c r="D704" s="26"/>
      <c r="E704" s="26"/>
      <c r="F704" s="26"/>
      <c r="G704" s="26"/>
      <c r="H704" s="26"/>
      <c r="I704" s="26"/>
      <c r="J704" s="34"/>
      <c r="K704" s="63"/>
      <c r="L704" s="26"/>
      <c r="M704" s="26"/>
      <c r="N704" s="20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</row>
    <row r="705" spans="1:25" ht="13">
      <c r="A705" s="26"/>
      <c r="B705" s="83"/>
      <c r="C705" s="26"/>
      <c r="D705" s="26"/>
      <c r="E705" s="26"/>
      <c r="F705" s="26"/>
      <c r="G705" s="26"/>
      <c r="H705" s="26"/>
      <c r="I705" s="26"/>
      <c r="J705" s="34"/>
      <c r="K705" s="63"/>
      <c r="L705" s="26"/>
      <c r="M705" s="26"/>
      <c r="N705" s="20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</row>
    <row r="706" spans="1:25" ht="13">
      <c r="A706" s="26"/>
      <c r="B706" s="83"/>
      <c r="C706" s="26"/>
      <c r="D706" s="26"/>
      <c r="E706" s="26"/>
      <c r="F706" s="26"/>
      <c r="G706" s="26"/>
      <c r="H706" s="26"/>
      <c r="I706" s="26"/>
      <c r="J706" s="34"/>
      <c r="K706" s="63"/>
      <c r="L706" s="26"/>
      <c r="M706" s="26"/>
      <c r="N706" s="20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</row>
    <row r="707" spans="1:25" ht="13">
      <c r="A707" s="26"/>
      <c r="B707" s="83"/>
      <c r="C707" s="26"/>
      <c r="D707" s="26"/>
      <c r="E707" s="26"/>
      <c r="F707" s="26"/>
      <c r="G707" s="26"/>
      <c r="H707" s="26"/>
      <c r="I707" s="26"/>
      <c r="J707" s="34"/>
      <c r="K707" s="63"/>
      <c r="L707" s="26"/>
      <c r="M707" s="26"/>
      <c r="N707" s="20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</row>
    <row r="708" spans="1:25" ht="13">
      <c r="A708" s="26"/>
      <c r="B708" s="83"/>
      <c r="C708" s="26"/>
      <c r="D708" s="26"/>
      <c r="E708" s="26"/>
      <c r="F708" s="26"/>
      <c r="G708" s="26"/>
      <c r="H708" s="26"/>
      <c r="I708" s="26"/>
      <c r="J708" s="34"/>
      <c r="K708" s="63"/>
      <c r="L708" s="26"/>
      <c r="M708" s="26"/>
      <c r="N708" s="20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</row>
    <row r="709" spans="1:25" ht="13">
      <c r="A709" s="26"/>
      <c r="B709" s="83"/>
      <c r="C709" s="26"/>
      <c r="D709" s="26"/>
      <c r="E709" s="26"/>
      <c r="F709" s="26"/>
      <c r="G709" s="26"/>
      <c r="H709" s="26"/>
      <c r="I709" s="26"/>
      <c r="J709" s="34"/>
      <c r="K709" s="63"/>
      <c r="L709" s="26"/>
      <c r="M709" s="26"/>
      <c r="N709" s="20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</row>
    <row r="710" spans="1:25" ht="13">
      <c r="A710" s="26"/>
      <c r="B710" s="83"/>
      <c r="C710" s="26"/>
      <c r="D710" s="26"/>
      <c r="E710" s="26"/>
      <c r="F710" s="26"/>
      <c r="G710" s="26"/>
      <c r="H710" s="26"/>
      <c r="I710" s="26"/>
      <c r="J710" s="34"/>
      <c r="K710" s="63"/>
      <c r="L710" s="26"/>
      <c r="M710" s="26"/>
      <c r="N710" s="20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</row>
    <row r="711" spans="1:25" ht="13">
      <c r="A711" s="26"/>
      <c r="B711" s="83"/>
      <c r="C711" s="26"/>
      <c r="D711" s="26"/>
      <c r="E711" s="26"/>
      <c r="F711" s="26"/>
      <c r="G711" s="26"/>
      <c r="H711" s="26"/>
      <c r="I711" s="26"/>
      <c r="J711" s="34"/>
      <c r="K711" s="63"/>
      <c r="L711" s="26"/>
      <c r="M711" s="26"/>
      <c r="N711" s="20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</row>
    <row r="712" spans="1:25" ht="13">
      <c r="A712" s="26"/>
      <c r="B712" s="83"/>
      <c r="C712" s="26"/>
      <c r="D712" s="26"/>
      <c r="E712" s="26"/>
      <c r="F712" s="26"/>
      <c r="G712" s="26"/>
      <c r="H712" s="26"/>
      <c r="I712" s="26"/>
      <c r="J712" s="34"/>
      <c r="K712" s="63"/>
      <c r="L712" s="26"/>
      <c r="M712" s="26"/>
      <c r="N712" s="20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</row>
    <row r="713" spans="1:25" ht="13">
      <c r="A713" s="26"/>
      <c r="B713" s="83"/>
      <c r="C713" s="26"/>
      <c r="D713" s="26"/>
      <c r="E713" s="26"/>
      <c r="F713" s="26"/>
      <c r="G713" s="26"/>
      <c r="H713" s="26"/>
      <c r="I713" s="26"/>
      <c r="J713" s="34"/>
      <c r="K713" s="63"/>
      <c r="L713" s="26"/>
      <c r="M713" s="26"/>
      <c r="N713" s="20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</row>
    <row r="714" spans="1:25" ht="13">
      <c r="A714" s="26"/>
      <c r="B714" s="83"/>
      <c r="C714" s="26"/>
      <c r="D714" s="26"/>
      <c r="E714" s="26"/>
      <c r="F714" s="26"/>
      <c r="G714" s="26"/>
      <c r="H714" s="26"/>
      <c r="I714" s="26"/>
      <c r="J714" s="34"/>
      <c r="K714" s="63"/>
      <c r="L714" s="26"/>
      <c r="M714" s="26"/>
      <c r="N714" s="20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</row>
    <row r="715" spans="1:25" ht="13">
      <c r="A715" s="26"/>
      <c r="B715" s="83"/>
      <c r="C715" s="26"/>
      <c r="D715" s="26"/>
      <c r="E715" s="26"/>
      <c r="F715" s="26"/>
      <c r="G715" s="26"/>
      <c r="H715" s="26"/>
      <c r="I715" s="26"/>
      <c r="J715" s="34"/>
      <c r="K715" s="63"/>
      <c r="L715" s="26"/>
      <c r="M715" s="26"/>
      <c r="N715" s="20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</row>
    <row r="716" spans="1:25" ht="13">
      <c r="A716" s="26"/>
      <c r="B716" s="83"/>
      <c r="C716" s="26"/>
      <c r="D716" s="26"/>
      <c r="E716" s="26"/>
      <c r="F716" s="26"/>
      <c r="G716" s="26"/>
      <c r="H716" s="26"/>
      <c r="I716" s="26"/>
      <c r="J716" s="34"/>
      <c r="K716" s="63"/>
      <c r="L716" s="26"/>
      <c r="M716" s="26"/>
      <c r="N716" s="20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</row>
    <row r="717" spans="1:25" ht="13">
      <c r="A717" s="26"/>
      <c r="B717" s="83"/>
      <c r="C717" s="26"/>
      <c r="D717" s="26"/>
      <c r="E717" s="26"/>
      <c r="F717" s="26"/>
      <c r="G717" s="26"/>
      <c r="H717" s="26"/>
      <c r="I717" s="26"/>
      <c r="J717" s="34"/>
      <c r="K717" s="63"/>
      <c r="L717" s="26"/>
      <c r="M717" s="26"/>
      <c r="N717" s="20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</row>
    <row r="718" spans="1:25" ht="13">
      <c r="A718" s="26"/>
      <c r="B718" s="83"/>
      <c r="C718" s="26"/>
      <c r="D718" s="26"/>
      <c r="E718" s="26"/>
      <c r="F718" s="26"/>
      <c r="G718" s="26"/>
      <c r="H718" s="26"/>
      <c r="I718" s="26"/>
      <c r="J718" s="34"/>
      <c r="K718" s="63"/>
      <c r="L718" s="26"/>
      <c r="M718" s="26"/>
      <c r="N718" s="20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</row>
    <row r="719" spans="1:25" ht="13">
      <c r="A719" s="26"/>
      <c r="B719" s="83"/>
      <c r="C719" s="26"/>
      <c r="D719" s="26"/>
      <c r="E719" s="26"/>
      <c r="F719" s="26"/>
      <c r="G719" s="26"/>
      <c r="H719" s="26"/>
      <c r="I719" s="26"/>
      <c r="J719" s="34"/>
      <c r="K719" s="63"/>
      <c r="L719" s="26"/>
      <c r="M719" s="26"/>
      <c r="N719" s="20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</row>
    <row r="720" spans="1:25" ht="13">
      <c r="A720" s="26"/>
      <c r="B720" s="83"/>
      <c r="C720" s="26"/>
      <c r="D720" s="26"/>
      <c r="E720" s="26"/>
      <c r="F720" s="26"/>
      <c r="G720" s="26"/>
      <c r="H720" s="26"/>
      <c r="I720" s="26"/>
      <c r="J720" s="34"/>
      <c r="K720" s="63"/>
      <c r="L720" s="26"/>
      <c r="M720" s="26"/>
      <c r="N720" s="20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</row>
    <row r="721" spans="1:25" ht="13">
      <c r="A721" s="26"/>
      <c r="B721" s="83"/>
      <c r="C721" s="26"/>
      <c r="D721" s="26"/>
      <c r="E721" s="26"/>
      <c r="F721" s="26"/>
      <c r="G721" s="26"/>
      <c r="H721" s="26"/>
      <c r="I721" s="26"/>
      <c r="J721" s="34"/>
      <c r="K721" s="63"/>
      <c r="L721" s="26"/>
      <c r="M721" s="26"/>
      <c r="N721" s="20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</row>
    <row r="722" spans="1:25" ht="13">
      <c r="A722" s="26"/>
      <c r="B722" s="83"/>
      <c r="C722" s="26"/>
      <c r="D722" s="26"/>
      <c r="E722" s="26"/>
      <c r="F722" s="26"/>
      <c r="G722" s="26"/>
      <c r="H722" s="26"/>
      <c r="I722" s="26"/>
      <c r="J722" s="34"/>
      <c r="K722" s="63"/>
      <c r="L722" s="26"/>
      <c r="M722" s="26"/>
      <c r="N722" s="20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</row>
    <row r="723" spans="1:25" ht="13">
      <c r="A723" s="26"/>
      <c r="B723" s="83"/>
      <c r="C723" s="26"/>
      <c r="D723" s="26"/>
      <c r="E723" s="26"/>
      <c r="F723" s="26"/>
      <c r="G723" s="26"/>
      <c r="H723" s="26"/>
      <c r="I723" s="26"/>
      <c r="J723" s="34"/>
      <c r="K723" s="63"/>
      <c r="L723" s="26"/>
      <c r="M723" s="26"/>
      <c r="N723" s="20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</row>
    <row r="724" spans="1:25" ht="13">
      <c r="A724" s="26"/>
      <c r="B724" s="83"/>
      <c r="C724" s="26"/>
      <c r="D724" s="26"/>
      <c r="E724" s="26"/>
      <c r="F724" s="26"/>
      <c r="G724" s="26"/>
      <c r="H724" s="26"/>
      <c r="I724" s="26"/>
      <c r="J724" s="34"/>
      <c r="K724" s="63"/>
      <c r="L724" s="26"/>
      <c r="M724" s="26"/>
      <c r="N724" s="20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</row>
    <row r="725" spans="1:25" ht="13">
      <c r="A725" s="26"/>
      <c r="B725" s="83"/>
      <c r="C725" s="26"/>
      <c r="D725" s="26"/>
      <c r="E725" s="26"/>
      <c r="F725" s="26"/>
      <c r="G725" s="26"/>
      <c r="H725" s="26"/>
      <c r="I725" s="26"/>
      <c r="J725" s="34"/>
      <c r="K725" s="63"/>
      <c r="L725" s="26"/>
      <c r="M725" s="26"/>
      <c r="N725" s="20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</row>
    <row r="726" spans="1:25" ht="13">
      <c r="A726" s="26"/>
      <c r="B726" s="83"/>
      <c r="C726" s="26"/>
      <c r="D726" s="26"/>
      <c r="E726" s="26"/>
      <c r="F726" s="26"/>
      <c r="G726" s="26"/>
      <c r="H726" s="26"/>
      <c r="I726" s="26"/>
      <c r="J726" s="34"/>
      <c r="K726" s="63"/>
      <c r="L726" s="26"/>
      <c r="M726" s="26"/>
      <c r="N726" s="20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</row>
    <row r="727" spans="1:25" ht="13">
      <c r="A727" s="26"/>
      <c r="B727" s="83"/>
      <c r="C727" s="26"/>
      <c r="D727" s="26"/>
      <c r="E727" s="26"/>
      <c r="F727" s="26"/>
      <c r="G727" s="26"/>
      <c r="H727" s="26"/>
      <c r="I727" s="26"/>
      <c r="J727" s="34"/>
      <c r="K727" s="63"/>
      <c r="L727" s="26"/>
      <c r="M727" s="26"/>
      <c r="N727" s="20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</row>
    <row r="728" spans="1:25" ht="13">
      <c r="A728" s="26"/>
      <c r="B728" s="83"/>
      <c r="C728" s="26"/>
      <c r="D728" s="26"/>
      <c r="E728" s="26"/>
      <c r="F728" s="26"/>
      <c r="G728" s="26"/>
      <c r="H728" s="26"/>
      <c r="I728" s="26"/>
      <c r="J728" s="34"/>
      <c r="K728" s="63"/>
      <c r="L728" s="26"/>
      <c r="M728" s="26"/>
      <c r="N728" s="20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</row>
    <row r="729" spans="1:25" ht="13">
      <c r="A729" s="26"/>
      <c r="B729" s="83"/>
      <c r="C729" s="26"/>
      <c r="D729" s="26"/>
      <c r="E729" s="26"/>
      <c r="F729" s="26"/>
      <c r="G729" s="26"/>
      <c r="H729" s="26"/>
      <c r="I729" s="26"/>
      <c r="J729" s="34"/>
      <c r="K729" s="63"/>
      <c r="L729" s="26"/>
      <c r="M729" s="26"/>
      <c r="N729" s="20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</row>
    <row r="730" spans="1:25" ht="13">
      <c r="A730" s="26"/>
      <c r="B730" s="83"/>
      <c r="C730" s="26"/>
      <c r="D730" s="26"/>
      <c r="E730" s="26"/>
      <c r="F730" s="26"/>
      <c r="G730" s="26"/>
      <c r="H730" s="26"/>
      <c r="I730" s="26"/>
      <c r="J730" s="34"/>
      <c r="K730" s="63"/>
      <c r="L730" s="26"/>
      <c r="M730" s="26"/>
      <c r="N730" s="20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</row>
    <row r="731" spans="1:25" ht="13">
      <c r="A731" s="26"/>
      <c r="B731" s="83"/>
      <c r="C731" s="26"/>
      <c r="D731" s="26"/>
      <c r="E731" s="26"/>
      <c r="F731" s="26"/>
      <c r="G731" s="26"/>
      <c r="H731" s="26"/>
      <c r="I731" s="26"/>
      <c r="J731" s="34"/>
      <c r="K731" s="63"/>
      <c r="L731" s="26"/>
      <c r="M731" s="26"/>
      <c r="N731" s="20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</row>
    <row r="732" spans="1:25" ht="13">
      <c r="A732" s="26"/>
      <c r="B732" s="83"/>
      <c r="C732" s="26"/>
      <c r="D732" s="26"/>
      <c r="E732" s="26"/>
      <c r="F732" s="26"/>
      <c r="G732" s="26"/>
      <c r="H732" s="26"/>
      <c r="I732" s="26"/>
      <c r="J732" s="34"/>
      <c r="K732" s="63"/>
      <c r="L732" s="26"/>
      <c r="M732" s="26"/>
      <c r="N732" s="20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</row>
    <row r="733" spans="1:25" ht="13">
      <c r="A733" s="26"/>
      <c r="B733" s="83"/>
      <c r="C733" s="26"/>
      <c r="D733" s="26"/>
      <c r="E733" s="26"/>
      <c r="F733" s="26"/>
      <c r="G733" s="26"/>
      <c r="H733" s="26"/>
      <c r="I733" s="26"/>
      <c r="J733" s="34"/>
      <c r="K733" s="63"/>
      <c r="L733" s="26"/>
      <c r="M733" s="26"/>
      <c r="N733" s="20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</row>
    <row r="734" spans="1:25" ht="13">
      <c r="A734" s="26"/>
      <c r="B734" s="83"/>
      <c r="C734" s="26"/>
      <c r="D734" s="26"/>
      <c r="E734" s="26"/>
      <c r="F734" s="26"/>
      <c r="G734" s="26"/>
      <c r="H734" s="26"/>
      <c r="I734" s="26"/>
      <c r="J734" s="34"/>
      <c r="K734" s="63"/>
      <c r="L734" s="26"/>
      <c r="M734" s="26"/>
      <c r="N734" s="20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</row>
    <row r="735" spans="1:25" ht="13">
      <c r="A735" s="26"/>
      <c r="B735" s="83"/>
      <c r="C735" s="26"/>
      <c r="D735" s="26"/>
      <c r="E735" s="26"/>
      <c r="F735" s="26"/>
      <c r="G735" s="26"/>
      <c r="H735" s="26"/>
      <c r="I735" s="26"/>
      <c r="J735" s="34"/>
      <c r="K735" s="63"/>
      <c r="L735" s="26"/>
      <c r="M735" s="26"/>
      <c r="N735" s="20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</row>
    <row r="736" spans="1:25" ht="13">
      <c r="A736" s="26"/>
      <c r="B736" s="83"/>
      <c r="C736" s="26"/>
      <c r="D736" s="26"/>
      <c r="E736" s="26"/>
      <c r="F736" s="26"/>
      <c r="G736" s="26"/>
      <c r="H736" s="26"/>
      <c r="I736" s="26"/>
      <c r="J736" s="34"/>
      <c r="K736" s="63"/>
      <c r="L736" s="26"/>
      <c r="M736" s="26"/>
      <c r="N736" s="20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</row>
    <row r="737" spans="1:25" ht="13">
      <c r="A737" s="26"/>
      <c r="B737" s="83"/>
      <c r="C737" s="26"/>
      <c r="D737" s="26"/>
      <c r="E737" s="26"/>
      <c r="F737" s="26"/>
      <c r="G737" s="26"/>
      <c r="H737" s="26"/>
      <c r="I737" s="26"/>
      <c r="J737" s="34"/>
      <c r="K737" s="63"/>
      <c r="L737" s="26"/>
      <c r="M737" s="26"/>
      <c r="N737" s="20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</row>
    <row r="738" spans="1:25" ht="13">
      <c r="A738" s="26"/>
      <c r="B738" s="83"/>
      <c r="C738" s="26"/>
      <c r="D738" s="26"/>
      <c r="E738" s="26"/>
      <c r="F738" s="26"/>
      <c r="G738" s="26"/>
      <c r="H738" s="26"/>
      <c r="I738" s="26"/>
      <c r="J738" s="34"/>
      <c r="K738" s="63"/>
      <c r="L738" s="26"/>
      <c r="M738" s="26"/>
      <c r="N738" s="20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</row>
    <row r="739" spans="1:25" ht="13">
      <c r="A739" s="26"/>
      <c r="B739" s="83"/>
      <c r="C739" s="26"/>
      <c r="D739" s="26"/>
      <c r="E739" s="26"/>
      <c r="F739" s="26"/>
      <c r="G739" s="26"/>
      <c r="H739" s="26"/>
      <c r="I739" s="26"/>
      <c r="J739" s="34"/>
      <c r="K739" s="63"/>
      <c r="L739" s="26"/>
      <c r="M739" s="26"/>
      <c r="N739" s="20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</row>
    <row r="740" spans="1:25" ht="13">
      <c r="A740" s="26"/>
      <c r="B740" s="83"/>
      <c r="C740" s="26"/>
      <c r="D740" s="26"/>
      <c r="E740" s="26"/>
      <c r="F740" s="26"/>
      <c r="G740" s="26"/>
      <c r="H740" s="26"/>
      <c r="I740" s="26"/>
      <c r="J740" s="34"/>
      <c r="K740" s="63"/>
      <c r="L740" s="26"/>
      <c r="M740" s="26"/>
      <c r="N740" s="20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</row>
    <row r="741" spans="1:25" ht="13">
      <c r="A741" s="26"/>
      <c r="B741" s="83"/>
      <c r="C741" s="26"/>
      <c r="D741" s="26"/>
      <c r="E741" s="26"/>
      <c r="F741" s="26"/>
      <c r="G741" s="26"/>
      <c r="H741" s="26"/>
      <c r="I741" s="26"/>
      <c r="J741" s="34"/>
      <c r="K741" s="63"/>
      <c r="L741" s="26"/>
      <c r="M741" s="26"/>
      <c r="N741" s="20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</row>
    <row r="742" spans="1:25" ht="13">
      <c r="A742" s="26"/>
      <c r="B742" s="83"/>
      <c r="C742" s="26"/>
      <c r="D742" s="26"/>
      <c r="E742" s="26"/>
      <c r="F742" s="26"/>
      <c r="G742" s="26"/>
      <c r="H742" s="26"/>
      <c r="I742" s="26"/>
      <c r="J742" s="34"/>
      <c r="K742" s="63"/>
      <c r="L742" s="26"/>
      <c r="M742" s="26"/>
      <c r="N742" s="20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</row>
    <row r="743" spans="1:25" ht="13">
      <c r="A743" s="26"/>
      <c r="B743" s="83"/>
      <c r="C743" s="26"/>
      <c r="D743" s="26"/>
      <c r="E743" s="26"/>
      <c r="F743" s="26"/>
      <c r="G743" s="26"/>
      <c r="H743" s="26"/>
      <c r="I743" s="26"/>
      <c r="J743" s="34"/>
      <c r="K743" s="63"/>
      <c r="L743" s="26"/>
      <c r="M743" s="26"/>
      <c r="N743" s="20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</row>
    <row r="744" spans="1:25" ht="13">
      <c r="A744" s="26"/>
      <c r="B744" s="83"/>
      <c r="C744" s="26"/>
      <c r="D744" s="26"/>
      <c r="E744" s="26"/>
      <c r="F744" s="26"/>
      <c r="G744" s="26"/>
      <c r="H744" s="26"/>
      <c r="I744" s="26"/>
      <c r="J744" s="34"/>
      <c r="K744" s="63"/>
      <c r="L744" s="26"/>
      <c r="M744" s="26"/>
      <c r="N744" s="20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</row>
    <row r="745" spans="1:25" ht="13">
      <c r="A745" s="26"/>
      <c r="B745" s="83"/>
      <c r="C745" s="26"/>
      <c r="D745" s="26"/>
      <c r="E745" s="26"/>
      <c r="F745" s="26"/>
      <c r="G745" s="26"/>
      <c r="H745" s="26"/>
      <c r="I745" s="26"/>
      <c r="J745" s="34"/>
      <c r="K745" s="63"/>
      <c r="L745" s="26"/>
      <c r="M745" s="26"/>
      <c r="N745" s="20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</row>
    <row r="746" spans="1:25" ht="13">
      <c r="A746" s="26"/>
      <c r="B746" s="83"/>
      <c r="C746" s="26"/>
      <c r="D746" s="26"/>
      <c r="E746" s="26"/>
      <c r="F746" s="26"/>
      <c r="G746" s="26"/>
      <c r="H746" s="26"/>
      <c r="I746" s="26"/>
      <c r="J746" s="34"/>
      <c r="K746" s="63"/>
      <c r="L746" s="26"/>
      <c r="M746" s="26"/>
      <c r="N746" s="20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</row>
    <row r="747" spans="1:25" ht="13">
      <c r="A747" s="26"/>
      <c r="B747" s="83"/>
      <c r="C747" s="26"/>
      <c r="D747" s="26"/>
      <c r="E747" s="26"/>
      <c r="F747" s="26"/>
      <c r="G747" s="26"/>
      <c r="H747" s="26"/>
      <c r="I747" s="26"/>
      <c r="J747" s="34"/>
      <c r="K747" s="63"/>
      <c r="L747" s="26"/>
      <c r="M747" s="26"/>
      <c r="N747" s="20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</row>
    <row r="748" spans="1:25" ht="13">
      <c r="A748" s="26"/>
      <c r="B748" s="83"/>
      <c r="C748" s="26"/>
      <c r="D748" s="26"/>
      <c r="E748" s="26"/>
      <c r="F748" s="26"/>
      <c r="G748" s="26"/>
      <c r="H748" s="26"/>
      <c r="I748" s="26"/>
      <c r="J748" s="34"/>
      <c r="K748" s="63"/>
      <c r="L748" s="26"/>
      <c r="M748" s="26"/>
      <c r="N748" s="20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</row>
    <row r="749" spans="1:25" ht="13">
      <c r="A749" s="26"/>
      <c r="B749" s="83"/>
      <c r="C749" s="26"/>
      <c r="D749" s="26"/>
      <c r="E749" s="26"/>
      <c r="F749" s="26"/>
      <c r="G749" s="26"/>
      <c r="H749" s="26"/>
      <c r="I749" s="26"/>
      <c r="J749" s="34"/>
      <c r="K749" s="63"/>
      <c r="L749" s="26"/>
      <c r="M749" s="26"/>
      <c r="N749" s="20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</row>
    <row r="750" spans="1:25" ht="13">
      <c r="A750" s="26"/>
      <c r="B750" s="83"/>
      <c r="C750" s="26"/>
      <c r="D750" s="26"/>
      <c r="E750" s="26"/>
      <c r="F750" s="26"/>
      <c r="G750" s="26"/>
      <c r="H750" s="26"/>
      <c r="I750" s="26"/>
      <c r="J750" s="34"/>
      <c r="K750" s="63"/>
      <c r="L750" s="26"/>
      <c r="M750" s="26"/>
      <c r="N750" s="20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</row>
    <row r="751" spans="1:25" ht="13">
      <c r="A751" s="26"/>
      <c r="B751" s="83"/>
      <c r="C751" s="26"/>
      <c r="D751" s="26"/>
      <c r="E751" s="26"/>
      <c r="F751" s="26"/>
      <c r="G751" s="26"/>
      <c r="H751" s="26"/>
      <c r="I751" s="26"/>
      <c r="J751" s="34"/>
      <c r="K751" s="63"/>
      <c r="L751" s="26"/>
      <c r="M751" s="26"/>
      <c r="N751" s="20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</row>
    <row r="752" spans="1:25" ht="13">
      <c r="A752" s="26"/>
      <c r="B752" s="83"/>
      <c r="C752" s="26"/>
      <c r="D752" s="26"/>
      <c r="E752" s="26"/>
      <c r="F752" s="26"/>
      <c r="G752" s="26"/>
      <c r="H752" s="26"/>
      <c r="I752" s="26"/>
      <c r="J752" s="34"/>
      <c r="K752" s="63"/>
      <c r="L752" s="26"/>
      <c r="M752" s="26"/>
      <c r="N752" s="20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</row>
    <row r="753" spans="1:25" ht="13">
      <c r="A753" s="26"/>
      <c r="B753" s="83"/>
      <c r="C753" s="26"/>
      <c r="D753" s="26"/>
      <c r="E753" s="26"/>
      <c r="F753" s="26"/>
      <c r="G753" s="26"/>
      <c r="H753" s="26"/>
      <c r="I753" s="26"/>
      <c r="J753" s="34"/>
      <c r="K753" s="63"/>
      <c r="L753" s="26"/>
      <c r="M753" s="26"/>
      <c r="N753" s="20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</row>
    <row r="754" spans="1:25" ht="13">
      <c r="A754" s="26"/>
      <c r="B754" s="83"/>
      <c r="C754" s="26"/>
      <c r="D754" s="26"/>
      <c r="E754" s="26"/>
      <c r="F754" s="26"/>
      <c r="G754" s="26"/>
      <c r="H754" s="26"/>
      <c r="I754" s="26"/>
      <c r="J754" s="34"/>
      <c r="K754" s="63"/>
      <c r="L754" s="26"/>
      <c r="M754" s="26"/>
      <c r="N754" s="20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</row>
    <row r="755" spans="1:25" ht="13">
      <c r="A755" s="26"/>
      <c r="B755" s="83"/>
      <c r="C755" s="26"/>
      <c r="D755" s="26"/>
      <c r="E755" s="26"/>
      <c r="F755" s="26"/>
      <c r="G755" s="26"/>
      <c r="H755" s="26"/>
      <c r="I755" s="26"/>
      <c r="J755" s="34"/>
      <c r="K755" s="63"/>
      <c r="L755" s="26"/>
      <c r="M755" s="26"/>
      <c r="N755" s="20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</row>
    <row r="756" spans="1:25" ht="13">
      <c r="A756" s="26"/>
      <c r="B756" s="83"/>
      <c r="C756" s="26"/>
      <c r="D756" s="26"/>
      <c r="E756" s="26"/>
      <c r="F756" s="26"/>
      <c r="G756" s="26"/>
      <c r="H756" s="26"/>
      <c r="I756" s="26"/>
      <c r="J756" s="34"/>
      <c r="K756" s="63"/>
      <c r="L756" s="26"/>
      <c r="M756" s="26"/>
      <c r="N756" s="20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</row>
    <row r="757" spans="1:25" ht="13">
      <c r="A757" s="26"/>
      <c r="B757" s="83"/>
      <c r="C757" s="26"/>
      <c r="D757" s="26"/>
      <c r="E757" s="26"/>
      <c r="F757" s="26"/>
      <c r="G757" s="26"/>
      <c r="H757" s="26"/>
      <c r="I757" s="26"/>
      <c r="J757" s="34"/>
      <c r="K757" s="63"/>
      <c r="L757" s="26"/>
      <c r="M757" s="26"/>
      <c r="N757" s="20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</row>
    <row r="758" spans="1:25" ht="13">
      <c r="A758" s="26"/>
      <c r="B758" s="83"/>
      <c r="C758" s="26"/>
      <c r="D758" s="26"/>
      <c r="E758" s="26"/>
      <c r="F758" s="26"/>
      <c r="G758" s="26"/>
      <c r="H758" s="26"/>
      <c r="I758" s="26"/>
      <c r="J758" s="34"/>
      <c r="K758" s="63"/>
      <c r="L758" s="26"/>
      <c r="M758" s="26"/>
      <c r="N758" s="20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</row>
    <row r="759" spans="1:25" ht="13">
      <c r="A759" s="26"/>
      <c r="B759" s="83"/>
      <c r="C759" s="26"/>
      <c r="D759" s="26"/>
      <c r="E759" s="26"/>
      <c r="F759" s="26"/>
      <c r="G759" s="26"/>
      <c r="H759" s="26"/>
      <c r="I759" s="26"/>
      <c r="J759" s="34"/>
      <c r="K759" s="63"/>
      <c r="L759" s="26"/>
      <c r="M759" s="26"/>
      <c r="N759" s="20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</row>
    <row r="760" spans="1:25" ht="13">
      <c r="A760" s="26"/>
      <c r="B760" s="83"/>
      <c r="C760" s="26"/>
      <c r="D760" s="26"/>
      <c r="E760" s="26"/>
      <c r="F760" s="26"/>
      <c r="G760" s="26"/>
      <c r="H760" s="26"/>
      <c r="I760" s="26"/>
      <c r="J760" s="34"/>
      <c r="K760" s="63"/>
      <c r="L760" s="26"/>
      <c r="M760" s="26"/>
      <c r="N760" s="20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</row>
    <row r="761" spans="1:25" ht="13">
      <c r="A761" s="26"/>
      <c r="B761" s="83"/>
      <c r="C761" s="26"/>
      <c r="D761" s="26"/>
      <c r="E761" s="26"/>
      <c r="F761" s="26"/>
      <c r="G761" s="26"/>
      <c r="H761" s="26"/>
      <c r="I761" s="26"/>
      <c r="J761" s="34"/>
      <c r="K761" s="63"/>
      <c r="L761" s="26"/>
      <c r="M761" s="26"/>
      <c r="N761" s="20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</row>
    <row r="762" spans="1:25" ht="13">
      <c r="A762" s="26"/>
      <c r="B762" s="83"/>
      <c r="C762" s="26"/>
      <c r="D762" s="26"/>
      <c r="E762" s="26"/>
      <c r="F762" s="26"/>
      <c r="G762" s="26"/>
      <c r="H762" s="26"/>
      <c r="I762" s="26"/>
      <c r="J762" s="34"/>
      <c r="K762" s="63"/>
      <c r="L762" s="26"/>
      <c r="M762" s="26"/>
      <c r="N762" s="20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</row>
    <row r="763" spans="1:25" ht="13">
      <c r="A763" s="26"/>
      <c r="B763" s="83"/>
      <c r="C763" s="26"/>
      <c r="D763" s="26"/>
      <c r="E763" s="26"/>
      <c r="F763" s="26"/>
      <c r="G763" s="26"/>
      <c r="H763" s="26"/>
      <c r="I763" s="26"/>
      <c r="J763" s="34"/>
      <c r="K763" s="63"/>
      <c r="L763" s="26"/>
      <c r="M763" s="26"/>
      <c r="N763" s="20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</row>
    <row r="764" spans="1:25" ht="13">
      <c r="A764" s="26"/>
      <c r="B764" s="83"/>
      <c r="C764" s="26"/>
      <c r="D764" s="26"/>
      <c r="E764" s="26"/>
      <c r="F764" s="26"/>
      <c r="G764" s="26"/>
      <c r="H764" s="26"/>
      <c r="I764" s="26"/>
      <c r="J764" s="34"/>
      <c r="K764" s="63"/>
      <c r="L764" s="26"/>
      <c r="M764" s="26"/>
      <c r="N764" s="20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</row>
    <row r="765" spans="1:25" ht="13">
      <c r="A765" s="26"/>
      <c r="B765" s="83"/>
      <c r="C765" s="26"/>
      <c r="D765" s="26"/>
      <c r="E765" s="26"/>
      <c r="F765" s="26"/>
      <c r="G765" s="26"/>
      <c r="H765" s="26"/>
      <c r="I765" s="26"/>
      <c r="J765" s="34"/>
      <c r="K765" s="63"/>
      <c r="L765" s="26"/>
      <c r="M765" s="26"/>
      <c r="N765" s="20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</row>
    <row r="766" spans="1:25" ht="13">
      <c r="A766" s="26"/>
      <c r="B766" s="83"/>
      <c r="C766" s="26"/>
      <c r="D766" s="26"/>
      <c r="E766" s="26"/>
      <c r="F766" s="26"/>
      <c r="G766" s="26"/>
      <c r="H766" s="26"/>
      <c r="I766" s="26"/>
      <c r="J766" s="34"/>
      <c r="K766" s="63"/>
      <c r="L766" s="26"/>
      <c r="M766" s="26"/>
      <c r="N766" s="20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</row>
    <row r="767" spans="1:25" ht="13">
      <c r="A767" s="26"/>
      <c r="B767" s="83"/>
      <c r="C767" s="26"/>
      <c r="D767" s="26"/>
      <c r="E767" s="26"/>
      <c r="F767" s="26"/>
      <c r="G767" s="26"/>
      <c r="H767" s="26"/>
      <c r="I767" s="26"/>
      <c r="J767" s="34"/>
      <c r="K767" s="63"/>
      <c r="L767" s="26"/>
      <c r="M767" s="26"/>
      <c r="N767" s="20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</row>
    <row r="768" spans="1:25" ht="13">
      <c r="A768" s="26"/>
      <c r="B768" s="83"/>
      <c r="C768" s="26"/>
      <c r="D768" s="26"/>
      <c r="E768" s="26"/>
      <c r="F768" s="26"/>
      <c r="G768" s="26"/>
      <c r="H768" s="26"/>
      <c r="I768" s="26"/>
      <c r="J768" s="34"/>
      <c r="K768" s="63"/>
      <c r="L768" s="26"/>
      <c r="M768" s="26"/>
      <c r="N768" s="20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</row>
    <row r="769" spans="1:25" ht="13">
      <c r="A769" s="26"/>
      <c r="B769" s="83"/>
      <c r="C769" s="26"/>
      <c r="D769" s="26"/>
      <c r="E769" s="26"/>
      <c r="F769" s="26"/>
      <c r="G769" s="26"/>
      <c r="H769" s="26"/>
      <c r="I769" s="26"/>
      <c r="J769" s="34"/>
      <c r="K769" s="63"/>
      <c r="L769" s="26"/>
      <c r="M769" s="26"/>
      <c r="N769" s="20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</row>
    <row r="770" spans="1:25" ht="13">
      <c r="A770" s="26"/>
      <c r="B770" s="83"/>
      <c r="C770" s="26"/>
      <c r="D770" s="26"/>
      <c r="E770" s="26"/>
      <c r="F770" s="26"/>
      <c r="G770" s="26"/>
      <c r="H770" s="26"/>
      <c r="I770" s="26"/>
      <c r="J770" s="34"/>
      <c r="K770" s="63"/>
      <c r="L770" s="26"/>
      <c r="M770" s="26"/>
      <c r="N770" s="20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</row>
    <row r="771" spans="1:25" ht="13">
      <c r="A771" s="26"/>
      <c r="B771" s="83"/>
      <c r="C771" s="26"/>
      <c r="D771" s="26"/>
      <c r="E771" s="26"/>
      <c r="F771" s="26"/>
      <c r="G771" s="26"/>
      <c r="H771" s="26"/>
      <c r="I771" s="26"/>
      <c r="J771" s="34"/>
      <c r="K771" s="63"/>
      <c r="L771" s="26"/>
      <c r="M771" s="26"/>
      <c r="N771" s="20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</row>
    <row r="772" spans="1:25" ht="13">
      <c r="A772" s="26"/>
      <c r="B772" s="83"/>
      <c r="C772" s="26"/>
      <c r="D772" s="26"/>
      <c r="E772" s="26"/>
      <c r="F772" s="26"/>
      <c r="G772" s="26"/>
      <c r="H772" s="26"/>
      <c r="I772" s="26"/>
      <c r="J772" s="34"/>
      <c r="K772" s="63"/>
      <c r="L772" s="26"/>
      <c r="M772" s="26"/>
      <c r="N772" s="20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</row>
    <row r="773" spans="1:25" ht="13">
      <c r="A773" s="26"/>
      <c r="B773" s="83"/>
      <c r="C773" s="26"/>
      <c r="D773" s="26"/>
      <c r="E773" s="26"/>
      <c r="F773" s="26"/>
      <c r="G773" s="26"/>
      <c r="H773" s="26"/>
      <c r="I773" s="26"/>
      <c r="J773" s="34"/>
      <c r="K773" s="63"/>
      <c r="L773" s="26"/>
      <c r="M773" s="26"/>
      <c r="N773" s="20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</row>
    <row r="774" spans="1:25" ht="13">
      <c r="A774" s="26"/>
      <c r="B774" s="83"/>
      <c r="C774" s="26"/>
      <c r="D774" s="26"/>
      <c r="E774" s="26"/>
      <c r="F774" s="26"/>
      <c r="G774" s="26"/>
      <c r="H774" s="26"/>
      <c r="I774" s="26"/>
      <c r="J774" s="34"/>
      <c r="K774" s="63"/>
      <c r="L774" s="26"/>
      <c r="M774" s="26"/>
      <c r="N774" s="20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</row>
    <row r="775" spans="1:25" ht="13">
      <c r="A775" s="26"/>
      <c r="B775" s="83"/>
      <c r="C775" s="26"/>
      <c r="D775" s="26"/>
      <c r="E775" s="26"/>
      <c r="F775" s="26"/>
      <c r="G775" s="26"/>
      <c r="H775" s="26"/>
      <c r="I775" s="26"/>
      <c r="J775" s="34"/>
      <c r="K775" s="63"/>
      <c r="L775" s="26"/>
      <c r="M775" s="26"/>
      <c r="N775" s="20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</row>
    <row r="776" spans="1:25" ht="13">
      <c r="A776" s="26"/>
      <c r="B776" s="83"/>
      <c r="C776" s="26"/>
      <c r="D776" s="26"/>
      <c r="E776" s="26"/>
      <c r="F776" s="26"/>
      <c r="G776" s="26"/>
      <c r="H776" s="26"/>
      <c r="I776" s="26"/>
      <c r="J776" s="34"/>
      <c r="K776" s="63"/>
      <c r="L776" s="26"/>
      <c r="M776" s="26"/>
      <c r="N776" s="20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</row>
    <row r="777" spans="1:25" ht="13">
      <c r="A777" s="26"/>
      <c r="B777" s="83"/>
      <c r="C777" s="26"/>
      <c r="D777" s="26"/>
      <c r="E777" s="26"/>
      <c r="F777" s="26"/>
      <c r="G777" s="26"/>
      <c r="H777" s="26"/>
      <c r="I777" s="26"/>
      <c r="J777" s="34"/>
      <c r="K777" s="63"/>
      <c r="L777" s="26"/>
      <c r="M777" s="26"/>
      <c r="N777" s="20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</row>
    <row r="778" spans="1:25" ht="13">
      <c r="A778" s="26"/>
      <c r="B778" s="83"/>
      <c r="C778" s="26"/>
      <c r="D778" s="26"/>
      <c r="E778" s="26"/>
      <c r="F778" s="26"/>
      <c r="G778" s="26"/>
      <c r="H778" s="26"/>
      <c r="I778" s="26"/>
      <c r="J778" s="34"/>
      <c r="K778" s="63"/>
      <c r="L778" s="26"/>
      <c r="M778" s="26"/>
      <c r="N778" s="20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</row>
    <row r="779" spans="1:25" ht="13">
      <c r="A779" s="26"/>
      <c r="B779" s="83"/>
      <c r="C779" s="26"/>
      <c r="D779" s="26"/>
      <c r="E779" s="26"/>
      <c r="F779" s="26"/>
      <c r="G779" s="26"/>
      <c r="H779" s="26"/>
      <c r="I779" s="26"/>
      <c r="J779" s="34"/>
      <c r="K779" s="63"/>
      <c r="L779" s="26"/>
      <c r="M779" s="26"/>
      <c r="N779" s="20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</row>
    <row r="780" spans="1:25" ht="13">
      <c r="A780" s="26"/>
      <c r="B780" s="83"/>
      <c r="C780" s="26"/>
      <c r="D780" s="26"/>
      <c r="E780" s="26"/>
      <c r="F780" s="26"/>
      <c r="G780" s="26"/>
      <c r="H780" s="26"/>
      <c r="I780" s="26"/>
      <c r="J780" s="34"/>
      <c r="K780" s="63"/>
      <c r="L780" s="26"/>
      <c r="M780" s="26"/>
      <c r="N780" s="20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</row>
    <row r="781" spans="1:25" ht="13">
      <c r="A781" s="26"/>
      <c r="B781" s="83"/>
      <c r="C781" s="26"/>
      <c r="D781" s="26"/>
      <c r="E781" s="26"/>
      <c r="F781" s="26"/>
      <c r="G781" s="26"/>
      <c r="H781" s="26"/>
      <c r="I781" s="26"/>
      <c r="J781" s="34"/>
      <c r="K781" s="63"/>
      <c r="L781" s="26"/>
      <c r="M781" s="26"/>
      <c r="N781" s="20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</row>
    <row r="782" spans="1:25" ht="13">
      <c r="A782" s="26"/>
      <c r="B782" s="83"/>
      <c r="C782" s="26"/>
      <c r="D782" s="26"/>
      <c r="E782" s="26"/>
      <c r="F782" s="26"/>
      <c r="G782" s="26"/>
      <c r="H782" s="26"/>
      <c r="I782" s="26"/>
      <c r="J782" s="34"/>
      <c r="K782" s="63"/>
      <c r="L782" s="26"/>
      <c r="M782" s="26"/>
      <c r="N782" s="20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</row>
    <row r="783" spans="1:25" ht="13">
      <c r="A783" s="26"/>
      <c r="B783" s="83"/>
      <c r="C783" s="26"/>
      <c r="D783" s="26"/>
      <c r="E783" s="26"/>
      <c r="F783" s="26"/>
      <c r="G783" s="26"/>
      <c r="H783" s="26"/>
      <c r="I783" s="26"/>
      <c r="J783" s="34"/>
      <c r="K783" s="63"/>
      <c r="L783" s="26"/>
      <c r="M783" s="26"/>
      <c r="N783" s="20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</row>
    <row r="784" spans="1:25" ht="13">
      <c r="A784" s="26"/>
      <c r="B784" s="83"/>
      <c r="C784" s="26"/>
      <c r="D784" s="26"/>
      <c r="E784" s="26"/>
      <c r="F784" s="26"/>
      <c r="G784" s="26"/>
      <c r="H784" s="26"/>
      <c r="I784" s="26"/>
      <c r="J784" s="34"/>
      <c r="K784" s="63"/>
      <c r="L784" s="26"/>
      <c r="M784" s="26"/>
      <c r="N784" s="20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</row>
    <row r="785" spans="1:25" ht="13">
      <c r="A785" s="26"/>
      <c r="B785" s="83"/>
      <c r="C785" s="26"/>
      <c r="D785" s="26"/>
      <c r="E785" s="26"/>
      <c r="F785" s="26"/>
      <c r="G785" s="26"/>
      <c r="H785" s="26"/>
      <c r="I785" s="26"/>
      <c r="J785" s="34"/>
      <c r="K785" s="63"/>
      <c r="L785" s="26"/>
      <c r="M785" s="26"/>
      <c r="N785" s="20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</row>
    <row r="786" spans="1:25" ht="13">
      <c r="A786" s="26"/>
      <c r="B786" s="83"/>
      <c r="C786" s="26"/>
      <c r="D786" s="26"/>
      <c r="E786" s="26"/>
      <c r="F786" s="26"/>
      <c r="G786" s="26"/>
      <c r="H786" s="26"/>
      <c r="I786" s="26"/>
      <c r="J786" s="34"/>
      <c r="K786" s="63"/>
      <c r="L786" s="26"/>
      <c r="M786" s="26"/>
      <c r="N786" s="20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</row>
    <row r="787" spans="1:25" ht="13">
      <c r="A787" s="26"/>
      <c r="B787" s="83"/>
      <c r="C787" s="26"/>
      <c r="D787" s="26"/>
      <c r="E787" s="26"/>
      <c r="F787" s="26"/>
      <c r="G787" s="26"/>
      <c r="H787" s="26"/>
      <c r="I787" s="26"/>
      <c r="J787" s="34"/>
      <c r="K787" s="63"/>
      <c r="L787" s="26"/>
      <c r="M787" s="26"/>
      <c r="N787" s="20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</row>
    <row r="788" spans="1:25" ht="13">
      <c r="A788" s="26"/>
      <c r="B788" s="83"/>
      <c r="C788" s="26"/>
      <c r="D788" s="26"/>
      <c r="E788" s="26"/>
      <c r="F788" s="26"/>
      <c r="G788" s="26"/>
      <c r="H788" s="26"/>
      <c r="I788" s="26"/>
      <c r="J788" s="34"/>
      <c r="K788" s="63"/>
      <c r="L788" s="26"/>
      <c r="M788" s="26"/>
      <c r="N788" s="20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</row>
    <row r="789" spans="1:25" ht="13">
      <c r="A789" s="26"/>
      <c r="B789" s="83"/>
      <c r="C789" s="26"/>
      <c r="D789" s="26"/>
      <c r="E789" s="26"/>
      <c r="F789" s="26"/>
      <c r="G789" s="26"/>
      <c r="H789" s="26"/>
      <c r="I789" s="26"/>
      <c r="J789" s="34"/>
      <c r="K789" s="63"/>
      <c r="L789" s="26"/>
      <c r="M789" s="26"/>
      <c r="N789" s="20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</row>
    <row r="790" spans="1:25" ht="13">
      <c r="A790" s="26"/>
      <c r="B790" s="83"/>
      <c r="C790" s="26"/>
      <c r="D790" s="26"/>
      <c r="E790" s="26"/>
      <c r="F790" s="26"/>
      <c r="G790" s="26"/>
      <c r="H790" s="26"/>
      <c r="I790" s="26"/>
      <c r="J790" s="34"/>
      <c r="K790" s="63"/>
      <c r="L790" s="26"/>
      <c r="M790" s="26"/>
      <c r="N790" s="20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</row>
    <row r="791" spans="1:25" ht="13">
      <c r="A791" s="26"/>
      <c r="B791" s="83"/>
      <c r="C791" s="26"/>
      <c r="D791" s="26"/>
      <c r="E791" s="26"/>
      <c r="F791" s="26"/>
      <c r="G791" s="26"/>
      <c r="H791" s="26"/>
      <c r="I791" s="26"/>
      <c r="J791" s="34"/>
      <c r="K791" s="63"/>
      <c r="L791" s="26"/>
      <c r="M791" s="26"/>
      <c r="N791" s="20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</row>
    <row r="792" spans="1:25" ht="13">
      <c r="A792" s="26"/>
      <c r="B792" s="83"/>
      <c r="C792" s="26"/>
      <c r="D792" s="26"/>
      <c r="E792" s="26"/>
      <c r="F792" s="26"/>
      <c r="G792" s="26"/>
      <c r="H792" s="26"/>
      <c r="I792" s="26"/>
      <c r="J792" s="34"/>
      <c r="K792" s="63"/>
      <c r="L792" s="26"/>
      <c r="M792" s="26"/>
      <c r="N792" s="20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</row>
    <row r="793" spans="1:25" ht="13">
      <c r="A793" s="26"/>
      <c r="B793" s="83"/>
      <c r="C793" s="26"/>
      <c r="D793" s="26"/>
      <c r="E793" s="26"/>
      <c r="F793" s="26"/>
      <c r="G793" s="26"/>
      <c r="H793" s="26"/>
      <c r="I793" s="26"/>
      <c r="J793" s="34"/>
      <c r="K793" s="63"/>
      <c r="L793" s="26"/>
      <c r="M793" s="26"/>
      <c r="N793" s="20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</row>
    <row r="794" spans="1:25" ht="13">
      <c r="A794" s="26"/>
      <c r="B794" s="83"/>
      <c r="C794" s="26"/>
      <c r="D794" s="26"/>
      <c r="E794" s="26"/>
      <c r="F794" s="26"/>
      <c r="G794" s="26"/>
      <c r="H794" s="26"/>
      <c r="I794" s="26"/>
      <c r="J794" s="34"/>
      <c r="K794" s="63"/>
      <c r="L794" s="26"/>
      <c r="M794" s="26"/>
      <c r="N794" s="20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</row>
    <row r="795" spans="1:25" ht="13">
      <c r="A795" s="26"/>
      <c r="B795" s="83"/>
      <c r="C795" s="26"/>
      <c r="D795" s="26"/>
      <c r="E795" s="26"/>
      <c r="F795" s="26"/>
      <c r="G795" s="26"/>
      <c r="H795" s="26"/>
      <c r="I795" s="26"/>
      <c r="J795" s="34"/>
      <c r="K795" s="63"/>
      <c r="L795" s="26"/>
      <c r="M795" s="26"/>
      <c r="N795" s="20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</row>
    <row r="796" spans="1:25" ht="13">
      <c r="A796" s="26"/>
      <c r="B796" s="83"/>
      <c r="C796" s="26"/>
      <c r="D796" s="26"/>
      <c r="E796" s="26"/>
      <c r="F796" s="26"/>
      <c r="G796" s="26"/>
      <c r="H796" s="26"/>
      <c r="I796" s="26"/>
      <c r="J796" s="34"/>
      <c r="K796" s="63"/>
      <c r="L796" s="26"/>
      <c r="M796" s="26"/>
      <c r="N796" s="20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</row>
    <row r="797" spans="1:25" ht="13">
      <c r="A797" s="26"/>
      <c r="B797" s="83"/>
      <c r="C797" s="26"/>
      <c r="D797" s="26"/>
      <c r="E797" s="26"/>
      <c r="F797" s="26"/>
      <c r="G797" s="26"/>
      <c r="H797" s="26"/>
      <c r="I797" s="26"/>
      <c r="J797" s="34"/>
      <c r="K797" s="63"/>
      <c r="L797" s="26"/>
      <c r="M797" s="26"/>
      <c r="N797" s="20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</row>
    <row r="798" spans="1:25" ht="13">
      <c r="A798" s="26"/>
      <c r="B798" s="83"/>
      <c r="C798" s="26"/>
      <c r="D798" s="26"/>
      <c r="E798" s="26"/>
      <c r="F798" s="26"/>
      <c r="G798" s="26"/>
      <c r="H798" s="26"/>
      <c r="I798" s="26"/>
      <c r="J798" s="34"/>
      <c r="K798" s="63"/>
      <c r="L798" s="26"/>
      <c r="M798" s="26"/>
      <c r="N798" s="20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</row>
    <row r="799" spans="1:25" ht="13">
      <c r="A799" s="26"/>
      <c r="B799" s="83"/>
      <c r="C799" s="26"/>
      <c r="D799" s="26"/>
      <c r="E799" s="26"/>
      <c r="F799" s="26"/>
      <c r="G799" s="26"/>
      <c r="H799" s="26"/>
      <c r="I799" s="26"/>
      <c r="J799" s="34"/>
      <c r="K799" s="63"/>
      <c r="L799" s="26"/>
      <c r="M799" s="26"/>
      <c r="N799" s="20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</row>
    <row r="800" spans="1:25" ht="13">
      <c r="A800" s="26"/>
      <c r="B800" s="83"/>
      <c r="C800" s="26"/>
      <c r="D800" s="26"/>
      <c r="E800" s="26"/>
      <c r="F800" s="26"/>
      <c r="G800" s="26"/>
      <c r="H800" s="26"/>
      <c r="I800" s="26"/>
      <c r="J800" s="34"/>
      <c r="K800" s="63"/>
      <c r="L800" s="26"/>
      <c r="M800" s="26"/>
      <c r="N800" s="20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</row>
    <row r="801" spans="1:25" ht="13">
      <c r="A801" s="26"/>
      <c r="B801" s="83"/>
      <c r="C801" s="26"/>
      <c r="D801" s="26"/>
      <c r="E801" s="26"/>
      <c r="F801" s="26"/>
      <c r="G801" s="26"/>
      <c r="H801" s="26"/>
      <c r="I801" s="26"/>
      <c r="J801" s="34"/>
      <c r="K801" s="63"/>
      <c r="L801" s="26"/>
      <c r="M801" s="26"/>
      <c r="N801" s="20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</row>
    <row r="802" spans="1:25" ht="13">
      <c r="A802" s="26"/>
      <c r="B802" s="83"/>
      <c r="C802" s="26"/>
      <c r="D802" s="26"/>
      <c r="E802" s="26"/>
      <c r="F802" s="26"/>
      <c r="G802" s="26"/>
      <c r="H802" s="26"/>
      <c r="I802" s="26"/>
      <c r="J802" s="34"/>
      <c r="K802" s="63"/>
      <c r="L802" s="26"/>
      <c r="M802" s="26"/>
      <c r="N802" s="20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</row>
    <row r="803" spans="1:25" ht="13">
      <c r="A803" s="26"/>
      <c r="B803" s="83"/>
      <c r="C803" s="26"/>
      <c r="D803" s="26"/>
      <c r="E803" s="26"/>
      <c r="F803" s="26"/>
      <c r="G803" s="26"/>
      <c r="H803" s="26"/>
      <c r="I803" s="26"/>
      <c r="J803" s="34"/>
      <c r="K803" s="63"/>
      <c r="L803" s="26"/>
      <c r="M803" s="26"/>
      <c r="N803" s="20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</row>
    <row r="804" spans="1:25" ht="13">
      <c r="A804" s="26"/>
      <c r="B804" s="83"/>
      <c r="C804" s="26"/>
      <c r="D804" s="26"/>
      <c r="E804" s="26"/>
      <c r="F804" s="26"/>
      <c r="G804" s="26"/>
      <c r="H804" s="26"/>
      <c r="I804" s="26"/>
      <c r="J804" s="34"/>
      <c r="K804" s="63"/>
      <c r="L804" s="26"/>
      <c r="M804" s="26"/>
      <c r="N804" s="20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</row>
    <row r="805" spans="1:25" ht="13">
      <c r="A805" s="26"/>
      <c r="B805" s="83"/>
      <c r="C805" s="26"/>
      <c r="D805" s="26"/>
      <c r="E805" s="26"/>
      <c r="F805" s="26"/>
      <c r="G805" s="26"/>
      <c r="H805" s="26"/>
      <c r="I805" s="26"/>
      <c r="J805" s="34"/>
      <c r="K805" s="63"/>
      <c r="L805" s="26"/>
      <c r="M805" s="26"/>
      <c r="N805" s="20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</row>
    <row r="806" spans="1:25" ht="13">
      <c r="A806" s="26"/>
      <c r="B806" s="83"/>
      <c r="C806" s="26"/>
      <c r="D806" s="26"/>
      <c r="E806" s="26"/>
      <c r="F806" s="26"/>
      <c r="G806" s="26"/>
      <c r="H806" s="26"/>
      <c r="I806" s="26"/>
      <c r="J806" s="34"/>
      <c r="K806" s="63"/>
      <c r="L806" s="26"/>
      <c r="M806" s="26"/>
      <c r="N806" s="20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</row>
    <row r="807" spans="1:25" ht="13">
      <c r="A807" s="26"/>
      <c r="B807" s="83"/>
      <c r="C807" s="26"/>
      <c r="D807" s="26"/>
      <c r="E807" s="26"/>
      <c r="F807" s="26"/>
      <c r="G807" s="26"/>
      <c r="H807" s="26"/>
      <c r="I807" s="26"/>
      <c r="J807" s="34"/>
      <c r="K807" s="63"/>
      <c r="L807" s="26"/>
      <c r="M807" s="26"/>
      <c r="N807" s="20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</row>
    <row r="808" spans="1:25" ht="13">
      <c r="A808" s="26"/>
      <c r="B808" s="83"/>
      <c r="C808" s="26"/>
      <c r="D808" s="26"/>
      <c r="E808" s="26"/>
      <c r="F808" s="26"/>
      <c r="G808" s="26"/>
      <c r="H808" s="26"/>
      <c r="I808" s="26"/>
      <c r="J808" s="34"/>
      <c r="K808" s="63"/>
      <c r="L808" s="26"/>
      <c r="M808" s="26"/>
      <c r="N808" s="20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</row>
    <row r="809" spans="1:25" ht="13">
      <c r="A809" s="26"/>
      <c r="B809" s="83"/>
      <c r="C809" s="26"/>
      <c r="D809" s="26"/>
      <c r="E809" s="26"/>
      <c r="F809" s="26"/>
      <c r="G809" s="26"/>
      <c r="H809" s="26"/>
      <c r="I809" s="26"/>
      <c r="J809" s="34"/>
      <c r="K809" s="63"/>
      <c r="L809" s="26"/>
      <c r="M809" s="26"/>
      <c r="N809" s="20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</row>
    <row r="810" spans="1:25" ht="13">
      <c r="A810" s="26"/>
      <c r="B810" s="83"/>
      <c r="C810" s="26"/>
      <c r="D810" s="26"/>
      <c r="E810" s="26"/>
      <c r="F810" s="26"/>
      <c r="G810" s="26"/>
      <c r="H810" s="26"/>
      <c r="I810" s="26"/>
      <c r="J810" s="34"/>
      <c r="K810" s="63"/>
      <c r="L810" s="26"/>
      <c r="M810" s="26"/>
      <c r="N810" s="20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</row>
    <row r="811" spans="1:25" ht="13">
      <c r="A811" s="26"/>
      <c r="B811" s="83"/>
      <c r="C811" s="26"/>
      <c r="D811" s="26"/>
      <c r="E811" s="26"/>
      <c r="F811" s="26"/>
      <c r="G811" s="26"/>
      <c r="H811" s="26"/>
      <c r="I811" s="26"/>
      <c r="J811" s="34"/>
      <c r="K811" s="63"/>
      <c r="L811" s="26"/>
      <c r="M811" s="26"/>
      <c r="N811" s="20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</row>
    <row r="812" spans="1:25" ht="13">
      <c r="A812" s="26"/>
      <c r="B812" s="83"/>
      <c r="C812" s="26"/>
      <c r="D812" s="26"/>
      <c r="E812" s="26"/>
      <c r="F812" s="26"/>
      <c r="G812" s="26"/>
      <c r="H812" s="26"/>
      <c r="I812" s="26"/>
      <c r="J812" s="34"/>
      <c r="K812" s="63"/>
      <c r="L812" s="26"/>
      <c r="M812" s="26"/>
      <c r="N812" s="20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</row>
    <row r="813" spans="1:25" ht="13">
      <c r="A813" s="26"/>
      <c r="B813" s="83"/>
      <c r="C813" s="26"/>
      <c r="D813" s="26"/>
      <c r="E813" s="26"/>
      <c r="F813" s="26"/>
      <c r="G813" s="26"/>
      <c r="H813" s="26"/>
      <c r="I813" s="26"/>
      <c r="J813" s="34"/>
      <c r="K813" s="63"/>
      <c r="L813" s="26"/>
      <c r="M813" s="26"/>
      <c r="N813" s="20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</row>
    <row r="814" spans="1:25" ht="13">
      <c r="A814" s="26"/>
      <c r="B814" s="83"/>
      <c r="C814" s="26"/>
      <c r="D814" s="26"/>
      <c r="E814" s="26"/>
      <c r="F814" s="26"/>
      <c r="G814" s="26"/>
      <c r="H814" s="26"/>
      <c r="I814" s="26"/>
      <c r="J814" s="34"/>
      <c r="K814" s="63"/>
      <c r="L814" s="26"/>
      <c r="M814" s="26"/>
      <c r="N814" s="20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</row>
    <row r="815" spans="1:25" ht="13">
      <c r="A815" s="26"/>
      <c r="B815" s="83"/>
      <c r="C815" s="26"/>
      <c r="D815" s="26"/>
      <c r="E815" s="26"/>
      <c r="F815" s="26"/>
      <c r="G815" s="26"/>
      <c r="H815" s="26"/>
      <c r="I815" s="26"/>
      <c r="J815" s="34"/>
      <c r="K815" s="63"/>
      <c r="L815" s="26"/>
      <c r="M815" s="26"/>
      <c r="N815" s="20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</row>
    <row r="816" spans="1:25" ht="13">
      <c r="A816" s="26"/>
      <c r="B816" s="83"/>
      <c r="C816" s="26"/>
      <c r="D816" s="26"/>
      <c r="E816" s="26"/>
      <c r="F816" s="26"/>
      <c r="G816" s="26"/>
      <c r="H816" s="26"/>
      <c r="I816" s="26"/>
      <c r="J816" s="34"/>
      <c r="K816" s="63"/>
      <c r="L816" s="26"/>
      <c r="M816" s="26"/>
      <c r="N816" s="20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</row>
    <row r="817" spans="1:25" ht="13">
      <c r="A817" s="26"/>
      <c r="B817" s="83"/>
      <c r="C817" s="26"/>
      <c r="D817" s="26"/>
      <c r="E817" s="26"/>
      <c r="F817" s="26"/>
      <c r="G817" s="26"/>
      <c r="H817" s="26"/>
      <c r="I817" s="26"/>
      <c r="J817" s="34"/>
      <c r="K817" s="63"/>
      <c r="L817" s="26"/>
      <c r="M817" s="26"/>
      <c r="N817" s="20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</row>
    <row r="818" spans="1:25" ht="13">
      <c r="A818" s="26"/>
      <c r="B818" s="83"/>
      <c r="C818" s="26"/>
      <c r="D818" s="26"/>
      <c r="E818" s="26"/>
      <c r="F818" s="26"/>
      <c r="G818" s="26"/>
      <c r="H818" s="26"/>
      <c r="I818" s="26"/>
      <c r="J818" s="34"/>
      <c r="K818" s="63"/>
      <c r="L818" s="26"/>
      <c r="M818" s="26"/>
      <c r="N818" s="20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</row>
    <row r="819" spans="1:25" ht="13">
      <c r="A819" s="26"/>
      <c r="B819" s="83"/>
      <c r="C819" s="26"/>
      <c r="D819" s="26"/>
      <c r="E819" s="26"/>
      <c r="F819" s="26"/>
      <c r="G819" s="26"/>
      <c r="H819" s="26"/>
      <c r="I819" s="26"/>
      <c r="J819" s="34"/>
      <c r="K819" s="63"/>
      <c r="L819" s="26"/>
      <c r="M819" s="26"/>
      <c r="N819" s="20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</row>
    <row r="820" spans="1:25" ht="13">
      <c r="A820" s="26"/>
      <c r="B820" s="83"/>
      <c r="C820" s="26"/>
      <c r="D820" s="26"/>
      <c r="E820" s="26"/>
      <c r="F820" s="26"/>
      <c r="G820" s="26"/>
      <c r="H820" s="26"/>
      <c r="I820" s="26"/>
      <c r="J820" s="34"/>
      <c r="K820" s="63"/>
      <c r="L820" s="26"/>
      <c r="M820" s="26"/>
      <c r="N820" s="20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</row>
    <row r="821" spans="1:25" ht="13">
      <c r="A821" s="26"/>
      <c r="B821" s="83"/>
      <c r="C821" s="26"/>
      <c r="D821" s="26"/>
      <c r="E821" s="26"/>
      <c r="F821" s="26"/>
      <c r="G821" s="26"/>
      <c r="H821" s="26"/>
      <c r="I821" s="26"/>
      <c r="J821" s="34"/>
      <c r="K821" s="63"/>
      <c r="L821" s="26"/>
      <c r="M821" s="26"/>
      <c r="N821" s="20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</row>
    <row r="822" spans="1:25" ht="13">
      <c r="A822" s="26"/>
      <c r="B822" s="83"/>
      <c r="C822" s="26"/>
      <c r="D822" s="26"/>
      <c r="E822" s="26"/>
      <c r="F822" s="26"/>
      <c r="G822" s="26"/>
      <c r="H822" s="26"/>
      <c r="I822" s="26"/>
      <c r="J822" s="34"/>
      <c r="K822" s="63"/>
      <c r="L822" s="26"/>
      <c r="M822" s="26"/>
      <c r="N822" s="20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</row>
    <row r="823" spans="1:25" ht="13">
      <c r="A823" s="26"/>
      <c r="B823" s="83"/>
      <c r="C823" s="26"/>
      <c r="D823" s="26"/>
      <c r="E823" s="26"/>
      <c r="F823" s="26"/>
      <c r="G823" s="26"/>
      <c r="H823" s="26"/>
      <c r="I823" s="26"/>
      <c r="J823" s="34"/>
      <c r="K823" s="63"/>
      <c r="L823" s="26"/>
      <c r="M823" s="26"/>
      <c r="N823" s="20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</row>
    <row r="824" spans="1:25" ht="13">
      <c r="A824" s="26"/>
      <c r="B824" s="83"/>
      <c r="C824" s="26"/>
      <c r="D824" s="26"/>
      <c r="E824" s="26"/>
      <c r="F824" s="26"/>
      <c r="G824" s="26"/>
      <c r="H824" s="26"/>
      <c r="I824" s="26"/>
      <c r="J824" s="34"/>
      <c r="K824" s="63"/>
      <c r="L824" s="26"/>
      <c r="M824" s="26"/>
      <c r="N824" s="20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</row>
    <row r="825" spans="1:25" ht="13">
      <c r="A825" s="26"/>
      <c r="B825" s="83"/>
      <c r="C825" s="26"/>
      <c r="D825" s="26"/>
      <c r="E825" s="26"/>
      <c r="F825" s="26"/>
      <c r="G825" s="26"/>
      <c r="H825" s="26"/>
      <c r="I825" s="26"/>
      <c r="J825" s="34"/>
      <c r="K825" s="63"/>
      <c r="L825" s="26"/>
      <c r="M825" s="26"/>
      <c r="N825" s="20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</row>
    <row r="826" spans="1:25" ht="13">
      <c r="A826" s="26"/>
      <c r="B826" s="83"/>
      <c r="C826" s="26"/>
      <c r="D826" s="26"/>
      <c r="E826" s="26"/>
      <c r="F826" s="26"/>
      <c r="G826" s="26"/>
      <c r="H826" s="26"/>
      <c r="I826" s="26"/>
      <c r="J826" s="34"/>
      <c r="K826" s="63"/>
      <c r="L826" s="26"/>
      <c r="M826" s="26"/>
      <c r="N826" s="20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</row>
    <row r="827" spans="1:25" ht="13">
      <c r="A827" s="26"/>
      <c r="B827" s="83"/>
      <c r="C827" s="26"/>
      <c r="D827" s="26"/>
      <c r="E827" s="26"/>
      <c r="F827" s="26"/>
      <c r="G827" s="26"/>
      <c r="H827" s="26"/>
      <c r="I827" s="26"/>
      <c r="J827" s="34"/>
      <c r="K827" s="63"/>
      <c r="L827" s="26"/>
      <c r="M827" s="26"/>
      <c r="N827" s="20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</row>
    <row r="828" spans="1:25" ht="13">
      <c r="A828" s="26"/>
      <c r="B828" s="83"/>
      <c r="C828" s="26"/>
      <c r="D828" s="26"/>
      <c r="E828" s="26"/>
      <c r="F828" s="26"/>
      <c r="G828" s="26"/>
      <c r="H828" s="26"/>
      <c r="I828" s="26"/>
      <c r="J828" s="34"/>
      <c r="K828" s="63"/>
      <c r="L828" s="26"/>
      <c r="M828" s="26"/>
      <c r="N828" s="20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</row>
    <row r="829" spans="1:25" ht="13">
      <c r="A829" s="26"/>
      <c r="B829" s="83"/>
      <c r="C829" s="26"/>
      <c r="D829" s="26"/>
      <c r="E829" s="26"/>
      <c r="F829" s="26"/>
      <c r="G829" s="26"/>
      <c r="H829" s="26"/>
      <c r="I829" s="26"/>
      <c r="J829" s="34"/>
      <c r="K829" s="63"/>
      <c r="L829" s="26"/>
      <c r="M829" s="26"/>
      <c r="N829" s="20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</row>
    <row r="830" spans="1:25" ht="13">
      <c r="A830" s="26"/>
      <c r="B830" s="83"/>
      <c r="C830" s="26"/>
      <c r="D830" s="26"/>
      <c r="E830" s="26"/>
      <c r="F830" s="26"/>
      <c r="G830" s="26"/>
      <c r="H830" s="26"/>
      <c r="I830" s="26"/>
      <c r="J830" s="34"/>
      <c r="K830" s="63"/>
      <c r="L830" s="26"/>
      <c r="M830" s="26"/>
      <c r="N830" s="20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</row>
    <row r="831" spans="1:25" ht="13">
      <c r="A831" s="26"/>
      <c r="B831" s="83"/>
      <c r="C831" s="26"/>
      <c r="D831" s="26"/>
      <c r="E831" s="26"/>
      <c r="F831" s="26"/>
      <c r="G831" s="26"/>
      <c r="H831" s="26"/>
      <c r="I831" s="26"/>
      <c r="J831" s="34"/>
      <c r="K831" s="63"/>
      <c r="L831" s="26"/>
      <c r="M831" s="26"/>
      <c r="N831" s="20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</row>
    <row r="832" spans="1:25" ht="13">
      <c r="A832" s="26"/>
      <c r="B832" s="83"/>
      <c r="C832" s="26"/>
      <c r="D832" s="26"/>
      <c r="E832" s="26"/>
      <c r="F832" s="26"/>
      <c r="G832" s="26"/>
      <c r="H832" s="26"/>
      <c r="I832" s="26"/>
      <c r="J832" s="34"/>
      <c r="K832" s="63"/>
      <c r="L832" s="26"/>
      <c r="M832" s="26"/>
      <c r="N832" s="20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</row>
    <row r="833" spans="1:25" ht="13">
      <c r="A833" s="26"/>
      <c r="B833" s="83"/>
      <c r="C833" s="26"/>
      <c r="D833" s="26"/>
      <c r="E833" s="26"/>
      <c r="F833" s="26"/>
      <c r="G833" s="26"/>
      <c r="H833" s="26"/>
      <c r="I833" s="26"/>
      <c r="J833" s="34"/>
      <c r="K833" s="63"/>
      <c r="L833" s="26"/>
      <c r="M833" s="26"/>
      <c r="N833" s="20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</row>
    <row r="834" spans="1:25" ht="13">
      <c r="A834" s="26"/>
      <c r="B834" s="83"/>
      <c r="C834" s="26"/>
      <c r="D834" s="26"/>
      <c r="E834" s="26"/>
      <c r="F834" s="26"/>
      <c r="G834" s="26"/>
      <c r="H834" s="26"/>
      <c r="I834" s="26"/>
      <c r="J834" s="34"/>
      <c r="K834" s="63"/>
      <c r="L834" s="26"/>
      <c r="M834" s="26"/>
      <c r="N834" s="20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</row>
    <row r="835" spans="1:25" ht="13">
      <c r="A835" s="26"/>
      <c r="B835" s="83"/>
      <c r="C835" s="26"/>
      <c r="D835" s="26"/>
      <c r="E835" s="26"/>
      <c r="F835" s="26"/>
      <c r="G835" s="26"/>
      <c r="H835" s="26"/>
      <c r="I835" s="26"/>
      <c r="J835" s="34"/>
      <c r="K835" s="63"/>
      <c r="L835" s="26"/>
      <c r="M835" s="26"/>
      <c r="N835" s="20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</row>
    <row r="836" spans="1:25" ht="13">
      <c r="A836" s="26"/>
      <c r="B836" s="83"/>
      <c r="C836" s="26"/>
      <c r="D836" s="26"/>
      <c r="E836" s="26"/>
      <c r="F836" s="26"/>
      <c r="G836" s="26"/>
      <c r="H836" s="26"/>
      <c r="I836" s="26"/>
      <c r="J836" s="34"/>
      <c r="K836" s="63"/>
      <c r="L836" s="26"/>
      <c r="M836" s="26"/>
      <c r="N836" s="20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</row>
    <row r="837" spans="1:25" ht="13">
      <c r="A837" s="26"/>
      <c r="B837" s="83"/>
      <c r="C837" s="26"/>
      <c r="D837" s="26"/>
      <c r="E837" s="26"/>
      <c r="F837" s="26"/>
      <c r="G837" s="26"/>
      <c r="H837" s="26"/>
      <c r="I837" s="26"/>
      <c r="J837" s="34"/>
      <c r="K837" s="63"/>
      <c r="L837" s="26"/>
      <c r="M837" s="26"/>
      <c r="N837" s="20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</row>
    <row r="838" spans="1:25" ht="13">
      <c r="A838" s="26"/>
      <c r="B838" s="83"/>
      <c r="C838" s="26"/>
      <c r="D838" s="26"/>
      <c r="E838" s="26"/>
      <c r="F838" s="26"/>
      <c r="G838" s="26"/>
      <c r="H838" s="26"/>
      <c r="I838" s="26"/>
      <c r="J838" s="34"/>
      <c r="K838" s="63"/>
      <c r="L838" s="26"/>
      <c r="M838" s="26"/>
      <c r="N838" s="20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</row>
    <row r="839" spans="1:25" ht="13">
      <c r="A839" s="26"/>
      <c r="B839" s="83"/>
      <c r="C839" s="26"/>
      <c r="D839" s="26"/>
      <c r="E839" s="26"/>
      <c r="F839" s="26"/>
      <c r="G839" s="26"/>
      <c r="H839" s="26"/>
      <c r="I839" s="26"/>
      <c r="J839" s="34"/>
      <c r="K839" s="63"/>
      <c r="L839" s="26"/>
      <c r="M839" s="26"/>
      <c r="N839" s="20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</row>
    <row r="840" spans="1:25" ht="13">
      <c r="A840" s="26"/>
      <c r="B840" s="83"/>
      <c r="C840" s="26"/>
      <c r="D840" s="26"/>
      <c r="E840" s="26"/>
      <c r="F840" s="26"/>
      <c r="G840" s="26"/>
      <c r="H840" s="26"/>
      <c r="I840" s="26"/>
      <c r="J840" s="34"/>
      <c r="K840" s="63"/>
      <c r="L840" s="26"/>
      <c r="M840" s="26"/>
      <c r="N840" s="20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</row>
    <row r="841" spans="1:25" ht="13">
      <c r="A841" s="26"/>
      <c r="B841" s="83"/>
      <c r="C841" s="26"/>
      <c r="D841" s="26"/>
      <c r="E841" s="26"/>
      <c r="F841" s="26"/>
      <c r="G841" s="26"/>
      <c r="H841" s="26"/>
      <c r="I841" s="26"/>
      <c r="J841" s="34"/>
      <c r="K841" s="63"/>
      <c r="L841" s="26"/>
      <c r="M841" s="26"/>
      <c r="N841" s="20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</row>
    <row r="842" spans="1:25" ht="13">
      <c r="A842" s="26"/>
      <c r="B842" s="83"/>
      <c r="C842" s="26"/>
      <c r="D842" s="26"/>
      <c r="E842" s="26"/>
      <c r="F842" s="26"/>
      <c r="G842" s="26"/>
      <c r="H842" s="26"/>
      <c r="I842" s="26"/>
      <c r="J842" s="34"/>
      <c r="K842" s="63"/>
      <c r="L842" s="26"/>
      <c r="M842" s="26"/>
      <c r="N842" s="20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</row>
    <row r="843" spans="1:25" ht="13">
      <c r="A843" s="26"/>
      <c r="B843" s="83"/>
      <c r="C843" s="26"/>
      <c r="D843" s="26"/>
      <c r="E843" s="26"/>
      <c r="F843" s="26"/>
      <c r="G843" s="26"/>
      <c r="H843" s="26"/>
      <c r="I843" s="26"/>
      <c r="J843" s="34"/>
      <c r="K843" s="63"/>
      <c r="L843" s="26"/>
      <c r="M843" s="26"/>
      <c r="N843" s="20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</row>
    <row r="844" spans="1:25" ht="13">
      <c r="A844" s="26"/>
      <c r="B844" s="83"/>
      <c r="C844" s="26"/>
      <c r="D844" s="26"/>
      <c r="E844" s="26"/>
      <c r="F844" s="26"/>
      <c r="G844" s="26"/>
      <c r="H844" s="26"/>
      <c r="I844" s="26"/>
      <c r="J844" s="34"/>
      <c r="K844" s="63"/>
      <c r="L844" s="26"/>
      <c r="M844" s="26"/>
      <c r="N844" s="20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</row>
    <row r="845" spans="1:25" ht="13">
      <c r="A845" s="26"/>
      <c r="B845" s="83"/>
      <c r="C845" s="26"/>
      <c r="D845" s="26"/>
      <c r="E845" s="26"/>
      <c r="F845" s="26"/>
      <c r="G845" s="26"/>
      <c r="H845" s="26"/>
      <c r="I845" s="26"/>
      <c r="J845" s="34"/>
      <c r="K845" s="63"/>
      <c r="L845" s="26"/>
      <c r="M845" s="26"/>
      <c r="N845" s="20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</row>
    <row r="846" spans="1:25" ht="13">
      <c r="A846" s="26"/>
      <c r="B846" s="83"/>
      <c r="C846" s="26"/>
      <c r="D846" s="26"/>
      <c r="E846" s="26"/>
      <c r="F846" s="26"/>
      <c r="G846" s="26"/>
      <c r="H846" s="26"/>
      <c r="I846" s="26"/>
      <c r="J846" s="34"/>
      <c r="K846" s="63"/>
      <c r="L846" s="26"/>
      <c r="M846" s="26"/>
      <c r="N846" s="20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</row>
    <row r="847" spans="1:25" ht="13">
      <c r="A847" s="26"/>
      <c r="B847" s="83"/>
      <c r="C847" s="26"/>
      <c r="D847" s="26"/>
      <c r="E847" s="26"/>
      <c r="F847" s="26"/>
      <c r="G847" s="26"/>
      <c r="H847" s="26"/>
      <c r="I847" s="26"/>
      <c r="J847" s="34"/>
      <c r="K847" s="63"/>
      <c r="L847" s="26"/>
      <c r="M847" s="26"/>
      <c r="N847" s="20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</row>
    <row r="848" spans="1:25" ht="13">
      <c r="A848" s="26"/>
      <c r="B848" s="83"/>
      <c r="C848" s="26"/>
      <c r="D848" s="26"/>
      <c r="E848" s="26"/>
      <c r="F848" s="26"/>
      <c r="G848" s="26"/>
      <c r="H848" s="26"/>
      <c r="I848" s="26"/>
      <c r="J848" s="34"/>
      <c r="K848" s="63"/>
      <c r="L848" s="26"/>
      <c r="M848" s="26"/>
      <c r="N848" s="20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</row>
    <row r="849" spans="1:25" ht="13">
      <c r="A849" s="26"/>
      <c r="B849" s="83"/>
      <c r="C849" s="26"/>
      <c r="D849" s="26"/>
      <c r="E849" s="26"/>
      <c r="F849" s="26"/>
      <c r="G849" s="26"/>
      <c r="H849" s="26"/>
      <c r="I849" s="26"/>
      <c r="J849" s="34"/>
      <c r="K849" s="63"/>
      <c r="L849" s="26"/>
      <c r="M849" s="26"/>
      <c r="N849" s="20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</row>
    <row r="850" spans="1:25" ht="13">
      <c r="A850" s="26"/>
      <c r="B850" s="83"/>
      <c r="C850" s="26"/>
      <c r="D850" s="26"/>
      <c r="E850" s="26"/>
      <c r="F850" s="26"/>
      <c r="G850" s="26"/>
      <c r="H850" s="26"/>
      <c r="I850" s="26"/>
      <c r="J850" s="34"/>
      <c r="K850" s="63"/>
      <c r="L850" s="26"/>
      <c r="M850" s="26"/>
      <c r="N850" s="20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</row>
    <row r="851" spans="1:25" ht="13">
      <c r="A851" s="26"/>
      <c r="B851" s="83"/>
      <c r="C851" s="26"/>
      <c r="D851" s="26"/>
      <c r="E851" s="26"/>
      <c r="F851" s="26"/>
      <c r="G851" s="26"/>
      <c r="H851" s="26"/>
      <c r="I851" s="26"/>
      <c r="J851" s="34"/>
      <c r="K851" s="63"/>
      <c r="L851" s="26"/>
      <c r="M851" s="26"/>
      <c r="N851" s="20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</row>
    <row r="852" spans="1:25" ht="13">
      <c r="A852" s="26"/>
      <c r="B852" s="83"/>
      <c r="C852" s="26"/>
      <c r="D852" s="26"/>
      <c r="E852" s="26"/>
      <c r="F852" s="26"/>
      <c r="G852" s="26"/>
      <c r="H852" s="26"/>
      <c r="I852" s="26"/>
      <c r="J852" s="34"/>
      <c r="K852" s="63"/>
      <c r="L852" s="26"/>
      <c r="M852" s="26"/>
      <c r="N852" s="20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</row>
    <row r="853" spans="1:25" ht="13">
      <c r="A853" s="26"/>
      <c r="B853" s="83"/>
      <c r="C853" s="26"/>
      <c r="D853" s="26"/>
      <c r="E853" s="26"/>
      <c r="F853" s="26"/>
      <c r="G853" s="26"/>
      <c r="H853" s="26"/>
      <c r="I853" s="26"/>
      <c r="J853" s="34"/>
      <c r="K853" s="63"/>
      <c r="L853" s="26"/>
      <c r="M853" s="26"/>
      <c r="N853" s="20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</row>
    <row r="854" spans="1:25" ht="13">
      <c r="A854" s="26"/>
      <c r="B854" s="83"/>
      <c r="C854" s="26"/>
      <c r="D854" s="26"/>
      <c r="E854" s="26"/>
      <c r="F854" s="26"/>
      <c r="G854" s="26"/>
      <c r="H854" s="26"/>
      <c r="I854" s="26"/>
      <c r="J854" s="34"/>
      <c r="K854" s="63"/>
      <c r="L854" s="26"/>
      <c r="M854" s="26"/>
      <c r="N854" s="20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</row>
    <row r="855" spans="1:25" ht="13">
      <c r="A855" s="26"/>
      <c r="B855" s="83"/>
      <c r="C855" s="26"/>
      <c r="D855" s="26"/>
      <c r="E855" s="26"/>
      <c r="F855" s="26"/>
      <c r="G855" s="26"/>
      <c r="H855" s="26"/>
      <c r="I855" s="26"/>
      <c r="J855" s="34"/>
      <c r="K855" s="63"/>
      <c r="L855" s="26"/>
      <c r="M855" s="26"/>
      <c r="N855" s="20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</row>
    <row r="856" spans="1:25" ht="13">
      <c r="A856" s="26"/>
      <c r="B856" s="83"/>
      <c r="C856" s="26"/>
      <c r="D856" s="26"/>
      <c r="E856" s="26"/>
      <c r="F856" s="26"/>
      <c r="G856" s="26"/>
      <c r="H856" s="26"/>
      <c r="I856" s="26"/>
      <c r="J856" s="34"/>
      <c r="K856" s="63"/>
      <c r="L856" s="26"/>
      <c r="M856" s="26"/>
      <c r="N856" s="20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</row>
    <row r="857" spans="1:25" ht="13">
      <c r="A857" s="26"/>
      <c r="B857" s="83"/>
      <c r="C857" s="26"/>
      <c r="D857" s="26"/>
      <c r="E857" s="26"/>
      <c r="F857" s="26"/>
      <c r="G857" s="26"/>
      <c r="H857" s="26"/>
      <c r="I857" s="26"/>
      <c r="J857" s="34"/>
      <c r="K857" s="63"/>
      <c r="L857" s="26"/>
      <c r="M857" s="26"/>
      <c r="N857" s="20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</row>
    <row r="858" spans="1:25" ht="13">
      <c r="A858" s="26"/>
      <c r="B858" s="83"/>
      <c r="C858" s="26"/>
      <c r="D858" s="26"/>
      <c r="E858" s="26"/>
      <c r="F858" s="26"/>
      <c r="G858" s="26"/>
      <c r="H858" s="26"/>
      <c r="I858" s="26"/>
      <c r="J858" s="34"/>
      <c r="K858" s="63"/>
      <c r="L858" s="26"/>
      <c r="M858" s="26"/>
      <c r="N858" s="20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</row>
    <row r="859" spans="1:25" ht="13">
      <c r="A859" s="26"/>
      <c r="B859" s="83"/>
      <c r="C859" s="26"/>
      <c r="D859" s="26"/>
      <c r="E859" s="26"/>
      <c r="F859" s="26"/>
      <c r="G859" s="26"/>
      <c r="H859" s="26"/>
      <c r="I859" s="26"/>
      <c r="J859" s="34"/>
      <c r="K859" s="63"/>
      <c r="L859" s="26"/>
      <c r="M859" s="26"/>
      <c r="N859" s="20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</row>
    <row r="860" spans="1:25" ht="13">
      <c r="A860" s="26"/>
      <c r="B860" s="83"/>
      <c r="C860" s="26"/>
      <c r="D860" s="26"/>
      <c r="E860" s="26"/>
      <c r="F860" s="26"/>
      <c r="G860" s="26"/>
      <c r="H860" s="26"/>
      <c r="I860" s="26"/>
      <c r="J860" s="34"/>
      <c r="K860" s="63"/>
      <c r="L860" s="26"/>
      <c r="M860" s="26"/>
      <c r="N860" s="20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</row>
    <row r="861" spans="1:25" ht="13">
      <c r="A861" s="26"/>
      <c r="B861" s="83"/>
      <c r="C861" s="26"/>
      <c r="D861" s="26"/>
      <c r="E861" s="26"/>
      <c r="F861" s="26"/>
      <c r="G861" s="26"/>
      <c r="H861" s="26"/>
      <c r="I861" s="26"/>
      <c r="J861" s="34"/>
      <c r="K861" s="63"/>
      <c r="L861" s="26"/>
      <c r="M861" s="26"/>
      <c r="N861" s="20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</row>
    <row r="862" spans="1:25" ht="13">
      <c r="A862" s="26"/>
      <c r="B862" s="83"/>
      <c r="C862" s="26"/>
      <c r="D862" s="26"/>
      <c r="E862" s="26"/>
      <c r="F862" s="26"/>
      <c r="G862" s="26"/>
      <c r="H862" s="26"/>
      <c r="I862" s="26"/>
      <c r="J862" s="34"/>
      <c r="K862" s="63"/>
      <c r="L862" s="26"/>
      <c r="M862" s="26"/>
      <c r="N862" s="20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</row>
    <row r="863" spans="1:25" ht="13">
      <c r="A863" s="26"/>
      <c r="B863" s="83"/>
      <c r="C863" s="26"/>
      <c r="D863" s="26"/>
      <c r="E863" s="26"/>
      <c r="F863" s="26"/>
      <c r="G863" s="26"/>
      <c r="H863" s="26"/>
      <c r="I863" s="26"/>
      <c r="J863" s="34"/>
      <c r="K863" s="63"/>
      <c r="L863" s="26"/>
      <c r="M863" s="26"/>
      <c r="N863" s="20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</row>
    <row r="864" spans="1:25" ht="13">
      <c r="A864" s="26"/>
      <c r="B864" s="83"/>
      <c r="C864" s="26"/>
      <c r="D864" s="26"/>
      <c r="E864" s="26"/>
      <c r="F864" s="26"/>
      <c r="G864" s="26"/>
      <c r="H864" s="26"/>
      <c r="I864" s="26"/>
      <c r="J864" s="34"/>
      <c r="K864" s="63"/>
      <c r="L864" s="26"/>
      <c r="M864" s="26"/>
      <c r="N864" s="20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</row>
    <row r="865" spans="1:25" ht="13">
      <c r="A865" s="26"/>
      <c r="B865" s="83"/>
      <c r="C865" s="26"/>
      <c r="D865" s="26"/>
      <c r="E865" s="26"/>
      <c r="F865" s="26"/>
      <c r="G865" s="26"/>
      <c r="H865" s="26"/>
      <c r="I865" s="26"/>
      <c r="J865" s="34"/>
      <c r="K865" s="63"/>
      <c r="L865" s="26"/>
      <c r="M865" s="26"/>
      <c r="N865" s="20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</row>
    <row r="866" spans="1:25" ht="13">
      <c r="A866" s="26"/>
      <c r="B866" s="83"/>
      <c r="C866" s="26"/>
      <c r="D866" s="26"/>
      <c r="E866" s="26"/>
      <c r="F866" s="26"/>
      <c r="G866" s="26"/>
      <c r="H866" s="26"/>
      <c r="I866" s="26"/>
      <c r="J866" s="34"/>
      <c r="K866" s="63"/>
      <c r="L866" s="26"/>
      <c r="M866" s="26"/>
      <c r="N866" s="20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</row>
    <row r="867" spans="1:25" ht="13">
      <c r="A867" s="26"/>
      <c r="B867" s="83"/>
      <c r="C867" s="26"/>
      <c r="D867" s="26"/>
      <c r="E867" s="26"/>
      <c r="F867" s="26"/>
      <c r="G867" s="26"/>
      <c r="H867" s="26"/>
      <c r="I867" s="26"/>
      <c r="J867" s="34"/>
      <c r="K867" s="63"/>
      <c r="L867" s="26"/>
      <c r="M867" s="26"/>
      <c r="N867" s="20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</row>
    <row r="868" spans="1:25" ht="13">
      <c r="A868" s="26"/>
      <c r="B868" s="83"/>
      <c r="C868" s="26"/>
      <c r="D868" s="26"/>
      <c r="E868" s="26"/>
      <c r="F868" s="26"/>
      <c r="G868" s="26"/>
      <c r="H868" s="26"/>
      <c r="I868" s="26"/>
      <c r="J868" s="34"/>
      <c r="K868" s="63"/>
      <c r="L868" s="26"/>
      <c r="M868" s="26"/>
      <c r="N868" s="20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</row>
    <row r="869" spans="1:25" ht="13">
      <c r="A869" s="26"/>
      <c r="B869" s="83"/>
      <c r="C869" s="26"/>
      <c r="D869" s="26"/>
      <c r="E869" s="26"/>
      <c r="F869" s="26"/>
      <c r="G869" s="26"/>
      <c r="H869" s="26"/>
      <c r="I869" s="26"/>
      <c r="J869" s="34"/>
      <c r="K869" s="63"/>
      <c r="L869" s="26"/>
      <c r="M869" s="26"/>
      <c r="N869" s="20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</row>
    <row r="870" spans="1:25" ht="13">
      <c r="A870" s="26"/>
      <c r="B870" s="83"/>
      <c r="C870" s="26"/>
      <c r="D870" s="26"/>
      <c r="E870" s="26"/>
      <c r="F870" s="26"/>
      <c r="G870" s="26"/>
      <c r="H870" s="26"/>
      <c r="I870" s="26"/>
      <c r="J870" s="34"/>
      <c r="K870" s="63"/>
      <c r="L870" s="26"/>
      <c r="M870" s="26"/>
      <c r="N870" s="20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</row>
    <row r="871" spans="1:25" ht="13">
      <c r="A871" s="26"/>
      <c r="B871" s="83"/>
      <c r="C871" s="26"/>
      <c r="D871" s="26"/>
      <c r="E871" s="26"/>
      <c r="F871" s="26"/>
      <c r="G871" s="26"/>
      <c r="H871" s="26"/>
      <c r="I871" s="26"/>
      <c r="J871" s="34"/>
      <c r="K871" s="63"/>
      <c r="L871" s="26"/>
      <c r="M871" s="26"/>
      <c r="N871" s="20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</row>
    <row r="872" spans="1:25" ht="13">
      <c r="A872" s="26"/>
      <c r="B872" s="83"/>
      <c r="C872" s="26"/>
      <c r="D872" s="26"/>
      <c r="E872" s="26"/>
      <c r="F872" s="26"/>
      <c r="G872" s="26"/>
      <c r="H872" s="26"/>
      <c r="I872" s="26"/>
      <c r="J872" s="34"/>
      <c r="K872" s="63"/>
      <c r="L872" s="26"/>
      <c r="M872" s="26"/>
      <c r="N872" s="20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</row>
    <row r="873" spans="1:25" ht="13">
      <c r="A873" s="26"/>
      <c r="B873" s="83"/>
      <c r="C873" s="26"/>
      <c r="D873" s="26"/>
      <c r="E873" s="26"/>
      <c r="F873" s="26"/>
      <c r="G873" s="26"/>
      <c r="H873" s="26"/>
      <c r="I873" s="26"/>
      <c r="J873" s="34"/>
      <c r="K873" s="63"/>
      <c r="L873" s="26"/>
      <c r="M873" s="26"/>
      <c r="N873" s="20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</row>
    <row r="874" spans="1:25" ht="13">
      <c r="A874" s="26"/>
      <c r="B874" s="83"/>
      <c r="C874" s="26"/>
      <c r="D874" s="26"/>
      <c r="E874" s="26"/>
      <c r="F874" s="26"/>
      <c r="G874" s="26"/>
      <c r="H874" s="26"/>
      <c r="I874" s="26"/>
      <c r="J874" s="34"/>
      <c r="K874" s="63"/>
      <c r="L874" s="26"/>
      <c r="M874" s="26"/>
      <c r="N874" s="20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</row>
    <row r="875" spans="1:25" ht="13">
      <c r="A875" s="26"/>
      <c r="B875" s="83"/>
      <c r="C875" s="26"/>
      <c r="D875" s="26"/>
      <c r="E875" s="26"/>
      <c r="F875" s="26"/>
      <c r="G875" s="26"/>
      <c r="H875" s="26"/>
      <c r="I875" s="26"/>
      <c r="J875" s="34"/>
      <c r="K875" s="63"/>
      <c r="L875" s="26"/>
      <c r="M875" s="26"/>
      <c r="N875" s="20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</row>
    <row r="876" spans="1:25" ht="13">
      <c r="A876" s="26"/>
      <c r="B876" s="83"/>
      <c r="C876" s="26"/>
      <c r="D876" s="26"/>
      <c r="E876" s="26"/>
      <c r="F876" s="26"/>
      <c r="G876" s="26"/>
      <c r="H876" s="26"/>
      <c r="I876" s="26"/>
      <c r="J876" s="34"/>
      <c r="K876" s="63"/>
      <c r="L876" s="26"/>
      <c r="M876" s="26"/>
      <c r="N876" s="20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</row>
    <row r="877" spans="1:25" ht="13">
      <c r="A877" s="26"/>
      <c r="B877" s="83"/>
      <c r="C877" s="26"/>
      <c r="D877" s="26"/>
      <c r="E877" s="26"/>
      <c r="F877" s="26"/>
      <c r="G877" s="26"/>
      <c r="H877" s="26"/>
      <c r="I877" s="26"/>
      <c r="J877" s="34"/>
      <c r="K877" s="63"/>
      <c r="L877" s="26"/>
      <c r="M877" s="26"/>
      <c r="N877" s="20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</row>
    <row r="878" spans="1:25" ht="13">
      <c r="A878" s="26"/>
      <c r="B878" s="83"/>
      <c r="C878" s="26"/>
      <c r="D878" s="26"/>
      <c r="E878" s="26"/>
      <c r="F878" s="26"/>
      <c r="G878" s="26"/>
      <c r="H878" s="26"/>
      <c r="I878" s="26"/>
      <c r="J878" s="34"/>
      <c r="K878" s="63"/>
      <c r="L878" s="26"/>
      <c r="M878" s="26"/>
      <c r="N878" s="20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</row>
    <row r="879" spans="1:25" ht="13">
      <c r="A879" s="26"/>
      <c r="B879" s="83"/>
      <c r="C879" s="26"/>
      <c r="D879" s="26"/>
      <c r="E879" s="26"/>
      <c r="F879" s="26"/>
      <c r="G879" s="26"/>
      <c r="H879" s="26"/>
      <c r="I879" s="26"/>
      <c r="J879" s="34"/>
      <c r="K879" s="63"/>
      <c r="L879" s="26"/>
      <c r="M879" s="26"/>
      <c r="N879" s="20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</row>
    <row r="880" spans="1:25" ht="13">
      <c r="A880" s="26"/>
      <c r="B880" s="83"/>
      <c r="C880" s="26"/>
      <c r="D880" s="26"/>
      <c r="E880" s="26"/>
      <c r="F880" s="26"/>
      <c r="G880" s="26"/>
      <c r="H880" s="26"/>
      <c r="I880" s="26"/>
      <c r="J880" s="34"/>
      <c r="K880" s="63"/>
      <c r="L880" s="26"/>
      <c r="M880" s="26"/>
      <c r="N880" s="20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</row>
    <row r="881" spans="1:25" ht="13">
      <c r="A881" s="26"/>
      <c r="B881" s="83"/>
      <c r="C881" s="26"/>
      <c r="D881" s="26"/>
      <c r="E881" s="26"/>
      <c r="F881" s="26"/>
      <c r="G881" s="26"/>
      <c r="H881" s="26"/>
      <c r="I881" s="26"/>
      <c r="J881" s="34"/>
      <c r="K881" s="63"/>
      <c r="L881" s="26"/>
      <c r="M881" s="26"/>
      <c r="N881" s="20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</row>
    <row r="882" spans="1:25" ht="13">
      <c r="A882" s="26"/>
      <c r="B882" s="83"/>
      <c r="C882" s="26"/>
      <c r="D882" s="26"/>
      <c r="E882" s="26"/>
      <c r="F882" s="26"/>
      <c r="G882" s="26"/>
      <c r="H882" s="26"/>
      <c r="I882" s="26"/>
      <c r="J882" s="34"/>
      <c r="K882" s="63"/>
      <c r="L882" s="26"/>
      <c r="M882" s="26"/>
      <c r="N882" s="20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</row>
    <row r="883" spans="1:25" ht="13">
      <c r="A883" s="26"/>
      <c r="B883" s="83"/>
      <c r="C883" s="26"/>
      <c r="D883" s="26"/>
      <c r="E883" s="26"/>
      <c r="F883" s="26"/>
      <c r="G883" s="26"/>
      <c r="H883" s="26"/>
      <c r="I883" s="26"/>
      <c r="J883" s="34"/>
      <c r="K883" s="63"/>
      <c r="L883" s="26"/>
      <c r="M883" s="26"/>
      <c r="N883" s="20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</row>
    <row r="884" spans="1:25" ht="13">
      <c r="A884" s="26"/>
      <c r="B884" s="83"/>
      <c r="C884" s="26"/>
      <c r="D884" s="26"/>
      <c r="E884" s="26"/>
      <c r="F884" s="26"/>
      <c r="G884" s="26"/>
      <c r="H884" s="26"/>
      <c r="I884" s="26"/>
      <c r="J884" s="34"/>
      <c r="K884" s="63"/>
      <c r="L884" s="26"/>
      <c r="M884" s="26"/>
      <c r="N884" s="20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</row>
    <row r="885" spans="1:25" ht="13">
      <c r="A885" s="26"/>
      <c r="B885" s="83"/>
      <c r="C885" s="26"/>
      <c r="D885" s="26"/>
      <c r="E885" s="26"/>
      <c r="F885" s="26"/>
      <c r="G885" s="26"/>
      <c r="H885" s="26"/>
      <c r="I885" s="26"/>
      <c r="J885" s="34"/>
      <c r="K885" s="63"/>
      <c r="L885" s="26"/>
      <c r="M885" s="26"/>
      <c r="N885" s="20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</row>
    <row r="886" spans="1:25" ht="13">
      <c r="A886" s="26"/>
      <c r="B886" s="83"/>
      <c r="C886" s="26"/>
      <c r="D886" s="26"/>
      <c r="E886" s="26"/>
      <c r="F886" s="26"/>
      <c r="G886" s="26"/>
      <c r="H886" s="26"/>
      <c r="I886" s="26"/>
      <c r="J886" s="34"/>
      <c r="K886" s="63"/>
      <c r="L886" s="26"/>
      <c r="M886" s="26"/>
      <c r="N886" s="20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</row>
    <row r="887" spans="1:25" ht="13">
      <c r="A887" s="26"/>
      <c r="B887" s="83"/>
      <c r="C887" s="26"/>
      <c r="D887" s="26"/>
      <c r="E887" s="26"/>
      <c r="F887" s="26"/>
      <c r="G887" s="26"/>
      <c r="H887" s="26"/>
      <c r="I887" s="26"/>
      <c r="J887" s="34"/>
      <c r="K887" s="63"/>
      <c r="L887" s="26"/>
      <c r="M887" s="26"/>
      <c r="N887" s="20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</row>
    <row r="888" spans="1:25" ht="13">
      <c r="A888" s="26"/>
      <c r="B888" s="83"/>
      <c r="C888" s="26"/>
      <c r="D888" s="26"/>
      <c r="E888" s="26"/>
      <c r="F888" s="26"/>
      <c r="G888" s="26"/>
      <c r="H888" s="26"/>
      <c r="I888" s="26"/>
      <c r="J888" s="34"/>
      <c r="K888" s="63"/>
      <c r="L888" s="26"/>
      <c r="M888" s="26"/>
      <c r="N888" s="20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</row>
    <row r="889" spans="1:25" ht="13">
      <c r="A889" s="26"/>
      <c r="B889" s="83"/>
      <c r="C889" s="26"/>
      <c r="D889" s="26"/>
      <c r="E889" s="26"/>
      <c r="F889" s="26"/>
      <c r="G889" s="26"/>
      <c r="H889" s="26"/>
      <c r="I889" s="26"/>
      <c r="J889" s="34"/>
      <c r="K889" s="63"/>
      <c r="L889" s="26"/>
      <c r="M889" s="26"/>
      <c r="N889" s="20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</row>
    <row r="890" spans="1:25" ht="13">
      <c r="A890" s="26"/>
      <c r="B890" s="83"/>
      <c r="C890" s="26"/>
      <c r="D890" s="26"/>
      <c r="E890" s="26"/>
      <c r="F890" s="26"/>
      <c r="G890" s="26"/>
      <c r="H890" s="26"/>
      <c r="I890" s="26"/>
      <c r="J890" s="34"/>
      <c r="K890" s="63"/>
      <c r="L890" s="26"/>
      <c r="M890" s="26"/>
      <c r="N890" s="20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</row>
    <row r="891" spans="1:25" ht="13">
      <c r="A891" s="26"/>
      <c r="B891" s="83"/>
      <c r="C891" s="26"/>
      <c r="D891" s="26"/>
      <c r="E891" s="26"/>
      <c r="F891" s="26"/>
      <c r="G891" s="26"/>
      <c r="H891" s="26"/>
      <c r="I891" s="26"/>
      <c r="J891" s="34"/>
      <c r="K891" s="63"/>
      <c r="L891" s="26"/>
      <c r="M891" s="26"/>
      <c r="N891" s="20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</row>
    <row r="892" spans="1:25" ht="13">
      <c r="A892" s="26"/>
      <c r="B892" s="83"/>
      <c r="C892" s="26"/>
      <c r="D892" s="26"/>
      <c r="E892" s="26"/>
      <c r="F892" s="26"/>
      <c r="G892" s="26"/>
      <c r="H892" s="26"/>
      <c r="I892" s="26"/>
      <c r="J892" s="34"/>
      <c r="K892" s="63"/>
      <c r="L892" s="26"/>
      <c r="M892" s="26"/>
      <c r="N892" s="20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</row>
    <row r="893" spans="1:25" ht="13">
      <c r="A893" s="26"/>
      <c r="B893" s="83"/>
      <c r="C893" s="26"/>
      <c r="D893" s="26"/>
      <c r="E893" s="26"/>
      <c r="F893" s="26"/>
      <c r="G893" s="26"/>
      <c r="H893" s="26"/>
      <c r="I893" s="26"/>
      <c r="J893" s="34"/>
      <c r="K893" s="63"/>
      <c r="L893" s="26"/>
      <c r="M893" s="26"/>
      <c r="N893" s="20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</row>
    <row r="894" spans="1:25" ht="13">
      <c r="A894" s="26"/>
      <c r="B894" s="83"/>
      <c r="C894" s="26"/>
      <c r="D894" s="26"/>
      <c r="E894" s="26"/>
      <c r="F894" s="26"/>
      <c r="G894" s="26"/>
      <c r="H894" s="26"/>
      <c r="I894" s="26"/>
      <c r="J894" s="34"/>
      <c r="K894" s="63"/>
      <c r="L894" s="26"/>
      <c r="M894" s="26"/>
      <c r="N894" s="20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</row>
    <row r="895" spans="1:25" ht="13">
      <c r="A895" s="26"/>
      <c r="B895" s="83"/>
      <c r="C895" s="26"/>
      <c r="D895" s="26"/>
      <c r="E895" s="26"/>
      <c r="F895" s="26"/>
      <c r="G895" s="26"/>
      <c r="H895" s="26"/>
      <c r="I895" s="26"/>
      <c r="J895" s="34"/>
      <c r="K895" s="63"/>
      <c r="L895" s="26"/>
      <c r="M895" s="26"/>
      <c r="N895" s="20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</row>
    <row r="896" spans="1:25" ht="13">
      <c r="A896" s="26"/>
      <c r="B896" s="83"/>
      <c r="C896" s="26"/>
      <c r="D896" s="26"/>
      <c r="E896" s="26"/>
      <c r="F896" s="26"/>
      <c r="G896" s="26"/>
      <c r="H896" s="26"/>
      <c r="I896" s="26"/>
      <c r="J896" s="34"/>
      <c r="K896" s="63"/>
      <c r="L896" s="26"/>
      <c r="M896" s="26"/>
      <c r="N896" s="20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</row>
    <row r="897" spans="1:25" ht="13">
      <c r="A897" s="26"/>
      <c r="B897" s="83"/>
      <c r="C897" s="26"/>
      <c r="D897" s="26"/>
      <c r="E897" s="26"/>
      <c r="F897" s="26"/>
      <c r="G897" s="26"/>
      <c r="H897" s="26"/>
      <c r="I897" s="26"/>
      <c r="J897" s="34"/>
      <c r="K897" s="63"/>
      <c r="L897" s="26"/>
      <c r="M897" s="26"/>
      <c r="N897" s="20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</row>
    <row r="898" spans="1:25" ht="13">
      <c r="A898" s="26"/>
      <c r="B898" s="83"/>
      <c r="C898" s="26"/>
      <c r="D898" s="26"/>
      <c r="E898" s="26"/>
      <c r="F898" s="26"/>
      <c r="G898" s="26"/>
      <c r="H898" s="26"/>
      <c r="I898" s="26"/>
      <c r="J898" s="34"/>
      <c r="K898" s="63"/>
      <c r="L898" s="26"/>
      <c r="M898" s="26"/>
      <c r="N898" s="20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</row>
    <row r="899" spans="1:25" ht="13">
      <c r="A899" s="26"/>
      <c r="B899" s="83"/>
      <c r="C899" s="26"/>
      <c r="D899" s="26"/>
      <c r="E899" s="26"/>
      <c r="F899" s="26"/>
      <c r="G899" s="26"/>
      <c r="H899" s="26"/>
      <c r="I899" s="26"/>
      <c r="J899" s="34"/>
      <c r="K899" s="63"/>
      <c r="L899" s="26"/>
      <c r="M899" s="26"/>
      <c r="N899" s="20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</row>
    <row r="900" spans="1:25" ht="13">
      <c r="A900" s="26"/>
      <c r="B900" s="83"/>
      <c r="C900" s="26"/>
      <c r="D900" s="26"/>
      <c r="E900" s="26"/>
      <c r="F900" s="26"/>
      <c r="G900" s="26"/>
      <c r="H900" s="26"/>
      <c r="I900" s="26"/>
      <c r="J900" s="34"/>
      <c r="K900" s="63"/>
      <c r="L900" s="26"/>
      <c r="M900" s="26"/>
      <c r="N900" s="20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</row>
    <row r="901" spans="1:25" ht="13">
      <c r="A901" s="26"/>
      <c r="B901" s="83"/>
      <c r="C901" s="26"/>
      <c r="D901" s="26"/>
      <c r="E901" s="26"/>
      <c r="F901" s="26"/>
      <c r="G901" s="26"/>
      <c r="H901" s="26"/>
      <c r="I901" s="26"/>
      <c r="J901" s="34"/>
      <c r="K901" s="63"/>
      <c r="L901" s="26"/>
      <c r="M901" s="26"/>
      <c r="N901" s="20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</row>
    <row r="902" spans="1:25" ht="13">
      <c r="A902" s="26"/>
      <c r="B902" s="83"/>
      <c r="C902" s="26"/>
      <c r="D902" s="26"/>
      <c r="E902" s="26"/>
      <c r="F902" s="26"/>
      <c r="G902" s="26"/>
      <c r="H902" s="26"/>
      <c r="I902" s="26"/>
      <c r="J902" s="34"/>
      <c r="K902" s="63"/>
      <c r="L902" s="26"/>
      <c r="M902" s="26"/>
      <c r="N902" s="20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</row>
    <row r="903" spans="1:25" ht="13">
      <c r="A903" s="26"/>
      <c r="B903" s="83"/>
      <c r="C903" s="26"/>
      <c r="D903" s="26"/>
      <c r="E903" s="26"/>
      <c r="F903" s="26"/>
      <c r="G903" s="26"/>
      <c r="H903" s="26"/>
      <c r="I903" s="26"/>
      <c r="J903" s="34"/>
      <c r="K903" s="63"/>
      <c r="L903" s="26"/>
      <c r="M903" s="26"/>
      <c r="N903" s="20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</row>
    <row r="904" spans="1:25" ht="13">
      <c r="A904" s="26"/>
      <c r="B904" s="83"/>
      <c r="C904" s="26"/>
      <c r="D904" s="26"/>
      <c r="E904" s="26"/>
      <c r="F904" s="26"/>
      <c r="G904" s="26"/>
      <c r="H904" s="26"/>
      <c r="I904" s="26"/>
      <c r="J904" s="34"/>
      <c r="K904" s="63"/>
      <c r="L904" s="26"/>
      <c r="M904" s="26"/>
      <c r="N904" s="20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</row>
    <row r="905" spans="1:25" ht="13">
      <c r="A905" s="26"/>
      <c r="B905" s="83"/>
      <c r="C905" s="26"/>
      <c r="D905" s="26"/>
      <c r="E905" s="26"/>
      <c r="F905" s="26"/>
      <c r="G905" s="26"/>
      <c r="H905" s="26"/>
      <c r="I905" s="26"/>
      <c r="J905" s="34"/>
      <c r="K905" s="63"/>
      <c r="L905" s="26"/>
      <c r="M905" s="26"/>
      <c r="N905" s="20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</row>
    <row r="906" spans="1:25" ht="13">
      <c r="A906" s="26"/>
      <c r="B906" s="83"/>
      <c r="C906" s="26"/>
      <c r="D906" s="26"/>
      <c r="E906" s="26"/>
      <c r="F906" s="26"/>
      <c r="G906" s="26"/>
      <c r="H906" s="26"/>
      <c r="I906" s="26"/>
      <c r="J906" s="34"/>
      <c r="K906" s="63"/>
      <c r="L906" s="26"/>
      <c r="M906" s="26"/>
      <c r="N906" s="20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</row>
    <row r="907" spans="1:25" ht="13">
      <c r="A907" s="26"/>
      <c r="B907" s="83"/>
      <c r="C907" s="26"/>
      <c r="D907" s="26"/>
      <c r="E907" s="26"/>
      <c r="F907" s="26"/>
      <c r="G907" s="26"/>
      <c r="H907" s="26"/>
      <c r="I907" s="26"/>
      <c r="J907" s="34"/>
      <c r="K907" s="63"/>
      <c r="L907" s="26"/>
      <c r="M907" s="26"/>
      <c r="N907" s="20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</row>
    <row r="908" spans="1:25" ht="13">
      <c r="A908" s="26"/>
      <c r="B908" s="83"/>
      <c r="C908" s="26"/>
      <c r="D908" s="26"/>
      <c r="E908" s="26"/>
      <c r="F908" s="26"/>
      <c r="G908" s="26"/>
      <c r="H908" s="26"/>
      <c r="I908" s="26"/>
      <c r="J908" s="34"/>
      <c r="K908" s="63"/>
      <c r="L908" s="26"/>
      <c r="M908" s="26"/>
      <c r="N908" s="20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</row>
    <row r="909" spans="1:25" ht="13">
      <c r="A909" s="26"/>
      <c r="B909" s="83"/>
      <c r="C909" s="26"/>
      <c r="D909" s="26"/>
      <c r="E909" s="26"/>
      <c r="F909" s="26"/>
      <c r="G909" s="26"/>
      <c r="H909" s="26"/>
      <c r="I909" s="26"/>
      <c r="J909" s="34"/>
      <c r="K909" s="63"/>
      <c r="L909" s="26"/>
      <c r="M909" s="26"/>
      <c r="N909" s="20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</row>
    <row r="910" spans="1:25" ht="13">
      <c r="A910" s="26"/>
      <c r="B910" s="83"/>
      <c r="C910" s="26"/>
      <c r="D910" s="26"/>
      <c r="E910" s="26"/>
      <c r="F910" s="26"/>
      <c r="G910" s="26"/>
      <c r="H910" s="26"/>
      <c r="I910" s="26"/>
      <c r="J910" s="34"/>
      <c r="K910" s="63"/>
      <c r="L910" s="26"/>
      <c r="M910" s="26"/>
      <c r="N910" s="20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</row>
    <row r="911" spans="1:25" ht="13">
      <c r="A911" s="26"/>
      <c r="B911" s="83"/>
      <c r="C911" s="26"/>
      <c r="D911" s="26"/>
      <c r="E911" s="26"/>
      <c r="F911" s="26"/>
      <c r="G911" s="26"/>
      <c r="H911" s="26"/>
      <c r="I911" s="26"/>
      <c r="J911" s="34"/>
      <c r="K911" s="63"/>
      <c r="L911" s="26"/>
      <c r="M911" s="26"/>
      <c r="N911" s="20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</row>
    <row r="912" spans="1:25" ht="13">
      <c r="A912" s="26"/>
      <c r="B912" s="83"/>
      <c r="C912" s="26"/>
      <c r="D912" s="26"/>
      <c r="E912" s="26"/>
      <c r="F912" s="26"/>
      <c r="G912" s="26"/>
      <c r="H912" s="26"/>
      <c r="I912" s="26"/>
      <c r="J912" s="34"/>
      <c r="K912" s="63"/>
      <c r="L912" s="26"/>
      <c r="M912" s="26"/>
      <c r="N912" s="20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</row>
    <row r="913" spans="1:25" ht="13">
      <c r="A913" s="26"/>
      <c r="B913" s="83"/>
      <c r="C913" s="26"/>
      <c r="D913" s="26"/>
      <c r="E913" s="26"/>
      <c r="F913" s="26"/>
      <c r="G913" s="26"/>
      <c r="H913" s="26"/>
      <c r="I913" s="26"/>
      <c r="J913" s="34"/>
      <c r="K913" s="63"/>
      <c r="L913" s="26"/>
      <c r="M913" s="26"/>
      <c r="N913" s="20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</row>
    <row r="914" spans="1:25" ht="13">
      <c r="A914" s="26"/>
      <c r="B914" s="83"/>
      <c r="C914" s="26"/>
      <c r="D914" s="26"/>
      <c r="E914" s="26"/>
      <c r="F914" s="26"/>
      <c r="G914" s="26"/>
      <c r="H914" s="26"/>
      <c r="I914" s="26"/>
      <c r="J914" s="34"/>
      <c r="K914" s="63"/>
      <c r="L914" s="26"/>
      <c r="M914" s="26"/>
      <c r="N914" s="20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</row>
    <row r="915" spans="1:25" ht="13">
      <c r="A915" s="26"/>
      <c r="B915" s="83"/>
      <c r="C915" s="26"/>
      <c r="D915" s="26"/>
      <c r="E915" s="26"/>
      <c r="F915" s="26"/>
      <c r="G915" s="26"/>
      <c r="H915" s="26"/>
      <c r="I915" s="26"/>
      <c r="J915" s="34"/>
      <c r="K915" s="63"/>
      <c r="L915" s="26"/>
      <c r="M915" s="26"/>
      <c r="N915" s="20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</row>
    <row r="916" spans="1:25" ht="13">
      <c r="A916" s="26"/>
      <c r="B916" s="83"/>
      <c r="C916" s="26"/>
      <c r="D916" s="26"/>
      <c r="E916" s="26"/>
      <c r="F916" s="26"/>
      <c r="G916" s="26"/>
      <c r="H916" s="26"/>
      <c r="I916" s="26"/>
      <c r="J916" s="34"/>
      <c r="K916" s="63"/>
      <c r="L916" s="26"/>
      <c r="M916" s="26"/>
      <c r="N916" s="20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</row>
    <row r="917" spans="1:25" ht="13">
      <c r="A917" s="26"/>
      <c r="B917" s="83"/>
      <c r="C917" s="26"/>
      <c r="D917" s="26"/>
      <c r="E917" s="26"/>
      <c r="F917" s="26"/>
      <c r="G917" s="26"/>
      <c r="H917" s="26"/>
      <c r="I917" s="26"/>
      <c r="J917" s="34"/>
      <c r="K917" s="63"/>
      <c r="L917" s="26"/>
      <c r="M917" s="26"/>
      <c r="N917" s="20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</row>
    <row r="918" spans="1:25" ht="13">
      <c r="A918" s="26"/>
      <c r="B918" s="83"/>
      <c r="C918" s="26"/>
      <c r="D918" s="26"/>
      <c r="E918" s="26"/>
      <c r="F918" s="26"/>
      <c r="G918" s="26"/>
      <c r="H918" s="26"/>
      <c r="I918" s="26"/>
      <c r="J918" s="34"/>
      <c r="K918" s="63"/>
      <c r="L918" s="26"/>
      <c r="M918" s="26"/>
      <c r="N918" s="20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</row>
    <row r="919" spans="1:25" ht="13">
      <c r="A919" s="26"/>
      <c r="B919" s="83"/>
      <c r="C919" s="26"/>
      <c r="D919" s="26"/>
      <c r="E919" s="26"/>
      <c r="F919" s="26"/>
      <c r="G919" s="26"/>
      <c r="H919" s="26"/>
      <c r="I919" s="26"/>
      <c r="J919" s="34"/>
      <c r="K919" s="63"/>
      <c r="L919" s="26"/>
      <c r="M919" s="26"/>
      <c r="N919" s="20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</row>
    <row r="920" spans="1:25" ht="13">
      <c r="A920" s="26"/>
      <c r="B920" s="83"/>
      <c r="C920" s="26"/>
      <c r="D920" s="26"/>
      <c r="E920" s="26"/>
      <c r="F920" s="26"/>
      <c r="G920" s="26"/>
      <c r="H920" s="26"/>
      <c r="I920" s="26"/>
      <c r="J920" s="34"/>
      <c r="K920" s="63"/>
      <c r="L920" s="26"/>
      <c r="M920" s="26"/>
      <c r="N920" s="20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</row>
    <row r="921" spans="1:25" ht="13">
      <c r="A921" s="26"/>
      <c r="B921" s="83"/>
      <c r="C921" s="26"/>
      <c r="D921" s="26"/>
      <c r="E921" s="26"/>
      <c r="F921" s="26"/>
      <c r="G921" s="26"/>
      <c r="H921" s="26"/>
      <c r="I921" s="26"/>
      <c r="J921" s="34"/>
      <c r="K921" s="63"/>
      <c r="L921" s="26"/>
      <c r="M921" s="26"/>
      <c r="N921" s="20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</row>
    <row r="922" spans="1:25" ht="13">
      <c r="A922" s="26"/>
      <c r="B922" s="83"/>
      <c r="C922" s="26"/>
      <c r="D922" s="26"/>
      <c r="E922" s="26"/>
      <c r="F922" s="26"/>
      <c r="G922" s="26"/>
      <c r="H922" s="26"/>
      <c r="I922" s="26"/>
      <c r="J922" s="34"/>
      <c r="K922" s="63"/>
      <c r="L922" s="26"/>
      <c r="M922" s="26"/>
      <c r="N922" s="20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</row>
    <row r="923" spans="1:25" ht="13">
      <c r="A923" s="26"/>
      <c r="B923" s="83"/>
      <c r="C923" s="26"/>
      <c r="D923" s="26"/>
      <c r="E923" s="26"/>
      <c r="F923" s="26"/>
      <c r="G923" s="26"/>
      <c r="H923" s="26"/>
      <c r="I923" s="26"/>
      <c r="J923" s="34"/>
      <c r="K923" s="63"/>
      <c r="L923" s="26"/>
      <c r="M923" s="26"/>
      <c r="N923" s="20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</row>
    <row r="924" spans="1:25" ht="13">
      <c r="A924" s="26"/>
      <c r="B924" s="83"/>
      <c r="C924" s="26"/>
      <c r="D924" s="26"/>
      <c r="E924" s="26"/>
      <c r="F924" s="26"/>
      <c r="G924" s="26"/>
      <c r="H924" s="26"/>
      <c r="I924" s="26"/>
      <c r="J924" s="34"/>
      <c r="K924" s="63"/>
      <c r="L924" s="26"/>
      <c r="M924" s="26"/>
      <c r="N924" s="20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</row>
    <row r="925" spans="1:25" ht="13">
      <c r="A925" s="26"/>
      <c r="B925" s="83"/>
      <c r="C925" s="26"/>
      <c r="D925" s="26"/>
      <c r="E925" s="26"/>
      <c r="F925" s="26"/>
      <c r="G925" s="26"/>
      <c r="H925" s="26"/>
      <c r="I925" s="26"/>
      <c r="J925" s="34"/>
      <c r="K925" s="63"/>
      <c r="L925" s="26"/>
      <c r="M925" s="26"/>
      <c r="N925" s="20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</row>
    <row r="926" spans="1:25" ht="13">
      <c r="A926" s="26"/>
      <c r="B926" s="83"/>
      <c r="C926" s="26"/>
      <c r="D926" s="26"/>
      <c r="E926" s="26"/>
      <c r="F926" s="26"/>
      <c r="G926" s="26"/>
      <c r="H926" s="26"/>
      <c r="I926" s="26"/>
      <c r="J926" s="34"/>
      <c r="K926" s="63"/>
      <c r="L926" s="26"/>
      <c r="M926" s="26"/>
      <c r="N926" s="20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</row>
    <row r="927" spans="1:25" ht="13">
      <c r="A927" s="26"/>
      <c r="B927" s="83"/>
      <c r="C927" s="26"/>
      <c r="D927" s="26"/>
      <c r="E927" s="26"/>
      <c r="F927" s="26"/>
      <c r="G927" s="26"/>
      <c r="H927" s="26"/>
      <c r="I927" s="26"/>
      <c r="J927" s="34"/>
      <c r="K927" s="63"/>
      <c r="L927" s="26"/>
      <c r="M927" s="26"/>
      <c r="N927" s="20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</row>
    <row r="928" spans="1:25" ht="13">
      <c r="A928" s="26"/>
      <c r="B928" s="83"/>
      <c r="C928" s="26"/>
      <c r="D928" s="26"/>
      <c r="E928" s="26"/>
      <c r="F928" s="26"/>
      <c r="G928" s="26"/>
      <c r="H928" s="26"/>
      <c r="I928" s="26"/>
      <c r="J928" s="34"/>
      <c r="K928" s="63"/>
      <c r="L928" s="26"/>
      <c r="M928" s="26"/>
      <c r="N928" s="20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</row>
    <row r="929" spans="1:25" ht="13">
      <c r="A929" s="26"/>
      <c r="B929" s="83"/>
      <c r="C929" s="26"/>
      <c r="D929" s="26"/>
      <c r="E929" s="26"/>
      <c r="F929" s="26"/>
      <c r="G929" s="26"/>
      <c r="H929" s="26"/>
      <c r="I929" s="26"/>
      <c r="J929" s="34"/>
      <c r="K929" s="63"/>
      <c r="L929" s="26"/>
      <c r="M929" s="26"/>
      <c r="N929" s="20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</row>
    <row r="930" spans="1:25" ht="13">
      <c r="A930" s="26"/>
      <c r="B930" s="83"/>
      <c r="C930" s="26"/>
      <c r="D930" s="26"/>
      <c r="E930" s="26"/>
      <c r="F930" s="26"/>
      <c r="G930" s="26"/>
      <c r="H930" s="26"/>
      <c r="I930" s="26"/>
      <c r="J930" s="34"/>
      <c r="K930" s="63"/>
      <c r="L930" s="26"/>
      <c r="M930" s="26"/>
      <c r="N930" s="20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</row>
    <row r="931" spans="1:25" ht="13">
      <c r="A931" s="26"/>
      <c r="B931" s="83"/>
      <c r="C931" s="26"/>
      <c r="D931" s="26"/>
      <c r="E931" s="26"/>
      <c r="F931" s="26"/>
      <c r="G931" s="26"/>
      <c r="H931" s="26"/>
      <c r="I931" s="26"/>
      <c r="J931" s="34"/>
      <c r="K931" s="63"/>
      <c r="L931" s="26"/>
      <c r="M931" s="26"/>
      <c r="N931" s="20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</row>
    <row r="932" spans="1:25" ht="13">
      <c r="A932" s="26"/>
      <c r="B932" s="83"/>
      <c r="C932" s="26"/>
      <c r="D932" s="26"/>
      <c r="E932" s="26"/>
      <c r="F932" s="26"/>
      <c r="G932" s="26"/>
      <c r="H932" s="26"/>
      <c r="I932" s="26"/>
      <c r="J932" s="34"/>
      <c r="K932" s="63"/>
      <c r="L932" s="26"/>
      <c r="M932" s="26"/>
      <c r="N932" s="20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</row>
    <row r="933" spans="1:25" ht="13">
      <c r="A933" s="26"/>
      <c r="B933" s="83"/>
      <c r="C933" s="26"/>
      <c r="D933" s="26"/>
      <c r="E933" s="26"/>
      <c r="F933" s="26"/>
      <c r="G933" s="26"/>
      <c r="H933" s="26"/>
      <c r="I933" s="26"/>
      <c r="J933" s="34"/>
      <c r="K933" s="63"/>
      <c r="L933" s="26"/>
      <c r="M933" s="26"/>
      <c r="N933" s="20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</row>
    <row r="934" spans="1:25" ht="13">
      <c r="A934" s="26"/>
      <c r="B934" s="83"/>
      <c r="C934" s="26"/>
      <c r="D934" s="26"/>
      <c r="E934" s="26"/>
      <c r="F934" s="26"/>
      <c r="G934" s="26"/>
      <c r="H934" s="26"/>
      <c r="I934" s="26"/>
      <c r="J934" s="34"/>
      <c r="K934" s="63"/>
      <c r="L934" s="26"/>
      <c r="M934" s="26"/>
      <c r="N934" s="20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</row>
    <row r="935" spans="1:25" ht="13">
      <c r="A935" s="26"/>
      <c r="B935" s="83"/>
      <c r="C935" s="26"/>
      <c r="D935" s="26"/>
      <c r="E935" s="26"/>
      <c r="F935" s="26"/>
      <c r="G935" s="26"/>
      <c r="H935" s="26"/>
      <c r="I935" s="26"/>
      <c r="J935" s="34"/>
      <c r="K935" s="63"/>
      <c r="L935" s="26"/>
      <c r="M935" s="26"/>
      <c r="N935" s="20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</row>
    <row r="936" spans="1:25" ht="13">
      <c r="A936" s="26"/>
      <c r="B936" s="83"/>
      <c r="C936" s="26"/>
      <c r="D936" s="26"/>
      <c r="E936" s="26"/>
      <c r="F936" s="26"/>
      <c r="G936" s="26"/>
      <c r="H936" s="26"/>
      <c r="I936" s="26"/>
      <c r="J936" s="34"/>
      <c r="K936" s="63"/>
      <c r="L936" s="26"/>
      <c r="M936" s="26"/>
      <c r="N936" s="20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</row>
    <row r="937" spans="1:25" ht="13">
      <c r="A937" s="26"/>
      <c r="B937" s="83"/>
      <c r="C937" s="26"/>
      <c r="D937" s="26"/>
      <c r="E937" s="26"/>
      <c r="F937" s="26"/>
      <c r="G937" s="26"/>
      <c r="H937" s="26"/>
      <c r="I937" s="26"/>
      <c r="J937" s="34"/>
      <c r="K937" s="63"/>
      <c r="L937" s="26"/>
      <c r="M937" s="26"/>
      <c r="N937" s="20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</row>
    <row r="938" spans="1:25" ht="13">
      <c r="A938" s="26"/>
      <c r="B938" s="83"/>
      <c r="C938" s="26"/>
      <c r="D938" s="26"/>
      <c r="E938" s="26"/>
      <c r="F938" s="26"/>
      <c r="G938" s="26"/>
      <c r="H938" s="26"/>
      <c r="I938" s="26"/>
      <c r="J938" s="34"/>
      <c r="K938" s="63"/>
      <c r="L938" s="26"/>
      <c r="M938" s="26"/>
      <c r="N938" s="20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</row>
    <row r="939" spans="1:25" ht="13">
      <c r="A939" s="26"/>
      <c r="B939" s="83"/>
      <c r="C939" s="26"/>
      <c r="D939" s="26"/>
      <c r="E939" s="26"/>
      <c r="F939" s="26"/>
      <c r="G939" s="26"/>
      <c r="H939" s="26"/>
      <c r="I939" s="26"/>
      <c r="J939" s="34"/>
      <c r="K939" s="63"/>
      <c r="L939" s="26"/>
      <c r="M939" s="26"/>
      <c r="N939" s="20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</row>
    <row r="940" spans="1:25" ht="13">
      <c r="A940" s="26"/>
      <c r="B940" s="83"/>
      <c r="C940" s="26"/>
      <c r="D940" s="26"/>
      <c r="E940" s="26"/>
      <c r="F940" s="26"/>
      <c r="G940" s="26"/>
      <c r="H940" s="26"/>
      <c r="I940" s="26"/>
      <c r="J940" s="34"/>
      <c r="K940" s="63"/>
      <c r="L940" s="26"/>
      <c r="M940" s="26"/>
      <c r="N940" s="20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</row>
    <row r="941" spans="1:25" ht="13">
      <c r="A941" s="26"/>
      <c r="B941" s="83"/>
      <c r="C941" s="26"/>
      <c r="D941" s="26"/>
      <c r="E941" s="26"/>
      <c r="F941" s="26"/>
      <c r="G941" s="26"/>
      <c r="H941" s="26"/>
      <c r="I941" s="26"/>
      <c r="J941" s="34"/>
      <c r="K941" s="63"/>
      <c r="L941" s="26"/>
      <c r="M941" s="26"/>
      <c r="N941" s="20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</row>
    <row r="942" spans="1:25" ht="13">
      <c r="A942" s="26"/>
      <c r="B942" s="83"/>
      <c r="C942" s="26"/>
      <c r="D942" s="26"/>
      <c r="E942" s="26"/>
      <c r="F942" s="26"/>
      <c r="G942" s="26"/>
      <c r="H942" s="26"/>
      <c r="I942" s="26"/>
      <c r="J942" s="34"/>
      <c r="K942" s="63"/>
      <c r="L942" s="26"/>
      <c r="M942" s="26"/>
      <c r="N942" s="20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</row>
    <row r="943" spans="1:25" ht="13">
      <c r="A943" s="26"/>
      <c r="B943" s="83"/>
      <c r="C943" s="26"/>
      <c r="D943" s="26"/>
      <c r="E943" s="26"/>
      <c r="F943" s="26"/>
      <c r="G943" s="26"/>
      <c r="H943" s="26"/>
      <c r="I943" s="26"/>
      <c r="J943" s="34"/>
      <c r="K943" s="63"/>
      <c r="L943" s="26"/>
      <c r="M943" s="26"/>
      <c r="N943" s="20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</row>
    <row r="944" spans="1:25" ht="13">
      <c r="A944" s="26"/>
      <c r="B944" s="83"/>
      <c r="C944" s="26"/>
      <c r="D944" s="26"/>
      <c r="E944" s="26"/>
      <c r="F944" s="26"/>
      <c r="G944" s="26"/>
      <c r="H944" s="26"/>
      <c r="I944" s="26"/>
      <c r="J944" s="34"/>
      <c r="K944" s="63"/>
      <c r="L944" s="26"/>
      <c r="M944" s="26"/>
      <c r="N944" s="20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</row>
    <row r="945" spans="1:25" ht="13">
      <c r="A945" s="26"/>
      <c r="B945" s="83"/>
      <c r="C945" s="26"/>
      <c r="D945" s="26"/>
      <c r="E945" s="26"/>
      <c r="F945" s="26"/>
      <c r="G945" s="26"/>
      <c r="H945" s="26"/>
      <c r="I945" s="26"/>
      <c r="J945" s="34"/>
      <c r="K945" s="63"/>
      <c r="L945" s="26"/>
      <c r="M945" s="26"/>
      <c r="N945" s="20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</row>
    <row r="946" spans="1:25" ht="13">
      <c r="A946" s="26"/>
      <c r="B946" s="83"/>
      <c r="C946" s="26"/>
      <c r="D946" s="26"/>
      <c r="E946" s="26"/>
      <c r="F946" s="26"/>
      <c r="G946" s="26"/>
      <c r="H946" s="26"/>
      <c r="I946" s="26"/>
      <c r="J946" s="34"/>
      <c r="K946" s="63"/>
      <c r="L946" s="26"/>
      <c r="M946" s="26"/>
      <c r="N946" s="20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</row>
    <row r="947" spans="1:25" ht="13">
      <c r="A947" s="26"/>
      <c r="B947" s="83"/>
      <c r="C947" s="26"/>
      <c r="D947" s="26"/>
      <c r="E947" s="26"/>
      <c r="F947" s="26"/>
      <c r="G947" s="26"/>
      <c r="H947" s="26"/>
      <c r="I947" s="26"/>
      <c r="J947" s="34"/>
      <c r="K947" s="63"/>
      <c r="L947" s="26"/>
      <c r="M947" s="26"/>
      <c r="N947" s="20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</row>
    <row r="948" spans="1:25" ht="13">
      <c r="A948" s="26"/>
      <c r="B948" s="83"/>
      <c r="C948" s="26"/>
      <c r="D948" s="26"/>
      <c r="E948" s="26"/>
      <c r="F948" s="26"/>
      <c r="G948" s="26"/>
      <c r="H948" s="26"/>
      <c r="I948" s="26"/>
      <c r="J948" s="34"/>
      <c r="K948" s="63"/>
      <c r="L948" s="26"/>
      <c r="M948" s="26"/>
      <c r="N948" s="20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</row>
    <row r="949" spans="1:25" ht="13">
      <c r="A949" s="26"/>
      <c r="B949" s="83"/>
      <c r="C949" s="26"/>
      <c r="D949" s="26"/>
      <c r="E949" s="26"/>
      <c r="F949" s="26"/>
      <c r="G949" s="26"/>
      <c r="H949" s="26"/>
      <c r="I949" s="26"/>
      <c r="J949" s="34"/>
      <c r="K949" s="63"/>
      <c r="L949" s="26"/>
      <c r="M949" s="26"/>
      <c r="N949" s="20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</row>
    <row r="950" spans="1:25" ht="13">
      <c r="A950" s="26"/>
      <c r="B950" s="83"/>
      <c r="C950" s="26"/>
      <c r="D950" s="26"/>
      <c r="E950" s="26"/>
      <c r="F950" s="26"/>
      <c r="G950" s="26"/>
      <c r="H950" s="26"/>
      <c r="I950" s="26"/>
      <c r="J950" s="34"/>
      <c r="K950" s="63"/>
      <c r="L950" s="26"/>
      <c r="M950" s="26"/>
      <c r="N950" s="20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</row>
    <row r="951" spans="1:25" ht="13">
      <c r="A951" s="26"/>
      <c r="B951" s="83"/>
      <c r="C951" s="26"/>
      <c r="D951" s="26"/>
      <c r="E951" s="26"/>
      <c r="F951" s="26"/>
      <c r="G951" s="26"/>
      <c r="H951" s="26"/>
      <c r="I951" s="26"/>
      <c r="J951" s="34"/>
      <c r="K951" s="63"/>
      <c r="L951" s="26"/>
      <c r="M951" s="26"/>
      <c r="N951" s="20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</row>
    <row r="952" spans="1:25" ht="13">
      <c r="A952" s="26"/>
      <c r="B952" s="83"/>
      <c r="C952" s="26"/>
      <c r="D952" s="26"/>
      <c r="E952" s="26"/>
      <c r="F952" s="26"/>
      <c r="G952" s="26"/>
      <c r="H952" s="26"/>
      <c r="I952" s="26"/>
      <c r="J952" s="34"/>
      <c r="K952" s="63"/>
      <c r="L952" s="26"/>
      <c r="M952" s="26"/>
      <c r="N952" s="20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</row>
    <row r="953" spans="1:25" ht="13">
      <c r="A953" s="26"/>
      <c r="B953" s="83"/>
      <c r="C953" s="26"/>
      <c r="D953" s="26"/>
      <c r="E953" s="26"/>
      <c r="F953" s="26"/>
      <c r="G953" s="26"/>
      <c r="H953" s="26"/>
      <c r="I953" s="26"/>
      <c r="J953" s="34"/>
      <c r="K953" s="63"/>
      <c r="L953" s="26"/>
      <c r="M953" s="26"/>
      <c r="N953" s="20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</row>
    <row r="954" spans="1:25" ht="13">
      <c r="A954" s="26"/>
      <c r="B954" s="83"/>
      <c r="C954" s="26"/>
      <c r="D954" s="26"/>
      <c r="E954" s="26"/>
      <c r="F954" s="26"/>
      <c r="G954" s="26"/>
      <c r="H954" s="26"/>
      <c r="I954" s="26"/>
      <c r="J954" s="34"/>
      <c r="K954" s="63"/>
      <c r="L954" s="26"/>
      <c r="M954" s="26"/>
      <c r="N954" s="20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</row>
    <row r="955" spans="1:25" ht="13">
      <c r="A955" s="26"/>
      <c r="B955" s="83"/>
      <c r="C955" s="26"/>
      <c r="D955" s="26"/>
      <c r="E955" s="26"/>
      <c r="F955" s="26"/>
      <c r="G955" s="26"/>
      <c r="H955" s="26"/>
      <c r="I955" s="26"/>
      <c r="J955" s="34"/>
      <c r="K955" s="63"/>
      <c r="L955" s="26"/>
      <c r="M955" s="26"/>
      <c r="N955" s="20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</row>
    <row r="956" spans="1:25" ht="13">
      <c r="A956" s="26"/>
      <c r="B956" s="83"/>
      <c r="C956" s="26"/>
      <c r="D956" s="26"/>
      <c r="E956" s="26"/>
      <c r="F956" s="26"/>
      <c r="G956" s="26"/>
      <c r="H956" s="26"/>
      <c r="I956" s="26"/>
      <c r="J956" s="34"/>
      <c r="K956" s="63"/>
      <c r="L956" s="26"/>
      <c r="M956" s="26"/>
      <c r="N956" s="20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</row>
    <row r="957" spans="1:25" ht="13">
      <c r="A957" s="26"/>
      <c r="B957" s="83"/>
      <c r="C957" s="26"/>
      <c r="D957" s="26"/>
      <c r="E957" s="26"/>
      <c r="F957" s="26"/>
      <c r="G957" s="26"/>
      <c r="H957" s="26"/>
      <c r="I957" s="26"/>
      <c r="J957" s="34"/>
      <c r="K957" s="63"/>
      <c r="L957" s="26"/>
      <c r="M957" s="26"/>
      <c r="N957" s="20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</row>
    <row r="958" spans="1:25" ht="13">
      <c r="A958" s="26"/>
      <c r="B958" s="83"/>
      <c r="C958" s="26"/>
      <c r="D958" s="26"/>
      <c r="E958" s="26"/>
      <c r="F958" s="26"/>
      <c r="G958" s="26"/>
      <c r="H958" s="26"/>
      <c r="I958" s="26"/>
      <c r="J958" s="34"/>
      <c r="K958" s="63"/>
      <c r="L958" s="26"/>
      <c r="M958" s="26"/>
      <c r="N958" s="20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</row>
    <row r="959" spans="1:25" ht="13">
      <c r="A959" s="26"/>
      <c r="B959" s="83"/>
      <c r="C959" s="26"/>
      <c r="D959" s="26"/>
      <c r="E959" s="26"/>
      <c r="F959" s="26"/>
      <c r="G959" s="26"/>
      <c r="H959" s="26"/>
      <c r="I959" s="26"/>
      <c r="J959" s="34"/>
      <c r="K959" s="63"/>
      <c r="L959" s="26"/>
      <c r="M959" s="26"/>
      <c r="N959" s="20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</row>
    <row r="960" spans="1:25" ht="13">
      <c r="A960" s="26"/>
      <c r="B960" s="83"/>
      <c r="C960" s="26"/>
      <c r="D960" s="26"/>
      <c r="E960" s="26"/>
      <c r="F960" s="26"/>
      <c r="G960" s="26"/>
      <c r="H960" s="26"/>
      <c r="I960" s="26"/>
      <c r="J960" s="34"/>
      <c r="K960" s="63"/>
      <c r="L960" s="26"/>
      <c r="M960" s="26"/>
      <c r="N960" s="20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</row>
    <row r="961" spans="1:25" ht="13">
      <c r="A961" s="26"/>
      <c r="B961" s="83"/>
      <c r="C961" s="26"/>
      <c r="D961" s="26"/>
      <c r="E961" s="26"/>
      <c r="F961" s="26"/>
      <c r="G961" s="26"/>
      <c r="H961" s="26"/>
      <c r="I961" s="26"/>
      <c r="J961" s="34"/>
      <c r="K961" s="63"/>
      <c r="L961" s="26"/>
      <c r="M961" s="26"/>
      <c r="N961" s="20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</row>
    <row r="962" spans="1:25" ht="13">
      <c r="A962" s="26"/>
      <c r="B962" s="83"/>
      <c r="C962" s="26"/>
      <c r="D962" s="26"/>
      <c r="E962" s="26"/>
      <c r="F962" s="26"/>
      <c r="G962" s="26"/>
      <c r="H962" s="26"/>
      <c r="I962" s="26"/>
      <c r="J962" s="34"/>
      <c r="K962" s="63"/>
      <c r="L962" s="26"/>
      <c r="M962" s="26"/>
      <c r="N962" s="20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</row>
    <row r="963" spans="1:25" ht="13">
      <c r="A963" s="26"/>
      <c r="B963" s="83"/>
      <c r="C963" s="26"/>
      <c r="D963" s="26"/>
      <c r="E963" s="26"/>
      <c r="F963" s="26"/>
      <c r="G963" s="26"/>
      <c r="H963" s="26"/>
      <c r="I963" s="26"/>
      <c r="J963" s="34"/>
      <c r="K963" s="63"/>
      <c r="L963" s="26"/>
      <c r="M963" s="26"/>
      <c r="N963" s="20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</row>
    <row r="964" spans="1:25" ht="13">
      <c r="A964" s="26"/>
      <c r="B964" s="83"/>
      <c r="C964" s="26"/>
      <c r="D964" s="26"/>
      <c r="E964" s="26"/>
      <c r="F964" s="26"/>
      <c r="G964" s="26"/>
      <c r="H964" s="26"/>
      <c r="I964" s="26"/>
      <c r="J964" s="34"/>
      <c r="K964" s="63"/>
      <c r="L964" s="26"/>
      <c r="M964" s="26"/>
      <c r="N964" s="20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</row>
    <row r="965" spans="1:25" ht="13">
      <c r="A965" s="26"/>
      <c r="B965" s="83"/>
      <c r="C965" s="26"/>
      <c r="D965" s="26"/>
      <c r="E965" s="26"/>
      <c r="F965" s="26"/>
      <c r="G965" s="26"/>
      <c r="H965" s="26"/>
      <c r="I965" s="26"/>
      <c r="J965" s="34"/>
      <c r="K965" s="63"/>
      <c r="L965" s="26"/>
      <c r="M965" s="26"/>
      <c r="N965" s="20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</row>
    <row r="966" spans="1:25" ht="13">
      <c r="A966" s="26"/>
      <c r="B966" s="83"/>
      <c r="C966" s="26"/>
      <c r="D966" s="26"/>
      <c r="E966" s="26"/>
      <c r="F966" s="26"/>
      <c r="G966" s="26"/>
      <c r="H966" s="26"/>
      <c r="I966" s="26"/>
      <c r="J966" s="34"/>
      <c r="K966" s="63"/>
      <c r="L966" s="26"/>
      <c r="M966" s="26"/>
      <c r="N966" s="20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</row>
    <row r="967" spans="1:25" ht="13">
      <c r="A967" s="26"/>
      <c r="B967" s="83"/>
      <c r="C967" s="26"/>
      <c r="D967" s="26"/>
      <c r="E967" s="26"/>
      <c r="F967" s="26"/>
      <c r="G967" s="26"/>
      <c r="H967" s="26"/>
      <c r="I967" s="26"/>
      <c r="J967" s="34"/>
      <c r="K967" s="63"/>
      <c r="L967" s="26"/>
      <c r="M967" s="26"/>
      <c r="N967" s="20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</row>
    <row r="968" spans="1:25" ht="13">
      <c r="A968" s="26"/>
      <c r="B968" s="83"/>
      <c r="C968" s="26"/>
      <c r="D968" s="26"/>
      <c r="E968" s="26"/>
      <c r="F968" s="26"/>
      <c r="G968" s="26"/>
      <c r="H968" s="26"/>
      <c r="I968" s="26"/>
      <c r="J968" s="34"/>
      <c r="K968" s="63"/>
      <c r="L968" s="26"/>
      <c r="M968" s="26"/>
      <c r="N968" s="20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</row>
    <row r="969" spans="1:25" ht="13">
      <c r="A969" s="26"/>
      <c r="B969" s="83"/>
      <c r="C969" s="26"/>
      <c r="D969" s="26"/>
      <c r="E969" s="26"/>
      <c r="F969" s="26"/>
      <c r="G969" s="26"/>
      <c r="H969" s="26"/>
      <c r="I969" s="26"/>
      <c r="J969" s="34"/>
      <c r="K969" s="63"/>
      <c r="L969" s="26"/>
      <c r="M969" s="26"/>
      <c r="N969" s="20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</row>
    <row r="970" spans="1:25" ht="13">
      <c r="A970" s="26"/>
      <c r="B970" s="83"/>
      <c r="C970" s="26"/>
      <c r="D970" s="26"/>
      <c r="E970" s="26"/>
      <c r="F970" s="26"/>
      <c r="G970" s="26"/>
      <c r="H970" s="26"/>
      <c r="I970" s="26"/>
      <c r="J970" s="34"/>
      <c r="K970" s="63"/>
      <c r="L970" s="26"/>
      <c r="M970" s="26"/>
      <c r="N970" s="20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</row>
    <row r="971" spans="1:25" ht="13">
      <c r="A971" s="26"/>
      <c r="B971" s="83"/>
      <c r="C971" s="26"/>
      <c r="D971" s="26"/>
      <c r="E971" s="26"/>
      <c r="F971" s="26"/>
      <c r="G971" s="26"/>
      <c r="H971" s="26"/>
      <c r="I971" s="26"/>
      <c r="J971" s="34"/>
      <c r="K971" s="63"/>
      <c r="L971" s="26"/>
      <c r="M971" s="26"/>
      <c r="N971" s="20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</row>
    <row r="972" spans="1:25" ht="13">
      <c r="A972" s="26"/>
      <c r="B972" s="83"/>
      <c r="C972" s="26"/>
      <c r="D972" s="26"/>
      <c r="E972" s="26"/>
      <c r="F972" s="26"/>
      <c r="G972" s="26"/>
      <c r="H972" s="26"/>
      <c r="I972" s="26"/>
      <c r="J972" s="34"/>
      <c r="K972" s="63"/>
      <c r="L972" s="26"/>
      <c r="M972" s="26"/>
      <c r="N972" s="20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</row>
    <row r="973" spans="1:25" ht="13">
      <c r="A973" s="26"/>
      <c r="B973" s="83"/>
      <c r="C973" s="26"/>
      <c r="D973" s="26"/>
      <c r="E973" s="26"/>
      <c r="F973" s="26"/>
      <c r="G973" s="26"/>
      <c r="H973" s="26"/>
      <c r="I973" s="26"/>
      <c r="J973" s="34"/>
      <c r="K973" s="63"/>
      <c r="L973" s="26"/>
      <c r="M973" s="26"/>
      <c r="N973" s="20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</row>
    <row r="974" spans="1:25" ht="13">
      <c r="A974" s="26"/>
      <c r="B974" s="83"/>
      <c r="C974" s="26"/>
      <c r="D974" s="26"/>
      <c r="E974" s="26"/>
      <c r="F974" s="26"/>
      <c r="G974" s="26"/>
      <c r="H974" s="26"/>
      <c r="I974" s="26"/>
      <c r="J974" s="34"/>
      <c r="K974" s="63"/>
      <c r="L974" s="26"/>
      <c r="M974" s="26"/>
      <c r="N974" s="20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</row>
    <row r="975" spans="1:25" ht="13">
      <c r="A975" s="26"/>
      <c r="B975" s="83"/>
      <c r="C975" s="26"/>
      <c r="D975" s="26"/>
      <c r="E975" s="26"/>
      <c r="F975" s="26"/>
      <c r="G975" s="26"/>
      <c r="H975" s="26"/>
      <c r="I975" s="26"/>
      <c r="J975" s="34"/>
      <c r="K975" s="63"/>
      <c r="L975" s="26"/>
      <c r="M975" s="26"/>
      <c r="N975" s="20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</row>
    <row r="976" spans="1:25" ht="13">
      <c r="A976" s="26"/>
      <c r="B976" s="83"/>
      <c r="C976" s="26"/>
      <c r="D976" s="26"/>
      <c r="E976" s="26"/>
      <c r="F976" s="26"/>
      <c r="G976" s="26"/>
      <c r="H976" s="26"/>
      <c r="I976" s="26"/>
      <c r="J976" s="34"/>
      <c r="K976" s="63"/>
      <c r="L976" s="26"/>
      <c r="M976" s="26"/>
      <c r="N976" s="20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</row>
    <row r="977" spans="1:25" ht="13">
      <c r="A977" s="26"/>
      <c r="B977" s="83"/>
      <c r="C977" s="26"/>
      <c r="D977" s="26"/>
      <c r="E977" s="26"/>
      <c r="F977" s="26"/>
      <c r="G977" s="26"/>
      <c r="H977" s="26"/>
      <c r="I977" s="26"/>
      <c r="J977" s="34"/>
      <c r="K977" s="63"/>
      <c r="L977" s="26"/>
      <c r="M977" s="26"/>
      <c r="N977" s="20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</row>
    <row r="978" spans="1:25" ht="13">
      <c r="A978" s="26"/>
      <c r="B978" s="83"/>
      <c r="C978" s="26"/>
      <c r="D978" s="26"/>
      <c r="E978" s="26"/>
      <c r="F978" s="26"/>
      <c r="G978" s="26"/>
      <c r="H978" s="26"/>
      <c r="I978" s="26"/>
      <c r="J978" s="34"/>
      <c r="K978" s="63"/>
      <c r="L978" s="26"/>
      <c r="M978" s="26"/>
      <c r="N978" s="20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</row>
    <row r="979" spans="1:25" ht="13">
      <c r="A979" s="26"/>
      <c r="B979" s="83"/>
      <c r="C979" s="26"/>
      <c r="D979" s="26"/>
      <c r="E979" s="26"/>
      <c r="F979" s="26"/>
      <c r="G979" s="26"/>
      <c r="H979" s="26"/>
      <c r="I979" s="26"/>
      <c r="J979" s="34"/>
      <c r="K979" s="63"/>
      <c r="L979" s="26"/>
      <c r="M979" s="26"/>
      <c r="N979" s="20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</row>
    <row r="980" spans="1:25" ht="13">
      <c r="A980" s="26"/>
      <c r="B980" s="83"/>
      <c r="C980" s="26"/>
      <c r="D980" s="26"/>
      <c r="E980" s="26"/>
      <c r="F980" s="26"/>
      <c r="G980" s="26"/>
      <c r="H980" s="26"/>
      <c r="I980" s="26"/>
      <c r="J980" s="34"/>
      <c r="K980" s="63"/>
      <c r="L980" s="26"/>
      <c r="M980" s="26"/>
      <c r="N980" s="20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</row>
    <row r="981" spans="1:25" ht="13">
      <c r="A981" s="26"/>
      <c r="B981" s="83"/>
      <c r="C981" s="26"/>
      <c r="D981" s="26"/>
      <c r="E981" s="26"/>
      <c r="F981" s="26"/>
      <c r="G981" s="26"/>
      <c r="H981" s="26"/>
      <c r="I981" s="26"/>
      <c r="J981" s="34"/>
      <c r="K981" s="63"/>
      <c r="L981" s="26"/>
      <c r="M981" s="26"/>
      <c r="N981" s="20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</row>
    <row r="982" spans="1:25" ht="13">
      <c r="A982" s="26"/>
      <c r="B982" s="83"/>
      <c r="C982" s="26"/>
      <c r="D982" s="26"/>
      <c r="E982" s="26"/>
      <c r="F982" s="26"/>
      <c r="G982" s="26"/>
      <c r="H982" s="26"/>
      <c r="I982" s="26"/>
      <c r="J982" s="34"/>
      <c r="K982" s="63"/>
      <c r="L982" s="26"/>
      <c r="M982" s="26"/>
      <c r="N982" s="20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</row>
    <row r="983" spans="1:25" ht="13">
      <c r="A983" s="26"/>
      <c r="B983" s="83"/>
      <c r="C983" s="26"/>
      <c r="D983" s="26"/>
      <c r="E983" s="26"/>
      <c r="F983" s="26"/>
      <c r="G983" s="26"/>
      <c r="H983" s="26"/>
      <c r="I983" s="26"/>
      <c r="J983" s="34"/>
      <c r="K983" s="63"/>
      <c r="L983" s="26"/>
      <c r="M983" s="26"/>
      <c r="N983" s="20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</row>
    <row r="984" spans="1:25" ht="13">
      <c r="A984" s="26"/>
      <c r="B984" s="83"/>
      <c r="C984" s="26"/>
      <c r="D984" s="26"/>
      <c r="E984" s="26"/>
      <c r="F984" s="26"/>
      <c r="G984" s="26"/>
      <c r="H984" s="26"/>
      <c r="I984" s="26"/>
      <c r="J984" s="34"/>
      <c r="K984" s="63"/>
      <c r="L984" s="26"/>
      <c r="M984" s="26"/>
      <c r="N984" s="20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</row>
    <row r="985" spans="1:25" ht="13">
      <c r="A985" s="26"/>
      <c r="B985" s="83"/>
      <c r="C985" s="26"/>
      <c r="D985" s="26"/>
      <c r="E985" s="26"/>
      <c r="F985" s="26"/>
      <c r="G985" s="26"/>
      <c r="H985" s="26"/>
      <c r="I985" s="26"/>
      <c r="J985" s="34"/>
      <c r="K985" s="63"/>
      <c r="L985" s="26"/>
      <c r="M985" s="26"/>
      <c r="N985" s="20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</row>
    <row r="986" spans="1:25" ht="13">
      <c r="A986" s="26"/>
      <c r="B986" s="83"/>
      <c r="C986" s="26"/>
      <c r="D986" s="26"/>
      <c r="E986" s="26"/>
      <c r="F986" s="26"/>
      <c r="G986" s="26"/>
      <c r="H986" s="26"/>
      <c r="I986" s="26"/>
      <c r="J986" s="34"/>
      <c r="K986" s="63"/>
      <c r="L986" s="26"/>
      <c r="M986" s="26"/>
      <c r="N986" s="20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</row>
    <row r="987" spans="1:25" ht="13">
      <c r="A987" s="26"/>
      <c r="B987" s="83"/>
      <c r="C987" s="26"/>
      <c r="D987" s="26"/>
      <c r="E987" s="26"/>
      <c r="F987" s="26"/>
      <c r="G987" s="26"/>
      <c r="H987" s="26"/>
      <c r="I987" s="26"/>
      <c r="J987" s="34"/>
      <c r="K987" s="63"/>
      <c r="L987" s="26"/>
      <c r="M987" s="26"/>
      <c r="N987" s="20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</row>
    <row r="988" spans="1:25" ht="13">
      <c r="A988" s="26"/>
      <c r="B988" s="83"/>
      <c r="C988" s="26"/>
      <c r="D988" s="26"/>
      <c r="E988" s="26"/>
      <c r="F988" s="26"/>
      <c r="G988" s="26"/>
      <c r="H988" s="26"/>
      <c r="I988" s="26"/>
      <c r="J988" s="34"/>
      <c r="K988" s="63"/>
      <c r="L988" s="26"/>
      <c r="M988" s="26"/>
      <c r="N988" s="20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</row>
    <row r="989" spans="1:25" ht="13">
      <c r="A989" s="26"/>
      <c r="B989" s="83"/>
      <c r="C989" s="26"/>
      <c r="D989" s="26"/>
      <c r="E989" s="26"/>
      <c r="F989" s="26"/>
      <c r="G989" s="26"/>
      <c r="H989" s="26"/>
      <c r="I989" s="26"/>
      <c r="J989" s="34"/>
      <c r="K989" s="63"/>
      <c r="L989" s="26"/>
      <c r="M989" s="26"/>
      <c r="N989" s="20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</row>
    <row r="990" spans="1:25" ht="13">
      <c r="A990" s="26"/>
      <c r="B990" s="83"/>
      <c r="C990" s="26"/>
      <c r="D990" s="26"/>
      <c r="E990" s="26"/>
      <c r="F990" s="26"/>
      <c r="G990" s="26"/>
      <c r="H990" s="26"/>
      <c r="I990" s="26"/>
      <c r="J990" s="34"/>
      <c r="K990" s="63"/>
      <c r="L990" s="26"/>
      <c r="M990" s="26"/>
      <c r="N990" s="20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</row>
    <row r="991" spans="1:25" ht="13">
      <c r="A991" s="26"/>
      <c r="B991" s="83"/>
      <c r="C991" s="26"/>
      <c r="D991" s="26"/>
      <c r="E991" s="26"/>
      <c r="F991" s="26"/>
      <c r="G991" s="26"/>
      <c r="H991" s="26"/>
      <c r="I991" s="26"/>
      <c r="J991" s="34"/>
      <c r="K991" s="63"/>
      <c r="L991" s="26"/>
      <c r="M991" s="26"/>
      <c r="N991" s="20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</row>
    <row r="992" spans="1:25" ht="13">
      <c r="A992" s="26"/>
      <c r="B992" s="83"/>
      <c r="C992" s="26"/>
      <c r="D992" s="26"/>
      <c r="E992" s="26"/>
      <c r="F992" s="26"/>
      <c r="G992" s="26"/>
      <c r="H992" s="26"/>
      <c r="I992" s="26"/>
      <c r="J992" s="34"/>
      <c r="K992" s="63"/>
      <c r="L992" s="26"/>
      <c r="M992" s="26"/>
      <c r="N992" s="20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</row>
    <row r="993" spans="1:25" ht="13">
      <c r="A993" s="26"/>
      <c r="B993" s="83"/>
      <c r="C993" s="26"/>
      <c r="D993" s="26"/>
      <c r="E993" s="26"/>
      <c r="F993" s="26"/>
      <c r="G993" s="26"/>
      <c r="H993" s="26"/>
      <c r="I993" s="26"/>
      <c r="J993" s="34"/>
      <c r="K993" s="63"/>
      <c r="L993" s="26"/>
      <c r="M993" s="26"/>
      <c r="N993" s="20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</row>
    <row r="994" spans="1:25" ht="13">
      <c r="A994" s="26"/>
      <c r="B994" s="83"/>
      <c r="C994" s="26"/>
      <c r="D994" s="26"/>
      <c r="E994" s="26"/>
      <c r="F994" s="26"/>
      <c r="G994" s="26"/>
      <c r="H994" s="26"/>
      <c r="I994" s="26"/>
      <c r="J994" s="34"/>
      <c r="K994" s="63"/>
      <c r="L994" s="26"/>
      <c r="M994" s="26"/>
      <c r="N994" s="20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</row>
    <row r="995" spans="1:25" ht="13">
      <c r="A995" s="26"/>
      <c r="B995" s="83"/>
      <c r="C995" s="26"/>
      <c r="D995" s="26"/>
      <c r="E995" s="26"/>
      <c r="F995" s="26"/>
      <c r="G995" s="26"/>
      <c r="H995" s="26"/>
      <c r="I995" s="26"/>
      <c r="J995" s="34"/>
      <c r="K995" s="63"/>
      <c r="L995" s="26"/>
      <c r="M995" s="26"/>
      <c r="N995" s="20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</row>
    <row r="996" spans="1:25" ht="13">
      <c r="A996" s="26"/>
      <c r="B996" s="83"/>
      <c r="C996" s="26"/>
      <c r="D996" s="26"/>
      <c r="E996" s="26"/>
      <c r="F996" s="26"/>
      <c r="G996" s="26"/>
      <c r="H996" s="26"/>
      <c r="I996" s="26"/>
      <c r="J996" s="34"/>
      <c r="K996" s="63"/>
      <c r="L996" s="26"/>
      <c r="M996" s="26"/>
      <c r="N996" s="20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</row>
    <row r="997" spans="1:25" ht="13">
      <c r="A997" s="26"/>
      <c r="B997" s="83"/>
      <c r="C997" s="26"/>
      <c r="D997" s="26"/>
      <c r="E997" s="26"/>
      <c r="F997" s="26"/>
      <c r="G997" s="26"/>
      <c r="H997" s="26"/>
      <c r="I997" s="26"/>
      <c r="J997" s="34"/>
      <c r="K997" s="63"/>
      <c r="L997" s="26"/>
      <c r="M997" s="26"/>
      <c r="N997" s="20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</row>
    <row r="998" spans="1:25" ht="13">
      <c r="A998" s="26"/>
      <c r="B998" s="83"/>
      <c r="C998" s="26"/>
      <c r="D998" s="26"/>
      <c r="E998" s="26"/>
      <c r="F998" s="26"/>
      <c r="G998" s="26"/>
      <c r="H998" s="26"/>
      <c r="I998" s="26"/>
      <c r="J998" s="34"/>
      <c r="K998" s="63"/>
      <c r="L998" s="26"/>
      <c r="M998" s="26"/>
      <c r="N998" s="20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</row>
    <row r="999" spans="1:25" ht="13">
      <c r="A999" s="26"/>
      <c r="B999" s="83"/>
      <c r="C999" s="26"/>
      <c r="D999" s="26"/>
      <c r="E999" s="26"/>
      <c r="F999" s="26"/>
      <c r="G999" s="26"/>
      <c r="H999" s="26"/>
      <c r="I999" s="26"/>
      <c r="J999" s="34"/>
      <c r="K999" s="63"/>
      <c r="L999" s="26"/>
      <c r="M999" s="26"/>
      <c r="N999" s="20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</row>
    <row r="1000" spans="1:25" ht="13">
      <c r="A1000" s="26"/>
      <c r="B1000" s="83"/>
      <c r="C1000" s="26"/>
      <c r="D1000" s="26"/>
      <c r="E1000" s="26"/>
      <c r="F1000" s="26"/>
      <c r="G1000" s="26"/>
      <c r="H1000" s="26"/>
      <c r="I1000" s="26"/>
      <c r="J1000" s="34"/>
      <c r="K1000" s="63"/>
      <c r="L1000" s="26"/>
      <c r="M1000" s="26"/>
      <c r="N1000" s="20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</row>
    <row r="1001" spans="1:25" ht="13">
      <c r="A1001" s="26"/>
      <c r="B1001" s="83"/>
      <c r="C1001" s="26"/>
      <c r="D1001" s="26"/>
      <c r="E1001" s="26"/>
      <c r="F1001" s="26"/>
      <c r="G1001" s="26"/>
      <c r="H1001" s="26"/>
      <c r="I1001" s="26"/>
      <c r="J1001" s="34"/>
      <c r="K1001" s="63"/>
      <c r="L1001" s="26"/>
      <c r="M1001" s="26"/>
      <c r="N1001" s="20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</row>
    <row r="1002" spans="1:25" ht="13">
      <c r="A1002" s="26"/>
      <c r="B1002" s="83"/>
      <c r="C1002" s="26"/>
      <c r="D1002" s="26"/>
      <c r="E1002" s="26"/>
      <c r="F1002" s="26"/>
      <c r="G1002" s="26"/>
      <c r="H1002" s="26"/>
      <c r="I1002" s="26"/>
      <c r="J1002" s="34"/>
      <c r="K1002" s="63"/>
      <c r="L1002" s="26"/>
      <c r="M1002" s="26"/>
      <c r="N1002" s="20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</row>
    <row r="1003" spans="1:25" ht="13">
      <c r="A1003" s="26"/>
      <c r="B1003" s="83"/>
      <c r="C1003" s="26"/>
      <c r="D1003" s="26"/>
      <c r="E1003" s="26"/>
      <c r="F1003" s="26"/>
      <c r="G1003" s="26"/>
      <c r="H1003" s="26"/>
      <c r="I1003" s="26"/>
      <c r="J1003" s="34"/>
      <c r="K1003" s="63"/>
      <c r="L1003" s="26"/>
      <c r="M1003" s="26"/>
      <c r="N1003" s="20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</row>
    <row r="1004" spans="1:25" ht="13">
      <c r="A1004" s="26"/>
      <c r="B1004" s="83"/>
      <c r="C1004" s="26"/>
      <c r="D1004" s="26"/>
      <c r="E1004" s="26"/>
      <c r="F1004" s="26"/>
      <c r="G1004" s="26"/>
      <c r="H1004" s="26"/>
      <c r="I1004" s="26"/>
      <c r="J1004" s="34"/>
      <c r="K1004" s="63"/>
      <c r="L1004" s="26"/>
      <c r="M1004" s="26"/>
      <c r="N1004" s="20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</row>
    <row r="1005" spans="1:25" ht="13">
      <c r="A1005" s="26"/>
      <c r="B1005" s="83"/>
      <c r="C1005" s="26"/>
      <c r="D1005" s="26"/>
      <c r="E1005" s="26"/>
      <c r="F1005" s="26"/>
      <c r="G1005" s="26"/>
      <c r="H1005" s="26"/>
      <c r="I1005" s="26"/>
      <c r="J1005" s="34"/>
      <c r="K1005" s="63"/>
      <c r="L1005" s="26"/>
      <c r="M1005" s="26"/>
      <c r="N1005" s="20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</row>
    <row r="1006" spans="1:25" ht="13">
      <c r="A1006" s="26"/>
      <c r="B1006" s="83"/>
      <c r="C1006" s="26"/>
      <c r="D1006" s="26"/>
      <c r="E1006" s="26"/>
      <c r="F1006" s="26"/>
      <c r="G1006" s="26"/>
      <c r="H1006" s="26"/>
      <c r="I1006" s="26"/>
      <c r="J1006" s="34"/>
      <c r="K1006" s="63"/>
      <c r="L1006" s="26"/>
      <c r="M1006" s="26"/>
      <c r="N1006" s="20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</row>
    <row r="1007" spans="1:25" ht="13">
      <c r="A1007" s="26"/>
      <c r="B1007" s="83"/>
      <c r="C1007" s="26"/>
      <c r="D1007" s="26"/>
      <c r="E1007" s="26"/>
      <c r="F1007" s="26"/>
      <c r="G1007" s="26"/>
      <c r="H1007" s="26"/>
      <c r="I1007" s="26"/>
      <c r="J1007" s="34"/>
      <c r="K1007" s="63"/>
      <c r="L1007" s="26"/>
      <c r="M1007" s="26"/>
      <c r="N1007" s="20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</row>
    <row r="1008" spans="1:25" ht="13">
      <c r="A1008" s="26"/>
      <c r="B1008" s="83"/>
      <c r="C1008" s="26"/>
      <c r="D1008" s="26"/>
      <c r="E1008" s="26"/>
      <c r="F1008" s="26"/>
      <c r="G1008" s="26"/>
      <c r="H1008" s="26"/>
      <c r="I1008" s="26"/>
      <c r="J1008" s="34"/>
      <c r="K1008" s="63"/>
      <c r="L1008" s="26"/>
      <c r="M1008" s="26"/>
      <c r="N1008" s="20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</row>
    <row r="1009" spans="1:25" ht="13">
      <c r="A1009" s="26"/>
      <c r="B1009" s="83"/>
      <c r="C1009" s="26"/>
      <c r="D1009" s="26"/>
      <c r="E1009" s="26"/>
      <c r="F1009" s="26"/>
      <c r="G1009" s="26"/>
      <c r="H1009" s="26"/>
      <c r="I1009" s="26"/>
      <c r="J1009" s="34"/>
      <c r="K1009" s="63"/>
      <c r="L1009" s="26"/>
      <c r="M1009" s="26"/>
      <c r="N1009" s="20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</row>
    <row r="1010" spans="1:25" ht="13">
      <c r="A1010" s="26"/>
      <c r="B1010" s="83"/>
      <c r="C1010" s="26"/>
      <c r="D1010" s="26"/>
      <c r="E1010" s="26"/>
      <c r="F1010" s="26"/>
      <c r="G1010" s="26"/>
      <c r="H1010" s="26"/>
      <c r="I1010" s="26"/>
      <c r="J1010" s="34"/>
      <c r="K1010" s="63"/>
      <c r="L1010" s="26"/>
      <c r="M1010" s="26"/>
      <c r="N1010" s="20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</row>
    <row r="1011" spans="1:25" ht="13">
      <c r="A1011" s="26"/>
      <c r="B1011" s="83"/>
      <c r="C1011" s="26"/>
      <c r="D1011" s="26"/>
      <c r="E1011" s="26"/>
      <c r="F1011" s="26"/>
      <c r="G1011" s="26"/>
      <c r="H1011" s="26"/>
      <c r="I1011" s="26"/>
      <c r="J1011" s="34"/>
      <c r="K1011" s="63"/>
      <c r="L1011" s="26"/>
      <c r="M1011" s="26"/>
      <c r="N1011" s="20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</row>
    <row r="1012" spans="1:25" ht="13">
      <c r="A1012" s="26"/>
      <c r="B1012" s="83"/>
      <c r="C1012" s="26"/>
      <c r="D1012" s="26"/>
      <c r="E1012" s="26"/>
      <c r="F1012" s="26"/>
      <c r="G1012" s="26"/>
      <c r="H1012" s="26"/>
      <c r="I1012" s="26"/>
      <c r="J1012" s="34"/>
      <c r="K1012" s="63"/>
      <c r="L1012" s="26"/>
      <c r="M1012" s="26"/>
      <c r="N1012" s="20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</row>
    <row r="1013" spans="1:25" ht="13">
      <c r="A1013" s="26"/>
      <c r="B1013" s="83"/>
      <c r="C1013" s="26"/>
      <c r="D1013" s="26"/>
      <c r="E1013" s="26"/>
      <c r="F1013" s="26"/>
      <c r="G1013" s="26"/>
      <c r="H1013" s="26"/>
      <c r="I1013" s="26"/>
      <c r="J1013" s="34"/>
      <c r="K1013" s="63"/>
      <c r="L1013" s="26"/>
      <c r="M1013" s="26"/>
      <c r="N1013" s="20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</row>
    <row r="1014" spans="1:25" ht="13">
      <c r="A1014" s="26"/>
      <c r="B1014" s="83"/>
      <c r="C1014" s="26"/>
      <c r="D1014" s="26"/>
      <c r="E1014" s="26"/>
      <c r="F1014" s="26"/>
      <c r="G1014" s="26"/>
      <c r="H1014" s="26"/>
      <c r="I1014" s="26"/>
      <c r="J1014" s="34"/>
      <c r="K1014" s="63"/>
      <c r="L1014" s="26"/>
      <c r="M1014" s="26"/>
      <c r="N1014" s="20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</row>
    <row r="1015" spans="1:25" ht="13">
      <c r="A1015" s="26"/>
      <c r="B1015" s="83"/>
      <c r="C1015" s="26"/>
      <c r="D1015" s="26"/>
      <c r="E1015" s="26"/>
      <c r="F1015" s="26"/>
      <c r="G1015" s="26"/>
      <c r="H1015" s="26"/>
      <c r="I1015" s="26"/>
      <c r="J1015" s="34"/>
      <c r="K1015" s="63"/>
      <c r="L1015" s="26"/>
      <c r="M1015" s="26"/>
      <c r="N1015" s="20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</row>
    <row r="1016" spans="1:25" ht="13">
      <c r="A1016" s="26"/>
      <c r="B1016" s="83"/>
      <c r="C1016" s="26"/>
      <c r="D1016" s="26"/>
      <c r="E1016" s="26"/>
      <c r="F1016" s="26"/>
      <c r="G1016" s="26"/>
      <c r="H1016" s="26"/>
      <c r="I1016" s="26"/>
      <c r="J1016" s="34"/>
      <c r="K1016" s="63"/>
      <c r="L1016" s="26"/>
      <c r="M1016" s="26"/>
      <c r="N1016" s="20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</row>
    <row r="1017" spans="1:25" ht="13">
      <c r="A1017" s="26"/>
      <c r="B1017" s="83"/>
      <c r="C1017" s="26"/>
      <c r="D1017" s="26"/>
      <c r="E1017" s="26"/>
      <c r="F1017" s="26"/>
      <c r="G1017" s="26"/>
      <c r="H1017" s="26"/>
      <c r="I1017" s="26"/>
      <c r="J1017" s="34"/>
      <c r="K1017" s="63"/>
      <c r="L1017" s="26"/>
      <c r="M1017" s="26"/>
      <c r="N1017" s="20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</row>
    <row r="1018" spans="1:25" ht="13">
      <c r="A1018" s="26"/>
      <c r="B1018" s="83"/>
      <c r="C1018" s="26"/>
      <c r="D1018" s="26"/>
      <c r="E1018" s="26"/>
      <c r="F1018" s="26"/>
      <c r="G1018" s="26"/>
      <c r="H1018" s="26"/>
      <c r="I1018" s="26"/>
      <c r="J1018" s="34"/>
      <c r="K1018" s="63"/>
      <c r="L1018" s="26"/>
      <c r="M1018" s="26"/>
      <c r="N1018" s="20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</row>
    <row r="1019" spans="1:25" ht="13">
      <c r="A1019" s="26"/>
      <c r="B1019" s="83"/>
      <c r="C1019" s="26"/>
      <c r="D1019" s="26"/>
      <c r="E1019" s="26"/>
      <c r="F1019" s="26"/>
      <c r="G1019" s="26"/>
      <c r="H1019" s="26"/>
      <c r="I1019" s="26"/>
      <c r="J1019" s="34"/>
      <c r="K1019" s="63"/>
      <c r="L1019" s="26"/>
      <c r="M1019" s="26"/>
      <c r="N1019" s="20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</row>
    <row r="1020" spans="1:25" ht="13">
      <c r="A1020" s="26"/>
      <c r="B1020" s="83"/>
      <c r="C1020" s="26"/>
      <c r="D1020" s="26"/>
      <c r="E1020" s="26"/>
      <c r="F1020" s="26"/>
      <c r="G1020" s="26"/>
      <c r="H1020" s="26"/>
      <c r="I1020" s="26"/>
      <c r="J1020" s="34"/>
      <c r="K1020" s="63"/>
      <c r="L1020" s="26"/>
      <c r="M1020" s="26"/>
      <c r="N1020" s="20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</row>
    <row r="1021" spans="1:25" ht="13">
      <c r="A1021" s="26"/>
      <c r="B1021" s="83"/>
      <c r="C1021" s="26"/>
      <c r="D1021" s="26"/>
      <c r="E1021" s="26"/>
      <c r="F1021" s="26"/>
      <c r="G1021" s="26"/>
      <c r="H1021" s="26"/>
      <c r="I1021" s="26"/>
      <c r="J1021" s="34"/>
      <c r="K1021" s="63"/>
      <c r="L1021" s="26"/>
      <c r="M1021" s="26"/>
      <c r="N1021" s="20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</row>
    <row r="1022" spans="1:25" ht="13">
      <c r="A1022" s="26"/>
      <c r="B1022" s="83"/>
      <c r="C1022" s="26"/>
      <c r="D1022" s="26"/>
      <c r="E1022" s="26"/>
      <c r="F1022" s="26"/>
      <c r="G1022" s="26"/>
      <c r="H1022" s="26"/>
      <c r="I1022" s="26"/>
      <c r="J1022" s="34"/>
      <c r="K1022" s="63"/>
      <c r="L1022" s="26"/>
      <c r="M1022" s="26"/>
      <c r="N1022" s="20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</row>
    <row r="1023" spans="1:25" ht="13">
      <c r="A1023" s="26"/>
      <c r="B1023" s="83"/>
      <c r="C1023" s="26"/>
      <c r="D1023" s="26"/>
      <c r="E1023" s="26"/>
      <c r="F1023" s="26"/>
      <c r="G1023" s="26"/>
      <c r="H1023" s="26"/>
      <c r="I1023" s="26"/>
      <c r="J1023" s="34"/>
      <c r="K1023" s="63"/>
      <c r="L1023" s="26"/>
      <c r="M1023" s="26"/>
      <c r="N1023" s="20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</row>
    <row r="1024" spans="1:25" ht="13">
      <c r="A1024" s="26"/>
      <c r="B1024" s="83"/>
      <c r="C1024" s="26"/>
      <c r="D1024" s="26"/>
      <c r="E1024" s="26"/>
      <c r="F1024" s="26"/>
      <c r="G1024" s="26"/>
      <c r="H1024" s="26"/>
      <c r="I1024" s="26"/>
      <c r="J1024" s="34"/>
      <c r="K1024" s="63"/>
      <c r="L1024" s="26"/>
      <c r="M1024" s="26"/>
      <c r="N1024" s="20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</row>
    <row r="1025" spans="1:25" ht="13">
      <c r="A1025" s="26"/>
      <c r="B1025" s="83"/>
      <c r="C1025" s="26"/>
      <c r="D1025" s="26"/>
      <c r="E1025" s="26"/>
      <c r="F1025" s="26"/>
      <c r="G1025" s="26"/>
      <c r="H1025" s="26"/>
      <c r="I1025" s="26"/>
      <c r="J1025" s="34"/>
      <c r="K1025" s="63"/>
      <c r="L1025" s="26"/>
      <c r="M1025" s="26"/>
      <c r="N1025" s="20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</row>
    <row r="1026" spans="1:25" ht="13">
      <c r="A1026" s="26"/>
      <c r="B1026" s="83"/>
      <c r="C1026" s="26"/>
      <c r="D1026" s="26"/>
      <c r="E1026" s="26"/>
      <c r="F1026" s="26"/>
      <c r="G1026" s="26"/>
      <c r="H1026" s="26"/>
      <c r="I1026" s="26"/>
      <c r="J1026" s="34"/>
      <c r="K1026" s="63"/>
      <c r="L1026" s="26"/>
      <c r="M1026" s="26"/>
      <c r="N1026" s="20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</row>
    <row r="1027" spans="1:25" ht="13">
      <c r="A1027" s="26"/>
      <c r="B1027" s="83"/>
      <c r="C1027" s="26"/>
      <c r="D1027" s="26"/>
      <c r="E1027" s="26"/>
      <c r="F1027" s="26"/>
      <c r="G1027" s="26"/>
      <c r="H1027" s="26"/>
      <c r="I1027" s="26"/>
      <c r="J1027" s="34"/>
      <c r="K1027" s="63"/>
      <c r="L1027" s="26"/>
      <c r="M1027" s="26"/>
      <c r="N1027" s="20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</row>
    <row r="1028" spans="1:25" ht="13">
      <c r="A1028" s="26"/>
      <c r="B1028" s="83"/>
      <c r="C1028" s="26"/>
      <c r="D1028" s="26"/>
      <c r="E1028" s="26"/>
      <c r="F1028" s="26"/>
      <c r="G1028" s="26"/>
      <c r="H1028" s="26"/>
      <c r="I1028" s="26"/>
      <c r="J1028" s="34"/>
      <c r="K1028" s="63"/>
      <c r="L1028" s="26"/>
      <c r="M1028" s="26"/>
      <c r="N1028" s="20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</row>
    <row r="1029" spans="1:25" ht="13">
      <c r="A1029" s="26"/>
      <c r="B1029" s="83"/>
      <c r="C1029" s="26"/>
      <c r="D1029" s="26"/>
      <c r="E1029" s="26"/>
      <c r="F1029" s="26"/>
      <c r="G1029" s="26"/>
      <c r="H1029" s="26"/>
      <c r="I1029" s="26"/>
      <c r="J1029" s="34"/>
      <c r="K1029" s="63"/>
      <c r="L1029" s="26"/>
      <c r="M1029" s="26"/>
      <c r="N1029" s="20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</row>
    <row r="1030" spans="1:25" ht="13">
      <c r="A1030" s="26"/>
      <c r="B1030" s="83"/>
      <c r="C1030" s="26"/>
      <c r="D1030" s="26"/>
      <c r="E1030" s="26"/>
      <c r="F1030" s="26"/>
      <c r="G1030" s="26"/>
      <c r="H1030" s="26"/>
      <c r="I1030" s="26"/>
      <c r="J1030" s="34"/>
      <c r="K1030" s="63"/>
      <c r="L1030" s="26"/>
      <c r="M1030" s="26"/>
      <c r="N1030" s="20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</row>
    <row r="1031" spans="1:25" ht="13">
      <c r="A1031" s="26"/>
      <c r="B1031" s="83"/>
      <c r="C1031" s="26"/>
      <c r="D1031" s="26"/>
      <c r="E1031" s="26"/>
      <c r="F1031" s="26"/>
      <c r="G1031" s="26"/>
      <c r="H1031" s="26"/>
      <c r="I1031" s="26"/>
      <c r="J1031" s="34"/>
      <c r="K1031" s="63"/>
      <c r="L1031" s="26"/>
      <c r="M1031" s="26"/>
      <c r="N1031" s="20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</row>
    <row r="1032" spans="1:25" ht="13">
      <c r="A1032" s="26"/>
      <c r="B1032" s="83"/>
      <c r="C1032" s="26"/>
      <c r="D1032" s="26"/>
      <c r="E1032" s="26"/>
      <c r="F1032" s="26"/>
      <c r="G1032" s="26"/>
      <c r="H1032" s="26"/>
      <c r="I1032" s="26"/>
      <c r="J1032" s="34"/>
      <c r="K1032" s="63"/>
      <c r="L1032" s="26"/>
      <c r="M1032" s="26"/>
      <c r="N1032" s="20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</row>
    <row r="1033" spans="1:25" ht="13">
      <c r="A1033" s="26"/>
      <c r="B1033" s="83"/>
      <c r="C1033" s="26"/>
      <c r="D1033" s="26"/>
      <c r="E1033" s="26"/>
      <c r="F1033" s="26"/>
      <c r="G1033" s="26"/>
      <c r="H1033" s="26"/>
      <c r="I1033" s="26"/>
      <c r="J1033" s="34"/>
      <c r="K1033" s="63"/>
      <c r="L1033" s="26"/>
      <c r="M1033" s="26"/>
      <c r="N1033" s="20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</row>
    <row r="1034" spans="1:25" ht="13">
      <c r="A1034" s="26"/>
      <c r="B1034" s="83"/>
      <c r="C1034" s="26"/>
      <c r="D1034" s="26"/>
      <c r="E1034" s="26"/>
      <c r="F1034" s="26"/>
      <c r="G1034" s="26"/>
      <c r="H1034" s="26"/>
      <c r="I1034" s="26"/>
      <c r="J1034" s="34"/>
      <c r="K1034" s="63"/>
      <c r="L1034" s="26"/>
      <c r="M1034" s="26"/>
      <c r="N1034" s="20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</row>
    <row r="1035" spans="1:25" ht="13">
      <c r="A1035" s="26"/>
      <c r="B1035" s="83"/>
      <c r="C1035" s="26"/>
      <c r="D1035" s="26"/>
      <c r="E1035" s="26"/>
      <c r="F1035" s="26"/>
      <c r="G1035" s="26"/>
      <c r="H1035" s="26"/>
      <c r="I1035" s="26"/>
      <c r="J1035" s="34"/>
      <c r="K1035" s="63"/>
      <c r="L1035" s="26"/>
      <c r="M1035" s="26"/>
      <c r="N1035" s="20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</row>
    <row r="1036" spans="1:25" ht="13">
      <c r="A1036" s="26"/>
      <c r="B1036" s="83"/>
      <c r="C1036" s="26"/>
      <c r="D1036" s="26"/>
      <c r="E1036" s="26"/>
      <c r="F1036" s="26"/>
      <c r="G1036" s="26"/>
      <c r="H1036" s="26"/>
      <c r="I1036" s="26"/>
      <c r="J1036" s="34"/>
      <c r="K1036" s="63"/>
      <c r="L1036" s="26"/>
      <c r="M1036" s="26"/>
      <c r="N1036" s="20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</row>
    <row r="1037" spans="1:25" ht="13">
      <c r="A1037" s="26"/>
      <c r="B1037" s="83"/>
      <c r="C1037" s="26"/>
      <c r="D1037" s="26"/>
      <c r="E1037" s="26"/>
      <c r="F1037" s="26"/>
      <c r="G1037" s="26"/>
      <c r="H1037" s="26"/>
      <c r="I1037" s="26"/>
      <c r="J1037" s="34"/>
      <c r="K1037" s="63"/>
      <c r="L1037" s="26"/>
      <c r="M1037" s="26"/>
      <c r="N1037" s="20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</row>
    <row r="1038" spans="1:25" ht="13">
      <c r="A1038" s="26"/>
      <c r="B1038" s="83"/>
      <c r="C1038" s="26"/>
      <c r="D1038" s="26"/>
      <c r="E1038" s="26"/>
      <c r="F1038" s="26"/>
      <c r="G1038" s="26"/>
      <c r="H1038" s="26"/>
      <c r="I1038" s="26"/>
      <c r="J1038" s="34"/>
      <c r="K1038" s="63"/>
      <c r="L1038" s="26"/>
      <c r="M1038" s="26"/>
      <c r="N1038" s="20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</row>
    <row r="1039" spans="1:25" ht="13">
      <c r="A1039" s="26"/>
      <c r="B1039" s="83"/>
      <c r="C1039" s="26"/>
      <c r="D1039" s="26"/>
      <c r="E1039" s="26"/>
      <c r="F1039" s="26"/>
      <c r="G1039" s="26"/>
      <c r="H1039" s="26"/>
      <c r="I1039" s="26"/>
      <c r="J1039" s="34"/>
      <c r="K1039" s="63"/>
      <c r="L1039" s="26"/>
      <c r="M1039" s="26"/>
      <c r="N1039" s="20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</row>
    <row r="1040" spans="1:25" ht="13">
      <c r="A1040" s="26"/>
      <c r="B1040" s="83"/>
      <c r="C1040" s="26"/>
      <c r="D1040" s="26"/>
      <c r="E1040" s="26"/>
      <c r="F1040" s="26"/>
      <c r="G1040" s="26"/>
      <c r="H1040" s="26"/>
      <c r="I1040" s="26"/>
      <c r="J1040" s="34"/>
      <c r="K1040" s="63"/>
      <c r="L1040" s="26"/>
      <c r="M1040" s="26"/>
      <c r="N1040" s="20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</row>
    <row r="1041" spans="1:25" ht="13">
      <c r="A1041" s="26"/>
      <c r="B1041" s="83"/>
      <c r="C1041" s="26"/>
      <c r="D1041" s="26"/>
      <c r="E1041" s="26"/>
      <c r="F1041" s="26"/>
      <c r="G1041" s="26"/>
      <c r="H1041" s="26"/>
      <c r="I1041" s="26"/>
      <c r="J1041" s="34"/>
      <c r="K1041" s="63"/>
      <c r="L1041" s="26"/>
      <c r="M1041" s="26"/>
      <c r="N1041" s="20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</row>
    <row r="1042" spans="1:25" ht="13">
      <c r="A1042" s="26"/>
      <c r="B1042" s="83"/>
      <c r="C1042" s="26"/>
      <c r="D1042" s="26"/>
      <c r="E1042" s="26"/>
      <c r="F1042" s="26"/>
      <c r="G1042" s="26"/>
      <c r="H1042" s="26"/>
      <c r="I1042" s="26"/>
      <c r="J1042" s="34"/>
      <c r="K1042" s="63"/>
      <c r="L1042" s="26"/>
      <c r="M1042" s="26"/>
      <c r="N1042" s="20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</row>
    <row r="1043" spans="1:25" ht="13">
      <c r="A1043" s="26"/>
      <c r="B1043" s="83"/>
      <c r="C1043" s="26"/>
      <c r="D1043" s="26"/>
      <c r="E1043" s="26"/>
      <c r="F1043" s="26"/>
      <c r="G1043" s="26"/>
      <c r="H1043" s="26"/>
      <c r="I1043" s="26"/>
      <c r="J1043" s="34"/>
      <c r="K1043" s="63"/>
      <c r="L1043" s="26"/>
      <c r="M1043" s="26"/>
      <c r="N1043" s="20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</row>
    <row r="1044" spans="1:25" ht="13">
      <c r="A1044" s="26"/>
      <c r="B1044" s="83"/>
      <c r="C1044" s="26"/>
      <c r="D1044" s="26"/>
      <c r="E1044" s="26"/>
      <c r="F1044" s="26"/>
      <c r="G1044" s="26"/>
      <c r="H1044" s="26"/>
      <c r="I1044" s="26"/>
      <c r="J1044" s="34"/>
      <c r="K1044" s="63"/>
      <c r="L1044" s="26"/>
      <c r="M1044" s="26"/>
      <c r="N1044" s="20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</row>
    <row r="1045" spans="1:25" ht="13">
      <c r="A1045" s="26"/>
      <c r="B1045" s="83"/>
      <c r="C1045" s="26"/>
      <c r="D1045" s="26"/>
      <c r="E1045" s="26"/>
      <c r="F1045" s="26"/>
      <c r="G1045" s="26"/>
      <c r="H1045" s="26"/>
      <c r="I1045" s="26"/>
      <c r="J1045" s="34"/>
      <c r="K1045" s="63"/>
      <c r="L1045" s="26"/>
      <c r="M1045" s="26"/>
      <c r="N1045" s="20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</row>
    <row r="1046" spans="1:25" ht="13">
      <c r="A1046" s="26"/>
      <c r="B1046" s="83"/>
      <c r="C1046" s="26"/>
      <c r="D1046" s="26"/>
      <c r="E1046" s="26"/>
      <c r="F1046" s="26"/>
      <c r="G1046" s="26"/>
      <c r="H1046" s="26"/>
      <c r="I1046" s="26"/>
      <c r="J1046" s="34"/>
      <c r="K1046" s="63"/>
      <c r="L1046" s="26"/>
      <c r="M1046" s="26"/>
      <c r="N1046" s="20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</row>
    <row r="1047" spans="1:25" ht="13">
      <c r="A1047" s="26"/>
      <c r="B1047" s="83"/>
      <c r="C1047" s="26"/>
      <c r="D1047" s="26"/>
      <c r="E1047" s="26"/>
      <c r="F1047" s="26"/>
      <c r="G1047" s="26"/>
      <c r="H1047" s="26"/>
      <c r="I1047" s="26"/>
      <c r="J1047" s="34"/>
      <c r="K1047" s="63"/>
      <c r="L1047" s="26"/>
      <c r="M1047" s="26"/>
      <c r="N1047" s="20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</row>
    <row r="1048" spans="1:25" ht="13">
      <c r="A1048" s="26"/>
      <c r="B1048" s="83"/>
      <c r="C1048" s="26"/>
      <c r="D1048" s="26"/>
      <c r="E1048" s="26"/>
      <c r="F1048" s="26"/>
      <c r="G1048" s="26"/>
      <c r="H1048" s="26"/>
      <c r="I1048" s="26"/>
      <c r="J1048" s="34"/>
      <c r="K1048" s="63"/>
      <c r="L1048" s="26"/>
      <c r="M1048" s="26"/>
      <c r="N1048" s="20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</row>
    <row r="1049" spans="1:25" ht="13">
      <c r="A1049" s="26"/>
      <c r="B1049" s="83"/>
      <c r="C1049" s="26"/>
      <c r="D1049" s="26"/>
      <c r="E1049" s="26"/>
      <c r="F1049" s="26"/>
      <c r="G1049" s="26"/>
      <c r="H1049" s="26"/>
      <c r="I1049" s="26"/>
      <c r="J1049" s="34"/>
      <c r="K1049" s="63"/>
      <c r="L1049" s="26"/>
      <c r="M1049" s="26"/>
      <c r="N1049" s="20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</row>
    <row r="1050" spans="1:25" ht="13">
      <c r="A1050" s="26"/>
      <c r="B1050" s="83"/>
      <c r="C1050" s="26"/>
      <c r="D1050" s="26"/>
      <c r="E1050" s="26"/>
      <c r="F1050" s="26"/>
      <c r="G1050" s="26"/>
      <c r="H1050" s="26"/>
      <c r="I1050" s="26"/>
      <c r="J1050" s="34"/>
      <c r="K1050" s="63"/>
      <c r="L1050" s="26"/>
      <c r="M1050" s="26"/>
      <c r="N1050" s="20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</row>
    <row r="1051" spans="1:25" ht="13">
      <c r="A1051" s="26"/>
      <c r="B1051" s="83"/>
      <c r="C1051" s="26"/>
      <c r="D1051" s="26"/>
      <c r="E1051" s="26"/>
      <c r="F1051" s="26"/>
      <c r="G1051" s="26"/>
      <c r="H1051" s="26"/>
      <c r="I1051" s="26"/>
      <c r="J1051" s="34"/>
      <c r="K1051" s="63"/>
      <c r="L1051" s="26"/>
      <c r="M1051" s="26"/>
      <c r="N1051" s="20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</row>
    <row r="1052" spans="1:25" ht="13">
      <c r="A1052" s="26"/>
      <c r="B1052" s="83"/>
      <c r="C1052" s="26"/>
      <c r="D1052" s="26"/>
      <c r="E1052" s="26"/>
      <c r="F1052" s="26"/>
      <c r="G1052" s="26"/>
      <c r="H1052" s="26"/>
      <c r="I1052" s="26"/>
      <c r="J1052" s="34"/>
      <c r="K1052" s="63"/>
      <c r="L1052" s="26"/>
      <c r="M1052" s="26"/>
      <c r="N1052" s="20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</row>
    <row r="1053" spans="1:25" ht="13">
      <c r="A1053" s="26"/>
      <c r="B1053" s="83"/>
      <c r="C1053" s="26"/>
      <c r="D1053" s="26"/>
      <c r="E1053" s="26"/>
      <c r="F1053" s="26"/>
      <c r="G1053" s="26"/>
      <c r="H1053" s="26"/>
      <c r="I1053" s="26"/>
      <c r="J1053" s="34"/>
      <c r="K1053" s="63"/>
      <c r="L1053" s="26"/>
      <c r="M1053" s="26"/>
      <c r="N1053" s="20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</row>
    <row r="1054" spans="1:25" ht="13">
      <c r="A1054" s="26"/>
      <c r="B1054" s="83"/>
      <c r="C1054" s="26"/>
      <c r="D1054" s="26"/>
      <c r="E1054" s="26"/>
      <c r="F1054" s="26"/>
      <c r="G1054" s="26"/>
      <c r="H1054" s="26"/>
      <c r="I1054" s="26"/>
      <c r="J1054" s="34"/>
      <c r="K1054" s="63"/>
      <c r="L1054" s="26"/>
      <c r="M1054" s="26"/>
      <c r="N1054" s="20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</row>
    <row r="1055" spans="1:25" ht="13">
      <c r="A1055" s="26"/>
      <c r="B1055" s="83"/>
      <c r="C1055" s="26"/>
      <c r="D1055" s="26"/>
      <c r="E1055" s="26"/>
      <c r="F1055" s="26"/>
      <c r="G1055" s="26"/>
      <c r="H1055" s="26"/>
      <c r="I1055" s="26"/>
      <c r="J1055" s="34"/>
      <c r="K1055" s="63"/>
      <c r="L1055" s="26"/>
      <c r="M1055" s="26"/>
      <c r="N1055" s="20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</row>
    <row r="1056" spans="1:25" ht="13">
      <c r="A1056" s="26"/>
      <c r="B1056" s="83"/>
      <c r="C1056" s="26"/>
      <c r="D1056" s="26"/>
      <c r="E1056" s="26"/>
      <c r="F1056" s="26"/>
      <c r="G1056" s="26"/>
      <c r="H1056" s="26"/>
      <c r="I1056" s="26"/>
      <c r="J1056" s="34"/>
      <c r="K1056" s="63"/>
      <c r="L1056" s="26"/>
      <c r="M1056" s="26"/>
      <c r="N1056" s="20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</row>
    <row r="1057" spans="1:25" ht="13">
      <c r="A1057" s="26"/>
      <c r="B1057" s="83"/>
      <c r="C1057" s="26"/>
      <c r="D1057" s="26"/>
      <c r="E1057" s="26"/>
      <c r="F1057" s="26"/>
      <c r="G1057" s="26"/>
      <c r="H1057" s="26"/>
      <c r="I1057" s="26"/>
      <c r="J1057" s="34"/>
      <c r="K1057" s="63"/>
      <c r="L1057" s="26"/>
      <c r="M1057" s="26"/>
      <c r="N1057" s="20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</row>
    <row r="1058" spans="1:25" ht="13">
      <c r="A1058" s="26"/>
      <c r="B1058" s="83"/>
      <c r="C1058" s="26"/>
      <c r="D1058" s="26"/>
      <c r="E1058" s="26"/>
      <c r="F1058" s="26"/>
      <c r="G1058" s="26"/>
      <c r="H1058" s="26"/>
      <c r="I1058" s="26"/>
      <c r="J1058" s="34"/>
      <c r="K1058" s="63"/>
      <c r="L1058" s="26"/>
      <c r="M1058" s="26"/>
      <c r="N1058" s="20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</row>
    <row r="1059" spans="1:25" ht="13">
      <c r="A1059" s="26"/>
      <c r="B1059" s="83"/>
      <c r="C1059" s="26"/>
      <c r="D1059" s="26"/>
      <c r="E1059" s="26"/>
      <c r="F1059" s="26"/>
      <c r="G1059" s="26"/>
      <c r="H1059" s="26"/>
      <c r="I1059" s="26"/>
      <c r="J1059" s="34"/>
      <c r="K1059" s="63"/>
      <c r="L1059" s="26"/>
      <c r="M1059" s="26"/>
      <c r="N1059" s="20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</row>
    <row r="1060" spans="1:25" ht="13">
      <c r="A1060" s="26"/>
      <c r="B1060" s="83"/>
      <c r="C1060" s="26"/>
      <c r="D1060" s="26"/>
      <c r="E1060" s="26"/>
      <c r="F1060" s="26"/>
      <c r="G1060" s="26"/>
      <c r="H1060" s="26"/>
      <c r="I1060" s="26"/>
      <c r="J1060" s="34"/>
      <c r="K1060" s="63"/>
      <c r="L1060" s="26"/>
      <c r="M1060" s="26"/>
      <c r="N1060" s="20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</row>
    <row r="1061" spans="1:25" ht="13">
      <c r="A1061" s="26"/>
      <c r="B1061" s="83"/>
      <c r="C1061" s="26"/>
      <c r="D1061" s="26"/>
      <c r="E1061" s="26"/>
      <c r="F1061" s="26"/>
      <c r="G1061" s="26"/>
      <c r="H1061" s="26"/>
      <c r="I1061" s="26"/>
      <c r="J1061" s="34"/>
      <c r="K1061" s="63"/>
      <c r="L1061" s="26"/>
      <c r="M1061" s="26"/>
      <c r="N1061" s="20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</row>
    <row r="1062" spans="1:25" ht="13">
      <c r="A1062" s="26"/>
      <c r="B1062" s="83"/>
      <c r="C1062" s="26"/>
      <c r="D1062" s="26"/>
      <c r="E1062" s="26"/>
      <c r="F1062" s="26"/>
      <c r="G1062" s="26"/>
      <c r="H1062" s="26"/>
      <c r="I1062" s="26"/>
      <c r="J1062" s="34"/>
      <c r="K1062" s="63"/>
      <c r="L1062" s="26"/>
      <c r="M1062" s="26"/>
      <c r="N1062" s="20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</row>
    <row r="1063" spans="1:25" ht="13">
      <c r="A1063" s="26"/>
      <c r="B1063" s="83"/>
      <c r="C1063" s="26"/>
      <c r="D1063" s="26"/>
      <c r="E1063" s="26"/>
      <c r="F1063" s="26"/>
      <c r="G1063" s="26"/>
      <c r="H1063" s="26"/>
      <c r="I1063" s="26"/>
      <c r="J1063" s="34"/>
      <c r="K1063" s="63"/>
      <c r="L1063" s="26"/>
      <c r="M1063" s="26"/>
      <c r="N1063" s="20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</row>
    <row r="1064" spans="1:25" ht="13">
      <c r="A1064" s="26"/>
      <c r="B1064" s="83"/>
      <c r="C1064" s="26"/>
      <c r="D1064" s="26"/>
      <c r="E1064" s="26"/>
      <c r="F1064" s="26"/>
      <c r="G1064" s="26"/>
      <c r="H1064" s="26"/>
      <c r="I1064" s="26"/>
      <c r="J1064" s="34"/>
      <c r="K1064" s="63"/>
      <c r="L1064" s="26"/>
      <c r="M1064" s="26"/>
      <c r="N1064" s="20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</row>
    <row r="1065" spans="1:25" ht="13">
      <c r="A1065" s="26"/>
      <c r="B1065" s="83"/>
      <c r="C1065" s="26"/>
      <c r="D1065" s="26"/>
      <c r="E1065" s="26"/>
      <c r="F1065" s="26"/>
      <c r="G1065" s="26"/>
      <c r="H1065" s="26"/>
      <c r="I1065" s="26"/>
      <c r="J1065" s="34"/>
      <c r="K1065" s="63"/>
      <c r="L1065" s="26"/>
      <c r="M1065" s="26"/>
      <c r="N1065" s="20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</row>
    <row r="1066" spans="1:25" ht="13">
      <c r="A1066" s="26"/>
      <c r="B1066" s="83"/>
      <c r="C1066" s="26"/>
      <c r="D1066" s="26"/>
      <c r="E1066" s="26"/>
      <c r="F1066" s="26"/>
      <c r="G1066" s="26"/>
      <c r="H1066" s="26"/>
      <c r="I1066" s="26"/>
      <c r="J1066" s="34"/>
      <c r="K1066" s="63"/>
      <c r="L1066" s="26"/>
      <c r="M1066" s="26"/>
      <c r="N1066" s="20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</row>
    <row r="1067" spans="1:25" ht="13">
      <c r="A1067" s="26"/>
      <c r="B1067" s="83"/>
      <c r="C1067" s="26"/>
      <c r="D1067" s="26"/>
      <c r="E1067" s="26"/>
      <c r="F1067" s="26"/>
      <c r="G1067" s="26"/>
      <c r="H1067" s="26"/>
      <c r="I1067" s="26"/>
      <c r="J1067" s="34"/>
      <c r="K1067" s="63"/>
      <c r="L1067" s="26"/>
      <c r="M1067" s="26"/>
      <c r="N1067" s="20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</row>
    <row r="1068" spans="1:25" ht="13">
      <c r="A1068" s="26"/>
      <c r="B1068" s="83"/>
      <c r="C1068" s="26"/>
      <c r="D1068" s="26"/>
      <c r="E1068" s="26"/>
      <c r="F1068" s="26"/>
      <c r="G1068" s="26"/>
      <c r="H1068" s="26"/>
      <c r="I1068" s="26"/>
      <c r="J1068" s="34"/>
      <c r="K1068" s="63"/>
      <c r="L1068" s="26"/>
      <c r="M1068" s="26"/>
      <c r="N1068" s="20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</row>
    <row r="1069" spans="1:25" ht="13">
      <c r="A1069" s="26"/>
      <c r="B1069" s="83"/>
      <c r="C1069" s="26"/>
      <c r="D1069" s="26"/>
      <c r="E1069" s="26"/>
      <c r="F1069" s="26"/>
      <c r="G1069" s="26"/>
      <c r="H1069" s="26"/>
      <c r="I1069" s="26"/>
      <c r="J1069" s="34"/>
      <c r="K1069" s="63"/>
      <c r="L1069" s="26"/>
      <c r="M1069" s="26"/>
      <c r="N1069" s="20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</row>
    <row r="1070" spans="1:25" ht="13">
      <c r="A1070" s="26"/>
      <c r="B1070" s="83"/>
      <c r="C1070" s="26"/>
      <c r="D1070" s="26"/>
      <c r="E1070" s="26"/>
      <c r="F1070" s="26"/>
      <c r="G1070" s="26"/>
      <c r="H1070" s="26"/>
      <c r="I1070" s="26"/>
      <c r="J1070" s="34"/>
      <c r="K1070" s="63"/>
      <c r="L1070" s="26"/>
      <c r="M1070" s="26"/>
      <c r="N1070" s="20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</row>
    <row r="1071" spans="1:25" ht="13">
      <c r="A1071" s="26"/>
      <c r="B1071" s="83"/>
      <c r="C1071" s="26"/>
      <c r="D1071" s="26"/>
      <c r="E1071" s="26"/>
      <c r="F1071" s="26"/>
      <c r="G1071" s="26"/>
      <c r="H1071" s="26"/>
      <c r="I1071" s="26"/>
      <c r="J1071" s="34"/>
      <c r="K1071" s="63"/>
      <c r="L1071" s="26"/>
      <c r="M1071" s="26"/>
      <c r="N1071" s="20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</row>
    <row r="1072" spans="1:25" ht="13">
      <c r="A1072" s="26"/>
      <c r="B1072" s="83"/>
      <c r="C1072" s="26"/>
      <c r="D1072" s="26"/>
      <c r="E1072" s="26"/>
      <c r="F1072" s="26"/>
      <c r="G1072" s="26"/>
      <c r="H1072" s="26"/>
      <c r="I1072" s="26"/>
      <c r="J1072" s="34"/>
      <c r="K1072" s="63"/>
      <c r="L1072" s="26"/>
      <c r="M1072" s="26"/>
      <c r="N1072" s="20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</row>
    <row r="1073" spans="1:25" ht="13">
      <c r="A1073" s="26"/>
      <c r="B1073" s="83"/>
      <c r="C1073" s="26"/>
      <c r="D1073" s="26"/>
      <c r="E1073" s="26"/>
      <c r="F1073" s="26"/>
      <c r="G1073" s="26"/>
      <c r="H1073" s="26"/>
      <c r="I1073" s="26"/>
      <c r="J1073" s="34"/>
      <c r="K1073" s="63"/>
      <c r="L1073" s="26"/>
      <c r="M1073" s="26"/>
      <c r="N1073" s="20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</row>
    <row r="1074" spans="1:25" ht="13">
      <c r="A1074" s="26"/>
      <c r="B1074" s="83"/>
      <c r="C1074" s="26"/>
      <c r="D1074" s="26"/>
      <c r="E1074" s="26"/>
      <c r="F1074" s="26"/>
      <c r="G1074" s="26"/>
      <c r="H1074" s="26"/>
      <c r="I1074" s="26"/>
      <c r="J1074" s="34"/>
      <c r="K1074" s="63"/>
      <c r="L1074" s="26"/>
      <c r="M1074" s="26"/>
      <c r="N1074" s="20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</row>
    <row r="1075" spans="1:25" ht="13">
      <c r="A1075" s="26"/>
      <c r="B1075" s="83"/>
      <c r="C1075" s="26"/>
      <c r="D1075" s="26"/>
      <c r="E1075" s="26"/>
      <c r="F1075" s="26"/>
      <c r="G1075" s="26"/>
      <c r="H1075" s="26"/>
      <c r="I1075" s="26"/>
      <c r="J1075" s="34"/>
      <c r="K1075" s="63"/>
      <c r="L1075" s="26"/>
      <c r="M1075" s="26"/>
      <c r="N1075" s="20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</row>
    <row r="1076" spans="1:25" ht="13">
      <c r="A1076" s="26"/>
      <c r="B1076" s="83"/>
      <c r="C1076" s="26"/>
      <c r="D1076" s="26"/>
      <c r="E1076" s="26"/>
      <c r="F1076" s="26"/>
      <c r="G1076" s="26"/>
      <c r="H1076" s="26"/>
      <c r="I1076" s="26"/>
      <c r="J1076" s="34"/>
      <c r="K1076" s="63"/>
      <c r="L1076" s="26"/>
      <c r="M1076" s="26"/>
      <c r="N1076" s="20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</row>
    <row r="1077" spans="1:25" ht="13">
      <c r="A1077" s="26"/>
      <c r="B1077" s="83"/>
      <c r="C1077" s="26"/>
      <c r="D1077" s="26"/>
      <c r="E1077" s="26"/>
      <c r="F1077" s="26"/>
      <c r="G1077" s="26"/>
      <c r="H1077" s="26"/>
      <c r="I1077" s="26"/>
      <c r="J1077" s="34"/>
      <c r="K1077" s="63"/>
      <c r="L1077" s="26"/>
      <c r="M1077" s="26"/>
      <c r="N1077" s="20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</row>
    <row r="1078" spans="1:25" ht="13">
      <c r="A1078" s="26"/>
      <c r="B1078" s="83"/>
      <c r="C1078" s="26"/>
      <c r="D1078" s="26"/>
      <c r="E1078" s="26"/>
      <c r="F1078" s="26"/>
      <c r="G1078" s="26"/>
      <c r="H1078" s="26"/>
      <c r="I1078" s="26"/>
      <c r="J1078" s="34"/>
      <c r="K1078" s="63"/>
      <c r="L1078" s="26"/>
      <c r="M1078" s="26"/>
      <c r="N1078" s="20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</row>
    <row r="1079" spans="1:25" ht="13">
      <c r="A1079" s="26"/>
      <c r="B1079" s="83"/>
      <c r="C1079" s="26"/>
      <c r="D1079" s="26"/>
      <c r="E1079" s="26"/>
      <c r="F1079" s="26"/>
      <c r="G1079" s="26"/>
      <c r="H1079" s="26"/>
      <c r="I1079" s="26"/>
      <c r="J1079" s="34"/>
      <c r="K1079" s="63"/>
      <c r="L1079" s="26"/>
      <c r="M1079" s="26"/>
      <c r="N1079" s="20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</row>
    <row r="1080" spans="1:25" ht="13">
      <c r="A1080" s="26"/>
      <c r="B1080" s="83"/>
      <c r="C1080" s="26"/>
      <c r="D1080" s="26"/>
      <c r="E1080" s="26"/>
      <c r="F1080" s="26"/>
      <c r="G1080" s="26"/>
      <c r="H1080" s="26"/>
      <c r="I1080" s="26"/>
      <c r="J1080" s="34"/>
      <c r="K1080" s="63"/>
      <c r="L1080" s="26"/>
      <c r="M1080" s="26"/>
      <c r="N1080" s="20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</row>
    <row r="1081" spans="1:25" ht="13">
      <c r="A1081" s="26"/>
      <c r="B1081" s="83"/>
      <c r="C1081" s="26"/>
      <c r="D1081" s="26"/>
      <c r="E1081" s="26"/>
      <c r="F1081" s="26"/>
      <c r="G1081" s="26"/>
      <c r="H1081" s="26"/>
      <c r="I1081" s="26"/>
      <c r="J1081" s="34"/>
      <c r="K1081" s="63"/>
      <c r="L1081" s="26"/>
      <c r="M1081" s="26"/>
      <c r="N1081" s="20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</row>
    <row r="1082" spans="1:25" ht="13">
      <c r="A1082" s="26"/>
      <c r="B1082" s="83"/>
      <c r="C1082" s="26"/>
      <c r="D1082" s="26"/>
      <c r="E1082" s="26"/>
      <c r="F1082" s="26"/>
      <c r="G1082" s="26"/>
      <c r="H1082" s="26"/>
      <c r="I1082" s="26"/>
      <c r="J1082" s="34"/>
      <c r="K1082" s="63"/>
      <c r="L1082" s="26"/>
      <c r="M1082" s="26"/>
      <c r="N1082" s="20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</row>
    <row r="1083" spans="1:25" ht="13">
      <c r="A1083" s="26"/>
      <c r="B1083" s="83"/>
      <c r="C1083" s="26"/>
      <c r="D1083" s="26"/>
      <c r="E1083" s="26"/>
      <c r="F1083" s="26"/>
      <c r="G1083" s="26"/>
      <c r="H1083" s="26"/>
      <c r="I1083" s="26"/>
      <c r="J1083" s="34"/>
      <c r="K1083" s="63"/>
      <c r="L1083" s="26"/>
      <c r="M1083" s="26"/>
      <c r="N1083" s="20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</row>
    <row r="1084" spans="1:25" ht="13">
      <c r="A1084" s="26"/>
      <c r="B1084" s="83"/>
      <c r="C1084" s="26"/>
      <c r="D1084" s="26"/>
      <c r="E1084" s="26"/>
      <c r="F1084" s="26"/>
      <c r="G1084" s="26"/>
      <c r="H1084" s="26"/>
      <c r="I1084" s="26"/>
      <c r="J1084" s="34"/>
      <c r="K1084" s="63"/>
      <c r="L1084" s="26"/>
      <c r="M1084" s="26"/>
      <c r="N1084" s="20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</row>
    <row r="1085" spans="1:25" ht="13">
      <c r="A1085" s="26"/>
      <c r="B1085" s="83"/>
      <c r="C1085" s="26"/>
      <c r="D1085" s="26"/>
      <c r="E1085" s="26"/>
      <c r="F1085" s="26"/>
      <c r="G1085" s="26"/>
      <c r="H1085" s="26"/>
      <c r="I1085" s="26"/>
      <c r="J1085" s="34"/>
      <c r="K1085" s="63"/>
      <c r="L1085" s="26"/>
      <c r="M1085" s="26"/>
      <c r="N1085" s="20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</row>
    <row r="1086" spans="1:25" ht="13">
      <c r="A1086" s="26"/>
      <c r="B1086" s="83"/>
      <c r="C1086" s="26"/>
      <c r="D1086" s="26"/>
      <c r="E1086" s="26"/>
      <c r="F1086" s="26"/>
      <c r="G1086" s="26"/>
      <c r="H1086" s="26"/>
      <c r="I1086" s="26"/>
      <c r="J1086" s="34"/>
      <c r="K1086" s="63"/>
      <c r="L1086" s="26"/>
      <c r="M1086" s="26"/>
      <c r="N1086" s="20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</row>
    <row r="1087" spans="1:25" ht="13">
      <c r="A1087" s="26"/>
      <c r="B1087" s="83"/>
      <c r="C1087" s="26"/>
      <c r="D1087" s="26"/>
      <c r="E1087" s="26"/>
      <c r="F1087" s="26"/>
      <c r="G1087" s="26"/>
      <c r="H1087" s="26"/>
      <c r="I1087" s="26"/>
      <c r="J1087" s="34"/>
      <c r="K1087" s="63"/>
      <c r="L1087" s="26"/>
      <c r="M1087" s="26"/>
      <c r="N1087" s="20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</row>
    <row r="1088" spans="1:25" ht="13">
      <c r="A1088" s="26"/>
      <c r="B1088" s="83"/>
      <c r="C1088" s="26"/>
      <c r="D1088" s="26"/>
      <c r="E1088" s="26"/>
      <c r="F1088" s="26"/>
      <c r="G1088" s="26"/>
      <c r="H1088" s="26"/>
      <c r="I1088" s="26"/>
      <c r="J1088" s="34"/>
      <c r="K1088" s="63"/>
      <c r="L1088" s="26"/>
      <c r="M1088" s="26"/>
      <c r="N1088" s="20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</row>
    <row r="1089" spans="1:25" ht="13">
      <c r="A1089" s="26"/>
      <c r="B1089" s="83"/>
      <c r="C1089" s="26"/>
      <c r="D1089" s="26"/>
      <c r="E1089" s="26"/>
      <c r="F1089" s="26"/>
      <c r="G1089" s="26"/>
      <c r="H1089" s="26"/>
      <c r="I1089" s="26"/>
      <c r="J1089" s="34"/>
      <c r="K1089" s="63"/>
      <c r="L1089" s="26"/>
      <c r="M1089" s="26"/>
      <c r="N1089" s="20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</row>
    <row r="1090" spans="1:25" ht="13">
      <c r="A1090" s="26"/>
      <c r="B1090" s="83"/>
      <c r="C1090" s="26"/>
      <c r="D1090" s="26"/>
      <c r="E1090" s="26"/>
      <c r="F1090" s="26"/>
      <c r="G1090" s="26"/>
      <c r="H1090" s="26"/>
      <c r="I1090" s="26"/>
      <c r="J1090" s="34"/>
      <c r="K1090" s="63"/>
      <c r="L1090" s="26"/>
      <c r="M1090" s="26"/>
      <c r="N1090" s="20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</row>
    <row r="1091" spans="1:25" ht="13">
      <c r="A1091" s="26"/>
      <c r="B1091" s="83"/>
      <c r="C1091" s="26"/>
      <c r="D1091" s="26"/>
      <c r="E1091" s="26"/>
      <c r="F1091" s="26"/>
      <c r="G1091" s="26"/>
      <c r="H1091" s="26"/>
      <c r="I1091" s="26"/>
      <c r="J1091" s="34"/>
      <c r="K1091" s="63"/>
      <c r="L1091" s="26"/>
      <c r="M1091" s="26"/>
      <c r="N1091" s="20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</row>
    <row r="1092" spans="1:25" ht="13">
      <c r="A1092" s="26"/>
      <c r="B1092" s="83"/>
      <c r="C1092" s="26"/>
      <c r="D1092" s="26"/>
      <c r="E1092" s="26"/>
      <c r="F1092" s="26"/>
      <c r="G1092" s="26"/>
      <c r="H1092" s="26"/>
      <c r="I1092" s="26"/>
      <c r="J1092" s="34"/>
      <c r="K1092" s="63"/>
      <c r="L1092" s="26"/>
      <c r="M1092" s="26"/>
      <c r="N1092" s="20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</row>
    <row r="1093" spans="1:25" ht="13">
      <c r="A1093" s="26"/>
      <c r="B1093" s="83"/>
      <c r="C1093" s="26"/>
      <c r="D1093" s="26"/>
      <c r="E1093" s="26"/>
      <c r="F1093" s="26"/>
      <c r="G1093" s="26"/>
      <c r="H1093" s="26"/>
      <c r="I1093" s="26"/>
      <c r="J1093" s="34"/>
      <c r="K1093" s="63"/>
      <c r="L1093" s="26"/>
      <c r="M1093" s="26"/>
      <c r="N1093" s="20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</row>
    <row r="1094" spans="1:25" ht="13">
      <c r="A1094" s="26"/>
      <c r="B1094" s="83"/>
      <c r="C1094" s="26"/>
      <c r="D1094" s="26"/>
      <c r="E1094" s="26"/>
      <c r="F1094" s="26"/>
      <c r="G1094" s="26"/>
      <c r="H1094" s="26"/>
      <c r="I1094" s="26"/>
      <c r="J1094" s="34"/>
      <c r="K1094" s="63"/>
      <c r="L1094" s="26"/>
      <c r="M1094" s="26"/>
      <c r="N1094" s="20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</row>
    <row r="1095" spans="1:25" ht="13">
      <c r="A1095" s="26"/>
      <c r="B1095" s="83"/>
      <c r="C1095" s="26"/>
      <c r="D1095" s="26"/>
      <c r="E1095" s="26"/>
      <c r="F1095" s="26"/>
      <c r="G1095" s="26"/>
      <c r="H1095" s="26"/>
      <c r="I1095" s="26"/>
      <c r="J1095" s="34"/>
      <c r="K1095" s="63"/>
      <c r="L1095" s="26"/>
      <c r="M1095" s="26"/>
      <c r="N1095" s="20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</row>
    <row r="1096" spans="1:25" ht="13">
      <c r="A1096" s="26"/>
      <c r="B1096" s="83"/>
      <c r="C1096" s="26"/>
      <c r="D1096" s="26"/>
      <c r="E1096" s="26"/>
      <c r="F1096" s="26"/>
      <c r="G1096" s="26"/>
      <c r="H1096" s="26"/>
      <c r="I1096" s="26"/>
      <c r="J1096" s="34"/>
      <c r="K1096" s="63"/>
      <c r="L1096" s="26"/>
      <c r="M1096" s="26"/>
      <c r="N1096" s="20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</row>
    <row r="1097" spans="1:25" ht="13">
      <c r="A1097" s="26"/>
      <c r="B1097" s="83"/>
      <c r="C1097" s="26"/>
      <c r="D1097" s="26"/>
      <c r="E1097" s="26"/>
      <c r="F1097" s="26"/>
      <c r="G1097" s="26"/>
      <c r="H1097" s="26"/>
      <c r="I1097" s="26"/>
      <c r="J1097" s="34"/>
      <c r="K1097" s="63"/>
      <c r="L1097" s="26"/>
      <c r="M1097" s="26"/>
      <c r="N1097" s="20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</row>
    <row r="1098" spans="1:25" ht="13">
      <c r="A1098" s="26"/>
      <c r="B1098" s="83"/>
      <c r="C1098" s="26"/>
      <c r="D1098" s="26"/>
      <c r="E1098" s="26"/>
      <c r="F1098" s="26"/>
      <c r="G1098" s="26"/>
      <c r="H1098" s="26"/>
      <c r="I1098" s="26"/>
      <c r="J1098" s="34"/>
      <c r="K1098" s="63"/>
      <c r="L1098" s="26"/>
      <c r="M1098" s="26"/>
      <c r="N1098" s="20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</row>
    <row r="1099" spans="1:25" ht="13">
      <c r="A1099" s="26"/>
      <c r="B1099" s="83"/>
      <c r="C1099" s="26"/>
      <c r="D1099" s="26"/>
      <c r="E1099" s="26"/>
      <c r="F1099" s="26"/>
      <c r="G1099" s="26"/>
      <c r="H1099" s="26"/>
      <c r="I1099" s="26"/>
      <c r="J1099" s="34"/>
      <c r="K1099" s="63"/>
      <c r="L1099" s="26"/>
      <c r="M1099" s="26"/>
      <c r="N1099" s="20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</row>
    <row r="1100" spans="1:25" ht="13">
      <c r="A1100" s="26"/>
      <c r="B1100" s="83"/>
      <c r="C1100" s="26"/>
      <c r="D1100" s="26"/>
      <c r="E1100" s="26"/>
      <c r="F1100" s="26"/>
      <c r="G1100" s="26"/>
      <c r="H1100" s="26"/>
      <c r="I1100" s="26"/>
      <c r="J1100" s="34"/>
      <c r="K1100" s="63"/>
      <c r="L1100" s="26"/>
      <c r="M1100" s="26"/>
      <c r="N1100" s="20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</row>
    <row r="1101" spans="1:25" ht="13">
      <c r="A1101" s="26"/>
      <c r="B1101" s="83"/>
      <c r="C1101" s="26"/>
      <c r="D1101" s="26"/>
      <c r="E1101" s="26"/>
      <c r="F1101" s="26"/>
      <c r="G1101" s="26"/>
      <c r="H1101" s="26"/>
      <c r="I1101" s="26"/>
      <c r="J1101" s="34"/>
      <c r="K1101" s="63"/>
      <c r="L1101" s="26"/>
      <c r="M1101" s="26"/>
      <c r="N1101" s="20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</row>
    <row r="1102" spans="1:25" ht="13">
      <c r="A1102" s="26"/>
      <c r="B1102" s="83"/>
      <c r="C1102" s="26"/>
      <c r="D1102" s="26"/>
      <c r="E1102" s="26"/>
      <c r="F1102" s="26"/>
      <c r="G1102" s="26"/>
      <c r="H1102" s="26"/>
      <c r="I1102" s="26"/>
      <c r="J1102" s="34"/>
      <c r="K1102" s="63"/>
      <c r="L1102" s="26"/>
      <c r="M1102" s="26"/>
      <c r="N1102" s="20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</row>
    <row r="1103" spans="1:25" ht="13">
      <c r="A1103" s="26"/>
      <c r="B1103" s="83"/>
      <c r="C1103" s="26"/>
      <c r="D1103" s="26"/>
      <c r="E1103" s="26"/>
      <c r="F1103" s="26"/>
      <c r="G1103" s="26"/>
      <c r="H1103" s="26"/>
      <c r="I1103" s="26"/>
      <c r="J1103" s="34"/>
      <c r="K1103" s="63"/>
      <c r="L1103" s="26"/>
      <c r="M1103" s="26"/>
      <c r="N1103" s="20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</row>
    <row r="1104" spans="1:25" ht="13">
      <c r="A1104" s="26"/>
      <c r="B1104" s="83"/>
      <c r="C1104" s="26"/>
      <c r="D1104" s="26"/>
      <c r="E1104" s="26"/>
      <c r="F1104" s="26"/>
      <c r="G1104" s="26"/>
      <c r="H1104" s="26"/>
      <c r="I1104" s="26"/>
      <c r="J1104" s="34"/>
      <c r="K1104" s="63"/>
      <c r="L1104" s="26"/>
      <c r="M1104" s="26"/>
      <c r="N1104" s="20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</row>
    <row r="1105" spans="1:25" ht="13">
      <c r="A1105" s="26"/>
      <c r="B1105" s="83"/>
      <c r="C1105" s="26"/>
      <c r="D1105" s="26"/>
      <c r="E1105" s="26"/>
      <c r="F1105" s="26"/>
      <c r="G1105" s="26"/>
      <c r="H1105" s="26"/>
      <c r="I1105" s="26"/>
      <c r="J1105" s="34"/>
      <c r="K1105" s="63"/>
      <c r="L1105" s="26"/>
      <c r="M1105" s="26"/>
      <c r="N1105" s="20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</row>
    <row r="1106" spans="1:25" ht="13">
      <c r="A1106" s="26"/>
      <c r="B1106" s="83"/>
      <c r="C1106" s="26"/>
      <c r="D1106" s="26"/>
      <c r="E1106" s="26"/>
      <c r="F1106" s="26"/>
      <c r="G1106" s="26"/>
      <c r="H1106" s="26"/>
      <c r="I1106" s="26"/>
      <c r="J1106" s="34"/>
      <c r="K1106" s="63"/>
      <c r="L1106" s="26"/>
      <c r="M1106" s="26"/>
      <c r="N1106" s="20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</row>
    <row r="1107" spans="1:25" ht="13">
      <c r="A1107" s="26"/>
      <c r="B1107" s="83"/>
      <c r="C1107" s="26"/>
      <c r="D1107" s="26"/>
      <c r="E1107" s="26"/>
      <c r="F1107" s="26"/>
      <c r="G1107" s="26"/>
      <c r="H1107" s="26"/>
      <c r="I1107" s="26"/>
      <c r="J1107" s="34"/>
      <c r="K1107" s="63"/>
      <c r="L1107" s="26"/>
      <c r="M1107" s="26"/>
      <c r="N1107" s="20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</row>
    <row r="1108" spans="1:25" ht="13">
      <c r="A1108" s="26"/>
      <c r="B1108" s="83"/>
      <c r="C1108" s="26"/>
      <c r="D1108" s="26"/>
      <c r="E1108" s="26"/>
      <c r="F1108" s="26"/>
      <c r="G1108" s="26"/>
      <c r="H1108" s="26"/>
      <c r="I1108" s="26"/>
      <c r="J1108" s="34"/>
      <c r="K1108" s="63"/>
      <c r="L1108" s="26"/>
      <c r="M1108" s="26"/>
      <c r="N1108" s="20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</row>
    <row r="1109" spans="1:25" ht="13">
      <c r="A1109" s="26"/>
      <c r="B1109" s="83"/>
      <c r="C1109" s="26"/>
      <c r="D1109" s="26"/>
      <c r="E1109" s="26"/>
      <c r="F1109" s="26"/>
      <c r="G1109" s="26"/>
      <c r="H1109" s="26"/>
      <c r="I1109" s="26"/>
      <c r="J1109" s="34"/>
      <c r="K1109" s="63"/>
      <c r="L1109" s="26"/>
      <c r="M1109" s="26"/>
      <c r="N1109" s="20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</row>
    <row r="1110" spans="1:25" ht="13">
      <c r="A1110" s="26"/>
      <c r="B1110" s="83"/>
      <c r="C1110" s="26"/>
      <c r="D1110" s="26"/>
      <c r="E1110" s="26"/>
      <c r="F1110" s="26"/>
      <c r="G1110" s="26"/>
      <c r="H1110" s="26"/>
      <c r="I1110" s="26"/>
      <c r="J1110" s="34"/>
      <c r="K1110" s="63"/>
      <c r="L1110" s="26"/>
      <c r="M1110" s="26"/>
      <c r="N1110" s="20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</row>
    <row r="1111" spans="1:25" ht="13">
      <c r="A1111" s="26"/>
      <c r="B1111" s="83"/>
      <c r="C1111" s="26"/>
      <c r="D1111" s="26"/>
      <c r="E1111" s="26"/>
      <c r="F1111" s="26"/>
      <c r="G1111" s="26"/>
      <c r="H1111" s="26"/>
      <c r="I1111" s="26"/>
      <c r="J1111" s="34"/>
      <c r="K1111" s="63"/>
      <c r="L1111" s="26"/>
      <c r="M1111" s="26"/>
      <c r="N1111" s="20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</row>
    <row r="1112" spans="1:25" ht="13">
      <c r="A1112" s="26"/>
      <c r="B1112" s="83"/>
      <c r="C1112" s="26"/>
      <c r="D1112" s="26"/>
      <c r="E1112" s="26"/>
      <c r="F1112" s="26"/>
      <c r="G1112" s="26"/>
      <c r="H1112" s="26"/>
      <c r="I1112" s="26"/>
      <c r="J1112" s="34"/>
      <c r="K1112" s="63"/>
      <c r="L1112" s="26"/>
      <c r="M1112" s="26"/>
      <c r="N1112" s="20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</row>
    <row r="1113" spans="1:25" ht="13">
      <c r="A1113" s="26"/>
      <c r="B1113" s="83"/>
      <c r="C1113" s="26"/>
      <c r="D1113" s="26"/>
      <c r="E1113" s="26"/>
      <c r="F1113" s="26"/>
      <c r="G1113" s="26"/>
      <c r="H1113" s="26"/>
      <c r="I1113" s="26"/>
      <c r="J1113" s="34"/>
      <c r="K1113" s="63"/>
      <c r="L1113" s="26"/>
      <c r="M1113" s="26"/>
      <c r="N1113" s="20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</row>
    <row r="1114" spans="1:25" ht="13">
      <c r="A1114" s="26"/>
      <c r="B1114" s="83"/>
      <c r="C1114" s="26"/>
      <c r="D1114" s="26"/>
      <c r="E1114" s="26"/>
      <c r="F1114" s="26"/>
      <c r="G1114" s="26"/>
      <c r="H1114" s="26"/>
      <c r="I1114" s="26"/>
      <c r="J1114" s="34"/>
      <c r="K1114" s="63"/>
      <c r="L1114" s="26"/>
      <c r="M1114" s="26"/>
      <c r="N1114" s="20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</row>
    <row r="1115" spans="1:25" ht="13">
      <c r="A1115" s="26"/>
      <c r="B1115" s="83"/>
      <c r="C1115" s="26"/>
      <c r="D1115" s="26"/>
      <c r="E1115" s="26"/>
      <c r="F1115" s="26"/>
      <c r="G1115" s="26"/>
      <c r="H1115" s="26"/>
      <c r="I1115" s="26"/>
      <c r="J1115" s="34"/>
      <c r="K1115" s="63"/>
      <c r="L1115" s="26"/>
      <c r="M1115" s="26"/>
      <c r="N1115" s="20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</row>
    <row r="1116" spans="1:25" ht="13">
      <c r="A1116" s="26"/>
      <c r="B1116" s="83"/>
      <c r="C1116" s="26"/>
      <c r="D1116" s="26"/>
      <c r="E1116" s="26"/>
      <c r="F1116" s="26"/>
      <c r="G1116" s="26"/>
      <c r="H1116" s="26"/>
      <c r="I1116" s="26"/>
      <c r="J1116" s="34"/>
      <c r="K1116" s="63"/>
      <c r="L1116" s="26"/>
      <c r="M1116" s="26"/>
      <c r="N1116" s="20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</row>
    <row r="1117" spans="1:25" ht="13">
      <c r="A1117" s="26"/>
      <c r="B1117" s="83"/>
      <c r="C1117" s="26"/>
      <c r="D1117" s="26"/>
      <c r="E1117" s="26"/>
      <c r="F1117" s="26"/>
      <c r="G1117" s="26"/>
      <c r="H1117" s="26"/>
      <c r="I1117" s="26"/>
      <c r="J1117" s="34"/>
      <c r="K1117" s="63"/>
      <c r="L1117" s="26"/>
      <c r="M1117" s="26"/>
      <c r="N1117" s="20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</row>
    <row r="1118" spans="1:25" ht="13">
      <c r="A1118" s="26"/>
      <c r="B1118" s="83"/>
      <c r="C1118" s="26"/>
      <c r="D1118" s="26"/>
      <c r="E1118" s="26"/>
      <c r="F1118" s="26"/>
      <c r="G1118" s="26"/>
      <c r="H1118" s="26"/>
      <c r="I1118" s="26"/>
      <c r="J1118" s="34"/>
      <c r="K1118" s="63"/>
      <c r="L1118" s="26"/>
      <c r="M1118" s="26"/>
      <c r="N1118" s="20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</row>
    <row r="1119" spans="1:25" ht="13">
      <c r="A1119" s="26"/>
      <c r="B1119" s="83"/>
      <c r="C1119" s="26"/>
      <c r="D1119" s="26"/>
      <c r="E1119" s="26"/>
      <c r="F1119" s="26"/>
      <c r="G1119" s="26"/>
      <c r="H1119" s="26"/>
      <c r="I1119" s="26"/>
      <c r="J1119" s="34"/>
      <c r="K1119" s="63"/>
      <c r="L1119" s="26"/>
      <c r="M1119" s="26"/>
      <c r="N1119" s="20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</row>
    <row r="1120" spans="1:25" ht="13">
      <c r="A1120" s="26"/>
      <c r="B1120" s="83"/>
      <c r="C1120" s="26"/>
      <c r="D1120" s="26"/>
      <c r="E1120" s="26"/>
      <c r="F1120" s="26"/>
      <c r="G1120" s="26"/>
      <c r="H1120" s="26"/>
      <c r="I1120" s="26"/>
      <c r="J1120" s="34"/>
      <c r="K1120" s="63"/>
      <c r="L1120" s="26"/>
      <c r="M1120" s="26"/>
      <c r="N1120" s="20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</row>
    <row r="1121" spans="1:25" ht="13">
      <c r="A1121" s="26"/>
      <c r="B1121" s="83"/>
      <c r="C1121" s="26"/>
      <c r="D1121" s="26"/>
      <c r="E1121" s="26"/>
      <c r="F1121" s="26"/>
      <c r="G1121" s="26"/>
      <c r="H1121" s="26"/>
      <c r="I1121" s="26"/>
      <c r="J1121" s="34"/>
      <c r="K1121" s="63"/>
      <c r="L1121" s="26"/>
      <c r="M1121" s="26"/>
      <c r="N1121" s="20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</row>
    <row r="1122" spans="1:25" ht="13">
      <c r="A1122" s="26"/>
      <c r="B1122" s="83"/>
      <c r="C1122" s="26"/>
      <c r="D1122" s="26"/>
      <c r="E1122" s="26"/>
      <c r="F1122" s="26"/>
      <c r="G1122" s="26"/>
      <c r="H1122" s="26"/>
      <c r="I1122" s="26"/>
      <c r="J1122" s="34"/>
      <c r="K1122" s="63"/>
      <c r="L1122" s="26"/>
      <c r="M1122" s="26"/>
      <c r="N1122" s="20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</row>
    <row r="1123" spans="1:25" ht="13">
      <c r="A1123" s="26"/>
      <c r="B1123" s="83"/>
      <c r="C1123" s="26"/>
      <c r="D1123" s="26"/>
      <c r="E1123" s="26"/>
      <c r="F1123" s="26"/>
      <c r="G1123" s="26"/>
      <c r="H1123" s="26"/>
      <c r="I1123" s="26"/>
      <c r="J1123" s="34"/>
      <c r="K1123" s="63"/>
      <c r="L1123" s="26"/>
      <c r="M1123" s="26"/>
      <c r="N1123" s="20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</row>
    <row r="1124" spans="1:25" ht="13">
      <c r="A1124" s="26"/>
      <c r="B1124" s="83"/>
      <c r="C1124" s="26"/>
      <c r="D1124" s="26"/>
      <c r="E1124" s="26"/>
      <c r="F1124" s="26"/>
      <c r="G1124" s="26"/>
      <c r="H1124" s="26"/>
      <c r="I1124" s="26"/>
      <c r="J1124" s="34"/>
      <c r="K1124" s="63"/>
      <c r="L1124" s="26"/>
      <c r="M1124" s="26"/>
      <c r="N1124" s="20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</row>
    <row r="1125" spans="1:25" ht="13">
      <c r="A1125" s="26"/>
      <c r="B1125" s="83"/>
      <c r="C1125" s="26"/>
      <c r="D1125" s="26"/>
      <c r="E1125" s="26"/>
      <c r="F1125" s="26"/>
      <c r="G1125" s="26"/>
      <c r="H1125" s="26"/>
      <c r="I1125" s="26"/>
      <c r="J1125" s="34"/>
      <c r="K1125" s="63"/>
      <c r="L1125" s="26"/>
      <c r="M1125" s="26"/>
      <c r="N1125" s="20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</row>
    <row r="1126" spans="1:25" ht="13">
      <c r="A1126" s="26"/>
      <c r="B1126" s="83"/>
      <c r="C1126" s="26"/>
      <c r="D1126" s="26"/>
      <c r="E1126" s="26"/>
      <c r="F1126" s="26"/>
      <c r="G1126" s="26"/>
      <c r="H1126" s="26"/>
      <c r="I1126" s="26"/>
      <c r="J1126" s="34"/>
      <c r="K1126" s="63"/>
      <c r="L1126" s="26"/>
      <c r="M1126" s="26"/>
      <c r="N1126" s="20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</row>
    <row r="1127" spans="1:25" ht="13">
      <c r="A1127" s="26"/>
      <c r="B1127" s="83"/>
      <c r="C1127" s="26"/>
      <c r="D1127" s="26"/>
      <c r="E1127" s="26"/>
      <c r="F1127" s="26"/>
      <c r="G1127" s="26"/>
      <c r="H1127" s="26"/>
      <c r="I1127" s="26"/>
      <c r="J1127" s="34"/>
      <c r="K1127" s="63"/>
      <c r="L1127" s="26"/>
      <c r="M1127" s="26"/>
      <c r="N1127" s="20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</row>
    <row r="1128" spans="1:25" ht="13">
      <c r="A1128" s="26"/>
      <c r="B1128" s="83"/>
      <c r="C1128" s="26"/>
      <c r="D1128" s="26"/>
      <c r="E1128" s="26"/>
      <c r="F1128" s="26"/>
      <c r="G1128" s="26"/>
      <c r="H1128" s="26"/>
      <c r="I1128" s="26"/>
      <c r="J1128" s="34"/>
      <c r="K1128" s="63"/>
      <c r="L1128" s="26"/>
      <c r="M1128" s="26"/>
      <c r="N1128" s="20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</row>
    <row r="1129" spans="1:25" ht="13">
      <c r="A1129" s="26"/>
      <c r="B1129" s="83"/>
      <c r="C1129" s="26"/>
      <c r="D1129" s="26"/>
      <c r="E1129" s="26"/>
      <c r="F1129" s="26"/>
      <c r="G1129" s="26"/>
      <c r="H1129" s="26"/>
      <c r="I1129" s="26"/>
      <c r="J1129" s="34"/>
      <c r="K1129" s="63"/>
      <c r="L1129" s="26"/>
      <c r="M1129" s="26"/>
      <c r="N1129" s="20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</row>
    <row r="1130" spans="1:25" ht="13">
      <c r="A1130" s="26"/>
      <c r="B1130" s="83"/>
      <c r="C1130" s="26"/>
      <c r="D1130" s="26"/>
      <c r="E1130" s="26"/>
      <c r="F1130" s="26"/>
      <c r="G1130" s="26"/>
      <c r="H1130" s="26"/>
      <c r="I1130" s="26"/>
      <c r="J1130" s="34"/>
      <c r="K1130" s="63"/>
      <c r="L1130" s="26"/>
      <c r="M1130" s="26"/>
      <c r="N1130" s="20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</row>
    <row r="1131" spans="1:25" ht="13">
      <c r="A1131" s="26"/>
      <c r="B1131" s="83"/>
      <c r="C1131" s="26"/>
      <c r="D1131" s="26"/>
      <c r="E1131" s="26"/>
      <c r="F1131" s="26"/>
      <c r="G1131" s="26"/>
      <c r="H1131" s="26"/>
      <c r="I1131" s="26"/>
      <c r="J1131" s="34"/>
      <c r="K1131" s="63"/>
      <c r="L1131" s="26"/>
      <c r="M1131" s="26"/>
      <c r="N1131" s="20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</row>
    <row r="1132" spans="1:25" ht="13">
      <c r="A1132" s="26"/>
      <c r="B1132" s="83"/>
      <c r="C1132" s="26"/>
      <c r="D1132" s="26"/>
      <c r="E1132" s="26"/>
      <c r="F1132" s="26"/>
      <c r="G1132" s="26"/>
      <c r="H1132" s="26"/>
      <c r="I1132" s="26"/>
      <c r="J1132" s="34"/>
      <c r="K1132" s="63"/>
      <c r="L1132" s="26"/>
      <c r="M1132" s="26"/>
      <c r="N1132" s="20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</row>
    <row r="1133" spans="1:25" ht="13">
      <c r="A1133" s="26"/>
      <c r="B1133" s="83"/>
      <c r="C1133" s="26"/>
      <c r="D1133" s="26"/>
      <c r="E1133" s="26"/>
      <c r="F1133" s="26"/>
      <c r="G1133" s="26"/>
      <c r="H1133" s="26"/>
      <c r="I1133" s="26"/>
      <c r="J1133" s="34"/>
      <c r="K1133" s="63"/>
      <c r="L1133" s="26"/>
      <c r="M1133" s="26"/>
      <c r="N1133" s="20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</row>
    <row r="1134" spans="1:25" ht="13">
      <c r="A1134" s="26"/>
      <c r="B1134" s="83"/>
      <c r="C1134" s="26"/>
      <c r="D1134" s="26"/>
      <c r="E1134" s="26"/>
      <c r="F1134" s="26"/>
      <c r="G1134" s="26"/>
      <c r="H1134" s="26"/>
      <c r="I1134" s="26"/>
      <c r="J1134" s="34"/>
      <c r="K1134" s="63"/>
      <c r="L1134" s="26"/>
      <c r="M1134" s="26"/>
      <c r="N1134" s="20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</row>
    <row r="1135" spans="1:25" ht="13">
      <c r="A1135" s="26"/>
      <c r="B1135" s="83"/>
      <c r="C1135" s="26"/>
      <c r="D1135" s="26"/>
      <c r="E1135" s="26"/>
      <c r="F1135" s="26"/>
      <c r="G1135" s="26"/>
      <c r="H1135" s="26"/>
      <c r="I1135" s="26"/>
      <c r="J1135" s="34"/>
      <c r="K1135" s="63"/>
      <c r="L1135" s="26"/>
      <c r="M1135" s="26"/>
      <c r="N1135" s="20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</row>
    <row r="1136" spans="1:25" ht="13">
      <c r="A1136" s="26"/>
      <c r="B1136" s="83"/>
      <c r="C1136" s="26"/>
      <c r="D1136" s="26"/>
      <c r="E1136" s="26"/>
      <c r="F1136" s="26"/>
      <c r="G1136" s="26"/>
      <c r="H1136" s="26"/>
      <c r="I1136" s="26"/>
      <c r="J1136" s="34"/>
      <c r="K1136" s="63"/>
      <c r="L1136" s="26"/>
      <c r="M1136" s="26"/>
      <c r="N1136" s="20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</row>
    <row r="1137" spans="1:25" ht="13">
      <c r="A1137" s="26"/>
      <c r="B1137" s="83"/>
      <c r="C1137" s="26"/>
      <c r="D1137" s="26"/>
      <c r="E1137" s="26"/>
      <c r="F1137" s="26"/>
      <c r="G1137" s="26"/>
      <c r="H1137" s="26"/>
      <c r="I1137" s="26"/>
      <c r="J1137" s="34"/>
      <c r="K1137" s="63"/>
      <c r="L1137" s="26"/>
      <c r="M1137" s="26"/>
      <c r="N1137" s="20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</row>
    <row r="1138" spans="1:25" ht="13">
      <c r="A1138" s="26"/>
      <c r="B1138" s="83"/>
      <c r="C1138" s="26"/>
      <c r="D1138" s="26"/>
      <c r="E1138" s="26"/>
      <c r="F1138" s="26"/>
      <c r="G1138" s="26"/>
      <c r="H1138" s="26"/>
      <c r="I1138" s="26"/>
      <c r="J1138" s="34"/>
      <c r="K1138" s="63"/>
      <c r="L1138" s="26"/>
      <c r="M1138" s="26"/>
      <c r="N1138" s="20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</row>
    <row r="1139" spans="1:25" ht="13">
      <c r="A1139" s="26"/>
      <c r="B1139" s="83"/>
      <c r="C1139" s="26"/>
      <c r="D1139" s="26"/>
      <c r="E1139" s="26"/>
      <c r="F1139" s="26"/>
      <c r="G1139" s="26"/>
      <c r="H1139" s="26"/>
      <c r="I1139" s="26"/>
      <c r="J1139" s="34"/>
      <c r="K1139" s="63"/>
      <c r="L1139" s="26"/>
      <c r="M1139" s="26"/>
      <c r="N1139" s="20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</row>
    <row r="1140" spans="1:25" ht="13">
      <c r="A1140" s="26"/>
      <c r="B1140" s="83"/>
      <c r="C1140" s="26"/>
      <c r="D1140" s="26"/>
      <c r="E1140" s="26"/>
      <c r="F1140" s="26"/>
      <c r="G1140" s="26"/>
      <c r="H1140" s="26"/>
      <c r="I1140" s="26"/>
      <c r="J1140" s="34"/>
      <c r="K1140" s="63"/>
      <c r="L1140" s="26"/>
      <c r="M1140" s="26"/>
      <c r="N1140" s="20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</row>
    <row r="1141" spans="1:25" ht="13">
      <c r="A1141" s="26"/>
      <c r="B1141" s="83"/>
      <c r="C1141" s="26"/>
      <c r="D1141" s="26"/>
      <c r="E1141" s="26"/>
      <c r="F1141" s="26"/>
      <c r="G1141" s="26"/>
      <c r="H1141" s="26"/>
      <c r="I1141" s="26"/>
      <c r="J1141" s="34"/>
      <c r="K1141" s="63"/>
      <c r="L1141" s="26"/>
      <c r="M1141" s="26"/>
      <c r="N1141" s="20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</row>
    <row r="1142" spans="1:25" ht="13">
      <c r="A1142" s="26"/>
      <c r="B1142" s="83"/>
      <c r="C1142" s="26"/>
      <c r="D1142" s="26"/>
      <c r="E1142" s="26"/>
      <c r="F1142" s="26"/>
      <c r="G1142" s="26"/>
      <c r="H1142" s="26"/>
      <c r="I1142" s="26"/>
      <c r="J1142" s="34"/>
      <c r="K1142" s="63"/>
      <c r="L1142" s="26"/>
      <c r="M1142" s="26"/>
      <c r="N1142" s="20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</row>
    <row r="1143" spans="1:25" ht="13">
      <c r="A1143" s="26"/>
      <c r="B1143" s="83"/>
      <c r="C1143" s="26"/>
      <c r="D1143" s="26"/>
      <c r="E1143" s="26"/>
      <c r="F1143" s="26"/>
      <c r="G1143" s="26"/>
      <c r="H1143" s="26"/>
      <c r="I1143" s="26"/>
      <c r="J1143" s="34"/>
      <c r="K1143" s="63"/>
      <c r="L1143" s="26"/>
      <c r="M1143" s="26"/>
      <c r="N1143" s="20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</row>
    <row r="1144" spans="1:25" ht="13">
      <c r="A1144" s="26"/>
      <c r="B1144" s="83"/>
      <c r="C1144" s="26"/>
      <c r="D1144" s="26"/>
      <c r="E1144" s="26"/>
      <c r="F1144" s="26"/>
      <c r="G1144" s="26"/>
      <c r="H1144" s="26"/>
      <c r="I1144" s="26"/>
      <c r="J1144" s="34"/>
      <c r="K1144" s="63"/>
      <c r="L1144" s="26"/>
      <c r="M1144" s="26"/>
      <c r="N1144" s="20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</row>
    <row r="1145" spans="1:25" ht="13">
      <c r="A1145" s="26"/>
      <c r="B1145" s="83"/>
      <c r="C1145" s="26"/>
      <c r="D1145" s="26"/>
      <c r="E1145" s="26"/>
      <c r="F1145" s="26"/>
      <c r="G1145" s="26"/>
      <c r="H1145" s="26"/>
      <c r="I1145" s="26"/>
      <c r="J1145" s="34"/>
      <c r="K1145" s="63"/>
      <c r="L1145" s="26"/>
      <c r="M1145" s="26"/>
      <c r="N1145" s="20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</row>
    <row r="1146" spans="1:25" ht="13">
      <c r="A1146" s="26"/>
      <c r="B1146" s="83"/>
      <c r="C1146" s="26"/>
      <c r="D1146" s="26"/>
      <c r="E1146" s="26"/>
      <c r="F1146" s="26"/>
      <c r="G1146" s="26"/>
      <c r="H1146" s="26"/>
      <c r="I1146" s="26"/>
      <c r="J1146" s="34"/>
      <c r="K1146" s="63"/>
      <c r="L1146" s="26"/>
      <c r="M1146" s="26"/>
      <c r="N1146" s="20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</row>
    <row r="1147" spans="1:25" ht="13">
      <c r="A1147" s="26"/>
      <c r="B1147" s="83"/>
      <c r="C1147" s="26"/>
      <c r="D1147" s="26"/>
      <c r="E1147" s="26"/>
      <c r="F1147" s="26"/>
      <c r="G1147" s="26"/>
      <c r="H1147" s="26"/>
      <c r="I1147" s="26"/>
      <c r="J1147" s="34"/>
      <c r="K1147" s="63"/>
      <c r="L1147" s="26"/>
      <c r="M1147" s="26"/>
      <c r="N1147" s="20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</row>
    <row r="1148" spans="1:25" ht="13">
      <c r="A1148" s="26"/>
      <c r="B1148" s="83"/>
      <c r="C1148" s="26"/>
      <c r="D1148" s="26"/>
      <c r="E1148" s="26"/>
      <c r="F1148" s="26"/>
      <c r="G1148" s="26"/>
      <c r="H1148" s="26"/>
      <c r="I1148" s="26"/>
      <c r="J1148" s="34"/>
      <c r="K1148" s="63"/>
      <c r="L1148" s="26"/>
      <c r="M1148" s="26"/>
      <c r="N1148" s="20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</row>
    <row r="1149" spans="1:25" ht="13">
      <c r="A1149" s="26"/>
      <c r="B1149" s="83"/>
      <c r="C1149" s="26"/>
      <c r="D1149" s="26"/>
      <c r="E1149" s="26"/>
      <c r="F1149" s="26"/>
      <c r="G1149" s="26"/>
      <c r="H1149" s="26"/>
      <c r="I1149" s="26"/>
      <c r="J1149" s="34"/>
      <c r="K1149" s="63"/>
      <c r="L1149" s="26"/>
      <c r="M1149" s="26"/>
      <c r="N1149" s="20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</row>
    <row r="1150" spans="1:25" ht="13">
      <c r="A1150" s="26"/>
      <c r="B1150" s="83"/>
      <c r="C1150" s="26"/>
      <c r="D1150" s="26"/>
      <c r="E1150" s="26"/>
      <c r="F1150" s="26"/>
      <c r="G1150" s="26"/>
      <c r="H1150" s="26"/>
      <c r="I1150" s="26"/>
      <c r="J1150" s="34"/>
      <c r="K1150" s="63"/>
      <c r="L1150" s="26"/>
      <c r="M1150" s="26"/>
      <c r="N1150" s="20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</row>
    <row r="1151" spans="1:25" ht="13">
      <c r="A1151" s="26"/>
      <c r="B1151" s="83"/>
      <c r="C1151" s="26"/>
      <c r="D1151" s="26"/>
      <c r="E1151" s="26"/>
      <c r="F1151" s="26"/>
      <c r="G1151" s="26"/>
      <c r="H1151" s="26"/>
      <c r="I1151" s="26"/>
      <c r="J1151" s="34"/>
      <c r="K1151" s="63"/>
      <c r="L1151" s="26"/>
      <c r="M1151" s="26"/>
      <c r="N1151" s="20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</row>
    <row r="1152" spans="1:25" ht="13">
      <c r="A1152" s="26"/>
      <c r="B1152" s="83"/>
      <c r="C1152" s="26"/>
      <c r="D1152" s="26"/>
      <c r="E1152" s="26"/>
      <c r="F1152" s="26"/>
      <c r="G1152" s="26"/>
      <c r="H1152" s="26"/>
      <c r="I1152" s="26"/>
      <c r="J1152" s="34"/>
      <c r="K1152" s="63"/>
      <c r="L1152" s="26"/>
      <c r="M1152" s="26"/>
      <c r="N1152" s="20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</row>
    <row r="1153" spans="1:25" ht="13">
      <c r="A1153" s="26"/>
      <c r="B1153" s="83"/>
      <c r="C1153" s="26"/>
      <c r="D1153" s="26"/>
      <c r="E1153" s="26"/>
      <c r="F1153" s="26"/>
      <c r="G1153" s="26"/>
      <c r="H1153" s="26"/>
      <c r="I1153" s="26"/>
      <c r="J1153" s="34"/>
      <c r="K1153" s="63"/>
      <c r="L1153" s="26"/>
      <c r="M1153" s="26"/>
      <c r="N1153" s="20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</row>
    <row r="1154" spans="1:25" ht="13">
      <c r="A1154" s="26"/>
      <c r="B1154" s="83"/>
      <c r="C1154" s="26"/>
      <c r="D1154" s="26"/>
      <c r="E1154" s="26"/>
      <c r="F1154" s="26"/>
      <c r="G1154" s="26"/>
      <c r="H1154" s="26"/>
      <c r="I1154" s="26"/>
      <c r="J1154" s="34"/>
      <c r="K1154" s="63"/>
      <c r="L1154" s="26"/>
      <c r="M1154" s="26"/>
      <c r="N1154" s="20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</row>
    <row r="1155" spans="1:25" ht="13">
      <c r="A1155" s="26"/>
      <c r="B1155" s="83"/>
      <c r="C1155" s="26"/>
      <c r="D1155" s="26"/>
      <c r="E1155" s="26"/>
      <c r="F1155" s="26"/>
      <c r="G1155" s="26"/>
      <c r="H1155" s="26"/>
      <c r="I1155" s="26"/>
      <c r="J1155" s="34"/>
      <c r="K1155" s="63"/>
      <c r="L1155" s="26"/>
      <c r="M1155" s="26"/>
      <c r="N1155" s="20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</row>
    <row r="1156" spans="1:25" ht="13">
      <c r="A1156" s="26"/>
      <c r="B1156" s="83"/>
      <c r="C1156" s="26"/>
      <c r="D1156" s="26"/>
      <c r="E1156" s="26"/>
      <c r="F1156" s="26"/>
      <c r="G1156" s="26"/>
      <c r="H1156" s="26"/>
      <c r="I1156" s="26"/>
      <c r="J1156" s="34"/>
      <c r="K1156" s="63"/>
      <c r="L1156" s="26"/>
      <c r="M1156" s="26"/>
      <c r="N1156" s="20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</row>
    <row r="1157" spans="1:25" ht="13">
      <c r="A1157" s="26"/>
      <c r="B1157" s="83"/>
      <c r="C1157" s="26"/>
      <c r="D1157" s="26"/>
      <c r="E1157" s="26"/>
      <c r="F1157" s="26"/>
      <c r="G1157" s="26"/>
      <c r="H1157" s="26"/>
      <c r="I1157" s="26"/>
      <c r="J1157" s="34"/>
      <c r="K1157" s="63"/>
      <c r="L1157" s="26"/>
      <c r="M1157" s="26"/>
      <c r="N1157" s="20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</row>
    <row r="1158" spans="1:25" ht="13">
      <c r="A1158" s="26"/>
      <c r="B1158" s="83"/>
      <c r="C1158" s="26"/>
      <c r="D1158" s="26"/>
      <c r="E1158" s="26"/>
      <c r="F1158" s="26"/>
      <c r="G1158" s="26"/>
      <c r="H1158" s="26"/>
      <c r="I1158" s="26"/>
      <c r="J1158" s="34"/>
      <c r="K1158" s="63"/>
      <c r="L1158" s="26"/>
      <c r="M1158" s="26"/>
      <c r="N1158" s="20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</row>
    <row r="1159" spans="1:25" ht="13">
      <c r="A1159" s="26"/>
      <c r="B1159" s="83"/>
      <c r="C1159" s="26"/>
      <c r="D1159" s="26"/>
      <c r="E1159" s="26"/>
      <c r="F1159" s="26"/>
      <c r="G1159" s="26"/>
      <c r="H1159" s="26"/>
      <c r="I1159" s="26"/>
      <c r="J1159" s="34"/>
      <c r="K1159" s="63"/>
      <c r="L1159" s="26"/>
      <c r="M1159" s="26"/>
      <c r="N1159" s="20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</row>
    <row r="1160" spans="1:25" ht="13">
      <c r="A1160" s="26"/>
      <c r="B1160" s="83"/>
      <c r="C1160" s="26"/>
      <c r="D1160" s="26"/>
      <c r="E1160" s="26"/>
      <c r="F1160" s="26"/>
      <c r="G1160" s="26"/>
      <c r="H1160" s="26"/>
      <c r="I1160" s="26"/>
      <c r="J1160" s="34"/>
      <c r="K1160" s="63"/>
      <c r="L1160" s="26"/>
      <c r="M1160" s="26"/>
      <c r="N1160" s="20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</row>
    <row r="1161" spans="1:25" ht="13">
      <c r="A1161" s="26"/>
      <c r="B1161" s="83"/>
      <c r="C1161" s="26"/>
      <c r="D1161" s="26"/>
      <c r="E1161" s="26"/>
      <c r="F1161" s="26"/>
      <c r="G1161" s="26"/>
      <c r="H1161" s="26"/>
      <c r="I1161" s="26"/>
      <c r="J1161" s="34"/>
      <c r="K1161" s="63"/>
      <c r="L1161" s="26"/>
      <c r="M1161" s="26"/>
      <c r="N1161" s="20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</row>
    <row r="1162" spans="1:25" ht="13">
      <c r="A1162" s="26"/>
      <c r="B1162" s="83"/>
      <c r="C1162" s="26"/>
      <c r="D1162" s="26"/>
      <c r="E1162" s="26"/>
      <c r="F1162" s="26"/>
      <c r="G1162" s="26"/>
      <c r="H1162" s="26"/>
      <c r="I1162" s="26"/>
      <c r="J1162" s="34"/>
      <c r="K1162" s="63"/>
      <c r="L1162" s="26"/>
      <c r="M1162" s="26"/>
      <c r="N1162" s="20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</row>
    <row r="1163" spans="1:25" ht="13">
      <c r="A1163" s="26"/>
      <c r="B1163" s="83"/>
      <c r="C1163" s="26"/>
      <c r="D1163" s="26"/>
      <c r="E1163" s="26"/>
      <c r="F1163" s="26"/>
      <c r="G1163" s="26"/>
      <c r="H1163" s="26"/>
      <c r="I1163" s="26"/>
      <c r="J1163" s="34"/>
      <c r="K1163" s="63"/>
      <c r="L1163" s="26"/>
      <c r="M1163" s="26"/>
      <c r="N1163" s="20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</row>
    <row r="1164" spans="1:25" ht="13">
      <c r="A1164" s="26"/>
      <c r="B1164" s="83"/>
      <c r="C1164" s="26"/>
      <c r="D1164" s="26"/>
      <c r="E1164" s="26"/>
      <c r="F1164" s="26"/>
      <c r="G1164" s="26"/>
      <c r="H1164" s="26"/>
      <c r="I1164" s="26"/>
      <c r="J1164" s="34"/>
      <c r="K1164" s="63"/>
      <c r="L1164" s="26"/>
      <c r="M1164" s="26"/>
      <c r="N1164" s="20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</row>
    <row r="1165" spans="1:25" ht="13">
      <c r="A1165" s="26"/>
      <c r="B1165" s="83"/>
      <c r="C1165" s="26"/>
      <c r="D1165" s="26"/>
      <c r="E1165" s="26"/>
      <c r="F1165" s="26"/>
      <c r="G1165" s="26"/>
      <c r="H1165" s="26"/>
      <c r="I1165" s="26"/>
      <c r="J1165" s="34"/>
      <c r="K1165" s="63"/>
      <c r="L1165" s="26"/>
      <c r="M1165" s="26"/>
      <c r="N1165" s="20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</row>
    <row r="1166" spans="1:25" ht="13">
      <c r="A1166" s="26"/>
      <c r="B1166" s="83"/>
      <c r="C1166" s="26"/>
      <c r="D1166" s="26"/>
      <c r="E1166" s="26"/>
      <c r="F1166" s="26"/>
      <c r="G1166" s="26"/>
      <c r="H1166" s="26"/>
      <c r="I1166" s="26"/>
      <c r="J1166" s="34"/>
      <c r="K1166" s="63"/>
      <c r="L1166" s="26"/>
      <c r="M1166" s="26"/>
      <c r="N1166" s="20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</row>
    <row r="1167" spans="1:25" ht="13">
      <c r="A1167" s="26"/>
      <c r="B1167" s="83"/>
      <c r="C1167" s="26"/>
      <c r="D1167" s="26"/>
      <c r="E1167" s="26"/>
      <c r="F1167" s="26"/>
      <c r="G1167" s="26"/>
      <c r="H1167" s="26"/>
      <c r="I1167" s="26"/>
      <c r="J1167" s="34"/>
      <c r="K1167" s="63"/>
      <c r="L1167" s="26"/>
      <c r="M1167" s="26"/>
      <c r="N1167" s="20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</row>
    <row r="1168" spans="1:25" ht="13">
      <c r="A1168" s="26"/>
      <c r="B1168" s="83"/>
      <c r="C1168" s="26"/>
      <c r="D1168" s="26"/>
      <c r="E1168" s="26"/>
      <c r="F1168" s="26"/>
      <c r="G1168" s="26"/>
      <c r="H1168" s="26"/>
      <c r="I1168" s="26"/>
      <c r="J1168" s="34"/>
      <c r="K1168" s="63"/>
      <c r="L1168" s="26"/>
      <c r="M1168" s="26"/>
      <c r="N1168" s="20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</row>
    <row r="1169" spans="1:25" ht="13">
      <c r="A1169" s="26"/>
      <c r="B1169" s="83"/>
      <c r="C1169" s="26"/>
      <c r="D1169" s="26"/>
      <c r="E1169" s="26"/>
      <c r="F1169" s="26"/>
      <c r="G1169" s="26"/>
      <c r="H1169" s="26"/>
      <c r="I1169" s="26"/>
      <c r="J1169" s="34"/>
      <c r="K1169" s="63"/>
      <c r="L1169" s="26"/>
      <c r="M1169" s="26"/>
      <c r="N1169" s="20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</row>
    <row r="1170" spans="1:25" ht="13">
      <c r="A1170" s="26"/>
      <c r="B1170" s="83"/>
      <c r="C1170" s="26"/>
      <c r="D1170" s="26"/>
      <c r="E1170" s="26"/>
      <c r="F1170" s="26"/>
      <c r="G1170" s="26"/>
      <c r="H1170" s="26"/>
      <c r="I1170" s="26"/>
      <c r="J1170" s="34"/>
      <c r="K1170" s="63"/>
      <c r="L1170" s="26"/>
      <c r="M1170" s="26"/>
      <c r="N1170" s="20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</row>
    <row r="1171" spans="1:25" ht="13">
      <c r="A1171" s="26"/>
      <c r="B1171" s="83"/>
      <c r="C1171" s="26"/>
      <c r="D1171" s="26"/>
      <c r="E1171" s="26"/>
      <c r="F1171" s="26"/>
      <c r="G1171" s="26"/>
      <c r="H1171" s="26"/>
      <c r="I1171" s="26"/>
      <c r="J1171" s="34"/>
      <c r="K1171" s="63"/>
      <c r="L1171" s="26"/>
      <c r="M1171" s="26"/>
      <c r="N1171" s="20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</row>
    <row r="1172" spans="1:25" ht="13">
      <c r="A1172" s="26"/>
      <c r="B1172" s="83"/>
      <c r="C1172" s="26"/>
      <c r="D1172" s="26"/>
      <c r="E1172" s="26"/>
      <c r="F1172" s="26"/>
      <c r="G1172" s="26"/>
      <c r="H1172" s="26"/>
      <c r="I1172" s="26"/>
      <c r="J1172" s="34"/>
      <c r="K1172" s="63"/>
      <c r="L1172" s="26"/>
      <c r="M1172" s="26"/>
      <c r="N1172" s="20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</row>
    <row r="1173" spans="1:25" ht="13">
      <c r="A1173" s="26"/>
      <c r="B1173" s="83"/>
      <c r="C1173" s="26"/>
      <c r="D1173" s="26"/>
      <c r="E1173" s="26"/>
      <c r="F1173" s="26"/>
      <c r="G1173" s="26"/>
      <c r="H1173" s="26"/>
      <c r="I1173" s="26"/>
      <c r="J1173" s="34"/>
      <c r="K1173" s="63"/>
      <c r="L1173" s="26"/>
      <c r="M1173" s="26"/>
      <c r="N1173" s="20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</row>
    <row r="1174" spans="1:25" ht="13">
      <c r="A1174" s="26"/>
      <c r="B1174" s="83"/>
      <c r="C1174" s="26"/>
      <c r="D1174" s="26"/>
      <c r="E1174" s="26"/>
      <c r="F1174" s="26"/>
      <c r="G1174" s="26"/>
      <c r="H1174" s="26"/>
      <c r="I1174" s="26"/>
      <c r="J1174" s="34"/>
      <c r="K1174" s="63"/>
      <c r="L1174" s="26"/>
      <c r="M1174" s="26"/>
      <c r="N1174" s="20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</row>
    <row r="1175" spans="1:25" ht="13">
      <c r="A1175" s="26"/>
      <c r="B1175" s="83"/>
      <c r="C1175" s="26"/>
      <c r="D1175" s="26"/>
      <c r="E1175" s="26"/>
      <c r="F1175" s="26"/>
      <c r="G1175" s="26"/>
      <c r="H1175" s="26"/>
      <c r="I1175" s="26"/>
      <c r="J1175" s="34"/>
      <c r="K1175" s="63"/>
      <c r="L1175" s="26"/>
      <c r="M1175" s="26"/>
      <c r="N1175" s="20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</row>
    <row r="1176" spans="1:25" ht="13">
      <c r="A1176" s="26"/>
      <c r="B1176" s="83"/>
      <c r="C1176" s="26"/>
      <c r="D1176" s="26"/>
      <c r="E1176" s="26"/>
      <c r="F1176" s="26"/>
      <c r="G1176" s="26"/>
      <c r="H1176" s="26"/>
      <c r="I1176" s="26"/>
      <c r="J1176" s="34"/>
      <c r="K1176" s="63"/>
      <c r="L1176" s="26"/>
      <c r="M1176" s="26"/>
      <c r="N1176" s="20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</row>
    <row r="1177" spans="1:25" ht="13">
      <c r="A1177" s="26"/>
      <c r="B1177" s="83"/>
      <c r="C1177" s="26"/>
      <c r="D1177" s="26"/>
      <c r="E1177" s="26"/>
      <c r="F1177" s="26"/>
      <c r="G1177" s="26"/>
      <c r="H1177" s="26"/>
      <c r="I1177" s="26"/>
      <c r="J1177" s="34"/>
      <c r="K1177" s="63"/>
      <c r="L1177" s="26"/>
      <c r="M1177" s="26"/>
      <c r="N1177" s="20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</row>
    <row r="1178" spans="1:25" ht="13">
      <c r="A1178" s="26"/>
      <c r="B1178" s="83"/>
      <c r="C1178" s="26"/>
      <c r="D1178" s="26"/>
      <c r="E1178" s="26"/>
      <c r="F1178" s="26"/>
      <c r="G1178" s="26"/>
      <c r="H1178" s="26"/>
      <c r="I1178" s="26"/>
      <c r="J1178" s="34"/>
      <c r="K1178" s="63"/>
      <c r="L1178" s="26"/>
      <c r="M1178" s="26"/>
      <c r="N1178" s="20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</row>
    <row r="1179" spans="1:25" ht="13">
      <c r="A1179" s="26"/>
      <c r="B1179" s="83"/>
      <c r="C1179" s="26"/>
      <c r="D1179" s="26"/>
      <c r="E1179" s="26"/>
      <c r="F1179" s="26"/>
      <c r="G1179" s="26"/>
      <c r="H1179" s="26"/>
      <c r="I1179" s="26"/>
      <c r="J1179" s="34"/>
      <c r="K1179" s="63"/>
      <c r="L1179" s="26"/>
      <c r="M1179" s="26"/>
      <c r="N1179" s="20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</row>
    <row r="1180" spans="1:25" ht="13">
      <c r="A1180" s="26"/>
      <c r="B1180" s="83"/>
      <c r="C1180" s="26"/>
      <c r="D1180" s="26"/>
      <c r="E1180" s="26"/>
      <c r="F1180" s="26"/>
      <c r="G1180" s="26"/>
      <c r="H1180" s="26"/>
      <c r="I1180" s="26"/>
      <c r="J1180" s="34"/>
      <c r="K1180" s="63"/>
      <c r="L1180" s="26"/>
      <c r="M1180" s="26"/>
      <c r="N1180" s="20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</row>
    <row r="1181" spans="1:25" ht="13">
      <c r="A1181" s="26"/>
      <c r="B1181" s="83"/>
      <c r="C1181" s="26"/>
      <c r="D1181" s="26"/>
      <c r="E1181" s="26"/>
      <c r="F1181" s="26"/>
      <c r="G1181" s="26"/>
      <c r="H1181" s="26"/>
      <c r="I1181" s="26"/>
      <c r="J1181" s="34"/>
      <c r="K1181" s="63"/>
      <c r="L1181" s="26"/>
      <c r="M1181" s="26"/>
      <c r="N1181" s="20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</row>
    <row r="1182" spans="1:25" ht="13">
      <c r="A1182" s="26"/>
      <c r="B1182" s="83"/>
      <c r="C1182" s="26"/>
      <c r="D1182" s="26"/>
      <c r="E1182" s="26"/>
      <c r="F1182" s="26"/>
      <c r="G1182" s="26"/>
      <c r="H1182" s="26"/>
      <c r="I1182" s="26"/>
      <c r="J1182" s="34"/>
      <c r="K1182" s="63"/>
      <c r="L1182" s="26"/>
      <c r="M1182" s="26"/>
      <c r="N1182" s="20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</row>
    <row r="1183" spans="1:25" ht="13">
      <c r="A1183" s="26"/>
      <c r="B1183" s="83"/>
      <c r="C1183" s="26"/>
      <c r="D1183" s="26"/>
      <c r="E1183" s="26"/>
      <c r="F1183" s="26"/>
      <c r="G1183" s="26"/>
      <c r="H1183" s="26"/>
      <c r="I1183" s="26"/>
      <c r="J1183" s="34"/>
      <c r="K1183" s="63"/>
      <c r="L1183" s="26"/>
      <c r="M1183" s="26"/>
      <c r="N1183" s="20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</row>
    <row r="1184" spans="1:25" ht="13">
      <c r="A1184" s="26"/>
      <c r="B1184" s="83"/>
      <c r="C1184" s="26"/>
      <c r="D1184" s="26"/>
      <c r="E1184" s="26"/>
      <c r="F1184" s="26"/>
      <c r="G1184" s="26"/>
      <c r="H1184" s="26"/>
      <c r="I1184" s="26"/>
      <c r="J1184" s="34"/>
      <c r="K1184" s="63"/>
      <c r="L1184" s="26"/>
      <c r="M1184" s="26"/>
      <c r="N1184" s="20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</row>
    <row r="1185" spans="1:25" ht="13">
      <c r="A1185" s="26"/>
      <c r="B1185" s="83"/>
      <c r="C1185" s="26"/>
      <c r="D1185" s="26"/>
      <c r="E1185" s="26"/>
      <c r="F1185" s="26"/>
      <c r="G1185" s="26"/>
      <c r="H1185" s="26"/>
      <c r="I1185" s="26"/>
      <c r="J1185" s="34"/>
      <c r="K1185" s="63"/>
      <c r="L1185" s="26"/>
      <c r="M1185" s="26"/>
      <c r="N1185" s="20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</row>
    <row r="1186" spans="1:25" ht="13">
      <c r="A1186" s="26"/>
      <c r="B1186" s="83"/>
      <c r="C1186" s="26"/>
      <c r="D1186" s="26"/>
      <c r="E1186" s="26"/>
      <c r="F1186" s="26"/>
      <c r="G1186" s="26"/>
      <c r="H1186" s="26"/>
      <c r="I1186" s="26"/>
      <c r="J1186" s="34"/>
      <c r="K1186" s="63"/>
      <c r="L1186" s="26"/>
      <c r="M1186" s="26"/>
      <c r="N1186" s="20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</row>
    <row r="1187" spans="1:25" ht="13">
      <c r="A1187" s="26"/>
      <c r="B1187" s="83"/>
      <c r="C1187" s="26"/>
      <c r="D1187" s="26"/>
      <c r="E1187" s="26"/>
      <c r="F1187" s="26"/>
      <c r="G1187" s="26"/>
      <c r="H1187" s="26"/>
      <c r="I1187" s="26"/>
      <c r="J1187" s="34"/>
      <c r="K1187" s="63"/>
      <c r="L1187" s="26"/>
      <c r="M1187" s="26"/>
      <c r="N1187" s="20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</row>
    <row r="1188" spans="1:25" ht="13">
      <c r="A1188" s="26"/>
      <c r="B1188" s="83"/>
      <c r="C1188" s="26"/>
      <c r="D1188" s="26"/>
      <c r="E1188" s="26"/>
      <c r="F1188" s="26"/>
      <c r="G1188" s="26"/>
      <c r="H1188" s="26"/>
      <c r="I1188" s="26"/>
      <c r="J1188" s="34"/>
      <c r="K1188" s="63"/>
      <c r="L1188" s="26"/>
      <c r="M1188" s="26"/>
      <c r="N1188" s="20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</row>
    <row r="1189" spans="1:25" ht="13">
      <c r="A1189" s="26"/>
      <c r="B1189" s="83"/>
      <c r="C1189" s="26"/>
      <c r="D1189" s="26"/>
      <c r="E1189" s="26"/>
      <c r="F1189" s="26"/>
      <c r="G1189" s="26"/>
      <c r="H1189" s="26"/>
      <c r="I1189" s="26"/>
      <c r="J1189" s="34"/>
      <c r="K1189" s="63"/>
      <c r="L1189" s="26"/>
      <c r="M1189" s="26"/>
      <c r="N1189" s="20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</row>
    <row r="1190" spans="1:25" ht="13">
      <c r="A1190" s="26"/>
      <c r="B1190" s="83"/>
      <c r="C1190" s="26"/>
      <c r="D1190" s="26"/>
      <c r="E1190" s="26"/>
      <c r="F1190" s="26"/>
      <c r="G1190" s="26"/>
      <c r="H1190" s="26"/>
      <c r="I1190" s="26"/>
      <c r="J1190" s="34"/>
      <c r="K1190" s="63"/>
      <c r="L1190" s="26"/>
      <c r="M1190" s="26"/>
      <c r="N1190" s="20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</row>
    <row r="1191" spans="1:25" ht="13">
      <c r="A1191" s="26"/>
      <c r="B1191" s="83"/>
      <c r="C1191" s="26"/>
      <c r="D1191" s="26"/>
      <c r="E1191" s="26"/>
      <c r="F1191" s="26"/>
      <c r="G1191" s="26"/>
      <c r="H1191" s="26"/>
      <c r="I1191" s="26"/>
      <c r="J1191" s="34"/>
      <c r="K1191" s="63"/>
      <c r="L1191" s="26"/>
      <c r="M1191" s="26"/>
      <c r="N1191" s="20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</row>
  </sheetData>
  <conditionalFormatting sqref="A19:G26">
    <cfRule type="containsText" dxfId="69" priority="1" operator="containsText" text="Optovision">
      <formula>NOT(ISERROR(SEARCH(("Optovision"),(A19))))</formula>
    </cfRule>
  </conditionalFormatting>
  <conditionalFormatting sqref="H19:I21">
    <cfRule type="containsText" dxfId="68" priority="2" operator="containsText" text="Optovision">
      <formula>NOT(ISERROR(SEARCH(("Optovision"),(H19))))</formula>
    </cfRule>
  </conditionalFormatting>
  <conditionalFormatting sqref="H24:I26">
    <cfRule type="containsText" dxfId="67" priority="3" operator="containsText" text="Optovision">
      <formula>NOT(ISERROR(SEARCH(("Optovision"),(H24))))</formula>
    </cfRule>
  </conditionalFormatting>
  <conditionalFormatting sqref="A100:I100">
    <cfRule type="containsText" dxfId="66" priority="4" operator="containsText" text="Optovision">
      <formula>NOT(ISERROR(SEARCH(("Optovision"),(A100))))</formula>
    </cfRule>
  </conditionalFormatting>
  <conditionalFormatting sqref="A180:I180">
    <cfRule type="containsText" dxfId="65" priority="5" operator="containsText" text="Optovision">
      <formula>NOT(ISERROR(SEARCH(("Optovision"),(A180))))</formula>
    </cfRule>
  </conditionalFormatting>
  <conditionalFormatting sqref="A104:I107 A182:I182">
    <cfRule type="containsText" dxfId="64" priority="6" operator="containsText" text="Optovision">
      <formula>NOT(ISERROR(SEARCH(("Optovision"),(A104))))</formula>
    </cfRule>
  </conditionalFormatting>
  <conditionalFormatting sqref="J40">
    <cfRule type="containsText" dxfId="63" priority="7" operator="containsText" text="Optovision">
      <formula>NOT(ISERROR(SEARCH(("Optovision"),(J40))))</formula>
    </cfRule>
  </conditionalFormatting>
  <conditionalFormatting sqref="J51">
    <cfRule type="containsText" dxfId="62" priority="8" operator="containsText" text="Optovision">
      <formula>NOT(ISERROR(SEARCH(("Optovision"),(J51))))</formula>
    </cfRule>
  </conditionalFormatting>
  <conditionalFormatting sqref="J53">
    <cfRule type="containsText" dxfId="61" priority="9" operator="containsText" text="Optovision">
      <formula>NOT(ISERROR(SEARCH(("Optovision"),(J53))))</formula>
    </cfRule>
  </conditionalFormatting>
  <conditionalFormatting sqref="J55:J59">
    <cfRule type="containsText" dxfId="60" priority="10" operator="containsText" text="Optovision">
      <formula>NOT(ISERROR(SEARCH(("Optovision"),(J55))))</formula>
    </cfRule>
  </conditionalFormatting>
  <conditionalFormatting sqref="J61:J69">
    <cfRule type="containsText" dxfId="59" priority="11" operator="containsText" text="Optovision">
      <formula>NOT(ISERROR(SEARCH(("Optovision"),(J61))))</formula>
    </cfRule>
  </conditionalFormatting>
  <conditionalFormatting sqref="J77">
    <cfRule type="containsText" dxfId="58" priority="12" operator="containsText" text="Optovision">
      <formula>NOT(ISERROR(SEARCH(("Optovision"),(J77))))</formula>
    </cfRule>
  </conditionalFormatting>
  <conditionalFormatting sqref="J84">
    <cfRule type="containsText" dxfId="57" priority="13" operator="containsText" text="Optovision">
      <formula>NOT(ISERROR(SEARCH(("Optovision"),(J84))))</formula>
    </cfRule>
  </conditionalFormatting>
  <conditionalFormatting sqref="J86:J88">
    <cfRule type="containsText" dxfId="56" priority="14" operator="containsText" text="Optovision">
      <formula>NOT(ISERROR(SEARCH(("Optovision"),(J86))))</formula>
    </cfRule>
  </conditionalFormatting>
  <conditionalFormatting sqref="J98:J100">
    <cfRule type="containsText" dxfId="55" priority="15" operator="containsText" text="Optovision">
      <formula>NOT(ISERROR(SEARCH(("Optovision"),(J98))))</formula>
    </cfRule>
  </conditionalFormatting>
  <conditionalFormatting sqref="J162 J180">
    <cfRule type="containsText" dxfId="54" priority="16" operator="containsText" text="Optovision">
      <formula>NOT(ISERROR(SEARCH(("Optovision"),(J162))))</formula>
    </cfRule>
  </conditionalFormatting>
  <conditionalFormatting sqref="J104:J108 J129:J132 J182">
    <cfRule type="containsText" dxfId="53" priority="17" operator="containsText" text="Optovision">
      <formula>NOT(ISERROR(SEARCH(("Optovision"),(J104))))</formula>
    </cfRule>
  </conditionalFormatting>
  <conditionalFormatting sqref="K182">
    <cfRule type="containsText" dxfId="52" priority="18" operator="containsText" text="Optovision">
      <formula>NOT(ISERROR(SEARCH(("Optovision"),(K182))))</formula>
    </cfRule>
  </conditionalFormatting>
  <conditionalFormatting sqref="K100:L100">
    <cfRule type="containsText" dxfId="51" priority="19" operator="containsText" text="Optovision">
      <formula>NOT(ISERROR(SEARCH(("Optovision"),(K100))))</formula>
    </cfRule>
  </conditionalFormatting>
  <conditionalFormatting sqref="N100">
    <cfRule type="containsText" dxfId="50" priority="20" operator="containsText" text="Optovision">
      <formula>NOT(ISERROR(SEARCH(("Optovision"),(N100))))</formula>
    </cfRule>
  </conditionalFormatting>
  <conditionalFormatting sqref="L104:O107 L182:O182">
    <cfRule type="containsText" dxfId="49" priority="21" operator="containsText" text="Optovision">
      <formula>NOT(ISERROR(SEARCH(("Optovision"),(L104))))</formula>
    </cfRule>
  </conditionalFormatting>
  <conditionalFormatting sqref="A31:P32">
    <cfRule type="containsText" dxfId="48" priority="22" operator="containsText" text="Optovision">
      <formula>NOT(ISERROR(SEARCH(("Optovision"),(A31))))</formula>
    </cfRule>
  </conditionalFormatting>
  <conditionalFormatting sqref="P100:Q100">
    <cfRule type="containsText" dxfId="47" priority="23" operator="containsText" text="Optovision">
      <formula>NOT(ISERROR(SEARCH(("Optovision"),(P100))))</formula>
    </cfRule>
  </conditionalFormatting>
  <conditionalFormatting sqref="P112:Q113 A120:Q120 A124:Q125 A133:Q134 A144:Q145 K156:K157">
    <cfRule type="containsText" dxfId="46" priority="24" operator="containsText" text="Optovision">
      <formula>NOT(ISERROR(SEARCH(("Optovision"),(P112))))</formula>
    </cfRule>
  </conditionalFormatting>
  <conditionalFormatting sqref="A4:Y9">
    <cfRule type="containsText" dxfId="45" priority="25" operator="containsText" text="Optovision">
      <formula>NOT(ISERROR(SEARCH(("Optovision"),(A4))))</formula>
    </cfRule>
  </conditionalFormatting>
  <conditionalFormatting sqref="J19:Y26">
    <cfRule type="containsText" dxfId="44" priority="26" operator="containsText" text="Optovision">
      <formula>NOT(ISERROR(SEARCH(("Optovision"),(J19))))</formula>
    </cfRule>
  </conditionalFormatting>
  <conditionalFormatting sqref="Q31:Y31">
    <cfRule type="containsText" dxfId="43" priority="27" operator="containsText" text="Optovision">
      <formula>NOT(ISERROR(SEARCH(("Optovision"),(Q31))))</formula>
    </cfRule>
  </conditionalFormatting>
  <conditionalFormatting sqref="K180:Y180">
    <cfRule type="containsText" dxfId="42" priority="28" operator="containsText" text="Optovision">
      <formula>NOT(ISERROR(SEARCH(("Optovision"),(K180))))</formula>
    </cfRule>
  </conditionalFormatting>
  <conditionalFormatting sqref="P182:Y182">
    <cfRule type="containsText" dxfId="41" priority="29" operator="containsText" text="Optovision">
      <formula>NOT(ISERROR(SEARCH(("Optovision"),(P182))))</formula>
    </cfRule>
  </conditionalFormatting>
  <conditionalFormatting sqref="A19:G26">
    <cfRule type="containsText" dxfId="40" priority="30" operator="containsText" text="Gensight">
      <formula>NOT(ISERROR(SEARCH(("Gensight"),(A19))))</formula>
    </cfRule>
  </conditionalFormatting>
  <conditionalFormatting sqref="H19:I21">
    <cfRule type="containsText" dxfId="39" priority="31" operator="containsText" text="Gensight">
      <formula>NOT(ISERROR(SEARCH(("Gensight"),(H19))))</formula>
    </cfRule>
  </conditionalFormatting>
  <conditionalFormatting sqref="H24:I26">
    <cfRule type="containsText" dxfId="38" priority="32" operator="containsText" text="Gensight">
      <formula>NOT(ISERROR(SEARCH(("Gensight"),(H24))))</formula>
    </cfRule>
  </conditionalFormatting>
  <conditionalFormatting sqref="A100:I100">
    <cfRule type="containsText" dxfId="37" priority="33" operator="containsText" text="Gensight">
      <formula>NOT(ISERROR(SEARCH(("Gensight"),(A100))))</formula>
    </cfRule>
  </conditionalFormatting>
  <conditionalFormatting sqref="A180:I180">
    <cfRule type="containsText" dxfId="36" priority="34" operator="containsText" text="Gensight">
      <formula>NOT(ISERROR(SEARCH(("Gensight"),(A180))))</formula>
    </cfRule>
  </conditionalFormatting>
  <conditionalFormatting sqref="A104:I107 A182:I182">
    <cfRule type="containsText" dxfId="35" priority="35" operator="containsText" text="Gensight">
      <formula>NOT(ISERROR(SEARCH(("Gensight"),(A104))))</formula>
    </cfRule>
  </conditionalFormatting>
  <conditionalFormatting sqref="J40">
    <cfRule type="containsText" dxfId="34" priority="36" operator="containsText" text="Gensight">
      <formula>NOT(ISERROR(SEARCH(("Gensight"),(J40))))</formula>
    </cfRule>
  </conditionalFormatting>
  <conditionalFormatting sqref="J51">
    <cfRule type="containsText" dxfId="33" priority="37" operator="containsText" text="Gensight">
      <formula>NOT(ISERROR(SEARCH(("Gensight"),(J51))))</formula>
    </cfRule>
  </conditionalFormatting>
  <conditionalFormatting sqref="J53">
    <cfRule type="containsText" dxfId="32" priority="38" operator="containsText" text="Gensight">
      <formula>NOT(ISERROR(SEARCH(("Gensight"),(J53))))</formula>
    </cfRule>
  </conditionalFormatting>
  <conditionalFormatting sqref="J55:J59">
    <cfRule type="containsText" dxfId="31" priority="39" operator="containsText" text="Gensight">
      <formula>NOT(ISERROR(SEARCH(("Gensight"),(J55))))</formula>
    </cfRule>
  </conditionalFormatting>
  <conditionalFormatting sqref="J61:J69">
    <cfRule type="containsText" dxfId="30" priority="40" operator="containsText" text="Gensight">
      <formula>NOT(ISERROR(SEARCH(("Gensight"),(J61))))</formula>
    </cfRule>
  </conditionalFormatting>
  <conditionalFormatting sqref="J77">
    <cfRule type="containsText" dxfId="29" priority="41" operator="containsText" text="Gensight">
      <formula>NOT(ISERROR(SEARCH(("Gensight"),(J77))))</formula>
    </cfRule>
  </conditionalFormatting>
  <conditionalFormatting sqref="J84">
    <cfRule type="containsText" dxfId="28" priority="42" operator="containsText" text="Gensight">
      <formula>NOT(ISERROR(SEARCH(("Gensight"),(J84))))</formula>
    </cfRule>
  </conditionalFormatting>
  <conditionalFormatting sqref="J86:J88">
    <cfRule type="containsText" dxfId="27" priority="43" operator="containsText" text="Gensight">
      <formula>NOT(ISERROR(SEARCH(("Gensight"),(J86))))</formula>
    </cfRule>
  </conditionalFormatting>
  <conditionalFormatting sqref="J98:J100">
    <cfRule type="containsText" dxfId="26" priority="44" operator="containsText" text="Gensight">
      <formula>NOT(ISERROR(SEARCH(("Gensight"),(J98))))</formula>
    </cfRule>
  </conditionalFormatting>
  <conditionalFormatting sqref="J162 J180">
    <cfRule type="containsText" dxfId="25" priority="45" operator="containsText" text="Gensight">
      <formula>NOT(ISERROR(SEARCH(("Gensight"),(J162))))</formula>
    </cfRule>
  </conditionalFormatting>
  <conditionalFormatting sqref="J104:J108 J129:J132 J182">
    <cfRule type="containsText" dxfId="24" priority="46" operator="containsText" text="Gensight">
      <formula>NOT(ISERROR(SEARCH(("Gensight"),(J104))))</formula>
    </cfRule>
  </conditionalFormatting>
  <conditionalFormatting sqref="K182">
    <cfRule type="containsText" dxfId="23" priority="47" operator="containsText" text="Gensight">
      <formula>NOT(ISERROR(SEARCH(("Gensight"),(K182))))</formula>
    </cfRule>
  </conditionalFormatting>
  <conditionalFormatting sqref="K100:L100">
    <cfRule type="containsText" dxfId="22" priority="48" operator="containsText" text="Gensight">
      <formula>NOT(ISERROR(SEARCH(("Gensight"),(K100))))</formula>
    </cfRule>
  </conditionalFormatting>
  <conditionalFormatting sqref="N100">
    <cfRule type="containsText" dxfId="21" priority="49" operator="containsText" text="Gensight">
      <formula>NOT(ISERROR(SEARCH(("Gensight"),(N100))))</formula>
    </cfRule>
  </conditionalFormatting>
  <conditionalFormatting sqref="L104:O107 L182:O182">
    <cfRule type="containsText" dxfId="20" priority="50" operator="containsText" text="Gensight">
      <formula>NOT(ISERROR(SEARCH(("Gensight"),(L104))))</formula>
    </cfRule>
  </conditionalFormatting>
  <conditionalFormatting sqref="A31:P32">
    <cfRule type="containsText" dxfId="19" priority="51" operator="containsText" text="Gensight">
      <formula>NOT(ISERROR(SEARCH(("Gensight"),(A31))))</formula>
    </cfRule>
  </conditionalFormatting>
  <conditionalFormatting sqref="P100:Q100">
    <cfRule type="containsText" dxfId="18" priority="52" operator="containsText" text="Gensight">
      <formula>NOT(ISERROR(SEARCH(("Gensight"),(P100))))</formula>
    </cfRule>
  </conditionalFormatting>
  <conditionalFormatting sqref="P112:Q113 A120:Q120 A124:Q125 A133:Q134 A144:Q145 K156:K157">
    <cfRule type="containsText" dxfId="17" priority="53" operator="containsText" text="Gensight">
      <formula>NOT(ISERROR(SEARCH(("Gensight"),(P112))))</formula>
    </cfRule>
  </conditionalFormatting>
  <conditionalFormatting sqref="A4:Y9">
    <cfRule type="containsText" dxfId="16" priority="54" operator="containsText" text="Gensight">
      <formula>NOT(ISERROR(SEARCH(("Gensight"),(A4))))</formula>
    </cfRule>
  </conditionalFormatting>
  <conditionalFormatting sqref="J19:Y26">
    <cfRule type="containsText" dxfId="15" priority="55" operator="containsText" text="Gensight">
      <formula>NOT(ISERROR(SEARCH(("Gensight"),(J19))))</formula>
    </cfRule>
  </conditionalFormatting>
  <conditionalFormatting sqref="Q31:Y31">
    <cfRule type="containsText" dxfId="14" priority="56" operator="containsText" text="Gensight">
      <formula>NOT(ISERROR(SEARCH(("Gensight"),(Q31))))</formula>
    </cfRule>
  </conditionalFormatting>
  <conditionalFormatting sqref="K180:Y180">
    <cfRule type="containsText" dxfId="13" priority="57" operator="containsText" text="Gensight">
      <formula>NOT(ISERROR(SEARCH(("Gensight"),(K180))))</formula>
    </cfRule>
  </conditionalFormatting>
  <conditionalFormatting sqref="P182:Y182">
    <cfRule type="containsText" dxfId="12" priority="58" operator="containsText" text="Gensight">
      <formula>NOT(ISERROR(SEARCH(("Gensight"),(P182))))</formula>
    </cfRule>
  </conditionalFormatting>
  <pageMargins left="0.75" right="0.75" top="1" bottom="1" header="0.5" footer="0.5"/>
  <tableParts count="5">
    <tablePart r:id="rId1"/>
    <tablePart r:id="rId2"/>
    <tablePart r:id="rId3"/>
    <tablePart r:id="rId4"/>
    <tablePart r:id="rId5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8"/>
  <sheetViews>
    <sheetView workbookViewId="0"/>
  </sheetViews>
  <sheetFormatPr baseColWidth="10" defaultColWidth="14.5" defaultRowHeight="12.75" customHeight="1" x14ac:dyDescent="0"/>
  <cols>
    <col min="1" max="1" width="17.33203125" customWidth="1"/>
    <col min="2" max="2" width="45.6640625" customWidth="1"/>
    <col min="3" max="3" width="28.33203125" customWidth="1"/>
    <col min="4" max="4" width="17.33203125" customWidth="1"/>
    <col min="5" max="5" width="9.83203125" customWidth="1"/>
    <col min="6" max="6" width="50" customWidth="1"/>
    <col min="7" max="7" width="26.6640625" customWidth="1"/>
    <col min="8" max="8" width="17.33203125" customWidth="1"/>
    <col min="9" max="9" width="16.83203125" customWidth="1"/>
    <col min="10" max="10" width="33.5" customWidth="1"/>
    <col min="11" max="11" width="20.33203125" customWidth="1"/>
    <col min="12" max="12" width="24.1640625" customWidth="1"/>
    <col min="13" max="20" width="17.33203125" customWidth="1"/>
  </cols>
  <sheetData>
    <row r="1" spans="1:12" ht="24">
      <c r="A1" s="16" t="s">
        <v>2434</v>
      </c>
      <c r="B1" s="621" t="s">
        <v>2435</v>
      </c>
      <c r="C1" s="4" t="s">
        <v>2436</v>
      </c>
      <c r="D1" s="18"/>
      <c r="E1" s="16" t="s">
        <v>2437</v>
      </c>
      <c r="F1" s="16" t="s">
        <v>2435</v>
      </c>
      <c r="G1" s="4" t="s">
        <v>2436</v>
      </c>
      <c r="I1" s="16" t="s">
        <v>2438</v>
      </c>
      <c r="J1" s="16" t="s">
        <v>2439</v>
      </c>
      <c r="K1" s="16" t="s">
        <v>2440</v>
      </c>
      <c r="L1" s="16" t="s">
        <v>2436</v>
      </c>
    </row>
    <row r="2" spans="1:12" ht="12">
      <c r="A2" s="50">
        <v>1</v>
      </c>
      <c r="B2" s="180" t="s">
        <v>2441</v>
      </c>
      <c r="C2" s="50" t="s">
        <v>2442</v>
      </c>
      <c r="E2" s="50" t="s">
        <v>275</v>
      </c>
      <c r="F2" s="50" t="s">
        <v>1401</v>
      </c>
      <c r="G2" s="50">
        <v>301</v>
      </c>
      <c r="I2" s="50" t="s">
        <v>2443</v>
      </c>
      <c r="J2" s="50" t="s">
        <v>2445</v>
      </c>
      <c r="K2" s="184">
        <v>360</v>
      </c>
      <c r="L2" s="4">
        <v>373</v>
      </c>
    </row>
    <row r="3" spans="1:12" ht="12">
      <c r="A3" s="50">
        <v>2</v>
      </c>
      <c r="B3" s="180" t="s">
        <v>2446</v>
      </c>
      <c r="C3" s="184">
        <v>253</v>
      </c>
      <c r="E3" s="50" t="s">
        <v>2447</v>
      </c>
      <c r="F3" s="50" t="s">
        <v>2448</v>
      </c>
      <c r="G3" s="412" t="s">
        <v>2450</v>
      </c>
      <c r="I3" s="50" t="s">
        <v>2451</v>
      </c>
      <c r="J3" s="50" t="s">
        <v>2452</v>
      </c>
      <c r="K3" s="184">
        <v>279</v>
      </c>
      <c r="L3" s="4">
        <v>382</v>
      </c>
    </row>
    <row r="4" spans="1:12" ht="12">
      <c r="A4" s="50">
        <v>3</v>
      </c>
      <c r="B4" s="180" t="s">
        <v>2453</v>
      </c>
      <c r="C4" s="184">
        <v>286</v>
      </c>
      <c r="E4" s="50" t="s">
        <v>2454</v>
      </c>
      <c r="F4" s="50" t="s">
        <v>2455</v>
      </c>
      <c r="G4" s="50">
        <v>350</v>
      </c>
      <c r="I4" s="50" t="s">
        <v>2456</v>
      </c>
      <c r="J4" s="50" t="s">
        <v>2457</v>
      </c>
      <c r="K4" s="184">
        <v>92</v>
      </c>
      <c r="L4" s="4">
        <v>378</v>
      </c>
    </row>
    <row r="5" spans="1:12" ht="12">
      <c r="A5" s="50">
        <v>4</v>
      </c>
      <c r="B5" s="180" t="s">
        <v>2458</v>
      </c>
      <c r="C5" s="184">
        <v>287</v>
      </c>
      <c r="E5" s="50" t="s">
        <v>2459</v>
      </c>
      <c r="F5" s="50" t="s">
        <v>2460</v>
      </c>
      <c r="G5" s="412" t="s">
        <v>2461</v>
      </c>
      <c r="I5" s="50" t="s">
        <v>2462</v>
      </c>
      <c r="J5" s="50" t="s">
        <v>2457</v>
      </c>
      <c r="K5" s="184">
        <v>289</v>
      </c>
      <c r="L5" s="4">
        <v>379</v>
      </c>
    </row>
    <row r="6" spans="1:12" ht="12">
      <c r="A6" s="50">
        <v>5</v>
      </c>
      <c r="B6" s="180" t="s">
        <v>2463</v>
      </c>
      <c r="C6" s="184" t="s">
        <v>2464</v>
      </c>
      <c r="E6" s="625" t="s">
        <v>2465</v>
      </c>
      <c r="F6" s="625" t="s">
        <v>2466</v>
      </c>
      <c r="G6" s="625" t="s">
        <v>2468</v>
      </c>
      <c r="I6" s="50" t="s">
        <v>2469</v>
      </c>
      <c r="J6" s="50" t="s">
        <v>2457</v>
      </c>
      <c r="K6" s="184">
        <v>302</v>
      </c>
      <c r="L6" s="4">
        <v>380</v>
      </c>
    </row>
    <row r="7" spans="1:12" ht="12">
      <c r="A7" s="50">
        <v>6</v>
      </c>
      <c r="B7" s="180" t="s">
        <v>77</v>
      </c>
      <c r="C7" s="184">
        <v>268</v>
      </c>
      <c r="E7" s="50" t="s">
        <v>2472</v>
      </c>
      <c r="F7" s="50" t="s">
        <v>2473</v>
      </c>
      <c r="G7" s="50">
        <v>404</v>
      </c>
      <c r="I7" s="50" t="s">
        <v>2474</v>
      </c>
      <c r="J7" s="50" t="s">
        <v>2475</v>
      </c>
      <c r="K7" s="184">
        <v>379</v>
      </c>
      <c r="L7" s="4" t="s">
        <v>2476</v>
      </c>
    </row>
    <row r="8" spans="1:12" ht="12">
      <c r="A8" s="50">
        <v>7</v>
      </c>
      <c r="B8" s="180" t="s">
        <v>2477</v>
      </c>
      <c r="C8" s="184" t="s">
        <v>2478</v>
      </c>
      <c r="E8" s="50" t="s">
        <v>2479</v>
      </c>
      <c r="F8" s="50" t="s">
        <v>2480</v>
      </c>
      <c r="G8" s="50">
        <v>405</v>
      </c>
      <c r="I8" s="50" t="s">
        <v>2481</v>
      </c>
      <c r="J8" s="50" t="s">
        <v>2475</v>
      </c>
      <c r="K8" s="184">
        <v>380</v>
      </c>
      <c r="L8" s="4" t="s">
        <v>2482</v>
      </c>
    </row>
    <row r="9" spans="1:12" ht="12">
      <c r="A9" s="50">
        <v>8</v>
      </c>
      <c r="B9" s="180" t="s">
        <v>2483</v>
      </c>
      <c r="C9" s="184">
        <v>257</v>
      </c>
      <c r="E9" s="50" t="s">
        <v>2484</v>
      </c>
      <c r="F9" s="50" t="s">
        <v>2485</v>
      </c>
      <c r="G9" s="50">
        <v>406</v>
      </c>
      <c r="I9" s="50" t="s">
        <v>2486</v>
      </c>
      <c r="J9" s="50" t="s">
        <v>2457</v>
      </c>
      <c r="K9" s="184">
        <v>295</v>
      </c>
      <c r="L9" s="4">
        <v>388</v>
      </c>
    </row>
    <row r="10" spans="1:12" ht="12">
      <c r="A10" s="50">
        <v>9</v>
      </c>
      <c r="B10" s="180" t="s">
        <v>2487</v>
      </c>
      <c r="C10" s="50" t="s">
        <v>2488</v>
      </c>
      <c r="E10" s="50" t="s">
        <v>2489</v>
      </c>
      <c r="F10" s="54" t="s">
        <v>2490</v>
      </c>
      <c r="G10" s="50">
        <v>417</v>
      </c>
      <c r="I10" s="50" t="s">
        <v>2491</v>
      </c>
      <c r="J10" s="50" t="s">
        <v>2457</v>
      </c>
      <c r="K10" s="184">
        <v>355</v>
      </c>
      <c r="L10" s="4">
        <v>389</v>
      </c>
    </row>
    <row r="11" spans="1:12" ht="12">
      <c r="A11" s="50">
        <v>10</v>
      </c>
      <c r="B11" s="180" t="s">
        <v>1269</v>
      </c>
      <c r="C11" s="50" t="s">
        <v>2492</v>
      </c>
      <c r="E11" s="50" t="s">
        <v>2493</v>
      </c>
      <c r="F11" s="50" t="s">
        <v>2494</v>
      </c>
      <c r="G11" s="412" t="s">
        <v>2495</v>
      </c>
      <c r="I11" s="50" t="s">
        <v>2496</v>
      </c>
      <c r="J11" s="50" t="s">
        <v>2497</v>
      </c>
      <c r="K11" s="184">
        <v>378</v>
      </c>
      <c r="L11" s="4">
        <v>398</v>
      </c>
    </row>
    <row r="12" spans="1:12" ht="12">
      <c r="A12" s="50">
        <v>11</v>
      </c>
      <c r="B12" s="180" t="s">
        <v>2498</v>
      </c>
      <c r="C12" s="50" t="s">
        <v>2492</v>
      </c>
      <c r="E12" s="50" t="s">
        <v>2499</v>
      </c>
      <c r="F12" s="50" t="s">
        <v>2500</v>
      </c>
      <c r="G12" s="412" t="s">
        <v>2501</v>
      </c>
      <c r="I12" s="50" t="s">
        <v>2502</v>
      </c>
      <c r="J12" s="50" t="s">
        <v>2503</v>
      </c>
      <c r="K12" s="184">
        <v>379</v>
      </c>
      <c r="L12" s="4">
        <v>399</v>
      </c>
    </row>
    <row r="13" spans="1:12" ht="12">
      <c r="A13" s="50">
        <v>12</v>
      </c>
      <c r="B13" s="180" t="s">
        <v>2504</v>
      </c>
      <c r="C13" s="184">
        <v>279</v>
      </c>
      <c r="E13" s="50" t="s">
        <v>2505</v>
      </c>
      <c r="F13" s="50" t="s">
        <v>2506</v>
      </c>
      <c r="G13" s="412" t="s">
        <v>2507</v>
      </c>
      <c r="I13" s="50" t="s">
        <v>2509</v>
      </c>
      <c r="J13" s="50" t="s">
        <v>2503</v>
      </c>
      <c r="K13" s="184">
        <v>92</v>
      </c>
      <c r="L13" s="4">
        <v>400</v>
      </c>
    </row>
    <row r="14" spans="1:12" ht="12">
      <c r="A14" s="50">
        <v>13</v>
      </c>
      <c r="B14" s="180" t="s">
        <v>2511</v>
      </c>
      <c r="C14" s="184" t="s">
        <v>2512</v>
      </c>
      <c r="E14" s="50" t="s">
        <v>2513</v>
      </c>
      <c r="F14" s="50" t="s">
        <v>2514</v>
      </c>
      <c r="G14" s="50">
        <v>433</v>
      </c>
      <c r="I14" s="50" t="s">
        <v>2515</v>
      </c>
      <c r="J14" s="50" t="s">
        <v>2516</v>
      </c>
      <c r="K14" s="184" t="s">
        <v>2517</v>
      </c>
      <c r="L14" s="4" t="s">
        <v>2518</v>
      </c>
    </row>
    <row r="15" spans="1:12" ht="12">
      <c r="A15" s="50">
        <v>14</v>
      </c>
      <c r="B15" s="180" t="s">
        <v>2519</v>
      </c>
      <c r="C15" s="184" t="s">
        <v>61</v>
      </c>
      <c r="E15" s="50" t="s">
        <v>1020</v>
      </c>
      <c r="F15" s="50" t="s">
        <v>2523</v>
      </c>
      <c r="G15" s="412">
        <v>508</v>
      </c>
      <c r="I15" s="50" t="s">
        <v>2524</v>
      </c>
      <c r="J15" s="50" t="s">
        <v>2525</v>
      </c>
      <c r="K15" s="184">
        <v>433</v>
      </c>
      <c r="L15" s="4">
        <v>439</v>
      </c>
    </row>
    <row r="16" spans="1:12" ht="12">
      <c r="A16" s="50">
        <v>15</v>
      </c>
      <c r="B16" s="180" t="s">
        <v>2526</v>
      </c>
      <c r="C16" s="184" t="s">
        <v>2527</v>
      </c>
      <c r="E16" s="50" t="s">
        <v>906</v>
      </c>
      <c r="F16" s="50" t="s">
        <v>2528</v>
      </c>
      <c r="G16" s="50">
        <v>524</v>
      </c>
      <c r="I16" s="50" t="s">
        <v>2529</v>
      </c>
      <c r="J16" s="50" t="s">
        <v>2530</v>
      </c>
      <c r="K16" s="184" t="s">
        <v>2531</v>
      </c>
      <c r="L16" s="4" t="s">
        <v>2532</v>
      </c>
    </row>
    <row r="17" spans="1:12" ht="12">
      <c r="A17" s="625">
        <v>16</v>
      </c>
      <c r="B17" s="632" t="s">
        <v>2533</v>
      </c>
      <c r="C17" s="625" t="s">
        <v>2534</v>
      </c>
      <c r="E17" s="50" t="s">
        <v>2535</v>
      </c>
      <c r="F17" s="50" t="s">
        <v>2536</v>
      </c>
      <c r="G17" s="412" t="s">
        <v>2537</v>
      </c>
      <c r="I17" s="50" t="s">
        <v>2538</v>
      </c>
      <c r="J17" s="50" t="s">
        <v>2539</v>
      </c>
      <c r="K17" s="184">
        <v>434</v>
      </c>
      <c r="L17" s="4" t="s">
        <v>2540</v>
      </c>
    </row>
    <row r="18" spans="1:12" ht="24">
      <c r="A18" s="50">
        <v>17</v>
      </c>
      <c r="B18" s="300" t="s">
        <v>2541</v>
      </c>
      <c r="C18" s="184" t="s">
        <v>2542</v>
      </c>
      <c r="E18" s="50" t="s">
        <v>1132</v>
      </c>
      <c r="F18" s="180" t="s">
        <v>2543</v>
      </c>
      <c r="G18" s="50">
        <v>556</v>
      </c>
      <c r="I18" s="50" t="s">
        <v>2545</v>
      </c>
      <c r="J18" s="50" t="s">
        <v>2546</v>
      </c>
      <c r="K18" s="50" t="s">
        <v>2547</v>
      </c>
      <c r="L18" s="50" t="s">
        <v>2548</v>
      </c>
    </row>
    <row r="19" spans="1:12" ht="12">
      <c r="A19" s="50">
        <v>18</v>
      </c>
      <c r="B19" s="180" t="s">
        <v>2549</v>
      </c>
      <c r="C19" s="50" t="s">
        <v>2442</v>
      </c>
      <c r="E19" s="50" t="s">
        <v>2550</v>
      </c>
      <c r="F19" s="50" t="s">
        <v>1932</v>
      </c>
      <c r="G19" s="467" t="s">
        <v>1557</v>
      </c>
      <c r="I19" s="50" t="s">
        <v>2551</v>
      </c>
      <c r="J19" s="50" t="s">
        <v>2552</v>
      </c>
      <c r="K19" s="184">
        <v>195</v>
      </c>
      <c r="L19" s="4">
        <v>516</v>
      </c>
    </row>
    <row r="20" spans="1:12" ht="12">
      <c r="A20" s="50">
        <v>19</v>
      </c>
      <c r="B20" s="180" t="s">
        <v>2553</v>
      </c>
      <c r="C20" s="184">
        <v>302</v>
      </c>
      <c r="E20" s="54" t="s">
        <v>2554</v>
      </c>
      <c r="F20" s="54" t="s">
        <v>2555</v>
      </c>
      <c r="G20" s="467" t="s">
        <v>1361</v>
      </c>
      <c r="I20" s="625" t="s">
        <v>1039</v>
      </c>
      <c r="J20" s="625" t="s">
        <v>2556</v>
      </c>
      <c r="K20" s="637">
        <v>401</v>
      </c>
      <c r="L20" s="625" t="s">
        <v>2557</v>
      </c>
    </row>
    <row r="21" spans="1:12" ht="12">
      <c r="A21" s="50">
        <v>20</v>
      </c>
      <c r="B21" s="180" t="s">
        <v>2558</v>
      </c>
      <c r="C21" s="184" t="s">
        <v>2559</v>
      </c>
      <c r="E21" s="54" t="s">
        <v>2560</v>
      </c>
      <c r="F21" s="54" t="s">
        <v>2561</v>
      </c>
      <c r="G21" s="54">
        <v>619</v>
      </c>
      <c r="I21" s="54" t="s">
        <v>2562</v>
      </c>
      <c r="J21" s="54" t="s">
        <v>2445</v>
      </c>
      <c r="K21" s="639">
        <v>349</v>
      </c>
      <c r="L21" s="641">
        <v>559</v>
      </c>
    </row>
    <row r="22" spans="1:12" ht="12">
      <c r="A22" s="50">
        <v>21</v>
      </c>
      <c r="B22" s="180" t="s">
        <v>512</v>
      </c>
      <c r="C22" s="184">
        <v>353</v>
      </c>
      <c r="E22" s="54" t="s">
        <v>1363</v>
      </c>
      <c r="F22" s="54" t="s">
        <v>2164</v>
      </c>
      <c r="G22" s="54">
        <v>677</v>
      </c>
      <c r="I22" s="54" t="s">
        <v>2563</v>
      </c>
      <c r="J22" s="54" t="s">
        <v>2564</v>
      </c>
      <c r="K22" s="54" t="s">
        <v>2565</v>
      </c>
      <c r="L22" s="641">
        <v>560</v>
      </c>
    </row>
    <row r="23" spans="1:12" ht="24">
      <c r="A23" s="50">
        <v>22</v>
      </c>
      <c r="B23" s="180" t="s">
        <v>2566</v>
      </c>
      <c r="C23" s="184">
        <v>354</v>
      </c>
      <c r="E23" s="54" t="s">
        <v>2567</v>
      </c>
      <c r="F23" s="54" t="s">
        <v>2568</v>
      </c>
      <c r="G23" s="54">
        <v>737</v>
      </c>
      <c r="I23" s="54" t="s">
        <v>2569</v>
      </c>
      <c r="J23" s="54" t="s">
        <v>2570</v>
      </c>
      <c r="K23" s="54" t="s">
        <v>2571</v>
      </c>
      <c r="L23" s="644">
        <v>574</v>
      </c>
    </row>
    <row r="24" spans="1:12" ht="24">
      <c r="A24" s="50">
        <v>23</v>
      </c>
      <c r="B24" s="482" t="s">
        <v>2572</v>
      </c>
      <c r="C24" s="184" t="s">
        <v>2573</v>
      </c>
      <c r="E24" s="500" t="s">
        <v>2574</v>
      </c>
      <c r="F24" s="500" t="s">
        <v>2575</v>
      </c>
      <c r="G24" s="500">
        <v>738</v>
      </c>
      <c r="I24" s="54" t="s">
        <v>2576</v>
      </c>
      <c r="J24" s="54" t="s">
        <v>2577</v>
      </c>
      <c r="K24" s="54" t="s">
        <v>2578</v>
      </c>
      <c r="L24" s="54" t="s">
        <v>2579</v>
      </c>
    </row>
    <row r="25" spans="1:12" ht="24">
      <c r="A25" s="50">
        <v>24</v>
      </c>
      <c r="B25" s="482" t="s">
        <v>2580</v>
      </c>
      <c r="C25" s="184">
        <v>387</v>
      </c>
      <c r="E25" s="54" t="s">
        <v>2370</v>
      </c>
      <c r="F25" s="54" t="s">
        <v>2575</v>
      </c>
      <c r="G25" s="54">
        <v>769</v>
      </c>
      <c r="I25" s="54" t="s">
        <v>1293</v>
      </c>
      <c r="J25" s="54" t="s">
        <v>2581</v>
      </c>
      <c r="K25" s="54" t="s">
        <v>2582</v>
      </c>
      <c r="L25" s="641" t="s">
        <v>2583</v>
      </c>
    </row>
    <row r="26" spans="1:12" ht="12">
      <c r="A26" s="50">
        <v>25</v>
      </c>
      <c r="B26" s="180" t="s">
        <v>536</v>
      </c>
      <c r="C26" s="184">
        <v>355</v>
      </c>
      <c r="I26" s="54" t="s">
        <v>2584</v>
      </c>
      <c r="J26" s="54" t="s">
        <v>2585</v>
      </c>
      <c r="K26" s="54">
        <v>481</v>
      </c>
      <c r="L26" s="641" t="s">
        <v>1312</v>
      </c>
    </row>
    <row r="27" spans="1:12" ht="12">
      <c r="A27" s="50">
        <v>26</v>
      </c>
      <c r="B27" s="180" t="s">
        <v>2586</v>
      </c>
      <c r="C27" s="184">
        <v>358</v>
      </c>
      <c r="I27" s="646" t="s">
        <v>2587</v>
      </c>
      <c r="J27" s="646" t="s">
        <v>2588</v>
      </c>
      <c r="K27" s="646">
        <v>573</v>
      </c>
      <c r="L27" s="646" t="s">
        <v>2589</v>
      </c>
    </row>
    <row r="28" spans="1:12" ht="12">
      <c r="A28" s="50">
        <v>27</v>
      </c>
      <c r="B28" s="180" t="s">
        <v>2592</v>
      </c>
      <c r="C28" s="184">
        <v>352</v>
      </c>
      <c r="I28" s="54" t="s">
        <v>2593</v>
      </c>
      <c r="J28" s="54" t="s">
        <v>2594</v>
      </c>
      <c r="K28" s="54">
        <v>190</v>
      </c>
      <c r="L28" s="641">
        <v>696</v>
      </c>
    </row>
    <row r="29" spans="1:12" ht="12">
      <c r="A29" s="625">
        <v>28</v>
      </c>
      <c r="B29" s="632" t="s">
        <v>2595</v>
      </c>
      <c r="C29" s="647"/>
      <c r="I29" s="54" t="s">
        <v>2596</v>
      </c>
      <c r="J29" s="54" t="s">
        <v>2597</v>
      </c>
      <c r="K29" s="54">
        <v>479</v>
      </c>
    </row>
    <row r="30" spans="1:12" ht="12">
      <c r="A30" s="50">
        <v>29</v>
      </c>
      <c r="B30" s="180" t="s">
        <v>2598</v>
      </c>
      <c r="C30" s="50" t="s">
        <v>2599</v>
      </c>
      <c r="I30" s="54" t="s">
        <v>2600</v>
      </c>
      <c r="J30" s="54" t="s">
        <v>2601</v>
      </c>
      <c r="K30" s="54">
        <v>166</v>
      </c>
      <c r="L30" s="641">
        <v>768</v>
      </c>
    </row>
    <row r="31" spans="1:12" ht="12">
      <c r="A31" s="50">
        <v>30</v>
      </c>
      <c r="B31" s="180" t="s">
        <v>2603</v>
      </c>
      <c r="C31" s="184" t="s">
        <v>2604</v>
      </c>
      <c r="I31" s="54" t="s">
        <v>2605</v>
      </c>
      <c r="J31" s="54" t="s">
        <v>2606</v>
      </c>
      <c r="K31" s="54">
        <v>745</v>
      </c>
    </row>
    <row r="32" spans="1:12" ht="12">
      <c r="A32" s="50">
        <v>31</v>
      </c>
      <c r="B32" s="180" t="s">
        <v>2543</v>
      </c>
      <c r="C32" s="184" t="s">
        <v>2607</v>
      </c>
    </row>
    <row r="33" spans="1:7" ht="12">
      <c r="A33" s="625">
        <v>32</v>
      </c>
      <c r="B33" s="632" t="s">
        <v>2608</v>
      </c>
      <c r="C33" s="637" t="s">
        <v>2609</v>
      </c>
    </row>
    <row r="34" spans="1:7" ht="12">
      <c r="A34" s="50">
        <v>33</v>
      </c>
      <c r="B34" s="180" t="s">
        <v>2610</v>
      </c>
      <c r="C34" s="184" t="s">
        <v>2611</v>
      </c>
    </row>
    <row r="35" spans="1:7" ht="12">
      <c r="A35" s="50">
        <v>34</v>
      </c>
      <c r="B35" s="180" t="s">
        <v>2612</v>
      </c>
      <c r="C35" s="184">
        <v>365</v>
      </c>
    </row>
    <row r="36" spans="1:7" ht="12">
      <c r="A36" s="50">
        <v>35</v>
      </c>
      <c r="B36" s="180" t="s">
        <v>2613</v>
      </c>
      <c r="C36" s="184">
        <v>360</v>
      </c>
    </row>
    <row r="37" spans="1:7" ht="12">
      <c r="A37" s="50">
        <v>36</v>
      </c>
      <c r="B37" s="180" t="s">
        <v>2614</v>
      </c>
      <c r="C37" s="184">
        <v>383</v>
      </c>
    </row>
    <row r="38" spans="1:7" ht="12">
      <c r="A38" s="625">
        <v>37</v>
      </c>
      <c r="B38" s="632" t="s">
        <v>2615</v>
      </c>
      <c r="C38" s="637" t="s">
        <v>2616</v>
      </c>
    </row>
    <row r="39" spans="1:7" ht="12">
      <c r="A39" s="50">
        <v>38</v>
      </c>
      <c r="B39" s="180" t="s">
        <v>2617</v>
      </c>
      <c r="C39" s="184">
        <v>364</v>
      </c>
      <c r="E39" s="50" t="s">
        <v>2618</v>
      </c>
      <c r="F39" s="50" t="s">
        <v>2619</v>
      </c>
      <c r="G39" s="50">
        <v>534</v>
      </c>
    </row>
    <row r="40" spans="1:7" ht="12">
      <c r="A40" s="50">
        <v>39</v>
      </c>
      <c r="B40" s="180" t="s">
        <v>677</v>
      </c>
      <c r="C40" s="184">
        <v>371</v>
      </c>
      <c r="E40" s="50" t="s">
        <v>1163</v>
      </c>
      <c r="F40" s="54" t="s">
        <v>2620</v>
      </c>
      <c r="G40" s="650">
        <v>571</v>
      </c>
    </row>
    <row r="41" spans="1:7" ht="13">
      <c r="A41" s="50">
        <v>40</v>
      </c>
      <c r="B41" s="651" t="s">
        <v>592</v>
      </c>
      <c r="C41" s="184">
        <v>368</v>
      </c>
      <c r="E41" s="50" t="s">
        <v>2622</v>
      </c>
      <c r="F41" s="54" t="s">
        <v>2623</v>
      </c>
      <c r="G41" s="650" t="s">
        <v>1354</v>
      </c>
    </row>
    <row r="42" spans="1:7" ht="13">
      <c r="A42" s="50">
        <v>41</v>
      </c>
      <c r="B42" s="651" t="s">
        <v>597</v>
      </c>
      <c r="C42" s="184">
        <v>369</v>
      </c>
      <c r="E42" s="653" t="s">
        <v>2624</v>
      </c>
      <c r="F42" s="653" t="s">
        <v>2626</v>
      </c>
      <c r="G42" s="655"/>
    </row>
    <row r="43" spans="1:7" ht="13">
      <c r="A43" s="50">
        <v>42</v>
      </c>
      <c r="B43" s="651" t="s">
        <v>605</v>
      </c>
      <c r="C43" s="184">
        <v>370</v>
      </c>
      <c r="E43" s="54" t="s">
        <v>2628</v>
      </c>
      <c r="F43" s="54" t="s">
        <v>2629</v>
      </c>
      <c r="G43" s="467" t="s">
        <v>1284</v>
      </c>
    </row>
    <row r="44" spans="1:7" ht="24">
      <c r="A44" s="625">
        <v>43</v>
      </c>
      <c r="B44" s="657" t="s">
        <v>2630</v>
      </c>
      <c r="C44" s="625" t="s">
        <v>2631</v>
      </c>
      <c r="E44" s="54" t="s">
        <v>2632</v>
      </c>
      <c r="F44" s="54" t="s">
        <v>2633</v>
      </c>
      <c r="G44" s="54" t="s">
        <v>2442</v>
      </c>
    </row>
    <row r="45" spans="1:7" ht="13">
      <c r="A45" s="50">
        <v>44</v>
      </c>
      <c r="B45" s="651" t="s">
        <v>2635</v>
      </c>
      <c r="C45" s="184">
        <v>377</v>
      </c>
      <c r="E45" s="54" t="s">
        <v>2636</v>
      </c>
      <c r="F45" s="54" t="s">
        <v>2637</v>
      </c>
      <c r="G45" s="467" t="s">
        <v>2638</v>
      </c>
    </row>
    <row r="46" spans="1:7" ht="12">
      <c r="A46" s="50">
        <v>45</v>
      </c>
      <c r="B46" s="180" t="s">
        <v>2639</v>
      </c>
      <c r="C46" s="184">
        <v>401</v>
      </c>
      <c r="E46" s="54" t="s">
        <v>2640</v>
      </c>
      <c r="F46" s="54" t="s">
        <v>1348</v>
      </c>
      <c r="G46" s="54" t="s">
        <v>2641</v>
      </c>
    </row>
    <row r="47" spans="1:7" ht="12">
      <c r="A47" s="50">
        <v>46</v>
      </c>
      <c r="B47" s="180" t="s">
        <v>2642</v>
      </c>
      <c r="C47" s="184">
        <v>402</v>
      </c>
      <c r="E47" s="54" t="s">
        <v>2643</v>
      </c>
      <c r="F47" s="54" t="s">
        <v>2644</v>
      </c>
      <c r="G47" s="54">
        <v>688</v>
      </c>
    </row>
    <row r="48" spans="1:7" ht="12">
      <c r="A48" s="50">
        <v>47</v>
      </c>
      <c r="B48" s="180" t="s">
        <v>2645</v>
      </c>
      <c r="C48" s="184">
        <v>390</v>
      </c>
      <c r="E48" s="54" t="s">
        <v>1427</v>
      </c>
      <c r="F48" s="54" t="s">
        <v>2211</v>
      </c>
      <c r="G48" s="54">
        <v>697</v>
      </c>
    </row>
    <row r="49" spans="1:7" ht="13">
      <c r="A49" s="50">
        <v>48</v>
      </c>
      <c r="B49" s="180" t="s">
        <v>2646</v>
      </c>
      <c r="C49" s="658" t="s">
        <v>2647</v>
      </c>
      <c r="E49" s="54" t="s">
        <v>2648</v>
      </c>
      <c r="F49" s="560" t="s">
        <v>2237</v>
      </c>
      <c r="G49" s="54">
        <v>708</v>
      </c>
    </row>
    <row r="50" spans="1:7" ht="13">
      <c r="A50" s="659">
        <v>49</v>
      </c>
      <c r="B50" s="661" t="s">
        <v>2649</v>
      </c>
      <c r="C50" s="662" t="s">
        <v>2650</v>
      </c>
      <c r="E50" s="54" t="s">
        <v>2651</v>
      </c>
      <c r="F50" s="560" t="s">
        <v>2241</v>
      </c>
      <c r="G50" s="54">
        <v>709</v>
      </c>
    </row>
    <row r="51" spans="1:7" ht="24">
      <c r="A51" s="50">
        <v>50</v>
      </c>
      <c r="B51" s="482" t="s">
        <v>2652</v>
      </c>
      <c r="C51" s="184" t="s">
        <v>2653</v>
      </c>
      <c r="E51" s="54" t="s">
        <v>1476</v>
      </c>
      <c r="F51" s="54" t="s">
        <v>1475</v>
      </c>
      <c r="G51" s="54">
        <v>723</v>
      </c>
    </row>
    <row r="52" spans="1:7" ht="13">
      <c r="A52" s="50">
        <v>51</v>
      </c>
      <c r="B52" s="663" t="s">
        <v>777</v>
      </c>
      <c r="C52" s="665">
        <v>403</v>
      </c>
      <c r="E52" s="500" t="s">
        <v>2654</v>
      </c>
      <c r="F52" s="500" t="s">
        <v>2655</v>
      </c>
      <c r="G52" s="54" t="s">
        <v>2656</v>
      </c>
    </row>
    <row r="53" spans="1:7" ht="12">
      <c r="A53" s="50">
        <v>52</v>
      </c>
      <c r="B53" s="354" t="s">
        <v>2657</v>
      </c>
      <c r="C53" s="667" t="s">
        <v>2658</v>
      </c>
    </row>
    <row r="54" spans="1:7" ht="13">
      <c r="A54" s="50">
        <v>53</v>
      </c>
      <c r="B54" s="663" t="s">
        <v>1672</v>
      </c>
      <c r="C54" s="665">
        <v>457</v>
      </c>
    </row>
    <row r="55" spans="1:7" ht="12">
      <c r="A55" s="50">
        <v>54</v>
      </c>
      <c r="B55" s="354" t="s">
        <v>1616</v>
      </c>
      <c r="C55" s="665">
        <v>434</v>
      </c>
    </row>
    <row r="56" spans="1:7" ht="12">
      <c r="A56" s="50">
        <v>55</v>
      </c>
      <c r="B56" s="180" t="s">
        <v>2659</v>
      </c>
      <c r="C56" s="184">
        <v>419</v>
      </c>
    </row>
    <row r="57" spans="1:7" ht="12">
      <c r="A57" s="50">
        <v>56</v>
      </c>
      <c r="B57" s="180" t="s">
        <v>826</v>
      </c>
      <c r="C57" s="184">
        <v>432</v>
      </c>
    </row>
    <row r="58" spans="1:7" ht="13">
      <c r="A58" s="625">
        <v>57</v>
      </c>
      <c r="B58" s="669" t="s">
        <v>2660</v>
      </c>
      <c r="C58" s="671">
        <v>680</v>
      </c>
    </row>
    <row r="59" spans="1:7" ht="12">
      <c r="A59" s="659">
        <v>58</v>
      </c>
      <c r="B59" s="661" t="s">
        <v>2662</v>
      </c>
      <c r="C59" s="662" t="s">
        <v>2663</v>
      </c>
    </row>
    <row r="60" spans="1:7" ht="12">
      <c r="A60" s="50">
        <v>59</v>
      </c>
      <c r="B60" s="180" t="s">
        <v>2664</v>
      </c>
      <c r="C60" s="184">
        <v>436</v>
      </c>
    </row>
    <row r="61" spans="1:7" ht="12">
      <c r="A61" s="672">
        <v>60</v>
      </c>
      <c r="B61" s="672" t="s">
        <v>2665</v>
      </c>
      <c r="C61" s="672" t="s">
        <v>2666</v>
      </c>
    </row>
    <row r="62" spans="1:7" ht="12">
      <c r="A62" s="625">
        <v>61</v>
      </c>
      <c r="B62" s="632" t="s">
        <v>2667</v>
      </c>
      <c r="C62" s="637" t="s">
        <v>2668</v>
      </c>
    </row>
    <row r="63" spans="1:7" ht="12">
      <c r="A63" s="50">
        <v>62</v>
      </c>
      <c r="B63" s="180" t="s">
        <v>2669</v>
      </c>
      <c r="C63" s="184" t="s">
        <v>2670</v>
      </c>
    </row>
    <row r="64" spans="1:7" ht="12">
      <c r="A64" s="50">
        <v>63</v>
      </c>
      <c r="B64" s="310" t="s">
        <v>869</v>
      </c>
      <c r="C64" s="184">
        <v>458</v>
      </c>
    </row>
    <row r="65" spans="1:20" ht="12">
      <c r="A65" s="50">
        <v>64</v>
      </c>
      <c r="B65" s="310" t="s">
        <v>2671</v>
      </c>
      <c r="C65" s="184" t="s">
        <v>2672</v>
      </c>
    </row>
    <row r="66" spans="1:20" ht="12">
      <c r="A66" s="50">
        <v>65</v>
      </c>
      <c r="B66" s="310" t="s">
        <v>1017</v>
      </c>
      <c r="C66" s="184">
        <v>502</v>
      </c>
    </row>
    <row r="67" spans="1:20" ht="12">
      <c r="A67" s="50">
        <v>66</v>
      </c>
      <c r="B67" s="180" t="s">
        <v>2673</v>
      </c>
      <c r="C67" s="184" t="s">
        <v>2674</v>
      </c>
    </row>
    <row r="68" spans="1:20" ht="12">
      <c r="A68" s="50">
        <v>67</v>
      </c>
      <c r="B68" s="180" t="s">
        <v>2675</v>
      </c>
      <c r="C68" s="184" t="s">
        <v>2676</v>
      </c>
    </row>
    <row r="69" spans="1:20" ht="24">
      <c r="A69" s="50">
        <v>68</v>
      </c>
      <c r="B69" s="180" t="s">
        <v>2677</v>
      </c>
      <c r="C69" s="184" t="s">
        <v>2678</v>
      </c>
    </row>
    <row r="70" spans="1:20" ht="12">
      <c r="A70" s="50">
        <v>69</v>
      </c>
      <c r="B70" s="180" t="s">
        <v>2679</v>
      </c>
      <c r="C70" s="184">
        <v>540</v>
      </c>
    </row>
    <row r="71" spans="1:20" ht="36">
      <c r="A71" s="50">
        <v>70</v>
      </c>
      <c r="B71" s="180" t="s">
        <v>2680</v>
      </c>
      <c r="C71" s="658" t="s">
        <v>2681</v>
      </c>
    </row>
    <row r="72" spans="1:20" ht="36">
      <c r="A72" s="50">
        <v>71</v>
      </c>
      <c r="B72" s="180" t="s">
        <v>2682</v>
      </c>
      <c r="C72" s="184" t="s">
        <v>2683</v>
      </c>
    </row>
    <row r="73" spans="1:20" ht="12">
      <c r="A73" s="50">
        <v>72</v>
      </c>
      <c r="B73" s="180" t="s">
        <v>2684</v>
      </c>
      <c r="C73" s="184">
        <v>515</v>
      </c>
    </row>
    <row r="74" spans="1:20" ht="12">
      <c r="A74" s="50">
        <v>73</v>
      </c>
      <c r="B74" s="180" t="s">
        <v>2685</v>
      </c>
      <c r="C74" s="184" t="s">
        <v>2686</v>
      </c>
    </row>
    <row r="75" spans="1:20" ht="12">
      <c r="A75" s="50">
        <v>74</v>
      </c>
      <c r="B75" s="180" t="s">
        <v>2687</v>
      </c>
      <c r="C75" s="184">
        <v>557</v>
      </c>
    </row>
    <row r="76" spans="1:20" ht="12">
      <c r="A76" s="151">
        <v>75</v>
      </c>
      <c r="B76" s="678" t="s">
        <v>2688</v>
      </c>
      <c r="C76" s="680" t="s">
        <v>2689</v>
      </c>
      <c r="D76" s="682"/>
      <c r="E76" s="682"/>
      <c r="F76" s="682"/>
      <c r="G76" s="682"/>
      <c r="H76" s="682"/>
      <c r="I76" s="682"/>
      <c r="J76" s="682"/>
      <c r="K76" s="682"/>
      <c r="L76" s="682"/>
      <c r="M76" s="682"/>
      <c r="N76" s="682"/>
      <c r="O76" s="682"/>
      <c r="P76" s="682"/>
      <c r="Q76" s="682"/>
      <c r="R76" s="682"/>
      <c r="S76" s="682"/>
      <c r="T76" s="682"/>
    </row>
    <row r="77" spans="1:20" ht="12">
      <c r="A77" s="50">
        <v>76</v>
      </c>
      <c r="B77" s="180" t="s">
        <v>1093</v>
      </c>
      <c r="C77" s="684">
        <v>552</v>
      </c>
    </row>
    <row r="78" spans="1:20" ht="12">
      <c r="A78" s="50">
        <v>77</v>
      </c>
      <c r="B78" s="180" t="s">
        <v>1917</v>
      </c>
      <c r="C78" s="684">
        <v>553</v>
      </c>
    </row>
    <row r="79" spans="1:20" ht="12">
      <c r="A79" s="50">
        <v>78</v>
      </c>
      <c r="B79" s="180" t="s">
        <v>2690</v>
      </c>
      <c r="C79" s="684">
        <v>554</v>
      </c>
    </row>
    <row r="80" spans="1:20" ht="12">
      <c r="A80" s="54">
        <v>79</v>
      </c>
      <c r="B80" s="482" t="s">
        <v>2691</v>
      </c>
      <c r="C80" s="658">
        <v>561</v>
      </c>
    </row>
    <row r="81" spans="1:4" ht="12">
      <c r="A81" s="54">
        <v>80</v>
      </c>
      <c r="B81" s="482" t="s">
        <v>1151</v>
      </c>
      <c r="C81" s="658">
        <v>562</v>
      </c>
    </row>
    <row r="82" spans="1:4" ht="13">
      <c r="A82" s="54">
        <v>81</v>
      </c>
      <c r="B82" s="146" t="s">
        <v>1159</v>
      </c>
      <c r="C82" s="658">
        <v>573</v>
      </c>
    </row>
    <row r="83" spans="1:4" ht="24">
      <c r="A83" s="54">
        <v>82</v>
      </c>
      <c r="B83" s="482" t="s">
        <v>1965</v>
      </c>
      <c r="C83" s="658">
        <v>576</v>
      </c>
      <c r="D83" s="54" t="s">
        <v>909</v>
      </c>
    </row>
    <row r="84" spans="1:4" ht="12">
      <c r="A84" s="54">
        <v>83</v>
      </c>
      <c r="B84" s="482" t="s">
        <v>1183</v>
      </c>
      <c r="C84" s="658">
        <v>577</v>
      </c>
    </row>
    <row r="85" spans="1:4" ht="12">
      <c r="A85" s="54">
        <v>84</v>
      </c>
      <c r="B85" s="482" t="s">
        <v>2692</v>
      </c>
      <c r="C85" s="658">
        <v>575</v>
      </c>
    </row>
    <row r="86" spans="1:4" ht="12">
      <c r="A86" s="54">
        <v>85</v>
      </c>
      <c r="B86" s="54" t="s">
        <v>1157</v>
      </c>
      <c r="C86" s="658">
        <v>578</v>
      </c>
    </row>
    <row r="87" spans="1:4" ht="12">
      <c r="A87" s="54">
        <v>86</v>
      </c>
      <c r="B87" s="482" t="s">
        <v>2693</v>
      </c>
      <c r="C87" s="658" t="s">
        <v>2694</v>
      </c>
    </row>
    <row r="88" spans="1:4" ht="12">
      <c r="A88" s="54">
        <v>87</v>
      </c>
      <c r="B88" s="482" t="s">
        <v>2024</v>
      </c>
      <c r="C88" s="658">
        <v>604</v>
      </c>
    </row>
    <row r="89" spans="1:4" ht="12">
      <c r="A89" s="54">
        <v>88</v>
      </c>
      <c r="B89" s="482" t="s">
        <v>2695</v>
      </c>
      <c r="C89" s="658" t="s">
        <v>2696</v>
      </c>
    </row>
    <row r="90" spans="1:4" ht="12">
      <c r="A90" s="54">
        <v>89</v>
      </c>
      <c r="B90" s="482" t="s">
        <v>2697</v>
      </c>
      <c r="C90" s="658">
        <v>594</v>
      </c>
    </row>
    <row r="91" spans="1:4" ht="12">
      <c r="A91" s="54">
        <v>90</v>
      </c>
      <c r="B91" s="482" t="s">
        <v>1206</v>
      </c>
      <c r="C91" s="658">
        <v>586</v>
      </c>
    </row>
    <row r="92" spans="1:4" ht="12">
      <c r="A92" s="688">
        <v>91</v>
      </c>
      <c r="B92" s="690" t="s">
        <v>2699</v>
      </c>
      <c r="C92" s="692" t="s">
        <v>2701</v>
      </c>
    </row>
    <row r="93" spans="1:4" ht="12">
      <c r="A93" s="54">
        <v>92</v>
      </c>
      <c r="B93" s="482" t="s">
        <v>2702</v>
      </c>
      <c r="C93" s="658">
        <v>596</v>
      </c>
    </row>
    <row r="94" spans="1:4" ht="12">
      <c r="A94" s="54">
        <v>93</v>
      </c>
      <c r="B94" s="482" t="s">
        <v>1367</v>
      </c>
      <c r="C94" s="658">
        <v>653</v>
      </c>
    </row>
    <row r="95" spans="1:4" ht="12">
      <c r="A95" s="54">
        <v>94</v>
      </c>
      <c r="B95" s="482" t="s">
        <v>2703</v>
      </c>
      <c r="C95" s="658" t="s">
        <v>2704</v>
      </c>
    </row>
    <row r="96" spans="1:4" ht="12">
      <c r="A96" s="54">
        <v>95</v>
      </c>
      <c r="B96" s="482" t="s">
        <v>2103</v>
      </c>
      <c r="C96" s="658">
        <v>643</v>
      </c>
    </row>
    <row r="97" spans="1:3" ht="12">
      <c r="A97" s="54">
        <v>96</v>
      </c>
      <c r="B97" s="482" t="s">
        <v>2705</v>
      </c>
      <c r="C97" s="658">
        <v>636</v>
      </c>
    </row>
    <row r="98" spans="1:3" ht="12">
      <c r="A98" s="54">
        <v>97</v>
      </c>
      <c r="B98" s="482" t="s">
        <v>2706</v>
      </c>
      <c r="C98" s="658" t="s">
        <v>2707</v>
      </c>
    </row>
    <row r="99" spans="1:3" ht="12">
      <c r="A99" s="54">
        <v>98</v>
      </c>
      <c r="B99" s="482" t="s">
        <v>2708</v>
      </c>
      <c r="C99" s="658" t="s">
        <v>2709</v>
      </c>
    </row>
    <row r="100" spans="1:3" ht="12">
      <c r="A100" s="695">
        <v>99</v>
      </c>
      <c r="B100" s="697" t="s">
        <v>2710</v>
      </c>
      <c r="C100" s="699"/>
    </row>
    <row r="101" spans="1:3" ht="12">
      <c r="A101" s="701">
        <v>100</v>
      </c>
      <c r="B101" s="703" t="s">
        <v>2711</v>
      </c>
      <c r="C101" s="705" t="s">
        <v>2442</v>
      </c>
    </row>
    <row r="102" spans="1:3" ht="12">
      <c r="A102" s="467" t="s">
        <v>2712</v>
      </c>
      <c r="B102" s="54" t="s">
        <v>2713</v>
      </c>
      <c r="C102" s="658">
        <v>698</v>
      </c>
    </row>
    <row r="103" spans="1:3" ht="12">
      <c r="A103" s="467" t="s">
        <v>2714</v>
      </c>
      <c r="B103" s="54" t="s">
        <v>2715</v>
      </c>
      <c r="C103" s="658">
        <v>699</v>
      </c>
    </row>
    <row r="104" spans="1:3" ht="12">
      <c r="A104" s="707" t="s">
        <v>2716</v>
      </c>
      <c r="B104" s="516" t="s">
        <v>2220</v>
      </c>
      <c r="C104" s="658">
        <v>700</v>
      </c>
    </row>
    <row r="105" spans="1:3" ht="12">
      <c r="A105" s="707" t="s">
        <v>2717</v>
      </c>
      <c r="B105" s="516" t="s">
        <v>2222</v>
      </c>
      <c r="C105" s="658">
        <v>701</v>
      </c>
    </row>
    <row r="106" spans="1:3" ht="12">
      <c r="A106" s="467">
        <v>103</v>
      </c>
      <c r="B106" s="54" t="s">
        <v>2230</v>
      </c>
      <c r="C106" s="658">
        <v>705</v>
      </c>
    </row>
    <row r="107" spans="1:3" ht="12">
      <c r="A107" s="467" t="s">
        <v>2718</v>
      </c>
      <c r="B107" s="54" t="s">
        <v>2233</v>
      </c>
      <c r="C107" s="658">
        <v>706</v>
      </c>
    </row>
    <row r="108" spans="1:3" ht="12">
      <c r="A108" s="467" t="s">
        <v>2719</v>
      </c>
      <c r="B108" s="54" t="s">
        <v>2235</v>
      </c>
      <c r="C108" s="658">
        <v>707</v>
      </c>
    </row>
    <row r="109" spans="1:3" ht="12">
      <c r="A109" s="467">
        <v>105</v>
      </c>
      <c r="B109" s="54" t="s">
        <v>2265</v>
      </c>
      <c r="C109" s="658">
        <v>719</v>
      </c>
    </row>
    <row r="110" spans="1:3" ht="12">
      <c r="A110" s="467">
        <v>106</v>
      </c>
      <c r="B110" s="54" t="s">
        <v>2262</v>
      </c>
      <c r="C110" s="658">
        <v>718</v>
      </c>
    </row>
    <row r="111" spans="1:3" ht="12">
      <c r="A111" s="467">
        <v>107</v>
      </c>
      <c r="B111" s="54" t="s">
        <v>2268</v>
      </c>
      <c r="C111" s="658">
        <v>721</v>
      </c>
    </row>
    <row r="112" spans="1:3" ht="12">
      <c r="A112" s="467">
        <v>108</v>
      </c>
      <c r="B112" s="482" t="s">
        <v>2289</v>
      </c>
      <c r="C112" s="658">
        <v>732</v>
      </c>
    </row>
    <row r="113" spans="1:3" ht="12">
      <c r="A113" s="467" t="s">
        <v>2720</v>
      </c>
      <c r="B113" s="482" t="s">
        <v>1480</v>
      </c>
      <c r="C113" s="658">
        <v>724</v>
      </c>
    </row>
    <row r="114" spans="1:3" ht="12">
      <c r="A114" s="467" t="s">
        <v>2721</v>
      </c>
      <c r="B114" s="482" t="s">
        <v>1502</v>
      </c>
      <c r="C114" s="658">
        <v>725</v>
      </c>
    </row>
    <row r="115" spans="1:3" ht="12">
      <c r="A115" s="467" t="s">
        <v>2722</v>
      </c>
      <c r="B115" s="482" t="s">
        <v>2723</v>
      </c>
      <c r="C115" s="712"/>
    </row>
    <row r="116" spans="1:3" ht="12">
      <c r="A116" s="467" t="s">
        <v>2725</v>
      </c>
      <c r="B116" s="482" t="s">
        <v>2296</v>
      </c>
      <c r="C116" s="658">
        <v>736</v>
      </c>
    </row>
    <row r="117" spans="1:3" ht="12">
      <c r="A117" s="500">
        <v>111</v>
      </c>
      <c r="B117" s="713" t="s">
        <v>2726</v>
      </c>
      <c r="C117" s="658" t="s">
        <v>2727</v>
      </c>
    </row>
    <row r="118" spans="1:3" ht="12">
      <c r="A118" s="54" t="s">
        <v>2728</v>
      </c>
      <c r="B118" s="482" t="s">
        <v>2726</v>
      </c>
      <c r="C118" s="658" t="s">
        <v>2729</v>
      </c>
    </row>
    <row r="119" spans="1:3" ht="12">
      <c r="A119" s="54" t="s">
        <v>2730</v>
      </c>
      <c r="B119" s="482" t="s">
        <v>2726</v>
      </c>
      <c r="C119" s="658">
        <v>770</v>
      </c>
    </row>
    <row r="120" spans="1:3" ht="12">
      <c r="A120" s="54">
        <v>112</v>
      </c>
      <c r="B120" s="482" t="s">
        <v>2731</v>
      </c>
      <c r="C120" s="712"/>
    </row>
    <row r="121" spans="1:3" ht="12">
      <c r="A121" s="54">
        <v>113</v>
      </c>
      <c r="B121" s="482" t="s">
        <v>2732</v>
      </c>
      <c r="C121" s="658">
        <v>748</v>
      </c>
    </row>
    <row r="122" spans="1:3" ht="12">
      <c r="A122" s="54">
        <v>114</v>
      </c>
      <c r="B122" s="482" t="s">
        <v>2733</v>
      </c>
      <c r="C122" s="658">
        <v>758</v>
      </c>
    </row>
    <row r="123" spans="1:3" ht="12">
      <c r="A123" s="54">
        <v>115</v>
      </c>
      <c r="B123" s="482" t="s">
        <v>2734</v>
      </c>
      <c r="C123" s="658">
        <v>749</v>
      </c>
    </row>
    <row r="124" spans="1:3" ht="12">
      <c r="A124" s="54">
        <v>116</v>
      </c>
      <c r="B124" s="482" t="s">
        <v>2735</v>
      </c>
      <c r="C124" s="658">
        <v>759</v>
      </c>
    </row>
    <row r="125" spans="1:3" ht="12">
      <c r="A125" s="54">
        <v>117</v>
      </c>
      <c r="B125" s="482" t="s">
        <v>2736</v>
      </c>
      <c r="C125" s="658">
        <v>771</v>
      </c>
    </row>
    <row r="126" spans="1:3" ht="12">
      <c r="A126" s="54">
        <v>118</v>
      </c>
      <c r="B126" s="482" t="s">
        <v>2737</v>
      </c>
      <c r="C126" s="658">
        <v>760</v>
      </c>
    </row>
    <row r="127" spans="1:3" ht="13">
      <c r="A127" s="54">
        <v>119</v>
      </c>
      <c r="B127" s="714" t="s">
        <v>2738</v>
      </c>
      <c r="C127" s="715">
        <v>773</v>
      </c>
    </row>
    <row r="128" spans="1:3" ht="13">
      <c r="A128" s="500">
        <v>120</v>
      </c>
      <c r="B128" s="716" t="s">
        <v>2739</v>
      </c>
      <c r="C128" s="715" t="s">
        <v>2740</v>
      </c>
    </row>
    <row r="129" spans="1:4" ht="13">
      <c r="A129" s="467" t="s">
        <v>2741</v>
      </c>
      <c r="B129" s="715" t="s">
        <v>2742</v>
      </c>
      <c r="C129" s="715"/>
    </row>
    <row r="130" spans="1:4" ht="13">
      <c r="A130" s="467" t="s">
        <v>2743</v>
      </c>
      <c r="B130" s="715" t="s">
        <v>1764</v>
      </c>
      <c r="C130" s="715">
        <v>774</v>
      </c>
    </row>
    <row r="131" spans="1:4" ht="13">
      <c r="A131" s="467" t="s">
        <v>2744</v>
      </c>
      <c r="B131" s="715" t="s">
        <v>1771</v>
      </c>
      <c r="C131" s="715">
        <v>775</v>
      </c>
    </row>
    <row r="132" spans="1:4" ht="13">
      <c r="A132" s="467" t="s">
        <v>2745</v>
      </c>
      <c r="B132" s="715" t="s">
        <v>2746</v>
      </c>
      <c r="C132" s="715">
        <v>787</v>
      </c>
    </row>
    <row r="133" spans="1:4" ht="13">
      <c r="A133" s="467" t="s">
        <v>2747</v>
      </c>
      <c r="B133" s="715" t="s">
        <v>2748</v>
      </c>
      <c r="C133" s="718"/>
    </row>
    <row r="134" spans="1:4" ht="18" customHeight="1">
      <c r="A134" s="54" t="s">
        <v>2749</v>
      </c>
      <c r="B134" s="482" t="s">
        <v>2751</v>
      </c>
      <c r="C134" s="658">
        <v>779</v>
      </c>
      <c r="D134" s="720" t="s">
        <v>2753</v>
      </c>
    </row>
    <row r="135" spans="1:4" ht="12">
      <c r="A135" s="54">
        <v>124</v>
      </c>
      <c r="B135" s="482" t="s">
        <v>2754</v>
      </c>
      <c r="C135" s="658">
        <v>786</v>
      </c>
    </row>
    <row r="136" spans="1:4" ht="12">
      <c r="A136" s="54">
        <v>125</v>
      </c>
      <c r="B136" s="482" t="s">
        <v>2755</v>
      </c>
      <c r="C136" s="712"/>
    </row>
    <row r="137" spans="1:4" ht="12">
      <c r="A137" s="54">
        <v>126</v>
      </c>
      <c r="B137" s="722"/>
      <c r="C137" s="712"/>
    </row>
    <row r="138" spans="1:4" ht="12">
      <c r="B138" s="722"/>
      <c r="C138" s="712"/>
    </row>
    <row r="139" spans="1:4" ht="12">
      <c r="B139" s="722"/>
      <c r="C139" s="712"/>
    </row>
    <row r="140" spans="1:4" ht="12">
      <c r="B140" s="722"/>
      <c r="C140" s="712"/>
    </row>
    <row r="141" spans="1:4" ht="12">
      <c r="B141" s="722"/>
      <c r="C141" s="712"/>
    </row>
    <row r="142" spans="1:4" ht="12">
      <c r="B142" s="722"/>
      <c r="C142" s="712"/>
    </row>
    <row r="143" spans="1:4" ht="12">
      <c r="B143" s="722"/>
      <c r="C143" s="712"/>
    </row>
    <row r="144" spans="1:4" ht="12">
      <c r="B144" s="722"/>
      <c r="C144" s="712"/>
    </row>
    <row r="145" spans="2:3" ht="12">
      <c r="B145" s="722"/>
      <c r="C145" s="712"/>
    </row>
    <row r="146" spans="2:3" ht="12">
      <c r="B146" s="722"/>
      <c r="C146" s="712"/>
    </row>
    <row r="147" spans="2:3" ht="12">
      <c r="B147" s="722"/>
      <c r="C147" s="712"/>
    </row>
    <row r="148" spans="2:3" ht="12">
      <c r="B148" s="722"/>
      <c r="C148" s="712"/>
    </row>
    <row r="149" spans="2:3" ht="12">
      <c r="B149" s="722"/>
      <c r="C149" s="712"/>
    </row>
    <row r="150" spans="2:3" ht="12">
      <c r="B150" s="722"/>
      <c r="C150" s="712"/>
    </row>
    <row r="151" spans="2:3" ht="12">
      <c r="B151" s="722"/>
      <c r="C151" s="712"/>
    </row>
    <row r="152" spans="2:3" ht="12">
      <c r="B152" s="722"/>
      <c r="C152" s="712"/>
    </row>
    <row r="153" spans="2:3" ht="12">
      <c r="B153" s="722"/>
      <c r="C153" s="712"/>
    </row>
    <row r="154" spans="2:3" ht="12">
      <c r="B154" s="722"/>
      <c r="C154" s="712"/>
    </row>
    <row r="155" spans="2:3" ht="12">
      <c r="B155" s="722"/>
      <c r="C155" s="712"/>
    </row>
    <row r="156" spans="2:3" ht="12">
      <c r="B156" s="722"/>
      <c r="C156" s="712"/>
    </row>
    <row r="157" spans="2:3" ht="12">
      <c r="B157" s="722"/>
      <c r="C157" s="712"/>
    </row>
    <row r="158" spans="2:3" ht="12">
      <c r="B158" s="722"/>
      <c r="C158" s="712"/>
    </row>
    <row r="159" spans="2:3" ht="12">
      <c r="B159" s="722"/>
      <c r="C159" s="712"/>
    </row>
    <row r="160" spans="2:3" ht="12">
      <c r="B160" s="722"/>
      <c r="C160" s="712"/>
    </row>
    <row r="161" spans="2:3" ht="12">
      <c r="B161" s="722"/>
      <c r="C161" s="712"/>
    </row>
    <row r="162" spans="2:3" ht="12">
      <c r="B162" s="722"/>
      <c r="C162" s="712"/>
    </row>
    <row r="163" spans="2:3" ht="12">
      <c r="B163" s="722"/>
      <c r="C163" s="712"/>
    </row>
    <row r="164" spans="2:3" ht="12">
      <c r="B164" s="722"/>
      <c r="C164" s="712"/>
    </row>
    <row r="165" spans="2:3" ht="12">
      <c r="B165" s="722"/>
      <c r="C165" s="712"/>
    </row>
    <row r="166" spans="2:3" ht="12">
      <c r="B166" s="722"/>
      <c r="C166" s="712"/>
    </row>
    <row r="167" spans="2:3" ht="12">
      <c r="B167" s="722"/>
      <c r="C167" s="712"/>
    </row>
    <row r="168" spans="2:3" ht="12">
      <c r="B168" s="722"/>
      <c r="C168" s="712"/>
    </row>
    <row r="169" spans="2:3" ht="12">
      <c r="B169" s="722"/>
      <c r="C169" s="712"/>
    </row>
    <row r="170" spans="2:3" ht="12">
      <c r="B170" s="722"/>
      <c r="C170" s="712"/>
    </row>
    <row r="171" spans="2:3" ht="12">
      <c r="B171" s="722"/>
      <c r="C171" s="712"/>
    </row>
    <row r="172" spans="2:3" ht="12">
      <c r="B172" s="722"/>
      <c r="C172" s="712"/>
    </row>
    <row r="173" spans="2:3" ht="12">
      <c r="B173" s="722"/>
      <c r="C173" s="712"/>
    </row>
    <row r="174" spans="2:3" ht="12">
      <c r="B174" s="722"/>
      <c r="C174" s="712"/>
    </row>
    <row r="175" spans="2:3" ht="12">
      <c r="B175" s="722"/>
      <c r="C175" s="712"/>
    </row>
    <row r="176" spans="2:3" ht="12">
      <c r="B176" s="722"/>
      <c r="C176" s="712"/>
    </row>
    <row r="177" spans="2:3" ht="12">
      <c r="B177" s="722"/>
      <c r="C177" s="712"/>
    </row>
    <row r="178" spans="2:3" ht="12">
      <c r="B178" s="722"/>
      <c r="C178" s="712"/>
    </row>
  </sheetData>
  <conditionalFormatting sqref="B18">
    <cfRule type="containsText" dxfId="11" priority="1" operator="containsText" text="Optovision">
      <formula>NOT(ISERROR(SEARCH(("Optovision"),(B18))))</formula>
    </cfRule>
  </conditionalFormatting>
  <conditionalFormatting sqref="B44">
    <cfRule type="containsText" dxfId="10" priority="2" operator="containsText" text="Optovision">
      <formula>NOT(ISERROR(SEARCH(("Optovision"),(B44))))</formula>
    </cfRule>
  </conditionalFormatting>
  <conditionalFormatting sqref="B18">
    <cfRule type="containsText" dxfId="9" priority="3" operator="containsText" text="Gensight">
      <formula>NOT(ISERROR(SEARCH(("Gensight"),(B18))))</formula>
    </cfRule>
  </conditionalFormatting>
  <conditionalFormatting sqref="B44">
    <cfRule type="containsText" dxfId="8" priority="4" operator="containsText" text="Gensight">
      <formula>NOT(ISERROR(SEARCH(("Gensight"),(B44))))</formula>
    </cfRule>
  </conditionalFormatting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17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12.5" customWidth="1"/>
    <col min="2" max="2" width="52.6640625" customWidth="1"/>
    <col min="3" max="3" width="17.33203125" customWidth="1"/>
    <col min="4" max="4" width="12.5" customWidth="1"/>
    <col min="5" max="5" width="17.33203125" customWidth="1"/>
    <col min="6" max="6" width="14" customWidth="1"/>
    <col min="7" max="7" width="11.33203125" customWidth="1"/>
    <col min="8" max="8" width="13.83203125" customWidth="1"/>
    <col min="9" max="9" width="14.83203125" customWidth="1"/>
    <col min="10" max="10" width="51.83203125" customWidth="1"/>
    <col min="11" max="13" width="17.33203125" customWidth="1"/>
  </cols>
  <sheetData>
    <row r="1" spans="1:13" ht="12.75" customHeight="1">
      <c r="A1" s="745"/>
      <c r="B1" s="747" t="s">
        <v>2756</v>
      </c>
      <c r="C1" s="749" t="s">
        <v>2758</v>
      </c>
      <c r="D1" s="747" t="s">
        <v>2759</v>
      </c>
      <c r="E1" s="750" t="s">
        <v>18</v>
      </c>
      <c r="F1" s="749" t="s">
        <v>2760</v>
      </c>
      <c r="G1" s="751" t="s">
        <v>2761</v>
      </c>
      <c r="H1" s="747" t="s">
        <v>189</v>
      </c>
      <c r="I1" s="747" t="s">
        <v>2762</v>
      </c>
      <c r="J1" s="747" t="s">
        <v>2763</v>
      </c>
      <c r="K1" s="752"/>
      <c r="L1" s="752"/>
      <c r="M1" s="752"/>
    </row>
    <row r="2" spans="1:13" ht="12.75" customHeight="1">
      <c r="A2" s="621" t="s">
        <v>141</v>
      </c>
      <c r="B2" s="50" t="s">
        <v>2764</v>
      </c>
      <c r="C2" s="4" t="s">
        <v>141</v>
      </c>
      <c r="D2" s="50" t="s">
        <v>2765</v>
      </c>
      <c r="E2" s="753">
        <v>41072</v>
      </c>
      <c r="F2" s="50" t="s">
        <v>2766</v>
      </c>
      <c r="G2" s="754"/>
    </row>
    <row r="3" spans="1:13" ht="12.75" customHeight="1">
      <c r="A3" s="621" t="s">
        <v>141</v>
      </c>
      <c r="B3" s="50" t="s">
        <v>2767</v>
      </c>
      <c r="C3" s="4" t="s">
        <v>141</v>
      </c>
      <c r="D3" s="50" t="s">
        <v>2765</v>
      </c>
      <c r="E3" s="753">
        <v>41072</v>
      </c>
      <c r="F3" s="50" t="s">
        <v>2766</v>
      </c>
      <c r="G3" s="754"/>
    </row>
    <row r="4" spans="1:13" ht="12.75" customHeight="1">
      <c r="A4" s="621" t="s">
        <v>2768</v>
      </c>
      <c r="B4" s="50" t="s">
        <v>2769</v>
      </c>
      <c r="C4" s="1" t="s">
        <v>2770</v>
      </c>
      <c r="D4" s="50" t="s">
        <v>2771</v>
      </c>
      <c r="E4" s="753">
        <v>40239</v>
      </c>
      <c r="F4" s="50" t="s">
        <v>2772</v>
      </c>
      <c r="G4" s="755">
        <v>0.48299999999999998</v>
      </c>
    </row>
    <row r="5" spans="1:13" ht="12.75" customHeight="1">
      <c r="A5" s="756"/>
      <c r="C5" s="757"/>
      <c r="E5" s="758"/>
      <c r="G5" s="754"/>
    </row>
    <row r="6" spans="1:13" ht="12.75" customHeight="1">
      <c r="A6" s="621">
        <v>1</v>
      </c>
      <c r="B6" s="50" t="s">
        <v>49</v>
      </c>
      <c r="C6" s="4">
        <v>1.1000000000000001</v>
      </c>
      <c r="D6" s="50" t="s">
        <v>2774</v>
      </c>
      <c r="E6" s="759" t="s">
        <v>2775</v>
      </c>
      <c r="G6" s="755" t="s">
        <v>84</v>
      </c>
    </row>
    <row r="7" spans="1:13" ht="12.75" customHeight="1">
      <c r="A7" s="621">
        <v>2</v>
      </c>
      <c r="B7" s="50" t="s">
        <v>87</v>
      </c>
      <c r="C7" s="4">
        <v>2.1</v>
      </c>
      <c r="D7" s="50" t="s">
        <v>2774</v>
      </c>
      <c r="E7" s="759" t="s">
        <v>141</v>
      </c>
      <c r="G7" s="755" t="s">
        <v>2776</v>
      </c>
    </row>
    <row r="8" spans="1:13" ht="12.75" customHeight="1">
      <c r="A8" s="621">
        <v>3</v>
      </c>
      <c r="B8" s="50" t="s">
        <v>93</v>
      </c>
      <c r="C8" s="4">
        <v>3.1</v>
      </c>
      <c r="D8" s="50" t="s">
        <v>2777</v>
      </c>
      <c r="E8" s="753">
        <v>40155</v>
      </c>
      <c r="G8" s="755" t="s">
        <v>2778</v>
      </c>
    </row>
    <row r="9" spans="1:13" ht="12.75" customHeight="1">
      <c r="A9" s="621">
        <v>4</v>
      </c>
      <c r="B9" s="50" t="s">
        <v>2779</v>
      </c>
      <c r="C9" s="4">
        <v>4.0999999999999996</v>
      </c>
      <c r="D9" s="50" t="s">
        <v>2774</v>
      </c>
      <c r="E9" s="753">
        <v>40097</v>
      </c>
      <c r="G9" s="755" t="s">
        <v>2780</v>
      </c>
    </row>
    <row r="10" spans="1:13" ht="12.75" customHeight="1">
      <c r="A10" s="621">
        <v>5</v>
      </c>
      <c r="B10" s="50" t="s">
        <v>101</v>
      </c>
      <c r="C10" s="4">
        <v>5.0999999999999996</v>
      </c>
      <c r="D10" s="50" t="s">
        <v>2777</v>
      </c>
      <c r="E10" s="759" t="s">
        <v>2781</v>
      </c>
      <c r="G10" s="755" t="s">
        <v>2782</v>
      </c>
    </row>
    <row r="11" spans="1:13" ht="12.75" customHeight="1">
      <c r="A11" s="621">
        <v>6</v>
      </c>
      <c r="B11" s="50" t="s">
        <v>107</v>
      </c>
      <c r="C11" s="4">
        <v>6.1</v>
      </c>
      <c r="D11" s="50" t="s">
        <v>2777</v>
      </c>
      <c r="E11" s="753">
        <v>39881</v>
      </c>
      <c r="G11" s="755" t="s">
        <v>2783</v>
      </c>
    </row>
    <row r="12" spans="1:13" ht="12.75" customHeight="1">
      <c r="A12" s="621">
        <v>7</v>
      </c>
      <c r="B12" s="50" t="s">
        <v>110</v>
      </c>
      <c r="C12" s="4">
        <v>7.1</v>
      </c>
      <c r="D12" s="50" t="s">
        <v>2774</v>
      </c>
      <c r="E12" s="759" t="s">
        <v>2784</v>
      </c>
      <c r="G12" s="755" t="s">
        <v>2785</v>
      </c>
    </row>
    <row r="13" spans="1:13" ht="12.75" customHeight="1">
      <c r="A13" s="621">
        <v>8</v>
      </c>
      <c r="B13" s="50" t="s">
        <v>114</v>
      </c>
      <c r="C13" s="4">
        <v>8.1</v>
      </c>
      <c r="D13" s="50" t="s">
        <v>2774</v>
      </c>
      <c r="E13" s="759" t="s">
        <v>2786</v>
      </c>
      <c r="G13" s="755">
        <v>0.48499999999999999</v>
      </c>
    </row>
    <row r="14" spans="1:13" ht="12.75" customHeight="1">
      <c r="A14" s="621">
        <v>9</v>
      </c>
      <c r="B14" s="50" t="s">
        <v>118</v>
      </c>
      <c r="C14" s="4">
        <v>9.1</v>
      </c>
      <c r="D14" s="50" t="s">
        <v>2787</v>
      </c>
      <c r="E14" s="759" t="s">
        <v>2788</v>
      </c>
      <c r="G14" s="755" t="s">
        <v>2789</v>
      </c>
    </row>
    <row r="15" spans="1:13" ht="12.75" customHeight="1">
      <c r="A15" s="621">
        <v>10</v>
      </c>
      <c r="B15" s="50" t="s">
        <v>123</v>
      </c>
      <c r="C15" s="4">
        <v>10.1</v>
      </c>
      <c r="D15" s="50" t="s">
        <v>2774</v>
      </c>
      <c r="E15" s="753">
        <v>40360</v>
      </c>
      <c r="G15" s="755" t="s">
        <v>2790</v>
      </c>
    </row>
    <row r="16" spans="1:13" ht="12.75" customHeight="1">
      <c r="A16" s="762">
        <v>11</v>
      </c>
      <c r="B16" s="763" t="s">
        <v>125</v>
      </c>
      <c r="C16" s="764">
        <v>11.1</v>
      </c>
      <c r="D16" s="763" t="s">
        <v>2787</v>
      </c>
      <c r="E16" s="767">
        <v>40337</v>
      </c>
      <c r="F16" s="763" t="s">
        <v>141</v>
      </c>
      <c r="G16" s="769" t="s">
        <v>2792</v>
      </c>
      <c r="H16" s="770"/>
      <c r="I16" s="770"/>
      <c r="J16" s="771" t="s">
        <v>483</v>
      </c>
    </row>
    <row r="17" spans="1:10" ht="12.75" customHeight="1">
      <c r="A17" s="772">
        <v>11</v>
      </c>
      <c r="B17" s="773" t="s">
        <v>125</v>
      </c>
      <c r="C17" s="774">
        <v>11.2</v>
      </c>
      <c r="D17" s="773" t="s">
        <v>2771</v>
      </c>
      <c r="E17" s="775">
        <v>41859</v>
      </c>
      <c r="F17" s="773" t="s">
        <v>158</v>
      </c>
      <c r="G17" s="776">
        <v>0.60699999999999998</v>
      </c>
      <c r="H17" s="777"/>
      <c r="I17" s="777"/>
      <c r="J17" s="773" t="s">
        <v>2795</v>
      </c>
    </row>
    <row r="18" spans="1:10" ht="12.75" customHeight="1">
      <c r="A18" s="772">
        <v>11</v>
      </c>
      <c r="B18" s="773" t="s">
        <v>125</v>
      </c>
      <c r="C18" s="774">
        <v>11.3</v>
      </c>
      <c r="D18" s="773" t="s">
        <v>2771</v>
      </c>
      <c r="E18" s="775">
        <v>41922</v>
      </c>
      <c r="F18" s="773" t="s">
        <v>1549</v>
      </c>
      <c r="G18" s="776">
        <v>0.61899999999999999</v>
      </c>
      <c r="H18" s="777"/>
      <c r="I18" s="777"/>
      <c r="J18" s="773" t="s">
        <v>2795</v>
      </c>
    </row>
    <row r="19" spans="1:10" ht="12.75" customHeight="1">
      <c r="A19" s="621">
        <v>12</v>
      </c>
      <c r="B19" s="50" t="s">
        <v>131</v>
      </c>
      <c r="C19" s="4">
        <v>12.1</v>
      </c>
      <c r="D19" s="50" t="s">
        <v>2787</v>
      </c>
      <c r="E19" s="753">
        <v>40490</v>
      </c>
      <c r="G19" s="755" t="s">
        <v>2796</v>
      </c>
    </row>
    <row r="20" spans="1:10" ht="12.75" customHeight="1">
      <c r="A20" s="779">
        <v>13</v>
      </c>
      <c r="B20" s="780" t="s">
        <v>136</v>
      </c>
      <c r="C20" s="781">
        <v>13.1</v>
      </c>
      <c r="D20" s="780" t="s">
        <v>2787</v>
      </c>
      <c r="E20" s="783" t="s">
        <v>2797</v>
      </c>
      <c r="F20" s="785" t="s">
        <v>95</v>
      </c>
      <c r="G20" s="787" t="s">
        <v>2785</v>
      </c>
      <c r="H20" s="789"/>
      <c r="I20" s="789"/>
      <c r="J20" s="789"/>
    </row>
    <row r="21" spans="1:10" ht="12.75" customHeight="1">
      <c r="A21" s="779">
        <v>13</v>
      </c>
      <c r="B21" s="780" t="s">
        <v>136</v>
      </c>
      <c r="C21" s="791">
        <v>13.2</v>
      </c>
      <c r="D21" s="785" t="s">
        <v>2799</v>
      </c>
      <c r="E21" s="793">
        <v>40163</v>
      </c>
      <c r="F21" s="789"/>
      <c r="G21" s="787" t="s">
        <v>2800</v>
      </c>
      <c r="H21" s="789"/>
      <c r="I21" s="789"/>
      <c r="J21" s="785" t="s">
        <v>2801</v>
      </c>
    </row>
    <row r="22" spans="1:10" ht="12.75" customHeight="1">
      <c r="A22" s="779">
        <v>13</v>
      </c>
      <c r="B22" s="780" t="s">
        <v>136</v>
      </c>
      <c r="C22" s="791">
        <v>13.3</v>
      </c>
      <c r="D22" s="785" t="s">
        <v>2771</v>
      </c>
      <c r="E22" s="783"/>
      <c r="F22" s="789"/>
      <c r="G22" s="787" t="s">
        <v>2802</v>
      </c>
      <c r="H22" s="789"/>
      <c r="I22" s="789"/>
      <c r="J22" s="789"/>
    </row>
    <row r="23" spans="1:10" ht="12.75" customHeight="1">
      <c r="A23" s="779">
        <v>13</v>
      </c>
      <c r="B23" s="780" t="s">
        <v>136</v>
      </c>
      <c r="C23" s="791">
        <v>13.4</v>
      </c>
      <c r="D23" s="785" t="s">
        <v>2765</v>
      </c>
      <c r="E23" s="783"/>
      <c r="F23" s="789"/>
      <c r="G23" s="787" t="s">
        <v>2803</v>
      </c>
      <c r="H23" s="789"/>
      <c r="I23" s="789"/>
      <c r="J23" s="789"/>
    </row>
    <row r="24" spans="1:10" ht="12.75" customHeight="1">
      <c r="A24" s="621">
        <v>14</v>
      </c>
      <c r="B24" s="50" t="s">
        <v>147</v>
      </c>
      <c r="C24" s="4">
        <v>14.1</v>
      </c>
      <c r="D24" s="50" t="s">
        <v>2787</v>
      </c>
      <c r="E24" s="759" t="s">
        <v>2804</v>
      </c>
      <c r="G24" s="755" t="s">
        <v>2805</v>
      </c>
    </row>
    <row r="25" spans="1:10" ht="12.75" customHeight="1">
      <c r="A25" s="621">
        <v>15</v>
      </c>
      <c r="B25" s="50" t="s">
        <v>151</v>
      </c>
      <c r="C25" s="4">
        <v>15.1</v>
      </c>
      <c r="D25" s="50" t="s">
        <v>2787</v>
      </c>
      <c r="E25" s="759" t="s">
        <v>2806</v>
      </c>
      <c r="G25" s="755" t="s">
        <v>2807</v>
      </c>
    </row>
    <row r="26" spans="1:10" ht="12.75" customHeight="1">
      <c r="A26" s="621">
        <v>16</v>
      </c>
      <c r="B26" s="50" t="s">
        <v>157</v>
      </c>
      <c r="C26" s="4">
        <v>16.100000000000001</v>
      </c>
      <c r="D26" s="50" t="s">
        <v>2787</v>
      </c>
      <c r="E26" s="759" t="s">
        <v>2806</v>
      </c>
      <c r="G26" s="755">
        <v>0.46400000000000002</v>
      </c>
    </row>
    <row r="27" spans="1:10" ht="12.75" customHeight="1">
      <c r="A27" s="621">
        <v>17</v>
      </c>
      <c r="B27" s="50" t="s">
        <v>163</v>
      </c>
      <c r="C27" s="4">
        <v>17.100000000000001</v>
      </c>
      <c r="D27" s="50" t="s">
        <v>2787</v>
      </c>
      <c r="E27" s="753">
        <v>40852</v>
      </c>
      <c r="G27" s="755" t="s">
        <v>2808</v>
      </c>
    </row>
    <row r="28" spans="1:10" ht="12.75" customHeight="1">
      <c r="A28" s="796">
        <v>18</v>
      </c>
      <c r="B28" s="798" t="s">
        <v>172</v>
      </c>
      <c r="C28" s="800">
        <v>18.100000000000001</v>
      </c>
      <c r="D28" s="798" t="s">
        <v>2809</v>
      </c>
      <c r="E28" s="801" t="s">
        <v>2810</v>
      </c>
      <c r="F28" s="802"/>
      <c r="G28" s="804" t="s">
        <v>2811</v>
      </c>
      <c r="H28" s="802"/>
      <c r="I28" s="802"/>
      <c r="J28" s="802"/>
    </row>
    <row r="29" spans="1:10" ht="12.75" customHeight="1">
      <c r="A29" s="796">
        <v>18</v>
      </c>
      <c r="B29" s="798" t="s">
        <v>2813</v>
      </c>
      <c r="C29" s="806">
        <v>18.2</v>
      </c>
      <c r="D29" s="808" t="s">
        <v>2814</v>
      </c>
      <c r="E29" s="810">
        <v>40877</v>
      </c>
      <c r="F29" s="802"/>
      <c r="G29" s="804" t="s">
        <v>2815</v>
      </c>
      <c r="H29" s="802"/>
      <c r="I29" s="802"/>
      <c r="J29" s="802"/>
    </row>
    <row r="30" spans="1:10" ht="12.75" customHeight="1">
      <c r="A30" s="621">
        <v>19</v>
      </c>
      <c r="B30" s="50" t="s">
        <v>175</v>
      </c>
      <c r="C30" s="4">
        <v>19.100000000000001</v>
      </c>
      <c r="D30" s="50" t="s">
        <v>2787</v>
      </c>
      <c r="E30" s="759" t="s">
        <v>2817</v>
      </c>
      <c r="G30" s="755" t="s">
        <v>2818</v>
      </c>
    </row>
    <row r="31" spans="1:10" ht="12.75" customHeight="1">
      <c r="A31" s="812">
        <v>20</v>
      </c>
      <c r="B31" s="813" t="s">
        <v>180</v>
      </c>
      <c r="C31" s="814">
        <v>20.100000000000001</v>
      </c>
      <c r="D31" s="813" t="s">
        <v>2787</v>
      </c>
      <c r="E31" s="816" t="s">
        <v>2817</v>
      </c>
      <c r="F31" s="817"/>
      <c r="G31" s="819" t="s">
        <v>2820</v>
      </c>
      <c r="H31" s="817"/>
      <c r="I31" s="817"/>
      <c r="J31" s="785" t="s">
        <v>483</v>
      </c>
    </row>
    <row r="32" spans="1:10" ht="12.75" customHeight="1">
      <c r="A32" s="779">
        <v>20</v>
      </c>
      <c r="B32" s="780" t="s">
        <v>180</v>
      </c>
      <c r="C32" s="791">
        <v>20.2</v>
      </c>
      <c r="D32" s="785" t="s">
        <v>2821</v>
      </c>
      <c r="E32" s="793">
        <v>40931</v>
      </c>
      <c r="F32" s="785" t="s">
        <v>2822</v>
      </c>
      <c r="G32" s="787" t="s">
        <v>2823</v>
      </c>
      <c r="H32" s="789"/>
      <c r="I32" s="789"/>
      <c r="J32" s="789"/>
    </row>
    <row r="33" spans="1:10" ht="12.75" customHeight="1">
      <c r="A33" s="621">
        <v>21</v>
      </c>
      <c r="B33" s="50" t="s">
        <v>182</v>
      </c>
      <c r="C33" s="4">
        <v>21.1</v>
      </c>
      <c r="D33" s="50" t="s">
        <v>2787</v>
      </c>
      <c r="E33" s="759" t="s">
        <v>2817</v>
      </c>
      <c r="G33" s="755" t="s">
        <v>2824</v>
      </c>
    </row>
    <row r="34" spans="1:10" ht="12.75" customHeight="1">
      <c r="A34" s="621">
        <v>22</v>
      </c>
      <c r="B34" s="50" t="s">
        <v>184</v>
      </c>
      <c r="C34" s="4">
        <v>22.1</v>
      </c>
      <c r="D34" s="50" t="s">
        <v>2774</v>
      </c>
      <c r="E34" s="753">
        <v>40849</v>
      </c>
      <c r="G34" s="755" t="s">
        <v>2826</v>
      </c>
    </row>
    <row r="35" spans="1:10" ht="12.75" customHeight="1">
      <c r="A35" s="821">
        <v>23</v>
      </c>
      <c r="B35" s="823" t="s">
        <v>195</v>
      </c>
      <c r="C35" s="825">
        <v>23.1</v>
      </c>
      <c r="D35" s="823" t="s">
        <v>2774</v>
      </c>
      <c r="E35" s="827" t="s">
        <v>141</v>
      </c>
      <c r="F35" s="829"/>
      <c r="G35" s="831" t="s">
        <v>2827</v>
      </c>
      <c r="H35" s="829"/>
      <c r="I35" s="829"/>
      <c r="J35" s="829"/>
    </row>
    <row r="36" spans="1:10" ht="12.75" customHeight="1">
      <c r="A36" s="821">
        <v>23</v>
      </c>
      <c r="B36" s="823" t="s">
        <v>2828</v>
      </c>
      <c r="C36" s="833">
        <v>23.2</v>
      </c>
      <c r="D36" s="835" t="s">
        <v>2831</v>
      </c>
      <c r="E36" s="836">
        <v>40599</v>
      </c>
      <c r="F36" s="829"/>
      <c r="G36" s="831">
        <v>3</v>
      </c>
      <c r="H36" s="829"/>
      <c r="I36" s="829"/>
      <c r="J36" s="829"/>
    </row>
    <row r="37" spans="1:10" ht="12.75" customHeight="1">
      <c r="A37" s="837">
        <v>24</v>
      </c>
      <c r="B37" s="838" t="s">
        <v>204</v>
      </c>
      <c r="C37" s="839">
        <v>24.1</v>
      </c>
      <c r="D37" s="838" t="s">
        <v>2809</v>
      </c>
      <c r="E37" s="841">
        <v>40460</v>
      </c>
      <c r="F37" s="842"/>
      <c r="G37" s="843">
        <v>4</v>
      </c>
      <c r="H37" s="842"/>
      <c r="I37" s="842"/>
      <c r="J37" s="842"/>
    </row>
    <row r="38" spans="1:10" ht="12.75" customHeight="1">
      <c r="A38" s="844">
        <v>24</v>
      </c>
      <c r="B38" s="838" t="s">
        <v>204</v>
      </c>
      <c r="C38" s="845">
        <v>24.2</v>
      </c>
      <c r="D38" s="848" t="s">
        <v>2771</v>
      </c>
      <c r="E38" s="841">
        <v>40550</v>
      </c>
      <c r="F38" s="842"/>
      <c r="G38" s="843" t="s">
        <v>2834</v>
      </c>
      <c r="H38" s="842"/>
      <c r="I38" s="842"/>
      <c r="J38" s="842"/>
    </row>
    <row r="39" spans="1:10" ht="12.75" customHeight="1">
      <c r="A39" s="621">
        <v>25</v>
      </c>
      <c r="B39" s="50" t="s">
        <v>208</v>
      </c>
      <c r="C39" s="4">
        <v>25.1</v>
      </c>
      <c r="D39" s="50" t="s">
        <v>2835</v>
      </c>
      <c r="E39" s="759" t="s">
        <v>2836</v>
      </c>
      <c r="G39" s="755">
        <v>7.5999999999999998E-2</v>
      </c>
    </row>
    <row r="40" spans="1:10" ht="12.75" customHeight="1">
      <c r="A40" s="621">
        <v>26</v>
      </c>
      <c r="B40" s="50" t="s">
        <v>221</v>
      </c>
      <c r="C40" s="4">
        <v>26.1</v>
      </c>
      <c r="D40" s="50" t="s">
        <v>2835</v>
      </c>
      <c r="E40" s="759" t="s">
        <v>2836</v>
      </c>
      <c r="G40" s="755">
        <v>6.7000000000000004E-2</v>
      </c>
    </row>
    <row r="41" spans="1:10" ht="12.75" customHeight="1">
      <c r="A41" s="621">
        <v>27</v>
      </c>
      <c r="B41" s="50" t="s">
        <v>227</v>
      </c>
      <c r="C41" s="4">
        <v>27.1</v>
      </c>
      <c r="D41" s="50" t="s">
        <v>2835</v>
      </c>
      <c r="E41" s="759" t="s">
        <v>2837</v>
      </c>
      <c r="G41" s="755" t="s">
        <v>2838</v>
      </c>
    </row>
    <row r="42" spans="1:10" ht="12.75" customHeight="1">
      <c r="A42" s="851">
        <v>28</v>
      </c>
      <c r="B42" s="853" t="s">
        <v>229</v>
      </c>
      <c r="C42" s="855">
        <v>28.1</v>
      </c>
      <c r="D42" s="857" t="s">
        <v>2835</v>
      </c>
      <c r="E42" s="858" t="s">
        <v>2840</v>
      </c>
      <c r="F42" s="859"/>
      <c r="G42" s="860" t="s">
        <v>2841</v>
      </c>
      <c r="H42" s="859"/>
      <c r="I42" s="859"/>
      <c r="J42" s="859"/>
    </row>
    <row r="43" spans="1:10" ht="12.75" customHeight="1">
      <c r="A43" s="851">
        <v>28</v>
      </c>
      <c r="B43" s="853" t="s">
        <v>229</v>
      </c>
      <c r="C43" s="862">
        <v>28.2</v>
      </c>
      <c r="D43" s="853" t="s">
        <v>2765</v>
      </c>
      <c r="E43" s="858"/>
      <c r="F43" s="859"/>
      <c r="G43" s="860"/>
      <c r="H43" s="859"/>
      <c r="I43" s="859"/>
      <c r="J43" s="853" t="s">
        <v>2844</v>
      </c>
    </row>
    <row r="44" spans="1:10" ht="12.75" customHeight="1">
      <c r="A44" s="864">
        <v>29</v>
      </c>
      <c r="B44" s="865" t="s">
        <v>231</v>
      </c>
      <c r="C44" s="866">
        <v>29.1</v>
      </c>
      <c r="D44" s="865" t="s">
        <v>2774</v>
      </c>
      <c r="E44" s="867" t="s">
        <v>2845</v>
      </c>
      <c r="F44" s="868"/>
      <c r="G44" s="869" t="s">
        <v>2847</v>
      </c>
      <c r="H44" s="868"/>
      <c r="I44" s="868"/>
      <c r="J44" s="868"/>
    </row>
    <row r="45" spans="1:10" ht="12.75" customHeight="1">
      <c r="A45" s="864">
        <v>29</v>
      </c>
      <c r="B45" s="865" t="s">
        <v>231</v>
      </c>
      <c r="C45" s="870">
        <v>29.2</v>
      </c>
      <c r="D45" s="695" t="s">
        <v>2850</v>
      </c>
      <c r="E45" s="871">
        <v>40571</v>
      </c>
      <c r="F45" s="695" t="s">
        <v>2772</v>
      </c>
      <c r="G45" s="869" t="s">
        <v>2851</v>
      </c>
      <c r="H45" s="868"/>
      <c r="I45" s="868"/>
      <c r="J45" s="868"/>
    </row>
    <row r="46" spans="1:10" ht="12.75" customHeight="1">
      <c r="A46" s="872">
        <v>30</v>
      </c>
      <c r="B46" s="873" t="s">
        <v>235</v>
      </c>
      <c r="C46" s="874">
        <v>30.1</v>
      </c>
      <c r="D46" s="873" t="s">
        <v>2850</v>
      </c>
      <c r="E46" s="878" t="s">
        <v>2853</v>
      </c>
      <c r="F46" s="879"/>
      <c r="G46" s="881" t="s">
        <v>2854</v>
      </c>
      <c r="H46" s="879"/>
      <c r="I46" s="879"/>
      <c r="J46" s="879"/>
    </row>
    <row r="47" spans="1:10" ht="12.75" customHeight="1">
      <c r="A47" s="872">
        <v>30</v>
      </c>
      <c r="B47" s="873" t="s">
        <v>235</v>
      </c>
      <c r="C47" s="884">
        <v>30.2</v>
      </c>
      <c r="D47" s="886" t="s">
        <v>2765</v>
      </c>
      <c r="E47" s="878"/>
      <c r="F47" s="879"/>
      <c r="G47" s="881"/>
      <c r="H47" s="879"/>
      <c r="I47" s="879"/>
      <c r="J47" s="886" t="s">
        <v>2844</v>
      </c>
    </row>
    <row r="48" spans="1:10" ht="12.75" customHeight="1">
      <c r="A48" s="621">
        <v>31</v>
      </c>
      <c r="B48" s="50" t="s">
        <v>237</v>
      </c>
      <c r="C48" s="4">
        <v>31.1</v>
      </c>
      <c r="D48" s="50" t="s">
        <v>2774</v>
      </c>
      <c r="E48" s="759" t="s">
        <v>2855</v>
      </c>
      <c r="G48" s="755" t="s">
        <v>2856</v>
      </c>
    </row>
    <row r="49" spans="1:10" ht="12.75" customHeight="1">
      <c r="A49" s="621">
        <v>32</v>
      </c>
      <c r="B49" s="50" t="s">
        <v>240</v>
      </c>
      <c r="C49" s="4">
        <v>32.1</v>
      </c>
      <c r="D49" s="50" t="s">
        <v>2787</v>
      </c>
      <c r="E49" s="759" t="s">
        <v>2857</v>
      </c>
      <c r="G49" s="755" t="s">
        <v>2858</v>
      </c>
    </row>
    <row r="50" spans="1:10" ht="12.75" customHeight="1">
      <c r="A50" s="889">
        <v>33</v>
      </c>
      <c r="B50" s="891" t="s">
        <v>245</v>
      </c>
      <c r="C50" s="893">
        <v>33.1</v>
      </c>
      <c r="D50" s="891" t="s">
        <v>2787</v>
      </c>
      <c r="E50" s="895" t="s">
        <v>2859</v>
      </c>
      <c r="F50" s="575">
        <v>0.47539999999999999</v>
      </c>
      <c r="G50" s="897" t="s">
        <v>251</v>
      </c>
      <c r="H50" s="899" t="s">
        <v>720</v>
      </c>
      <c r="I50" s="901"/>
      <c r="J50" s="901"/>
    </row>
    <row r="51" spans="1:10" ht="12.75" customHeight="1">
      <c r="A51" s="621">
        <v>34</v>
      </c>
      <c r="B51" s="50" t="s">
        <v>252</v>
      </c>
      <c r="C51" s="4">
        <v>34.1</v>
      </c>
      <c r="D51" s="50" t="s">
        <v>2787</v>
      </c>
      <c r="E51" s="753">
        <v>40239</v>
      </c>
      <c r="G51" s="755" t="s">
        <v>2861</v>
      </c>
    </row>
    <row r="52" spans="1:10" ht="12.75" customHeight="1">
      <c r="A52" s="621">
        <v>35</v>
      </c>
      <c r="B52" s="50" t="s">
        <v>255</v>
      </c>
      <c r="C52" s="4">
        <v>35.1</v>
      </c>
      <c r="D52" s="50" t="s">
        <v>82</v>
      </c>
      <c r="E52" s="758"/>
      <c r="G52" s="755" t="s">
        <v>82</v>
      </c>
    </row>
    <row r="53" spans="1:10" ht="12.75" customHeight="1">
      <c r="A53" s="621">
        <v>36</v>
      </c>
      <c r="B53" s="50" t="s">
        <v>256</v>
      </c>
      <c r="C53" s="4">
        <v>36.1</v>
      </c>
      <c r="D53" s="50" t="s">
        <v>2787</v>
      </c>
      <c r="E53" s="759" t="s">
        <v>2862</v>
      </c>
      <c r="G53" s="755">
        <v>0.51500000000000001</v>
      </c>
    </row>
    <row r="54" spans="1:10" ht="12.75" customHeight="1">
      <c r="A54" s="621">
        <v>37</v>
      </c>
      <c r="B54" s="50" t="s">
        <v>258</v>
      </c>
      <c r="C54" s="4">
        <v>37.1</v>
      </c>
      <c r="D54" s="50" t="s">
        <v>2787</v>
      </c>
      <c r="E54" s="759" t="s">
        <v>2863</v>
      </c>
      <c r="G54" s="755" t="s">
        <v>2864</v>
      </c>
    </row>
    <row r="55" spans="1:10" ht="12.75" customHeight="1">
      <c r="A55" s="902">
        <v>38</v>
      </c>
      <c r="B55" s="903" t="s">
        <v>262</v>
      </c>
      <c r="C55" s="904">
        <v>38.1</v>
      </c>
      <c r="D55" s="903" t="s">
        <v>2774</v>
      </c>
      <c r="E55" s="905" t="s">
        <v>2867</v>
      </c>
      <c r="F55" s="907"/>
      <c r="G55" s="909" t="s">
        <v>2868</v>
      </c>
      <c r="H55" s="907"/>
      <c r="I55" s="907"/>
      <c r="J55" s="907"/>
    </row>
    <row r="56" spans="1:10" ht="12.75" customHeight="1">
      <c r="A56" s="902">
        <v>38</v>
      </c>
      <c r="B56" s="903" t="s">
        <v>262</v>
      </c>
      <c r="C56" s="911">
        <v>38.200000000000003</v>
      </c>
      <c r="D56" s="913" t="s">
        <v>2771</v>
      </c>
      <c r="E56" s="915">
        <v>40284</v>
      </c>
      <c r="F56" s="907"/>
      <c r="G56" s="909" t="s">
        <v>2870</v>
      </c>
      <c r="H56" s="907"/>
      <c r="I56" s="907"/>
      <c r="J56" s="907"/>
    </row>
    <row r="57" spans="1:10" ht="12.75" customHeight="1">
      <c r="A57" s="621">
        <v>39</v>
      </c>
      <c r="B57" s="50" t="s">
        <v>266</v>
      </c>
      <c r="C57" s="4">
        <v>39.1</v>
      </c>
      <c r="D57" s="50" t="s">
        <v>2774</v>
      </c>
      <c r="E57" s="759" t="s">
        <v>2867</v>
      </c>
      <c r="G57" s="755" t="s">
        <v>2871</v>
      </c>
    </row>
    <row r="58" spans="1:10" ht="12.75" customHeight="1">
      <c r="A58" s="621">
        <v>40</v>
      </c>
      <c r="B58" s="50" t="s">
        <v>267</v>
      </c>
      <c r="C58" s="4">
        <v>40.1</v>
      </c>
      <c r="D58" s="50" t="s">
        <v>2777</v>
      </c>
      <c r="E58" s="753">
        <v>41123</v>
      </c>
      <c r="G58" s="755" t="s">
        <v>2872</v>
      </c>
    </row>
    <row r="59" spans="1:10" ht="12.75" customHeight="1">
      <c r="A59" s="621">
        <v>41</v>
      </c>
      <c r="B59" s="50" t="s">
        <v>271</v>
      </c>
      <c r="C59" s="4">
        <v>41.1</v>
      </c>
      <c r="D59" s="50" t="s">
        <v>2787</v>
      </c>
      <c r="E59" s="753">
        <v>40430</v>
      </c>
      <c r="G59" s="755" t="s">
        <v>2873</v>
      </c>
    </row>
    <row r="60" spans="1:10" ht="12.75" customHeight="1">
      <c r="A60" s="621">
        <v>42</v>
      </c>
      <c r="B60" s="50" t="s">
        <v>278</v>
      </c>
      <c r="C60" s="4">
        <v>42.1</v>
      </c>
      <c r="D60" s="50" t="s">
        <v>2787</v>
      </c>
      <c r="E60" s="759" t="s">
        <v>2874</v>
      </c>
      <c r="G60" s="755" t="s">
        <v>2864</v>
      </c>
    </row>
    <row r="61" spans="1:10" ht="12.75" customHeight="1">
      <c r="A61" s="621">
        <v>43</v>
      </c>
      <c r="B61" s="50" t="s">
        <v>284</v>
      </c>
      <c r="C61" s="4">
        <v>43.1</v>
      </c>
      <c r="D61" s="50" t="s">
        <v>2787</v>
      </c>
      <c r="E61" s="759" t="s">
        <v>2875</v>
      </c>
      <c r="G61" s="755" t="s">
        <v>2841</v>
      </c>
    </row>
    <row r="62" spans="1:10" ht="12.75" customHeight="1">
      <c r="A62" s="621">
        <v>44</v>
      </c>
      <c r="B62" s="50" t="s">
        <v>295</v>
      </c>
      <c r="C62" s="4">
        <v>44.1</v>
      </c>
      <c r="D62" s="50" t="s">
        <v>2774</v>
      </c>
      <c r="E62" s="759" t="s">
        <v>2876</v>
      </c>
      <c r="G62" s="755" t="s">
        <v>2877</v>
      </c>
    </row>
    <row r="63" spans="1:10" ht="12.75" customHeight="1">
      <c r="A63" s="621">
        <v>45</v>
      </c>
      <c r="B63" s="50" t="s">
        <v>297</v>
      </c>
      <c r="C63" s="4">
        <v>45.1</v>
      </c>
      <c r="D63" s="50" t="s">
        <v>2774</v>
      </c>
      <c r="E63" s="759" t="s">
        <v>2876</v>
      </c>
      <c r="G63" s="755" t="s">
        <v>2878</v>
      </c>
    </row>
    <row r="64" spans="1:10" ht="12.75" customHeight="1">
      <c r="A64" s="921">
        <v>46</v>
      </c>
      <c r="B64" s="659" t="s">
        <v>300</v>
      </c>
      <c r="C64" s="923">
        <v>46.1</v>
      </c>
      <c r="D64" s="659" t="s">
        <v>2774</v>
      </c>
      <c r="E64" s="924">
        <v>40278</v>
      </c>
      <c r="F64" s="926"/>
      <c r="G64" s="927" t="s">
        <v>2879</v>
      </c>
      <c r="H64" s="926"/>
      <c r="I64" s="926"/>
      <c r="J64" s="926"/>
    </row>
    <row r="65" spans="1:10" ht="12.75" customHeight="1">
      <c r="A65" s="921">
        <v>46</v>
      </c>
      <c r="B65" s="659" t="s">
        <v>2880</v>
      </c>
      <c r="C65" s="928">
        <v>46.2</v>
      </c>
      <c r="D65" s="929" t="s">
        <v>2771</v>
      </c>
      <c r="E65" s="924">
        <v>40822</v>
      </c>
      <c r="F65" s="929" t="s">
        <v>2772</v>
      </c>
      <c r="G65" s="927" t="s">
        <v>2881</v>
      </c>
      <c r="H65" s="926"/>
      <c r="I65" s="926"/>
      <c r="J65" s="926"/>
    </row>
    <row r="66" spans="1:10" ht="12.75" customHeight="1">
      <c r="A66" s="621">
        <v>47</v>
      </c>
      <c r="B66" s="50" t="s">
        <v>305</v>
      </c>
      <c r="C66" s="4">
        <v>47.1</v>
      </c>
      <c r="D66" s="50" t="s">
        <v>2774</v>
      </c>
      <c r="E66" s="753">
        <v>40643</v>
      </c>
      <c r="G66" s="755" t="s">
        <v>82</v>
      </c>
    </row>
    <row r="67" spans="1:10" ht="12.75" customHeight="1">
      <c r="A67" s="621">
        <v>48</v>
      </c>
      <c r="B67" s="50" t="s">
        <v>309</v>
      </c>
      <c r="C67" s="4">
        <v>48.1</v>
      </c>
      <c r="D67" s="50" t="s">
        <v>141</v>
      </c>
      <c r="E67" s="753">
        <v>40401</v>
      </c>
      <c r="G67" s="755" t="s">
        <v>141</v>
      </c>
    </row>
    <row r="68" spans="1:10" ht="12.75" customHeight="1">
      <c r="A68" s="621">
        <v>49</v>
      </c>
      <c r="B68" s="50" t="s">
        <v>311</v>
      </c>
      <c r="C68" s="4">
        <v>49.1</v>
      </c>
      <c r="D68" s="50" t="s">
        <v>141</v>
      </c>
      <c r="E68" s="759" t="s">
        <v>141</v>
      </c>
      <c r="G68" s="755">
        <v>1</v>
      </c>
    </row>
    <row r="69" spans="1:10" ht="12.75" customHeight="1">
      <c r="A69" s="621">
        <v>50</v>
      </c>
      <c r="B69" s="50" t="s">
        <v>314</v>
      </c>
      <c r="C69" s="4">
        <v>50.1</v>
      </c>
      <c r="D69" s="50" t="s">
        <v>82</v>
      </c>
      <c r="E69" s="759" t="s">
        <v>141</v>
      </c>
      <c r="G69" s="755" t="s">
        <v>82</v>
      </c>
    </row>
    <row r="70" spans="1:10" ht="12.75" customHeight="1">
      <c r="A70" s="621">
        <v>51</v>
      </c>
      <c r="B70" s="50" t="s">
        <v>319</v>
      </c>
      <c r="C70" s="4">
        <v>51.1</v>
      </c>
      <c r="D70" s="50" t="s">
        <v>82</v>
      </c>
      <c r="E70" s="759" t="s">
        <v>141</v>
      </c>
      <c r="G70" s="755" t="s">
        <v>82</v>
      </c>
    </row>
    <row r="71" spans="1:10" ht="12.75" customHeight="1">
      <c r="A71" s="621">
        <v>52</v>
      </c>
      <c r="B71" s="50" t="s">
        <v>321</v>
      </c>
      <c r="C71" s="4">
        <v>52.1</v>
      </c>
      <c r="D71" s="50" t="s">
        <v>141</v>
      </c>
      <c r="E71" s="753">
        <v>40371</v>
      </c>
      <c r="G71" s="755" t="s">
        <v>2854</v>
      </c>
    </row>
    <row r="72" spans="1:10" ht="12.75" customHeight="1">
      <c r="A72" s="621">
        <v>53</v>
      </c>
      <c r="B72" s="50" t="s">
        <v>326</v>
      </c>
      <c r="C72" s="4">
        <v>53.1</v>
      </c>
      <c r="D72" s="50" t="s">
        <v>141</v>
      </c>
      <c r="E72" s="753">
        <v>40635</v>
      </c>
      <c r="G72" s="755" t="s">
        <v>2883</v>
      </c>
    </row>
    <row r="73" spans="1:10" ht="12.75" customHeight="1">
      <c r="A73" s="931">
        <v>54</v>
      </c>
      <c r="B73" s="231" t="s">
        <v>328</v>
      </c>
      <c r="C73" s="933">
        <v>54.1</v>
      </c>
      <c r="D73" s="231" t="s">
        <v>2787</v>
      </c>
      <c r="E73" s="935" t="s">
        <v>2885</v>
      </c>
      <c r="F73" s="229"/>
      <c r="G73" s="1014">
        <v>0.219</v>
      </c>
      <c r="H73" s="229"/>
      <c r="I73" s="229"/>
      <c r="J73" s="229"/>
    </row>
    <row r="74" spans="1:10" ht="12.75" customHeight="1">
      <c r="A74" s="931">
        <v>54</v>
      </c>
      <c r="B74" s="231" t="s">
        <v>2938</v>
      </c>
      <c r="C74" s="1016">
        <v>54.2</v>
      </c>
      <c r="D74" s="231"/>
      <c r="E74" s="935"/>
      <c r="F74" s="229"/>
      <c r="G74" s="1014" t="s">
        <v>2939</v>
      </c>
      <c r="H74" s="229"/>
      <c r="I74" s="229"/>
      <c r="J74" s="229"/>
    </row>
    <row r="75" spans="1:10" ht="12.75" customHeight="1">
      <c r="A75" s="1018">
        <v>55</v>
      </c>
      <c r="B75" s="1019" t="s">
        <v>333</v>
      </c>
      <c r="C75" s="1027">
        <v>55.1</v>
      </c>
      <c r="D75" s="1019" t="s">
        <v>2787</v>
      </c>
      <c r="E75" s="1028" t="s">
        <v>2885</v>
      </c>
      <c r="F75" s="1029"/>
      <c r="G75" s="1030">
        <v>0.23200000000000001</v>
      </c>
      <c r="H75" s="1029"/>
      <c r="I75" s="1029"/>
      <c r="J75" s="1029"/>
    </row>
    <row r="76" spans="1:10" ht="12.75" customHeight="1">
      <c r="A76" s="1018">
        <v>55</v>
      </c>
      <c r="B76" s="1019" t="s">
        <v>2949</v>
      </c>
      <c r="C76" s="1031">
        <v>55.2</v>
      </c>
      <c r="D76" s="1019"/>
      <c r="E76" s="1028"/>
      <c r="F76" s="1029"/>
      <c r="G76" s="1030" t="s">
        <v>2950</v>
      </c>
      <c r="H76" s="1029"/>
      <c r="I76" s="1029"/>
      <c r="J76" s="1029"/>
    </row>
    <row r="77" spans="1:10" ht="12.75" customHeight="1">
      <c r="A77" s="621">
        <v>56</v>
      </c>
      <c r="B77" s="50" t="s">
        <v>337</v>
      </c>
      <c r="C77" s="4">
        <v>56.1</v>
      </c>
      <c r="D77" s="50" t="s">
        <v>2787</v>
      </c>
      <c r="E77" s="759" t="s">
        <v>2885</v>
      </c>
      <c r="G77" s="755">
        <v>0.21299999999999999</v>
      </c>
    </row>
    <row r="78" spans="1:10" ht="12.75" customHeight="1">
      <c r="A78" s="621">
        <v>57</v>
      </c>
      <c r="B78" s="50" t="s">
        <v>339</v>
      </c>
      <c r="C78" s="4">
        <v>57.1</v>
      </c>
      <c r="D78" s="50" t="s">
        <v>2787</v>
      </c>
      <c r="E78" s="753">
        <v>40632</v>
      </c>
      <c r="G78" s="755">
        <v>0.45800000000000002</v>
      </c>
    </row>
    <row r="79" spans="1:10" ht="12.75" customHeight="1">
      <c r="A79" s="621">
        <v>58</v>
      </c>
      <c r="B79" s="50" t="s">
        <v>342</v>
      </c>
      <c r="C79" s="4">
        <v>58.1</v>
      </c>
      <c r="D79" s="50" t="s">
        <v>141</v>
      </c>
      <c r="E79" s="753">
        <v>40641</v>
      </c>
      <c r="G79" s="482">
        <v>3.7623000000000002</v>
      </c>
    </row>
    <row r="80" spans="1:10" ht="12.75" customHeight="1">
      <c r="A80" s="621">
        <v>59</v>
      </c>
      <c r="B80" s="50" t="s">
        <v>346</v>
      </c>
      <c r="C80" s="4">
        <v>59.1</v>
      </c>
      <c r="D80" s="50" t="s">
        <v>141</v>
      </c>
      <c r="E80" s="1032">
        <v>40844</v>
      </c>
      <c r="G80" s="755" t="s">
        <v>2951</v>
      </c>
    </row>
    <row r="81" spans="1:10" ht="12.75" customHeight="1">
      <c r="A81" s="621">
        <v>60</v>
      </c>
      <c r="B81" s="50" t="s">
        <v>348</v>
      </c>
      <c r="C81" s="4">
        <v>60.1</v>
      </c>
      <c r="D81" s="50" t="s">
        <v>2952</v>
      </c>
      <c r="E81" s="753">
        <v>40852</v>
      </c>
      <c r="G81" s="755" t="s">
        <v>2953</v>
      </c>
    </row>
    <row r="82" spans="1:10" ht="12.75" customHeight="1">
      <c r="A82" s="621">
        <v>61</v>
      </c>
      <c r="B82" s="50" t="s">
        <v>350</v>
      </c>
      <c r="C82" s="4">
        <v>61.1</v>
      </c>
      <c r="D82" s="50" t="s">
        <v>2787</v>
      </c>
      <c r="E82" s="759" t="s">
        <v>2954</v>
      </c>
      <c r="F82" s="50" t="s">
        <v>824</v>
      </c>
      <c r="G82" s="755" t="s">
        <v>2854</v>
      </c>
    </row>
    <row r="83" spans="1:10" ht="12.75" customHeight="1">
      <c r="A83" s="621">
        <v>62</v>
      </c>
      <c r="B83" s="50" t="s">
        <v>355</v>
      </c>
      <c r="C83" s="4">
        <v>62.1</v>
      </c>
      <c r="E83" s="759" t="s">
        <v>2955</v>
      </c>
      <c r="G83" s="755" t="s">
        <v>2956</v>
      </c>
    </row>
    <row r="84" spans="1:10" ht="12.75" customHeight="1">
      <c r="A84" s="621">
        <v>63</v>
      </c>
      <c r="B84" s="50" t="s">
        <v>357</v>
      </c>
      <c r="C84" s="4">
        <v>63.1</v>
      </c>
      <c r="E84" s="759" t="s">
        <v>2955</v>
      </c>
      <c r="G84" s="755" t="s">
        <v>2957</v>
      </c>
    </row>
    <row r="85" spans="1:10" ht="12.75" customHeight="1">
      <c r="A85" s="621">
        <v>64</v>
      </c>
      <c r="B85" s="50" t="s">
        <v>358</v>
      </c>
      <c r="C85" s="4">
        <v>64.099999999999994</v>
      </c>
      <c r="D85" s="50" t="s">
        <v>2787</v>
      </c>
      <c r="E85" s="753">
        <v>40731</v>
      </c>
      <c r="G85" s="755" t="s">
        <v>2858</v>
      </c>
    </row>
    <row r="86" spans="1:10" ht="12.75" customHeight="1">
      <c r="A86" s="851">
        <v>65</v>
      </c>
      <c r="B86" s="857" t="s">
        <v>361</v>
      </c>
      <c r="C86" s="855">
        <v>65.099999999999994</v>
      </c>
      <c r="D86" s="857" t="s">
        <v>2777</v>
      </c>
      <c r="E86" s="1035">
        <v>40910</v>
      </c>
      <c r="F86" s="859"/>
      <c r="G86" s="860" t="s">
        <v>2958</v>
      </c>
      <c r="H86" s="859"/>
      <c r="I86" s="859"/>
      <c r="J86" s="859"/>
    </row>
    <row r="87" spans="1:10" ht="12.75" customHeight="1">
      <c r="A87" s="851">
        <v>65</v>
      </c>
      <c r="B87" s="857" t="s">
        <v>2959</v>
      </c>
      <c r="C87" s="862">
        <v>65.2</v>
      </c>
      <c r="D87" s="857"/>
      <c r="E87" s="1035">
        <v>40891</v>
      </c>
      <c r="F87" s="859"/>
      <c r="G87" s="860">
        <v>2</v>
      </c>
      <c r="H87" s="859"/>
      <c r="I87" s="859"/>
      <c r="J87" s="859"/>
    </row>
    <row r="88" spans="1:10" ht="12.75" customHeight="1">
      <c r="A88" s="621">
        <v>66</v>
      </c>
      <c r="B88" s="50" t="s">
        <v>363</v>
      </c>
      <c r="C88" s="4">
        <v>66.099999999999994</v>
      </c>
      <c r="D88" s="50" t="s">
        <v>2960</v>
      </c>
      <c r="E88" s="759" t="s">
        <v>2961</v>
      </c>
      <c r="G88" s="755" t="s">
        <v>2962</v>
      </c>
    </row>
    <row r="89" spans="1:10" ht="12.75" customHeight="1">
      <c r="A89" s="621">
        <v>67</v>
      </c>
      <c r="B89" s="50" t="s">
        <v>365</v>
      </c>
      <c r="C89" s="4">
        <v>67.099999999999994</v>
      </c>
      <c r="D89" s="50" t="s">
        <v>2960</v>
      </c>
      <c r="E89" s="759" t="s">
        <v>2961</v>
      </c>
      <c r="G89" s="755">
        <v>1</v>
      </c>
    </row>
    <row r="90" spans="1:10" ht="12.75" customHeight="1">
      <c r="A90" s="621">
        <v>68</v>
      </c>
      <c r="B90" s="50" t="s">
        <v>366</v>
      </c>
      <c r="C90" s="4">
        <v>68.099999999999994</v>
      </c>
      <c r="D90" s="50" t="s">
        <v>2952</v>
      </c>
      <c r="E90" s="753">
        <v>40427</v>
      </c>
      <c r="G90" s="755" t="s">
        <v>2963</v>
      </c>
    </row>
    <row r="91" spans="1:10" ht="12.75" customHeight="1">
      <c r="A91" s="621">
        <v>69</v>
      </c>
      <c r="B91" s="50" t="s">
        <v>369</v>
      </c>
      <c r="C91" s="4">
        <v>69.099999999999994</v>
      </c>
      <c r="E91" s="759" t="s">
        <v>2964</v>
      </c>
      <c r="G91" s="755" t="s">
        <v>2965</v>
      </c>
    </row>
    <row r="92" spans="1:10" ht="12.75" customHeight="1">
      <c r="A92" s="621">
        <v>70</v>
      </c>
      <c r="B92" s="50" t="s">
        <v>372</v>
      </c>
      <c r="C92" s="4">
        <v>70.099999999999994</v>
      </c>
      <c r="E92" s="759" t="s">
        <v>2964</v>
      </c>
      <c r="G92" s="755" t="s">
        <v>2966</v>
      </c>
    </row>
    <row r="93" spans="1:10" ht="12.75" customHeight="1">
      <c r="A93" s="1036">
        <v>71</v>
      </c>
      <c r="B93" s="1037" t="s">
        <v>375</v>
      </c>
      <c r="C93" s="1039">
        <v>71.099999999999994</v>
      </c>
      <c r="D93" s="1037" t="s">
        <v>2787</v>
      </c>
      <c r="E93" s="1040" t="s">
        <v>2967</v>
      </c>
      <c r="F93" s="1041"/>
      <c r="G93" s="1042" t="s">
        <v>141</v>
      </c>
      <c r="H93" s="1041"/>
      <c r="I93" s="1041"/>
      <c r="J93" s="1041"/>
    </row>
    <row r="94" spans="1:10" ht="12.75" customHeight="1">
      <c r="A94" s="1036">
        <v>71</v>
      </c>
      <c r="B94" s="1037" t="s">
        <v>2968</v>
      </c>
      <c r="C94" s="1043">
        <v>71.2</v>
      </c>
      <c r="D94" s="1037"/>
      <c r="E94" s="1044">
        <v>40836</v>
      </c>
      <c r="F94" s="1041"/>
      <c r="G94" s="1042">
        <v>0.74</v>
      </c>
      <c r="H94" s="1041"/>
      <c r="I94" s="1041"/>
      <c r="J94" s="1041"/>
    </row>
    <row r="95" spans="1:10" ht="12.75" customHeight="1">
      <c r="A95" s="621">
        <v>72</v>
      </c>
      <c r="B95" s="50" t="s">
        <v>378</v>
      </c>
      <c r="C95" s="4">
        <v>72.099999999999994</v>
      </c>
      <c r="D95" s="50" t="s">
        <v>2787</v>
      </c>
      <c r="E95" s="759" t="s">
        <v>2969</v>
      </c>
      <c r="G95" s="755" t="s">
        <v>82</v>
      </c>
    </row>
    <row r="96" spans="1:10" ht="12.75" customHeight="1">
      <c r="A96" s="621">
        <v>73</v>
      </c>
      <c r="B96" s="50" t="s">
        <v>380</v>
      </c>
      <c r="C96" s="4">
        <v>73.099999999999994</v>
      </c>
      <c r="D96" s="50" t="s">
        <v>2787</v>
      </c>
      <c r="E96" s="759" t="s">
        <v>2970</v>
      </c>
      <c r="G96" s="755" t="s">
        <v>2861</v>
      </c>
    </row>
    <row r="97" spans="1:10" ht="12.75" customHeight="1">
      <c r="A97" s="621">
        <v>74</v>
      </c>
      <c r="B97" s="50" t="s">
        <v>383</v>
      </c>
      <c r="C97" s="4">
        <v>74.099999999999994</v>
      </c>
      <c r="D97" s="50" t="s">
        <v>141</v>
      </c>
      <c r="E97" s="758"/>
      <c r="G97" s="755" t="s">
        <v>2951</v>
      </c>
    </row>
    <row r="98" spans="1:10" ht="12.75" customHeight="1">
      <c r="A98" s="621">
        <v>75</v>
      </c>
      <c r="B98" s="50" t="s">
        <v>385</v>
      </c>
      <c r="C98" s="4">
        <v>75.099999999999994</v>
      </c>
      <c r="D98" s="50" t="s">
        <v>2774</v>
      </c>
      <c r="E98" s="759" t="s">
        <v>2853</v>
      </c>
      <c r="G98" s="755">
        <v>0.56399999999999995</v>
      </c>
    </row>
    <row r="99" spans="1:10" ht="12.75" customHeight="1">
      <c r="A99" s="1045">
        <v>76</v>
      </c>
      <c r="B99" s="1046" t="s">
        <v>387</v>
      </c>
      <c r="C99" s="1047">
        <v>76.099999999999994</v>
      </c>
      <c r="D99" s="1046" t="s">
        <v>2774</v>
      </c>
      <c r="E99" s="1048" t="s">
        <v>2853</v>
      </c>
      <c r="F99" s="1049"/>
      <c r="G99" s="1050" t="s">
        <v>2971</v>
      </c>
      <c r="H99" s="1049"/>
      <c r="I99" s="1049"/>
      <c r="J99" s="1049"/>
    </row>
    <row r="100" spans="1:10" ht="12.75" customHeight="1">
      <c r="A100" s="1045">
        <v>76</v>
      </c>
      <c r="B100" s="1046" t="s">
        <v>2972</v>
      </c>
      <c r="C100" s="1051">
        <v>76.2</v>
      </c>
      <c r="D100" s="1052" t="s">
        <v>2973</v>
      </c>
      <c r="E100" s="1053">
        <v>40571</v>
      </c>
      <c r="F100" s="1049"/>
      <c r="G100" s="1050">
        <v>0.23300000000000001</v>
      </c>
      <c r="H100" s="1049"/>
      <c r="I100" s="1049"/>
      <c r="J100" s="1049"/>
    </row>
    <row r="101" spans="1:10" ht="12.75" customHeight="1">
      <c r="A101" s="1054">
        <v>77</v>
      </c>
      <c r="B101" s="672" t="s">
        <v>388</v>
      </c>
      <c r="C101" s="1055">
        <v>77.099999999999994</v>
      </c>
      <c r="D101" s="672" t="s">
        <v>2774</v>
      </c>
      <c r="E101" s="1056">
        <v>40849</v>
      </c>
      <c r="F101" s="1057"/>
      <c r="G101" s="1058" t="s">
        <v>2974</v>
      </c>
      <c r="H101" s="1057"/>
      <c r="I101" s="1057"/>
      <c r="J101" s="1057"/>
    </row>
    <row r="102" spans="1:10" ht="12.75" customHeight="1">
      <c r="A102" s="1054">
        <v>77</v>
      </c>
      <c r="B102" s="672" t="s">
        <v>2975</v>
      </c>
      <c r="C102" s="1059">
        <v>77.2</v>
      </c>
      <c r="D102" s="672"/>
      <c r="E102" s="1056">
        <v>40571</v>
      </c>
      <c r="F102" s="1057"/>
      <c r="G102" s="1058" t="s">
        <v>2976</v>
      </c>
      <c r="H102" s="1057"/>
      <c r="I102" s="1057"/>
      <c r="J102" s="1057"/>
    </row>
    <row r="103" spans="1:10" ht="12.75" customHeight="1">
      <c r="A103" s="621">
        <v>78</v>
      </c>
      <c r="B103" s="50" t="s">
        <v>390</v>
      </c>
      <c r="C103" s="4">
        <v>78.099999999999994</v>
      </c>
      <c r="D103" s="50" t="s">
        <v>141</v>
      </c>
      <c r="E103" s="758"/>
      <c r="G103" s="755" t="s">
        <v>2977</v>
      </c>
    </row>
    <row r="104" spans="1:10" ht="12.75" customHeight="1">
      <c r="A104" s="1060">
        <v>79</v>
      </c>
      <c r="B104" s="268" t="s">
        <v>184</v>
      </c>
      <c r="C104" s="1061">
        <v>79.099999999999994</v>
      </c>
      <c r="D104" s="273"/>
      <c r="E104" s="1062" t="s">
        <v>2978</v>
      </c>
      <c r="F104" s="273"/>
      <c r="G104" s="1063">
        <v>0.52500000000000002</v>
      </c>
      <c r="H104" s="273"/>
      <c r="I104" s="273"/>
      <c r="J104" s="273"/>
    </row>
    <row r="105" spans="1:10" ht="12.75" customHeight="1">
      <c r="A105" s="1060">
        <v>79</v>
      </c>
      <c r="B105" s="268" t="s">
        <v>184</v>
      </c>
      <c r="C105" s="1064">
        <v>79.2</v>
      </c>
      <c r="D105" s="273"/>
      <c r="E105" s="1062"/>
      <c r="F105" s="1065" t="s">
        <v>1987</v>
      </c>
      <c r="G105" s="1066">
        <v>1.8</v>
      </c>
      <c r="H105" s="273"/>
      <c r="I105" s="273"/>
      <c r="J105" s="273"/>
    </row>
    <row r="106" spans="1:10" ht="12.75" customHeight="1">
      <c r="A106" s="1060">
        <v>79</v>
      </c>
      <c r="B106" s="268" t="s">
        <v>184</v>
      </c>
      <c r="C106" s="1064">
        <v>79.3</v>
      </c>
      <c r="D106" s="273"/>
      <c r="E106" s="1062"/>
      <c r="F106" s="1065"/>
      <c r="G106" s="1066">
        <v>1.42</v>
      </c>
      <c r="H106" s="273"/>
      <c r="I106" s="273"/>
      <c r="J106" s="273"/>
    </row>
    <row r="107" spans="1:10" ht="12.75" customHeight="1">
      <c r="A107" s="621">
        <v>80</v>
      </c>
      <c r="B107" s="50" t="s">
        <v>393</v>
      </c>
      <c r="C107" s="4">
        <v>80.099999999999994</v>
      </c>
      <c r="E107" s="759" t="s">
        <v>2836</v>
      </c>
      <c r="G107" s="755" t="s">
        <v>82</v>
      </c>
    </row>
    <row r="108" spans="1:10" ht="12.75" customHeight="1">
      <c r="A108" s="621">
        <v>81</v>
      </c>
      <c r="B108" s="50" t="s">
        <v>394</v>
      </c>
      <c r="C108" s="4">
        <v>81.099999999999994</v>
      </c>
      <c r="E108" s="759" t="s">
        <v>2836</v>
      </c>
      <c r="G108" s="755" t="s">
        <v>82</v>
      </c>
    </row>
    <row r="109" spans="1:10" ht="12.75" customHeight="1">
      <c r="A109" s="621">
        <v>82</v>
      </c>
      <c r="B109" s="50" t="s">
        <v>395</v>
      </c>
      <c r="C109" s="4">
        <v>82.1</v>
      </c>
      <c r="D109" s="50" t="s">
        <v>2774</v>
      </c>
      <c r="E109" s="1032">
        <v>40968</v>
      </c>
      <c r="F109" s="50" t="s">
        <v>238</v>
      </c>
      <c r="G109" s="755" t="s">
        <v>2979</v>
      </c>
    </row>
    <row r="110" spans="1:10" ht="12.75" customHeight="1">
      <c r="A110" s="1067">
        <v>83</v>
      </c>
      <c r="B110" s="79" t="s">
        <v>2980</v>
      </c>
      <c r="C110" s="1068">
        <v>83.3</v>
      </c>
      <c r="D110" s="79" t="s">
        <v>2765</v>
      </c>
      <c r="E110" s="1069">
        <v>41072</v>
      </c>
      <c r="F110" s="79" t="s">
        <v>2766</v>
      </c>
      <c r="G110" s="1071"/>
      <c r="H110" s="80"/>
      <c r="I110" s="80"/>
      <c r="J110" s="80"/>
    </row>
    <row r="111" spans="1:10" ht="12.75" customHeight="1">
      <c r="A111" s="1067">
        <v>83</v>
      </c>
      <c r="B111" s="79" t="s">
        <v>2980</v>
      </c>
      <c r="C111" s="1068">
        <v>83.2</v>
      </c>
      <c r="D111" s="79" t="s">
        <v>2765</v>
      </c>
      <c r="E111" s="1073" t="s">
        <v>2981</v>
      </c>
      <c r="F111" s="79" t="s">
        <v>2766</v>
      </c>
      <c r="G111" s="1071"/>
      <c r="H111" s="80"/>
      <c r="I111" s="80"/>
      <c r="J111" s="80"/>
    </row>
    <row r="112" spans="1:10" ht="12.75" customHeight="1">
      <c r="A112" s="1067">
        <v>83</v>
      </c>
      <c r="B112" s="79" t="s">
        <v>398</v>
      </c>
      <c r="C112" s="1068">
        <v>83.1</v>
      </c>
      <c r="D112" s="79" t="s">
        <v>82</v>
      </c>
      <c r="E112" s="1074"/>
      <c r="F112" s="80"/>
      <c r="G112" s="1075" t="s">
        <v>82</v>
      </c>
      <c r="H112" s="80"/>
      <c r="I112" s="80"/>
      <c r="J112" s="80"/>
    </row>
    <row r="113" spans="1:10" ht="12.75" customHeight="1">
      <c r="A113" s="1076">
        <v>84</v>
      </c>
      <c r="B113" s="62" t="s">
        <v>399</v>
      </c>
      <c r="C113" s="1077">
        <v>84.2</v>
      </c>
      <c r="D113" s="62" t="s">
        <v>2765</v>
      </c>
      <c r="E113" s="1078" t="s">
        <v>2981</v>
      </c>
      <c r="F113" s="62" t="s">
        <v>2766</v>
      </c>
      <c r="G113" s="1079">
        <v>1.7</v>
      </c>
      <c r="H113" s="52"/>
      <c r="I113" s="52"/>
      <c r="J113" s="52"/>
    </row>
    <row r="114" spans="1:10" ht="12.75" customHeight="1">
      <c r="A114" s="1076">
        <v>84</v>
      </c>
      <c r="B114" s="62" t="s">
        <v>399</v>
      </c>
      <c r="C114" s="1077">
        <v>84.3</v>
      </c>
      <c r="D114" s="62" t="s">
        <v>2765</v>
      </c>
      <c r="E114" s="1078" t="s">
        <v>2982</v>
      </c>
      <c r="F114" s="62" t="s">
        <v>881</v>
      </c>
      <c r="G114" s="1079">
        <v>1.1185</v>
      </c>
      <c r="H114" s="52"/>
      <c r="I114" s="52"/>
      <c r="J114" s="52"/>
    </row>
    <row r="115" spans="1:10" ht="12.75" customHeight="1">
      <c r="A115" s="1076">
        <v>84</v>
      </c>
      <c r="B115" s="62" t="s">
        <v>399</v>
      </c>
      <c r="C115" s="1077">
        <v>84.1</v>
      </c>
      <c r="D115" s="62" t="s">
        <v>82</v>
      </c>
      <c r="E115" s="1080"/>
      <c r="F115" s="1105" t="s">
        <v>2983</v>
      </c>
      <c r="G115" s="1079" t="s">
        <v>3002</v>
      </c>
      <c r="H115" s="52"/>
      <c r="I115" s="52"/>
      <c r="J115" s="52"/>
    </row>
    <row r="116" spans="1:10" ht="12.75" customHeight="1">
      <c r="A116" s="621">
        <v>85</v>
      </c>
      <c r="B116" s="50" t="s">
        <v>402</v>
      </c>
      <c r="C116" s="4">
        <v>85.1</v>
      </c>
      <c r="E116" s="753">
        <v>40216</v>
      </c>
      <c r="G116" s="755" t="s">
        <v>3005</v>
      </c>
    </row>
    <row r="117" spans="1:10" ht="12.75" customHeight="1">
      <c r="A117" s="621">
        <v>86</v>
      </c>
      <c r="B117" s="50" t="s">
        <v>403</v>
      </c>
      <c r="C117" s="4">
        <v>86.1</v>
      </c>
      <c r="E117" s="759" t="s">
        <v>3006</v>
      </c>
      <c r="G117" s="755" t="s">
        <v>2808</v>
      </c>
    </row>
    <row r="118" spans="1:10" ht="12.75" customHeight="1">
      <c r="A118" s="621">
        <v>87</v>
      </c>
      <c r="B118" s="54" t="s">
        <v>405</v>
      </c>
      <c r="C118" s="4">
        <v>87.1</v>
      </c>
      <c r="D118" s="50" t="s">
        <v>141</v>
      </c>
      <c r="E118" s="1032">
        <v>40890</v>
      </c>
      <c r="G118" s="755" t="s">
        <v>3008</v>
      </c>
    </row>
    <row r="119" spans="1:10" ht="12.75" customHeight="1">
      <c r="A119" s="621">
        <v>88</v>
      </c>
      <c r="B119" s="50" t="s">
        <v>408</v>
      </c>
      <c r="C119" s="4">
        <v>88.1</v>
      </c>
      <c r="D119" s="50" t="s">
        <v>141</v>
      </c>
      <c r="E119" s="759" t="s">
        <v>3009</v>
      </c>
      <c r="G119" s="755" t="s">
        <v>2808</v>
      </c>
    </row>
    <row r="120" spans="1:10" ht="12.75" customHeight="1">
      <c r="A120" s="1106">
        <v>89</v>
      </c>
      <c r="B120" s="1107" t="s">
        <v>3011</v>
      </c>
      <c r="C120" s="1108">
        <v>89.1</v>
      </c>
      <c r="D120" s="1107" t="s">
        <v>2787</v>
      </c>
      <c r="E120" s="1109" t="s">
        <v>3015</v>
      </c>
      <c r="F120" s="1110" t="s">
        <v>141</v>
      </c>
      <c r="G120" s="1111" t="s">
        <v>3017</v>
      </c>
      <c r="H120" s="1110" t="s">
        <v>141</v>
      </c>
      <c r="I120" s="1110" t="s">
        <v>141</v>
      </c>
      <c r="J120" s="1112"/>
    </row>
    <row r="121" spans="1:10" ht="12.75" customHeight="1">
      <c r="A121" s="1106">
        <v>89</v>
      </c>
      <c r="B121" s="1107" t="s">
        <v>3011</v>
      </c>
      <c r="C121" s="1113">
        <v>89.2</v>
      </c>
      <c r="D121" s="1110" t="s">
        <v>2774</v>
      </c>
      <c r="E121" s="1114">
        <v>40886</v>
      </c>
      <c r="F121" s="1112"/>
      <c r="G121" s="1111">
        <v>1.7110000000000001</v>
      </c>
      <c r="H121" s="1112"/>
      <c r="I121" s="1112"/>
      <c r="J121" s="1112"/>
    </row>
    <row r="122" spans="1:10" ht="12.75" customHeight="1">
      <c r="A122" s="1106">
        <v>89</v>
      </c>
      <c r="B122" s="1107" t="s">
        <v>3011</v>
      </c>
      <c r="C122" s="1113">
        <v>89.3</v>
      </c>
      <c r="D122" s="1110" t="s">
        <v>2765</v>
      </c>
      <c r="E122" s="1114">
        <v>42201</v>
      </c>
      <c r="F122" s="1110" t="s">
        <v>881</v>
      </c>
      <c r="G122" s="1111">
        <v>1.2548999999999999</v>
      </c>
      <c r="H122" s="1110" t="s">
        <v>929</v>
      </c>
      <c r="I122" s="1110" t="s">
        <v>141</v>
      </c>
      <c r="J122" s="1110" t="s">
        <v>2844</v>
      </c>
    </row>
    <row r="123" spans="1:10" ht="12.75" customHeight="1">
      <c r="A123" s="931">
        <v>90</v>
      </c>
      <c r="B123" s="231" t="s">
        <v>413</v>
      </c>
      <c r="C123" s="933">
        <v>90.1</v>
      </c>
      <c r="D123" s="231" t="s">
        <v>2787</v>
      </c>
      <c r="E123" s="935" t="s">
        <v>3015</v>
      </c>
      <c r="F123" s="229"/>
      <c r="G123" s="1014" t="s">
        <v>3021</v>
      </c>
      <c r="H123" s="229"/>
      <c r="I123" s="229"/>
      <c r="J123" s="229"/>
    </row>
    <row r="124" spans="1:10" ht="12.75" customHeight="1">
      <c r="A124" s="931">
        <v>90</v>
      </c>
      <c r="B124" s="231" t="s">
        <v>413</v>
      </c>
      <c r="C124" s="1016">
        <v>90.2</v>
      </c>
      <c r="D124" s="228" t="s">
        <v>3022</v>
      </c>
      <c r="E124" s="1115">
        <v>40714</v>
      </c>
      <c r="F124" s="228" t="s">
        <v>2772</v>
      </c>
      <c r="G124" s="1014">
        <v>1.4</v>
      </c>
      <c r="H124" s="229"/>
      <c r="I124" s="229"/>
      <c r="J124" s="229"/>
    </row>
    <row r="125" spans="1:10" ht="12.75" customHeight="1">
      <c r="A125" s="621">
        <v>91</v>
      </c>
      <c r="B125" s="50" t="s">
        <v>414</v>
      </c>
      <c r="C125" s="4">
        <v>91.1</v>
      </c>
      <c r="D125" s="50" t="s">
        <v>2774</v>
      </c>
      <c r="E125" s="759" t="s">
        <v>3023</v>
      </c>
      <c r="F125" s="54" t="s">
        <v>2772</v>
      </c>
      <c r="G125" s="755" t="s">
        <v>3024</v>
      </c>
    </row>
    <row r="126" spans="1:10" ht="12.75" customHeight="1">
      <c r="A126" s="772">
        <v>92</v>
      </c>
      <c r="B126" s="773" t="s">
        <v>3025</v>
      </c>
      <c r="C126" s="1116">
        <v>92.1</v>
      </c>
      <c r="D126" s="773" t="s">
        <v>2787</v>
      </c>
      <c r="E126" s="775">
        <v>40852</v>
      </c>
      <c r="F126" s="777"/>
      <c r="G126" s="776" t="s">
        <v>3026</v>
      </c>
      <c r="H126" s="777"/>
      <c r="I126" s="773" t="s">
        <v>141</v>
      </c>
      <c r="J126" s="777"/>
    </row>
    <row r="127" spans="1:10" ht="12.75" customHeight="1">
      <c r="A127" s="772">
        <v>92</v>
      </c>
      <c r="B127" s="773" t="s">
        <v>3025</v>
      </c>
      <c r="C127" s="1116">
        <v>92.2</v>
      </c>
      <c r="D127" s="773" t="s">
        <v>2765</v>
      </c>
      <c r="E127" s="775">
        <v>41802</v>
      </c>
      <c r="F127" s="773" t="s">
        <v>881</v>
      </c>
      <c r="G127" s="776">
        <v>2.0516999999999999</v>
      </c>
      <c r="H127" s="773" t="s">
        <v>929</v>
      </c>
      <c r="I127" s="773" t="s">
        <v>141</v>
      </c>
      <c r="J127" s="773" t="s">
        <v>3027</v>
      </c>
    </row>
    <row r="128" spans="1:10" ht="12.75" customHeight="1">
      <c r="A128" s="772">
        <v>92</v>
      </c>
      <c r="B128" s="773" t="s">
        <v>3025</v>
      </c>
      <c r="C128" s="1116">
        <v>92.3</v>
      </c>
      <c r="D128" s="773" t="s">
        <v>2774</v>
      </c>
      <c r="E128" s="775">
        <v>40886</v>
      </c>
      <c r="F128" s="773" t="s">
        <v>3028</v>
      </c>
      <c r="G128" s="776">
        <v>1.85</v>
      </c>
      <c r="H128" s="777"/>
      <c r="I128" s="777"/>
      <c r="J128" s="777"/>
    </row>
    <row r="129" spans="1:10" ht="12.75" customHeight="1">
      <c r="A129" s="772">
        <v>92</v>
      </c>
      <c r="B129" s="773" t="s">
        <v>3025</v>
      </c>
      <c r="C129" s="1116">
        <v>92.4</v>
      </c>
      <c r="D129" s="773" t="s">
        <v>2787</v>
      </c>
      <c r="E129" s="775">
        <v>41962</v>
      </c>
      <c r="F129" s="773" t="s">
        <v>881</v>
      </c>
      <c r="G129" s="776">
        <v>0.3458</v>
      </c>
      <c r="H129" s="773" t="s">
        <v>3029</v>
      </c>
      <c r="I129" s="777"/>
      <c r="J129" s="773" t="s">
        <v>3027</v>
      </c>
    </row>
    <row r="130" spans="1:10" ht="12.75" customHeight="1">
      <c r="A130" s="931">
        <v>93</v>
      </c>
      <c r="B130" s="231" t="s">
        <v>419</v>
      </c>
      <c r="C130" s="933">
        <v>93.1</v>
      </c>
      <c r="D130" s="231" t="s">
        <v>2787</v>
      </c>
      <c r="E130" s="1143">
        <v>40852</v>
      </c>
      <c r="F130" s="231" t="s">
        <v>141</v>
      </c>
      <c r="G130" s="1014" t="s">
        <v>3038</v>
      </c>
      <c r="H130" s="229"/>
      <c r="I130" s="229"/>
      <c r="J130" s="229"/>
    </row>
    <row r="131" spans="1:10" ht="12.75" customHeight="1">
      <c r="A131" s="931">
        <v>93</v>
      </c>
      <c r="B131" s="231" t="s">
        <v>3039</v>
      </c>
      <c r="C131" s="933">
        <v>93.2</v>
      </c>
      <c r="D131" s="231" t="s">
        <v>2765</v>
      </c>
      <c r="E131" s="1143">
        <v>41099</v>
      </c>
      <c r="F131" s="231" t="s">
        <v>2766</v>
      </c>
      <c r="G131" s="1014">
        <v>1.1000000000000001</v>
      </c>
      <c r="H131" s="229"/>
      <c r="I131" s="229"/>
      <c r="J131" s="229"/>
    </row>
    <row r="132" spans="1:10" ht="12.75" customHeight="1">
      <c r="A132" s="931">
        <v>93</v>
      </c>
      <c r="B132" s="231" t="s">
        <v>3039</v>
      </c>
      <c r="C132" s="933">
        <v>93.4</v>
      </c>
      <c r="D132" s="231" t="s">
        <v>2774</v>
      </c>
      <c r="E132" s="1143">
        <v>40676</v>
      </c>
      <c r="F132" s="231" t="s">
        <v>141</v>
      </c>
      <c r="G132" s="1014">
        <v>1.4</v>
      </c>
      <c r="H132" s="229"/>
      <c r="I132" s="229"/>
      <c r="J132" s="229"/>
    </row>
    <row r="133" spans="1:10" ht="12.75" customHeight="1">
      <c r="A133" s="931">
        <v>93</v>
      </c>
      <c r="B133" s="231" t="s">
        <v>3039</v>
      </c>
      <c r="C133" s="1016">
        <v>93.3</v>
      </c>
      <c r="D133" s="231" t="s">
        <v>2765</v>
      </c>
      <c r="E133" s="1143">
        <v>41809</v>
      </c>
      <c r="F133" s="231" t="s">
        <v>881</v>
      </c>
      <c r="G133" s="1014">
        <v>1.5147999999999999</v>
      </c>
      <c r="H133" s="231" t="s">
        <v>929</v>
      </c>
      <c r="I133" s="231" t="s">
        <v>141</v>
      </c>
      <c r="J133" s="231" t="s">
        <v>2844</v>
      </c>
    </row>
    <row r="134" spans="1:10" ht="12.75" customHeight="1">
      <c r="A134" s="931">
        <v>93</v>
      </c>
      <c r="B134" s="231" t="s">
        <v>3039</v>
      </c>
      <c r="C134" s="1016">
        <v>93.5</v>
      </c>
      <c r="D134" s="231" t="s">
        <v>2787</v>
      </c>
      <c r="E134" s="1144"/>
      <c r="F134" s="231" t="s">
        <v>881</v>
      </c>
      <c r="G134" s="1014">
        <v>0.35920000000000002</v>
      </c>
      <c r="H134" s="229"/>
      <c r="I134" s="229"/>
      <c r="J134" s="231" t="s">
        <v>2844</v>
      </c>
    </row>
    <row r="135" spans="1:10" ht="12.75" customHeight="1">
      <c r="A135" s="621">
        <v>94</v>
      </c>
      <c r="B135" s="50" t="s">
        <v>420</v>
      </c>
      <c r="C135" s="4">
        <v>94.1</v>
      </c>
      <c r="D135" s="50" t="s">
        <v>141</v>
      </c>
      <c r="E135" s="758"/>
      <c r="F135" s="50" t="s">
        <v>3040</v>
      </c>
      <c r="G135" s="755" t="s">
        <v>141</v>
      </c>
    </row>
    <row r="136" spans="1:10" ht="12.75" customHeight="1">
      <c r="A136" s="621">
        <v>95</v>
      </c>
      <c r="B136" s="50" t="s">
        <v>423</v>
      </c>
      <c r="C136" s="4">
        <v>95.1</v>
      </c>
      <c r="D136" s="50" t="s">
        <v>2774</v>
      </c>
      <c r="E136" s="759" t="s">
        <v>2775</v>
      </c>
      <c r="G136" s="755" t="s">
        <v>3041</v>
      </c>
    </row>
    <row r="137" spans="1:10" ht="12.75" customHeight="1">
      <c r="A137" s="621">
        <v>96</v>
      </c>
      <c r="B137" s="50" t="s">
        <v>424</v>
      </c>
      <c r="C137" s="4">
        <v>96.1</v>
      </c>
      <c r="E137" s="758"/>
      <c r="G137" s="755" t="s">
        <v>3042</v>
      </c>
    </row>
    <row r="138" spans="1:10" ht="12.75" customHeight="1">
      <c r="A138" s="1067">
        <v>97</v>
      </c>
      <c r="B138" s="79" t="s">
        <v>426</v>
      </c>
      <c r="C138" s="1068">
        <v>97.1</v>
      </c>
      <c r="D138" s="79" t="s">
        <v>2787</v>
      </c>
      <c r="E138" s="1069">
        <v>40856</v>
      </c>
      <c r="F138" s="80"/>
      <c r="G138" s="1075" t="s">
        <v>2872</v>
      </c>
      <c r="H138" s="80"/>
      <c r="I138" s="80"/>
      <c r="J138" s="80"/>
    </row>
    <row r="139" spans="1:10" ht="12.75" customHeight="1">
      <c r="A139" s="1067">
        <v>97</v>
      </c>
      <c r="B139" s="79" t="s">
        <v>3043</v>
      </c>
      <c r="C139" s="1146">
        <v>97.2</v>
      </c>
      <c r="D139" s="1148" t="s">
        <v>2771</v>
      </c>
      <c r="E139" s="1069">
        <v>40613</v>
      </c>
      <c r="F139" s="80"/>
      <c r="G139" s="1075" t="s">
        <v>3045</v>
      </c>
      <c r="H139" s="80"/>
      <c r="I139" s="80"/>
      <c r="J139" s="80"/>
    </row>
    <row r="140" spans="1:10" ht="12.75" customHeight="1">
      <c r="A140" s="621">
        <v>98</v>
      </c>
      <c r="B140" s="50" t="s">
        <v>429</v>
      </c>
      <c r="C140" s="4">
        <v>98.1</v>
      </c>
      <c r="D140" s="50" t="s">
        <v>2787</v>
      </c>
      <c r="E140" s="753">
        <v>40856</v>
      </c>
      <c r="G140" s="755" t="s">
        <v>3046</v>
      </c>
    </row>
    <row r="141" spans="1:10" ht="12.75" customHeight="1">
      <c r="A141" s="851">
        <v>99</v>
      </c>
      <c r="B141" s="857" t="s">
        <v>430</v>
      </c>
      <c r="C141" s="855">
        <v>99.1</v>
      </c>
      <c r="D141" s="857" t="s">
        <v>2787</v>
      </c>
      <c r="E141" s="1035">
        <v>40644</v>
      </c>
      <c r="F141" s="859"/>
      <c r="G141" s="860">
        <v>0.49099999999999999</v>
      </c>
      <c r="H141" s="859"/>
      <c r="I141" s="859"/>
      <c r="J141" s="859"/>
    </row>
    <row r="142" spans="1:10" ht="12.75" customHeight="1">
      <c r="A142" s="851">
        <v>99</v>
      </c>
      <c r="B142" s="857" t="s">
        <v>430</v>
      </c>
      <c r="C142" s="862">
        <v>99.2</v>
      </c>
      <c r="D142" s="853" t="s">
        <v>474</v>
      </c>
      <c r="E142" s="1035">
        <v>41017</v>
      </c>
      <c r="F142" s="859"/>
      <c r="G142" s="860">
        <v>2.8</v>
      </c>
      <c r="H142" s="859"/>
      <c r="I142" s="859"/>
      <c r="J142" s="859"/>
    </row>
    <row r="143" spans="1:10" ht="12.75" customHeight="1">
      <c r="A143" s="621">
        <v>100</v>
      </c>
      <c r="B143" s="50" t="s">
        <v>432</v>
      </c>
      <c r="C143" s="4">
        <v>100.1</v>
      </c>
      <c r="D143" s="54" t="s">
        <v>690</v>
      </c>
      <c r="E143" s="759" t="s">
        <v>436</v>
      </c>
      <c r="F143" s="54" t="s">
        <v>3047</v>
      </c>
      <c r="G143" s="755" t="s">
        <v>3048</v>
      </c>
      <c r="J143" s="54" t="s">
        <v>503</v>
      </c>
    </row>
    <row r="144" spans="1:10" ht="12.75" customHeight="1">
      <c r="A144" s="621">
        <v>101</v>
      </c>
      <c r="B144" s="50" t="s">
        <v>437</v>
      </c>
      <c r="C144" s="4">
        <v>101.1</v>
      </c>
      <c r="D144" s="50" t="s">
        <v>141</v>
      </c>
      <c r="E144" s="759" t="s">
        <v>3049</v>
      </c>
      <c r="G144" s="755" t="s">
        <v>3050</v>
      </c>
    </row>
    <row r="145" spans="1:10" ht="12.75" customHeight="1">
      <c r="A145" s="621">
        <v>102</v>
      </c>
      <c r="B145" s="50" t="s">
        <v>439</v>
      </c>
      <c r="C145" s="4">
        <v>102.1</v>
      </c>
      <c r="D145" s="50" t="s">
        <v>141</v>
      </c>
      <c r="E145" s="759" t="s">
        <v>141</v>
      </c>
      <c r="G145" s="755" t="s">
        <v>3051</v>
      </c>
    </row>
    <row r="146" spans="1:10" ht="12.75" customHeight="1">
      <c r="A146" s="621">
        <v>103</v>
      </c>
      <c r="B146" s="50" t="s">
        <v>442</v>
      </c>
      <c r="C146" s="4">
        <v>103.1</v>
      </c>
      <c r="D146" s="50" t="s">
        <v>2787</v>
      </c>
      <c r="E146" s="753">
        <v>41218</v>
      </c>
      <c r="G146" s="755">
        <v>0.121</v>
      </c>
    </row>
    <row r="147" spans="1:10" ht="12.75" customHeight="1">
      <c r="A147" s="621">
        <v>104</v>
      </c>
      <c r="B147" s="50" t="s">
        <v>447</v>
      </c>
      <c r="C147" s="4">
        <v>104.1</v>
      </c>
      <c r="D147" s="50" t="s">
        <v>2787</v>
      </c>
      <c r="E147" s="753">
        <v>41218</v>
      </c>
      <c r="G147" s="755" t="s">
        <v>3052</v>
      </c>
    </row>
    <row r="148" spans="1:10" ht="12.75" customHeight="1">
      <c r="A148" s="621">
        <v>105</v>
      </c>
      <c r="B148" s="50" t="s">
        <v>449</v>
      </c>
      <c r="C148" s="4">
        <v>105.1</v>
      </c>
      <c r="D148" s="50" t="s">
        <v>2787</v>
      </c>
      <c r="E148" s="753">
        <v>41218</v>
      </c>
      <c r="G148" s="755">
        <v>8.2000000000000003E-2</v>
      </c>
    </row>
    <row r="149" spans="1:10" ht="12.75" customHeight="1">
      <c r="A149" s="621">
        <v>106</v>
      </c>
      <c r="B149" s="50" t="s">
        <v>451</v>
      </c>
      <c r="C149" s="4">
        <v>106.1</v>
      </c>
      <c r="D149" s="50" t="s">
        <v>2787</v>
      </c>
      <c r="E149" s="753">
        <v>41218</v>
      </c>
      <c r="G149" s="755" t="s">
        <v>3053</v>
      </c>
    </row>
    <row r="150" spans="1:10" ht="12.75" customHeight="1">
      <c r="A150" s="621">
        <v>107</v>
      </c>
      <c r="B150" s="50" t="s">
        <v>453</v>
      </c>
      <c r="C150" s="4">
        <v>107.1</v>
      </c>
      <c r="D150" s="50" t="s">
        <v>2787</v>
      </c>
      <c r="E150" s="753">
        <v>41218</v>
      </c>
      <c r="G150" s="755">
        <v>0.29299999999999998</v>
      </c>
    </row>
    <row r="151" spans="1:10" ht="12.75" customHeight="1">
      <c r="A151" s="621">
        <v>108</v>
      </c>
      <c r="B151" s="50" t="s">
        <v>456</v>
      </c>
      <c r="C151" s="4">
        <v>108.1</v>
      </c>
      <c r="D151" s="50" t="s">
        <v>2787</v>
      </c>
      <c r="E151" s="753">
        <v>41218</v>
      </c>
      <c r="G151" s="755">
        <v>0.28699999999999998</v>
      </c>
    </row>
    <row r="152" spans="1:10" ht="12.75" customHeight="1">
      <c r="A152" s="621">
        <v>109</v>
      </c>
      <c r="B152" s="50" t="s">
        <v>457</v>
      </c>
      <c r="C152" s="4">
        <v>109.1</v>
      </c>
      <c r="D152" s="50" t="s">
        <v>2787</v>
      </c>
      <c r="E152" s="753">
        <v>41218</v>
      </c>
      <c r="G152" s="755">
        <v>0.30599999999999999</v>
      </c>
    </row>
    <row r="153" spans="1:10" ht="12.75" customHeight="1">
      <c r="A153" s="1036">
        <v>110</v>
      </c>
      <c r="B153" s="1037" t="s">
        <v>458</v>
      </c>
      <c r="C153" s="1039">
        <v>110.1</v>
      </c>
      <c r="D153" s="1037" t="s">
        <v>2787</v>
      </c>
      <c r="E153" s="1154">
        <v>41218</v>
      </c>
      <c r="F153" s="1041"/>
      <c r="G153" s="1042">
        <v>0.98699999999999999</v>
      </c>
      <c r="H153" s="1041"/>
      <c r="I153" s="1041"/>
      <c r="J153" s="1041"/>
    </row>
    <row r="154" spans="1:10" ht="12.75" customHeight="1">
      <c r="A154" s="1036">
        <v>110</v>
      </c>
      <c r="B154" s="1037" t="s">
        <v>302</v>
      </c>
      <c r="C154" s="1039">
        <v>110.2</v>
      </c>
      <c r="D154" s="1037" t="s">
        <v>2765</v>
      </c>
      <c r="E154" s="1040" t="s">
        <v>3054</v>
      </c>
      <c r="F154" s="1037" t="s">
        <v>3055</v>
      </c>
      <c r="G154" s="1156"/>
      <c r="H154" s="1041"/>
      <c r="I154" s="1041"/>
      <c r="J154" s="1041"/>
    </row>
    <row r="155" spans="1:10" ht="12.75" customHeight="1">
      <c r="A155" s="931">
        <v>111</v>
      </c>
      <c r="B155" s="231" t="s">
        <v>147</v>
      </c>
      <c r="C155" s="933">
        <v>111.1</v>
      </c>
      <c r="D155" s="231" t="s">
        <v>2787</v>
      </c>
      <c r="E155" s="1143">
        <v>40626</v>
      </c>
      <c r="F155" s="231" t="s">
        <v>95</v>
      </c>
      <c r="G155" s="1014">
        <v>0.53400000000000003</v>
      </c>
      <c r="H155" s="229"/>
      <c r="I155" s="229"/>
      <c r="J155" s="229"/>
    </row>
    <row r="156" spans="1:10" ht="12.75" customHeight="1">
      <c r="A156" s="931">
        <v>111</v>
      </c>
      <c r="B156" s="231" t="s">
        <v>147</v>
      </c>
      <c r="C156" s="1016">
        <v>111.2</v>
      </c>
      <c r="D156" s="231" t="s">
        <v>2771</v>
      </c>
      <c r="E156" s="1143">
        <v>41859</v>
      </c>
      <c r="F156" s="231" t="s">
        <v>158</v>
      </c>
      <c r="G156" s="1014">
        <v>0.65600000000000003</v>
      </c>
      <c r="H156" s="229"/>
      <c r="I156" s="229"/>
      <c r="J156" s="229"/>
    </row>
    <row r="157" spans="1:10" ht="12.75" customHeight="1">
      <c r="A157" s="621">
        <v>112</v>
      </c>
      <c r="B157" s="50" t="s">
        <v>180</v>
      </c>
      <c r="C157" s="4">
        <v>112.1</v>
      </c>
      <c r="D157" s="50" t="s">
        <v>2787</v>
      </c>
      <c r="E157" s="753">
        <v>41218</v>
      </c>
      <c r="G157" s="755">
        <v>0.219</v>
      </c>
    </row>
    <row r="158" spans="1:10" ht="12.75" customHeight="1">
      <c r="A158" s="621">
        <v>113</v>
      </c>
      <c r="B158" s="50" t="s">
        <v>172</v>
      </c>
      <c r="C158" s="4">
        <v>113.1</v>
      </c>
      <c r="D158" s="50" t="s">
        <v>2787</v>
      </c>
      <c r="E158" s="753">
        <v>41218</v>
      </c>
      <c r="G158" s="755">
        <v>0.10299999999999999</v>
      </c>
    </row>
    <row r="159" spans="1:10" ht="12.75" customHeight="1">
      <c r="A159" s="621">
        <v>114</v>
      </c>
      <c r="B159" s="50" t="s">
        <v>463</v>
      </c>
      <c r="C159" s="4">
        <v>114.1</v>
      </c>
      <c r="D159" s="50" t="s">
        <v>2787</v>
      </c>
      <c r="E159" s="753">
        <v>41218</v>
      </c>
      <c r="G159" s="755">
        <v>0.73799999999999999</v>
      </c>
    </row>
    <row r="160" spans="1:10" ht="12.75" customHeight="1">
      <c r="A160" s="621">
        <v>115</v>
      </c>
      <c r="B160" s="50" t="s">
        <v>465</v>
      </c>
      <c r="C160" s="4">
        <v>115.1</v>
      </c>
      <c r="D160" s="50" t="s">
        <v>2787</v>
      </c>
      <c r="E160" s="753">
        <v>41218</v>
      </c>
      <c r="G160" s="755">
        <v>0.67100000000000004</v>
      </c>
    </row>
    <row r="161" spans="1:10" ht="12.75" customHeight="1">
      <c r="A161" s="621">
        <v>116</v>
      </c>
      <c r="B161" s="50" t="s">
        <v>467</v>
      </c>
      <c r="C161" s="4">
        <v>116.1</v>
      </c>
      <c r="D161" s="50" t="s">
        <v>2787</v>
      </c>
      <c r="E161" s="753">
        <v>41218</v>
      </c>
      <c r="G161" s="755">
        <v>0.90400000000000003</v>
      </c>
    </row>
    <row r="162" spans="1:10" ht="12.75" customHeight="1">
      <c r="A162" s="621">
        <v>117</v>
      </c>
      <c r="B162" s="50" t="s">
        <v>469</v>
      </c>
      <c r="C162" s="4">
        <v>117.1</v>
      </c>
      <c r="D162" s="50" t="s">
        <v>2787</v>
      </c>
      <c r="E162" s="753">
        <v>41218</v>
      </c>
      <c r="G162" s="755">
        <v>0.76600000000000001</v>
      </c>
    </row>
    <row r="163" spans="1:10" ht="12.75" customHeight="1">
      <c r="A163" s="621">
        <v>118</v>
      </c>
      <c r="B163" s="50" t="s">
        <v>456</v>
      </c>
      <c r="C163" s="4">
        <v>118.1</v>
      </c>
      <c r="D163" s="50" t="s">
        <v>2787</v>
      </c>
      <c r="E163" s="753">
        <v>41218</v>
      </c>
      <c r="G163" s="755">
        <v>0.36899999999999999</v>
      </c>
    </row>
    <row r="164" spans="1:10" ht="12.75" customHeight="1">
      <c r="A164" s="621">
        <v>119</v>
      </c>
      <c r="B164" s="50" t="s">
        <v>472</v>
      </c>
      <c r="C164" s="4">
        <v>119.1</v>
      </c>
      <c r="D164" s="50" t="s">
        <v>2787</v>
      </c>
      <c r="E164" s="753">
        <v>41218</v>
      </c>
      <c r="G164" s="755">
        <v>0.34499999999999997</v>
      </c>
    </row>
    <row r="165" spans="1:10" ht="12.75" customHeight="1">
      <c r="A165" s="772">
        <v>120</v>
      </c>
      <c r="B165" s="773" t="s">
        <v>197</v>
      </c>
      <c r="C165" s="774">
        <v>120.6</v>
      </c>
      <c r="D165" s="773" t="s">
        <v>3056</v>
      </c>
      <c r="E165" s="775">
        <v>41072</v>
      </c>
      <c r="F165" s="773" t="s">
        <v>2766</v>
      </c>
      <c r="G165" s="1171"/>
      <c r="H165" s="777"/>
      <c r="I165" s="777"/>
      <c r="J165" s="777"/>
    </row>
    <row r="166" spans="1:10" ht="12.75" customHeight="1">
      <c r="A166" s="772">
        <v>120</v>
      </c>
      <c r="B166" s="773" t="s">
        <v>473</v>
      </c>
      <c r="C166" s="1116" t="s">
        <v>3063</v>
      </c>
      <c r="D166" s="773" t="s">
        <v>3064</v>
      </c>
      <c r="E166" s="775">
        <v>41099</v>
      </c>
      <c r="F166" s="773" t="s">
        <v>2766</v>
      </c>
      <c r="G166" s="776">
        <v>1</v>
      </c>
      <c r="H166" s="777"/>
      <c r="I166" s="777"/>
      <c r="J166" s="777"/>
    </row>
    <row r="167" spans="1:10" ht="12.75" customHeight="1">
      <c r="A167" s="772">
        <v>120</v>
      </c>
      <c r="B167" s="773" t="s">
        <v>473</v>
      </c>
      <c r="C167" s="774">
        <v>120.1</v>
      </c>
      <c r="D167" s="773" t="s">
        <v>2787</v>
      </c>
      <c r="E167" s="775">
        <v>41218</v>
      </c>
      <c r="F167" s="777"/>
      <c r="G167" s="776">
        <v>0.38100000000000001</v>
      </c>
      <c r="H167" s="777"/>
      <c r="I167" s="777"/>
      <c r="J167" s="777"/>
    </row>
    <row r="168" spans="1:10" ht="12.75" customHeight="1">
      <c r="A168" s="772">
        <v>120</v>
      </c>
      <c r="B168" s="773" t="s">
        <v>473</v>
      </c>
      <c r="C168" s="197">
        <v>120.9</v>
      </c>
      <c r="D168" s="773" t="s">
        <v>2771</v>
      </c>
      <c r="E168" s="775">
        <v>41710</v>
      </c>
      <c r="F168" s="773" t="s">
        <v>881</v>
      </c>
      <c r="G168" s="776">
        <v>0.1087</v>
      </c>
      <c r="H168" s="773" t="s">
        <v>929</v>
      </c>
      <c r="I168" s="773" t="s">
        <v>3067</v>
      </c>
      <c r="J168" s="773" t="s">
        <v>2844</v>
      </c>
    </row>
    <row r="169" spans="1:10" ht="12.75" customHeight="1">
      <c r="A169" s="889">
        <v>120</v>
      </c>
      <c r="B169" s="1181" t="str">
        <f>VLOOKUP(A169,plasmids!$A$2:$B$391,2)</f>
        <v>sc-CAG-GFP</v>
      </c>
      <c r="C169" s="1182">
        <v>120.1</v>
      </c>
      <c r="D169" s="891" t="s">
        <v>3073</v>
      </c>
      <c r="E169" s="1185">
        <v>41747</v>
      </c>
      <c r="F169" s="891" t="s">
        <v>1549</v>
      </c>
      <c r="G169" s="897">
        <v>3.18</v>
      </c>
      <c r="H169" s="899" t="s">
        <v>720</v>
      </c>
      <c r="I169" s="891" t="s">
        <v>3067</v>
      </c>
      <c r="J169" s="575" t="s">
        <v>3075</v>
      </c>
    </row>
    <row r="170" spans="1:10" ht="12.75" customHeight="1">
      <c r="A170" s="772">
        <v>120</v>
      </c>
      <c r="B170" s="1192" t="str">
        <f>VLOOKUP(A170,plasmids!$A$2:$B$391,2)</f>
        <v>sc-CAG-GFP</v>
      </c>
      <c r="C170" s="1116">
        <v>120.11</v>
      </c>
      <c r="D170" s="773" t="s">
        <v>2771</v>
      </c>
      <c r="E170" s="775">
        <v>41772</v>
      </c>
      <c r="F170" s="773" t="s">
        <v>881</v>
      </c>
      <c r="G170" s="776">
        <v>0.28310000000000002</v>
      </c>
      <c r="H170" s="773" t="s">
        <v>929</v>
      </c>
      <c r="I170" s="773" t="s">
        <v>3067</v>
      </c>
      <c r="J170" s="773" t="s">
        <v>2844</v>
      </c>
    </row>
    <row r="171" spans="1:10" ht="12.75" customHeight="1">
      <c r="A171" s="772">
        <v>120</v>
      </c>
      <c r="B171" s="1192" t="str">
        <f>VLOOKUP(A171,plasmids!$A$2:$B$391,2)</f>
        <v>sc-CAG-GFP</v>
      </c>
      <c r="C171" s="1116">
        <v>120.12</v>
      </c>
      <c r="D171" s="773" t="s">
        <v>3056</v>
      </c>
      <c r="E171" s="775">
        <v>41781</v>
      </c>
      <c r="F171" s="773" t="s">
        <v>881</v>
      </c>
      <c r="G171" s="776">
        <v>1.3153999999999999</v>
      </c>
      <c r="H171" s="773" t="s">
        <v>3029</v>
      </c>
      <c r="I171" s="773" t="s">
        <v>3067</v>
      </c>
      <c r="J171" s="773" t="s">
        <v>3077</v>
      </c>
    </row>
    <row r="172" spans="1:10" ht="12.75" customHeight="1">
      <c r="A172" s="772">
        <v>120</v>
      </c>
      <c r="B172" s="773" t="s">
        <v>197</v>
      </c>
      <c r="C172" s="774">
        <v>120.7</v>
      </c>
      <c r="D172" s="773" t="s">
        <v>3078</v>
      </c>
      <c r="E172" s="1194" t="s">
        <v>141</v>
      </c>
      <c r="F172" s="773" t="s">
        <v>141</v>
      </c>
      <c r="G172" s="776" t="s">
        <v>141</v>
      </c>
      <c r="H172" s="773" t="s">
        <v>141</v>
      </c>
      <c r="I172" s="773" t="s">
        <v>141</v>
      </c>
      <c r="J172" s="777"/>
    </row>
    <row r="173" spans="1:10" ht="12.75" customHeight="1">
      <c r="A173" s="762">
        <v>120</v>
      </c>
      <c r="B173" s="763" t="s">
        <v>473</v>
      </c>
      <c r="C173" s="764">
        <v>120.8</v>
      </c>
      <c r="D173" s="763" t="s">
        <v>2771</v>
      </c>
      <c r="E173" s="1134" t="s">
        <v>3080</v>
      </c>
      <c r="F173" s="763" t="s">
        <v>881</v>
      </c>
      <c r="G173" s="769">
        <v>0.12790000000000001</v>
      </c>
      <c r="H173" s="763" t="s">
        <v>3029</v>
      </c>
      <c r="I173" s="763" t="s">
        <v>3067</v>
      </c>
      <c r="J173" s="763" t="s">
        <v>3081</v>
      </c>
    </row>
    <row r="174" spans="1:10" ht="12.75" customHeight="1">
      <c r="A174" s="772">
        <v>120</v>
      </c>
      <c r="B174" s="773" t="s">
        <v>197</v>
      </c>
      <c r="C174" s="774">
        <v>120.2</v>
      </c>
      <c r="D174" s="773" t="s">
        <v>2765</v>
      </c>
      <c r="E174" s="1194" t="s">
        <v>3082</v>
      </c>
      <c r="F174" s="773" t="s">
        <v>3055</v>
      </c>
      <c r="G174" s="1171"/>
      <c r="H174" s="777"/>
      <c r="I174" s="777"/>
      <c r="J174" s="777"/>
    </row>
    <row r="175" spans="1:10" ht="12.75" customHeight="1">
      <c r="A175" s="772">
        <v>120</v>
      </c>
      <c r="B175" s="773" t="s">
        <v>197</v>
      </c>
      <c r="C175" s="1116">
        <v>120.13</v>
      </c>
      <c r="D175" s="773" t="s">
        <v>3073</v>
      </c>
      <c r="E175" s="775">
        <v>41341</v>
      </c>
      <c r="F175" s="773" t="s">
        <v>3055</v>
      </c>
      <c r="G175" s="985">
        <v>3.1</v>
      </c>
      <c r="H175" s="777"/>
      <c r="I175" s="777"/>
      <c r="J175" s="777"/>
    </row>
    <row r="176" spans="1:10" ht="12.75" customHeight="1">
      <c r="A176" s="1195">
        <v>121</v>
      </c>
      <c r="B176" s="625" t="s">
        <v>476</v>
      </c>
      <c r="C176" s="1196">
        <v>121.1</v>
      </c>
      <c r="D176" s="625" t="s">
        <v>2787</v>
      </c>
      <c r="E176" s="1197">
        <v>41218</v>
      </c>
      <c r="F176" s="647"/>
      <c r="G176" s="1199">
        <v>0.36699999999999999</v>
      </c>
      <c r="H176" s="647"/>
      <c r="I176" s="647"/>
      <c r="J176" s="647"/>
    </row>
    <row r="177" spans="1:10" ht="12.75" customHeight="1">
      <c r="A177" s="1195">
        <v>121</v>
      </c>
      <c r="B177" s="625" t="s">
        <v>476</v>
      </c>
      <c r="C177" s="1196">
        <v>121.2</v>
      </c>
      <c r="D177" s="625" t="s">
        <v>2765</v>
      </c>
      <c r="E177" s="1201" t="s">
        <v>3085</v>
      </c>
      <c r="F177" s="625" t="s">
        <v>3055</v>
      </c>
      <c r="G177" s="1203"/>
      <c r="H177" s="647"/>
      <c r="I177" s="647"/>
      <c r="J177" s="647"/>
    </row>
    <row r="178" spans="1:10" ht="12.75" customHeight="1">
      <c r="A178" s="1195">
        <v>121</v>
      </c>
      <c r="B178" s="625" t="s">
        <v>476</v>
      </c>
      <c r="C178" s="1204">
        <v>121.3</v>
      </c>
      <c r="D178" s="625" t="s">
        <v>2765</v>
      </c>
      <c r="E178" s="1206">
        <v>41092</v>
      </c>
      <c r="F178" s="625"/>
      <c r="G178" s="1199">
        <v>1.76</v>
      </c>
      <c r="H178" s="647"/>
      <c r="I178" s="647"/>
      <c r="J178" s="647"/>
    </row>
    <row r="179" spans="1:10" ht="12.75" customHeight="1">
      <c r="A179" s="1224">
        <v>122</v>
      </c>
      <c r="B179" s="1211" t="s">
        <v>478</v>
      </c>
      <c r="C179" s="1225">
        <v>122.1</v>
      </c>
      <c r="D179" s="1211" t="s">
        <v>2787</v>
      </c>
      <c r="E179" s="1226">
        <v>41218</v>
      </c>
      <c r="F179" s="1213"/>
      <c r="G179" s="1227">
        <v>0.80600000000000005</v>
      </c>
      <c r="H179" s="1213"/>
      <c r="I179" s="1213"/>
      <c r="J179" s="1213"/>
    </row>
    <row r="180" spans="1:10" ht="12.75" customHeight="1">
      <c r="A180" s="1224">
        <v>122</v>
      </c>
      <c r="B180" s="1211" t="s">
        <v>478</v>
      </c>
      <c r="C180" s="1225">
        <v>122.2</v>
      </c>
      <c r="D180" s="1211" t="s">
        <v>2765</v>
      </c>
      <c r="E180" s="1226">
        <v>41103</v>
      </c>
      <c r="F180" s="1211" t="s">
        <v>3055</v>
      </c>
      <c r="G180" s="1227">
        <v>3.91</v>
      </c>
      <c r="H180" s="1213"/>
      <c r="I180" s="1213"/>
      <c r="J180" s="1213"/>
    </row>
    <row r="181" spans="1:10" ht="12.75" customHeight="1">
      <c r="A181" s="1224">
        <v>122</v>
      </c>
      <c r="B181" s="1211" t="s">
        <v>478</v>
      </c>
      <c r="C181" s="1228">
        <v>122.3</v>
      </c>
      <c r="D181" s="1211" t="s">
        <v>2765</v>
      </c>
      <c r="E181" s="1226">
        <v>42082</v>
      </c>
      <c r="F181" s="1211" t="s">
        <v>881</v>
      </c>
      <c r="G181" s="1214">
        <v>2.4910999999999999</v>
      </c>
      <c r="H181" s="1211" t="s">
        <v>3029</v>
      </c>
      <c r="I181" s="1211" t="s">
        <v>3126</v>
      </c>
      <c r="J181" s="1211" t="s">
        <v>2844</v>
      </c>
    </row>
    <row r="182" spans="1:10" ht="12.75" customHeight="1">
      <c r="A182" s="1229">
        <v>122</v>
      </c>
      <c r="B182" s="1214" t="s">
        <v>478</v>
      </c>
      <c r="C182" s="1228" t="s">
        <v>3127</v>
      </c>
      <c r="D182" s="1214" t="s">
        <v>2765</v>
      </c>
      <c r="E182" s="1226">
        <v>42647</v>
      </c>
      <c r="F182" s="1214" t="s">
        <v>2126</v>
      </c>
      <c r="G182" s="1214">
        <v>1.7265999999999999</v>
      </c>
      <c r="H182" s="1211"/>
      <c r="I182" s="1214" t="s">
        <v>3128</v>
      </c>
      <c r="J182" s="1214" t="s">
        <v>2844</v>
      </c>
    </row>
    <row r="183" spans="1:10" ht="12.75" customHeight="1">
      <c r="A183" s="1229">
        <v>122</v>
      </c>
      <c r="B183" s="1214" t="s">
        <v>480</v>
      </c>
      <c r="C183" s="1228" t="s">
        <v>3129</v>
      </c>
      <c r="D183" s="1214" t="s">
        <v>2765</v>
      </c>
      <c r="E183" s="1226">
        <v>42825</v>
      </c>
      <c r="F183" s="1214" t="s">
        <v>2126</v>
      </c>
      <c r="G183" s="1214"/>
      <c r="H183" s="1211"/>
      <c r="I183" s="1214" t="s">
        <v>3128</v>
      </c>
      <c r="J183" s="1214" t="s">
        <v>2844</v>
      </c>
    </row>
    <row r="184" spans="1:10" ht="12.75" customHeight="1">
      <c r="A184" s="1230">
        <v>123</v>
      </c>
      <c r="B184" s="1231" t="s">
        <v>480</v>
      </c>
      <c r="C184" s="1232">
        <v>123.1</v>
      </c>
      <c r="D184" s="1231" t="s">
        <v>2787</v>
      </c>
      <c r="E184" s="1233">
        <v>41218</v>
      </c>
      <c r="F184" s="1234"/>
      <c r="G184" s="1235">
        <v>1.071</v>
      </c>
      <c r="H184" s="1234"/>
      <c r="I184" s="1234"/>
      <c r="J184" s="1234"/>
    </row>
    <row r="185" spans="1:10" ht="12.75" customHeight="1">
      <c r="A185" s="1230">
        <v>123</v>
      </c>
      <c r="B185" s="1231" t="s">
        <v>480</v>
      </c>
      <c r="C185" s="1236">
        <v>123.2</v>
      </c>
      <c r="D185" s="1237" t="s">
        <v>2765</v>
      </c>
      <c r="E185" s="1233">
        <v>42193</v>
      </c>
      <c r="F185" s="1237" t="s">
        <v>881</v>
      </c>
      <c r="G185" s="1238">
        <v>2.5644</v>
      </c>
      <c r="H185" s="1237" t="s">
        <v>3029</v>
      </c>
      <c r="I185" s="1237" t="s">
        <v>141</v>
      </c>
      <c r="J185" s="1237" t="s">
        <v>2844</v>
      </c>
    </row>
    <row r="186" spans="1:10" ht="12.75" customHeight="1">
      <c r="A186" s="621">
        <v>124</v>
      </c>
      <c r="B186" s="50" t="s">
        <v>484</v>
      </c>
      <c r="C186" s="4">
        <v>124.1</v>
      </c>
      <c r="D186" s="50" t="s">
        <v>2787</v>
      </c>
      <c r="E186" s="753">
        <v>41218</v>
      </c>
      <c r="G186" s="755">
        <v>0.34499999999999997</v>
      </c>
    </row>
    <row r="187" spans="1:10" ht="12.75" customHeight="1">
      <c r="A187" s="621">
        <v>125</v>
      </c>
      <c r="B187" s="50" t="s">
        <v>486</v>
      </c>
      <c r="C187" s="4">
        <v>125.1</v>
      </c>
      <c r="D187" s="50" t="s">
        <v>2787</v>
      </c>
      <c r="E187" s="753">
        <v>41218</v>
      </c>
      <c r="G187" s="755">
        <v>0.20499999999999999</v>
      </c>
    </row>
    <row r="188" spans="1:10" ht="12.75" customHeight="1">
      <c r="A188" s="621">
        <v>126</v>
      </c>
      <c r="B188" s="50" t="s">
        <v>487</v>
      </c>
      <c r="C188" s="4">
        <v>126.1</v>
      </c>
      <c r="D188" s="50" t="s">
        <v>141</v>
      </c>
      <c r="E188" s="759" t="s">
        <v>141</v>
      </c>
      <c r="F188" s="50" t="s">
        <v>141</v>
      </c>
      <c r="G188" s="755" t="s">
        <v>141</v>
      </c>
    </row>
    <row r="189" spans="1:10" ht="12.75" customHeight="1">
      <c r="A189" s="621">
        <v>127</v>
      </c>
      <c r="B189" s="50" t="s">
        <v>488</v>
      </c>
      <c r="C189" s="4">
        <v>127.1</v>
      </c>
      <c r="D189" s="50" t="s">
        <v>2787</v>
      </c>
      <c r="E189" s="753">
        <v>41218</v>
      </c>
      <c r="G189" s="755">
        <v>0.59899999999999998</v>
      </c>
    </row>
    <row r="190" spans="1:10" ht="12.75" customHeight="1">
      <c r="A190" s="621">
        <v>128</v>
      </c>
      <c r="B190" s="50" t="s">
        <v>489</v>
      </c>
      <c r="C190" s="4">
        <v>128.1</v>
      </c>
      <c r="D190" s="50" t="s">
        <v>2787</v>
      </c>
      <c r="E190" s="753">
        <v>41218</v>
      </c>
      <c r="G190" s="755">
        <v>0.34899999999999998</v>
      </c>
    </row>
    <row r="191" spans="1:10" ht="12.75" customHeight="1">
      <c r="A191" s="621">
        <v>129</v>
      </c>
      <c r="B191" s="50" t="s">
        <v>491</v>
      </c>
      <c r="C191" s="4">
        <v>129.1</v>
      </c>
      <c r="D191" s="50" t="s">
        <v>2771</v>
      </c>
      <c r="E191" s="753">
        <v>41218</v>
      </c>
      <c r="G191" s="755">
        <v>0.34899999999999998</v>
      </c>
    </row>
    <row r="192" spans="1:10" ht="12.75" customHeight="1">
      <c r="A192" s="621">
        <v>130</v>
      </c>
      <c r="B192" s="50" t="s">
        <v>492</v>
      </c>
      <c r="C192" s="4">
        <v>130.1</v>
      </c>
      <c r="D192" s="50" t="s">
        <v>2787</v>
      </c>
      <c r="E192" s="753">
        <v>41218</v>
      </c>
      <c r="G192" s="755">
        <v>0.48199999999999998</v>
      </c>
    </row>
    <row r="193" spans="1:10" ht="12.75" customHeight="1">
      <c r="A193" s="1239">
        <v>131</v>
      </c>
      <c r="B193" s="1245" t="s">
        <v>493</v>
      </c>
      <c r="C193" s="1246">
        <v>131.1</v>
      </c>
      <c r="D193" s="1245" t="s">
        <v>2787</v>
      </c>
      <c r="E193" s="1247">
        <v>41218</v>
      </c>
      <c r="F193" s="1248"/>
      <c r="G193" s="1249" t="s">
        <v>2808</v>
      </c>
      <c r="H193" s="1248"/>
      <c r="I193" s="1248"/>
      <c r="J193" s="1248"/>
    </row>
    <row r="194" spans="1:10" ht="12.75" customHeight="1">
      <c r="A194" s="1239">
        <v>131</v>
      </c>
      <c r="B194" s="1245" t="s">
        <v>493</v>
      </c>
      <c r="C194" s="1250" t="s">
        <v>3134</v>
      </c>
      <c r="D194" s="1251" t="s">
        <v>2771</v>
      </c>
      <c r="E194" s="1247"/>
      <c r="F194" s="1248"/>
      <c r="G194" s="1249" t="s">
        <v>3135</v>
      </c>
      <c r="H194" s="1248"/>
      <c r="I194" s="1248"/>
      <c r="J194" s="1248"/>
    </row>
    <row r="195" spans="1:10" ht="12.75" customHeight="1">
      <c r="A195" s="1239">
        <v>131</v>
      </c>
      <c r="B195" s="1245" t="s">
        <v>493</v>
      </c>
      <c r="C195" s="1250" t="s">
        <v>3136</v>
      </c>
      <c r="D195" s="1251" t="s">
        <v>2765</v>
      </c>
      <c r="E195" s="1247">
        <v>42447</v>
      </c>
      <c r="F195" s="1251" t="s">
        <v>881</v>
      </c>
      <c r="G195" s="1249">
        <v>1.4132</v>
      </c>
      <c r="H195" s="1251" t="s">
        <v>929</v>
      </c>
      <c r="I195" s="1251" t="s">
        <v>3067</v>
      </c>
      <c r="J195" s="1251" t="s">
        <v>2844</v>
      </c>
    </row>
    <row r="196" spans="1:10" ht="12.75" customHeight="1">
      <c r="A196" s="1054">
        <v>132</v>
      </c>
      <c r="B196" s="672" t="s">
        <v>496</v>
      </c>
      <c r="C196" s="1055">
        <v>132.1</v>
      </c>
      <c r="D196" s="672" t="s">
        <v>2787</v>
      </c>
      <c r="E196" s="1056">
        <v>41218</v>
      </c>
      <c r="F196" s="1057"/>
      <c r="G196" s="1058" t="s">
        <v>141</v>
      </c>
      <c r="H196" s="1057"/>
      <c r="I196" s="1057"/>
      <c r="J196" s="1057"/>
    </row>
    <row r="197" spans="1:10" ht="12.75" customHeight="1">
      <c r="A197" s="1054">
        <v>132</v>
      </c>
      <c r="B197" s="672" t="s">
        <v>496</v>
      </c>
      <c r="C197" s="1055">
        <v>132.19999999999999</v>
      </c>
      <c r="D197" s="672" t="s">
        <v>2765</v>
      </c>
      <c r="E197" s="1252" t="s">
        <v>2981</v>
      </c>
      <c r="F197" s="672" t="s">
        <v>2766</v>
      </c>
      <c r="G197" s="1058">
        <v>3.13</v>
      </c>
      <c r="H197" s="1057"/>
      <c r="I197" s="1057"/>
      <c r="J197" s="1057"/>
    </row>
    <row r="198" spans="1:10" ht="12.75" customHeight="1">
      <c r="A198" s="931">
        <v>133</v>
      </c>
      <c r="B198" s="231" t="s">
        <v>502</v>
      </c>
      <c r="C198" s="933">
        <v>133.1</v>
      </c>
      <c r="D198" s="231" t="s">
        <v>2787</v>
      </c>
      <c r="E198" s="1143">
        <v>41218</v>
      </c>
      <c r="F198" s="229"/>
      <c r="G198" s="1014">
        <v>0.1031</v>
      </c>
      <c r="H198" s="229"/>
      <c r="I198" s="229"/>
      <c r="J198" s="229"/>
    </row>
    <row r="199" spans="1:10" ht="12.75" customHeight="1">
      <c r="A199" s="931">
        <v>133</v>
      </c>
      <c r="B199" s="231" t="s">
        <v>3137</v>
      </c>
      <c r="C199" s="933">
        <v>133.19999999999999</v>
      </c>
      <c r="D199" s="231" t="s">
        <v>2765</v>
      </c>
      <c r="E199" s="935" t="s">
        <v>2981</v>
      </c>
      <c r="F199" s="231" t="s">
        <v>2766</v>
      </c>
      <c r="G199" s="1014">
        <v>2.75</v>
      </c>
      <c r="H199" s="229"/>
      <c r="I199" s="229"/>
      <c r="J199" s="229"/>
    </row>
    <row r="200" spans="1:10" ht="12.75" customHeight="1">
      <c r="A200" s="621">
        <v>134</v>
      </c>
      <c r="B200" s="50" t="s">
        <v>505</v>
      </c>
      <c r="C200" s="4">
        <v>134.1</v>
      </c>
      <c r="D200" s="50" t="s">
        <v>2787</v>
      </c>
      <c r="E200" s="753">
        <v>41218</v>
      </c>
      <c r="G200" s="755">
        <v>0.11749999999999999</v>
      </c>
    </row>
    <row r="201" spans="1:10" ht="12.75" customHeight="1">
      <c r="A201" s="621">
        <v>135</v>
      </c>
      <c r="B201" s="50" t="s">
        <v>510</v>
      </c>
      <c r="C201" s="1" t="s">
        <v>3138</v>
      </c>
      <c r="D201" s="50" t="s">
        <v>2787</v>
      </c>
      <c r="E201" s="753">
        <v>41218</v>
      </c>
      <c r="G201" s="755">
        <v>0.85499999999999998</v>
      </c>
    </row>
    <row r="202" spans="1:10" ht="12.75" customHeight="1">
      <c r="A202" s="621">
        <v>136</v>
      </c>
      <c r="B202" s="50" t="s">
        <v>513</v>
      </c>
      <c r="C202" s="4">
        <v>136.1</v>
      </c>
      <c r="D202" s="50" t="s">
        <v>2787</v>
      </c>
      <c r="E202" s="753">
        <v>41218</v>
      </c>
      <c r="G202" s="755" t="s">
        <v>3021</v>
      </c>
    </row>
    <row r="203" spans="1:10" ht="12.75" customHeight="1">
      <c r="A203" s="621">
        <v>137</v>
      </c>
      <c r="B203" s="50" t="s">
        <v>514</v>
      </c>
      <c r="C203" s="4">
        <v>137.1</v>
      </c>
      <c r="D203" s="50" t="s">
        <v>2787</v>
      </c>
      <c r="E203" s="753">
        <v>41218</v>
      </c>
      <c r="G203" s="755">
        <v>0.48299999999999998</v>
      </c>
    </row>
    <row r="204" spans="1:10" ht="12.75" customHeight="1">
      <c r="A204" s="621">
        <v>138</v>
      </c>
      <c r="B204" s="50" t="s">
        <v>458</v>
      </c>
      <c r="C204" s="4">
        <v>138.1</v>
      </c>
      <c r="D204" s="50" t="s">
        <v>2765</v>
      </c>
      <c r="E204" s="759" t="s">
        <v>3085</v>
      </c>
      <c r="F204" s="50" t="s">
        <v>3055</v>
      </c>
      <c r="G204" s="754"/>
    </row>
    <row r="205" spans="1:10" ht="12.75" customHeight="1">
      <c r="A205" s="621">
        <v>139</v>
      </c>
      <c r="E205" s="758"/>
      <c r="G205" s="754"/>
    </row>
    <row r="206" spans="1:10" ht="12.75" customHeight="1">
      <c r="A206" s="1254">
        <v>140</v>
      </c>
      <c r="B206" s="960" t="s">
        <v>3139</v>
      </c>
      <c r="C206" s="1255">
        <v>140.19999999999999</v>
      </c>
      <c r="D206" s="960" t="s">
        <v>2765</v>
      </c>
      <c r="E206" s="1256">
        <v>41072</v>
      </c>
      <c r="F206" s="960" t="s">
        <v>2766</v>
      </c>
      <c r="G206" s="1258"/>
      <c r="H206" s="963"/>
      <c r="I206" s="963"/>
      <c r="J206" s="963"/>
    </row>
    <row r="207" spans="1:10" ht="12.75" customHeight="1">
      <c r="A207" s="1254">
        <v>140</v>
      </c>
      <c r="B207" s="960" t="s">
        <v>3139</v>
      </c>
      <c r="C207" s="1255">
        <v>140.1</v>
      </c>
      <c r="D207" s="960" t="s">
        <v>2765</v>
      </c>
      <c r="E207" s="1256">
        <v>41250</v>
      </c>
      <c r="F207" s="960" t="s">
        <v>3055</v>
      </c>
      <c r="G207" s="1258"/>
      <c r="H207" s="963"/>
      <c r="I207" s="963"/>
      <c r="J207" s="963"/>
    </row>
    <row r="208" spans="1:10" ht="12.75" customHeight="1">
      <c r="A208" s="1254">
        <v>140</v>
      </c>
      <c r="B208" s="960" t="s">
        <v>3139</v>
      </c>
      <c r="C208" s="1260" t="s">
        <v>3140</v>
      </c>
      <c r="D208" s="960" t="s">
        <v>3141</v>
      </c>
      <c r="E208" s="1256">
        <v>41456</v>
      </c>
      <c r="F208" s="960" t="s">
        <v>3055</v>
      </c>
      <c r="G208" s="1258"/>
      <c r="H208" s="963"/>
      <c r="I208" s="963"/>
      <c r="J208" s="963"/>
    </row>
    <row r="209" spans="1:10" ht="12.75" customHeight="1">
      <c r="A209" s="1254">
        <v>140</v>
      </c>
      <c r="B209" s="960" t="s">
        <v>516</v>
      </c>
      <c r="C209" s="1255">
        <v>140.6</v>
      </c>
      <c r="D209" s="960" t="s">
        <v>2765</v>
      </c>
      <c r="E209" s="1256">
        <v>41703</v>
      </c>
      <c r="F209" s="960" t="s">
        <v>881</v>
      </c>
      <c r="G209" s="1261">
        <v>0.65459999999999996</v>
      </c>
      <c r="H209" s="960" t="s">
        <v>929</v>
      </c>
      <c r="I209" s="960" t="s">
        <v>3067</v>
      </c>
      <c r="J209" s="960" t="s">
        <v>2844</v>
      </c>
    </row>
    <row r="210" spans="1:10" ht="12.75" customHeight="1">
      <c r="A210" s="1254">
        <v>140</v>
      </c>
      <c r="B210" s="960" t="s">
        <v>516</v>
      </c>
      <c r="C210" s="1260">
        <v>140.69999999999999</v>
      </c>
      <c r="D210" s="960" t="s">
        <v>2809</v>
      </c>
      <c r="E210" s="1256">
        <v>41717</v>
      </c>
      <c r="F210" s="960" t="s">
        <v>881</v>
      </c>
      <c r="G210" s="1261">
        <v>1.4173</v>
      </c>
      <c r="H210" s="960" t="s">
        <v>3029</v>
      </c>
      <c r="I210" s="960" t="s">
        <v>3067</v>
      </c>
      <c r="J210" s="960" t="s">
        <v>2844</v>
      </c>
    </row>
    <row r="211" spans="1:10" ht="12.75" customHeight="1">
      <c r="A211" s="1254">
        <v>140</v>
      </c>
      <c r="B211" s="960" t="s">
        <v>516</v>
      </c>
      <c r="C211" s="1255">
        <v>140.5</v>
      </c>
      <c r="D211" s="960" t="s">
        <v>3143</v>
      </c>
      <c r="E211" s="1263" t="s">
        <v>3144</v>
      </c>
      <c r="F211" s="960" t="s">
        <v>95</v>
      </c>
      <c r="G211" s="1258"/>
      <c r="H211" s="963"/>
      <c r="I211" s="963"/>
      <c r="J211" s="960" t="s">
        <v>3148</v>
      </c>
    </row>
    <row r="212" spans="1:10" ht="12.75" customHeight="1">
      <c r="A212" s="1264">
        <v>140</v>
      </c>
      <c r="B212" s="960" t="s">
        <v>516</v>
      </c>
      <c r="C212" s="1260">
        <v>140.80000000000001</v>
      </c>
      <c r="D212" s="960" t="s">
        <v>2765</v>
      </c>
      <c r="E212" s="1293">
        <v>42173</v>
      </c>
      <c r="F212" s="960" t="s">
        <v>881</v>
      </c>
      <c r="G212" s="1261">
        <v>0.39050000000000001</v>
      </c>
      <c r="H212" s="968" t="s">
        <v>3029</v>
      </c>
      <c r="I212" s="968" t="s">
        <v>3128</v>
      </c>
      <c r="J212" s="968" t="s">
        <v>3175</v>
      </c>
    </row>
    <row r="213" spans="1:10" ht="12.75" customHeight="1">
      <c r="A213" s="1264">
        <v>140</v>
      </c>
      <c r="B213" s="960" t="s">
        <v>516</v>
      </c>
      <c r="C213" s="1260" t="s">
        <v>3179</v>
      </c>
      <c r="D213" s="960" t="s">
        <v>2765</v>
      </c>
      <c r="E213" s="1293">
        <v>42229</v>
      </c>
      <c r="F213" s="960" t="s">
        <v>881</v>
      </c>
      <c r="G213" s="1261">
        <v>1.6478999999999999</v>
      </c>
      <c r="H213" s="968" t="s">
        <v>3029</v>
      </c>
      <c r="I213" s="968" t="s">
        <v>3181</v>
      </c>
      <c r="J213" s="968" t="s">
        <v>3182</v>
      </c>
    </row>
    <row r="214" spans="1:10" ht="12.75" customHeight="1">
      <c r="A214" s="1264">
        <v>140</v>
      </c>
      <c r="B214" s="960" t="s">
        <v>516</v>
      </c>
      <c r="C214" s="1260" t="s">
        <v>3183</v>
      </c>
      <c r="D214" s="968" t="s">
        <v>2809</v>
      </c>
      <c r="E214" s="1293">
        <v>42382</v>
      </c>
      <c r="F214" s="968" t="s">
        <v>881</v>
      </c>
      <c r="G214" s="1261">
        <v>1.9827999999999999</v>
      </c>
      <c r="H214" s="968" t="s">
        <v>3029</v>
      </c>
      <c r="I214" s="968" t="s">
        <v>3181</v>
      </c>
      <c r="J214" s="968" t="s">
        <v>3182</v>
      </c>
    </row>
    <row r="215" spans="1:10" ht="12.75" customHeight="1">
      <c r="A215" s="621">
        <v>141</v>
      </c>
      <c r="B215" s="54" t="s">
        <v>3185</v>
      </c>
      <c r="C215" s="4">
        <v>141.1</v>
      </c>
      <c r="D215" s="50" t="s">
        <v>2765</v>
      </c>
      <c r="E215" s="753">
        <v>41456</v>
      </c>
      <c r="F215" s="50" t="s">
        <v>3055</v>
      </c>
      <c r="G215" s="754"/>
    </row>
    <row r="216" spans="1:10" ht="12.75" customHeight="1">
      <c r="A216" s="1294">
        <v>142</v>
      </c>
      <c r="B216" s="395" t="s">
        <v>3189</v>
      </c>
      <c r="C216" s="1295">
        <v>142.1</v>
      </c>
      <c r="D216" s="285" t="s">
        <v>2765</v>
      </c>
      <c r="E216" s="1296">
        <v>41250</v>
      </c>
      <c r="F216" s="285" t="s">
        <v>3055</v>
      </c>
      <c r="G216" s="1298"/>
      <c r="H216" s="287"/>
      <c r="I216" s="287"/>
      <c r="J216" s="287"/>
    </row>
    <row r="217" spans="1:10" ht="12.75" customHeight="1">
      <c r="A217" s="1299">
        <v>142</v>
      </c>
      <c r="B217" s="1309" t="s">
        <v>520</v>
      </c>
      <c r="C217" s="1310">
        <v>142.19999999999999</v>
      </c>
      <c r="D217" s="1309" t="s">
        <v>2765</v>
      </c>
      <c r="E217" s="1311">
        <v>41431</v>
      </c>
      <c r="F217" s="1309" t="s">
        <v>158</v>
      </c>
      <c r="G217" s="1312">
        <v>0.97399999999999998</v>
      </c>
      <c r="H217" s="1309" t="s">
        <v>141</v>
      </c>
      <c r="I217" s="1309" t="s">
        <v>141</v>
      </c>
      <c r="J217" s="283" t="s">
        <v>3197</v>
      </c>
    </row>
    <row r="218" spans="1:10" ht="12.75" customHeight="1">
      <c r="A218" s="1294">
        <v>142</v>
      </c>
      <c r="B218" s="395" t="s">
        <v>3189</v>
      </c>
      <c r="C218" s="1295">
        <v>142.4</v>
      </c>
      <c r="D218" s="285" t="s">
        <v>2765</v>
      </c>
      <c r="E218" s="1296">
        <v>41703</v>
      </c>
      <c r="F218" s="285" t="s">
        <v>881</v>
      </c>
      <c r="G218" s="1313">
        <v>1.0469999999999999</v>
      </c>
      <c r="H218" s="285" t="s">
        <v>929</v>
      </c>
      <c r="I218" s="285" t="s">
        <v>3067</v>
      </c>
      <c r="J218" s="285" t="s">
        <v>2844</v>
      </c>
    </row>
    <row r="219" spans="1:10" ht="12.75" customHeight="1">
      <c r="A219" s="1299">
        <v>142</v>
      </c>
      <c r="B219" s="1309" t="s">
        <v>3198</v>
      </c>
      <c r="C219" s="1310">
        <v>142.30000000000001</v>
      </c>
      <c r="D219" s="1309" t="s">
        <v>2765</v>
      </c>
      <c r="E219" s="1314" t="s">
        <v>3199</v>
      </c>
      <c r="F219" s="1309" t="s">
        <v>3055</v>
      </c>
      <c r="G219" s="1312">
        <v>1.45</v>
      </c>
      <c r="H219" s="1315"/>
      <c r="I219" s="1315"/>
      <c r="J219" s="283" t="s">
        <v>3200</v>
      </c>
    </row>
    <row r="220" spans="1:10" ht="12.75" customHeight="1">
      <c r="A220" s="1294">
        <v>142</v>
      </c>
      <c r="B220" s="395" t="s">
        <v>3189</v>
      </c>
      <c r="C220" s="1316" t="s">
        <v>3201</v>
      </c>
      <c r="D220" s="1317" t="s">
        <v>2765</v>
      </c>
      <c r="E220" s="1318">
        <v>42445</v>
      </c>
      <c r="F220" s="1317" t="s">
        <v>881</v>
      </c>
      <c r="G220" s="1313">
        <v>0.5968</v>
      </c>
      <c r="H220" s="1317" t="s">
        <v>3029</v>
      </c>
      <c r="I220" s="285" t="s">
        <v>3067</v>
      </c>
      <c r="J220" s="285" t="s">
        <v>2844</v>
      </c>
    </row>
    <row r="221" spans="1:10" ht="12.75" customHeight="1">
      <c r="A221" s="1319">
        <v>150</v>
      </c>
      <c r="B221" s="653" t="s">
        <v>543</v>
      </c>
      <c r="C221" s="1320" t="s">
        <v>3202</v>
      </c>
      <c r="D221" s="653" t="s">
        <v>2765</v>
      </c>
      <c r="E221" s="1321">
        <v>42236</v>
      </c>
      <c r="F221" s="653" t="s">
        <v>881</v>
      </c>
      <c r="G221" s="1322">
        <v>3.3462000000000001</v>
      </c>
      <c r="H221" s="653" t="s">
        <v>3029</v>
      </c>
      <c r="I221" s="655"/>
      <c r="J221" s="653" t="s">
        <v>2844</v>
      </c>
    </row>
    <row r="222" spans="1:10" ht="12.75" customHeight="1">
      <c r="A222" s="772">
        <v>154</v>
      </c>
      <c r="B222" s="773" t="s">
        <v>3203</v>
      </c>
      <c r="C222" s="774">
        <v>154.1</v>
      </c>
      <c r="D222" s="773" t="s">
        <v>2765</v>
      </c>
      <c r="E222" s="775">
        <v>41456</v>
      </c>
      <c r="F222" s="773" t="s">
        <v>3055</v>
      </c>
      <c r="G222" s="1171"/>
      <c r="H222" s="777"/>
      <c r="I222" s="777"/>
      <c r="J222" s="777"/>
    </row>
    <row r="223" spans="1:10" ht="12.75" customHeight="1">
      <c r="A223" s="772">
        <v>154</v>
      </c>
      <c r="B223" s="773" t="s">
        <v>180</v>
      </c>
      <c r="C223" s="774">
        <v>154.4</v>
      </c>
      <c r="D223" s="773" t="s">
        <v>2765</v>
      </c>
      <c r="E223" s="1194" t="s">
        <v>3204</v>
      </c>
      <c r="F223" s="773" t="s">
        <v>881</v>
      </c>
      <c r="G223" s="776">
        <v>1.0513999999999999</v>
      </c>
      <c r="H223" s="773" t="s">
        <v>929</v>
      </c>
      <c r="I223" s="773" t="s">
        <v>3067</v>
      </c>
      <c r="J223" s="773" t="s">
        <v>3205</v>
      </c>
    </row>
    <row r="224" spans="1:10" ht="12.75" customHeight="1">
      <c r="A224" s="772">
        <v>154</v>
      </c>
      <c r="B224" s="773" t="s">
        <v>180</v>
      </c>
      <c r="C224" s="774">
        <v>154.30000000000001</v>
      </c>
      <c r="D224" s="773" t="s">
        <v>2765</v>
      </c>
      <c r="E224" s="1194" t="s">
        <v>3206</v>
      </c>
      <c r="F224" s="773" t="s">
        <v>881</v>
      </c>
      <c r="G224" s="776">
        <v>0.5907</v>
      </c>
      <c r="H224" s="773" t="s">
        <v>929</v>
      </c>
      <c r="I224" s="773" t="s">
        <v>3067</v>
      </c>
      <c r="J224" s="777"/>
    </row>
    <row r="225" spans="1:13" ht="12.75" customHeight="1">
      <c r="A225" s="772">
        <v>154</v>
      </c>
      <c r="B225" s="773" t="s">
        <v>3203</v>
      </c>
      <c r="C225" s="774">
        <v>154.19999999999999</v>
      </c>
      <c r="D225" s="773" t="s">
        <v>2765</v>
      </c>
      <c r="E225" s="1323"/>
      <c r="F225" s="773" t="s">
        <v>158</v>
      </c>
      <c r="G225" s="1171"/>
      <c r="H225" s="777"/>
      <c r="I225" s="777"/>
      <c r="J225" s="777"/>
    </row>
    <row r="226" spans="1:13" ht="12.75" customHeight="1">
      <c r="A226" s="772">
        <v>154</v>
      </c>
      <c r="B226" s="773" t="s">
        <v>3203</v>
      </c>
      <c r="C226" s="1116" t="s">
        <v>3207</v>
      </c>
      <c r="D226" s="773" t="s">
        <v>2765</v>
      </c>
      <c r="E226" s="1324">
        <v>42516</v>
      </c>
      <c r="F226" s="982" t="s">
        <v>881</v>
      </c>
      <c r="G226" s="776" t="s">
        <v>3208</v>
      </c>
      <c r="H226" s="777"/>
      <c r="I226" s="777"/>
      <c r="J226" s="982" t="s">
        <v>2844</v>
      </c>
    </row>
    <row r="227" spans="1:13" ht="12.75" customHeight="1">
      <c r="A227" s="1325">
        <v>154</v>
      </c>
      <c r="B227" s="982" t="s">
        <v>3203</v>
      </c>
      <c r="C227" s="1116" t="s">
        <v>3209</v>
      </c>
      <c r="D227" s="982" t="s">
        <v>2765</v>
      </c>
      <c r="E227" s="1326">
        <v>42768</v>
      </c>
      <c r="F227" s="982" t="s">
        <v>2126</v>
      </c>
      <c r="G227" s="776" t="s">
        <v>3210</v>
      </c>
      <c r="H227" s="777"/>
      <c r="I227" s="777"/>
      <c r="J227" s="982" t="s">
        <v>2844</v>
      </c>
    </row>
    <row r="228" spans="1:13" ht="12.75" customHeight="1">
      <c r="A228" s="1325">
        <v>154</v>
      </c>
      <c r="B228" s="982" t="s">
        <v>3203</v>
      </c>
      <c r="C228" s="1116" t="s">
        <v>3211</v>
      </c>
      <c r="D228" s="982" t="s">
        <v>2765</v>
      </c>
      <c r="E228" s="1326">
        <v>42936</v>
      </c>
      <c r="F228" s="982" t="s">
        <v>3212</v>
      </c>
      <c r="G228" s="776" t="s">
        <v>3213</v>
      </c>
      <c r="H228" s="777"/>
      <c r="I228" s="982"/>
      <c r="J228" s="982" t="s">
        <v>2844</v>
      </c>
    </row>
    <row r="229" spans="1:13" ht="12.75" customHeight="1">
      <c r="A229" s="621">
        <v>155</v>
      </c>
      <c r="C229" s="757"/>
      <c r="E229" s="758"/>
      <c r="G229" s="754"/>
    </row>
    <row r="230" spans="1:13" ht="12.75" customHeight="1">
      <c r="A230" s="621">
        <v>156</v>
      </c>
      <c r="C230" s="757"/>
      <c r="E230" s="758"/>
      <c r="G230" s="754"/>
    </row>
    <row r="231" spans="1:13" ht="12.75" customHeight="1">
      <c r="A231" s="1327">
        <v>157</v>
      </c>
      <c r="B231" s="161" t="s">
        <v>561</v>
      </c>
      <c r="C231" s="1328" t="s">
        <v>3214</v>
      </c>
      <c r="D231" s="161" t="s">
        <v>2765</v>
      </c>
      <c r="E231" s="1329" t="s">
        <v>3215</v>
      </c>
      <c r="F231" s="161" t="s">
        <v>141</v>
      </c>
      <c r="G231" s="1330"/>
      <c r="H231" s="163"/>
      <c r="I231" s="163"/>
      <c r="J231" s="163"/>
    </row>
    <row r="232" spans="1:13" ht="12.75" customHeight="1">
      <c r="A232" s="1327">
        <v>157</v>
      </c>
      <c r="B232" s="161" t="s">
        <v>561</v>
      </c>
      <c r="C232" s="1328">
        <v>157.19999999999999</v>
      </c>
      <c r="D232" s="161" t="s">
        <v>3216</v>
      </c>
      <c r="E232" s="1329" t="s">
        <v>3217</v>
      </c>
      <c r="F232" s="161" t="s">
        <v>1549</v>
      </c>
      <c r="G232" s="1331">
        <v>0.54469999999999996</v>
      </c>
      <c r="H232" s="163"/>
      <c r="I232" s="161" t="s">
        <v>3067</v>
      </c>
      <c r="J232" s="163"/>
    </row>
    <row r="233" spans="1:13" ht="12.75" customHeight="1">
      <c r="A233" s="621">
        <v>158</v>
      </c>
      <c r="B233" s="50" t="s">
        <v>3218</v>
      </c>
      <c r="C233" s="1" t="s">
        <v>3219</v>
      </c>
      <c r="D233" s="50" t="s">
        <v>3216</v>
      </c>
      <c r="E233" s="759" t="s">
        <v>3217</v>
      </c>
      <c r="F233" s="50" t="s">
        <v>1549</v>
      </c>
      <c r="G233" s="755">
        <v>0.63029999999999997</v>
      </c>
      <c r="I233" s="151" t="s">
        <v>3067</v>
      </c>
    </row>
    <row r="234" spans="1:13" ht="12.75" customHeight="1">
      <c r="A234" s="621">
        <v>159</v>
      </c>
      <c r="C234" s="757"/>
      <c r="E234" s="758"/>
      <c r="G234" s="754"/>
    </row>
    <row r="235" spans="1:13" ht="12.75" customHeight="1">
      <c r="A235" s="621">
        <v>160</v>
      </c>
      <c r="C235" s="757"/>
      <c r="E235" s="758"/>
      <c r="G235" s="754"/>
    </row>
    <row r="236" spans="1:13" ht="12.75" customHeight="1">
      <c r="A236" s="621">
        <v>161</v>
      </c>
      <c r="C236" s="757"/>
      <c r="E236" s="758"/>
      <c r="G236" s="754"/>
    </row>
    <row r="237" spans="1:13" ht="12.75" customHeight="1">
      <c r="A237" s="621">
        <v>162</v>
      </c>
      <c r="C237" s="757"/>
      <c r="E237" s="758"/>
      <c r="G237" s="754"/>
    </row>
    <row r="238" spans="1:13" ht="12.75" customHeight="1">
      <c r="A238" s="621">
        <v>163</v>
      </c>
      <c r="B238" s="50" t="s">
        <v>3220</v>
      </c>
      <c r="C238" s="4">
        <v>163.1</v>
      </c>
      <c r="D238" s="50" t="s">
        <v>2765</v>
      </c>
      <c r="E238" s="753">
        <v>41250</v>
      </c>
      <c r="F238" s="50" t="s">
        <v>3055</v>
      </c>
      <c r="G238" s="754"/>
    </row>
    <row r="239" spans="1:13" ht="12.75" customHeight="1">
      <c r="A239" s="772">
        <v>164</v>
      </c>
      <c r="B239" s="773" t="s">
        <v>577</v>
      </c>
      <c r="C239" s="1116" t="s">
        <v>3221</v>
      </c>
      <c r="D239" s="982" t="s">
        <v>3222</v>
      </c>
      <c r="E239" s="1323"/>
      <c r="F239" s="777"/>
      <c r="G239" s="1171"/>
      <c r="H239" s="777"/>
      <c r="I239" s="777"/>
      <c r="J239" s="982" t="s">
        <v>3223</v>
      </c>
      <c r="K239" s="777"/>
      <c r="L239" s="777"/>
      <c r="M239" s="777"/>
    </row>
    <row r="240" spans="1:13" ht="12.75" customHeight="1">
      <c r="A240" s="621">
        <v>165</v>
      </c>
      <c r="C240" s="757"/>
      <c r="E240" s="758"/>
      <c r="G240" s="754"/>
    </row>
    <row r="241" spans="1:10" ht="12.75" customHeight="1">
      <c r="A241" s="872">
        <v>166</v>
      </c>
      <c r="B241" s="873" t="s">
        <v>580</v>
      </c>
      <c r="C241" s="874">
        <v>166.1</v>
      </c>
      <c r="D241" s="873" t="s">
        <v>2765</v>
      </c>
      <c r="E241" s="1332">
        <v>41250</v>
      </c>
      <c r="F241" s="873" t="s">
        <v>3055</v>
      </c>
      <c r="G241" s="1333"/>
      <c r="H241" s="873" t="s">
        <v>3029</v>
      </c>
      <c r="I241" s="879"/>
      <c r="J241" s="879"/>
    </row>
    <row r="242" spans="1:10" ht="12.75" customHeight="1">
      <c r="A242" s="872">
        <v>166</v>
      </c>
      <c r="B242" s="1337" t="str">
        <f>VLOOKUP(A242,plasmids!$A$2:$B$391,2)</f>
        <v>AAV9</v>
      </c>
      <c r="C242" s="884">
        <v>166.2</v>
      </c>
      <c r="D242" s="873" t="s">
        <v>2777</v>
      </c>
      <c r="E242" s="1332">
        <v>41774</v>
      </c>
      <c r="F242" s="873" t="s">
        <v>881</v>
      </c>
      <c r="G242" s="881">
        <v>1.3158000000000001</v>
      </c>
      <c r="H242" s="873" t="s">
        <v>929</v>
      </c>
      <c r="I242" s="873" t="s">
        <v>3067</v>
      </c>
      <c r="J242" s="886" t="s">
        <v>3224</v>
      </c>
    </row>
    <row r="243" spans="1:10" ht="12.75" customHeight="1">
      <c r="A243" s="872">
        <v>166</v>
      </c>
      <c r="B243" s="1337" t="str">
        <f>VLOOKUP(A243,plasmids!$A$2:$B$391,2)</f>
        <v>AAV9</v>
      </c>
      <c r="C243" s="884">
        <v>166.3</v>
      </c>
      <c r="D243" s="873" t="s">
        <v>2777</v>
      </c>
      <c r="E243" s="1332">
        <v>41774</v>
      </c>
      <c r="F243" s="873" t="s">
        <v>881</v>
      </c>
      <c r="G243" s="881">
        <v>2.1783999999999999</v>
      </c>
      <c r="H243" s="873" t="s">
        <v>929</v>
      </c>
      <c r="I243" s="873" t="s">
        <v>3067</v>
      </c>
      <c r="J243" s="886" t="s">
        <v>3229</v>
      </c>
    </row>
    <row r="244" spans="1:10" ht="12.75" customHeight="1">
      <c r="A244" s="621">
        <v>167</v>
      </c>
      <c r="E244" s="758"/>
      <c r="G244" s="754"/>
    </row>
    <row r="245" spans="1:10" ht="12.75" customHeight="1">
      <c r="A245" s="1239">
        <v>168</v>
      </c>
      <c r="B245" s="1245" t="s">
        <v>586</v>
      </c>
      <c r="C245" s="1246">
        <v>168.2</v>
      </c>
      <c r="D245" s="1245" t="s">
        <v>3230</v>
      </c>
      <c r="E245" s="1247">
        <v>41366</v>
      </c>
      <c r="F245" s="1245" t="s">
        <v>3231</v>
      </c>
      <c r="G245" s="1341"/>
      <c r="H245" s="1251" t="s">
        <v>400</v>
      </c>
      <c r="I245" s="1248"/>
      <c r="J245" s="1248"/>
    </row>
    <row r="246" spans="1:10" ht="12.75" customHeight="1">
      <c r="A246" s="1239">
        <v>168</v>
      </c>
      <c r="B246" s="1245" t="s">
        <v>586</v>
      </c>
      <c r="C246" s="1246">
        <v>168.1</v>
      </c>
      <c r="D246" s="1245" t="s">
        <v>2765</v>
      </c>
      <c r="E246" s="1343" t="s">
        <v>3082</v>
      </c>
      <c r="F246" s="1245" t="s">
        <v>3055</v>
      </c>
      <c r="G246" s="1341"/>
      <c r="H246" s="1251" t="s">
        <v>400</v>
      </c>
      <c r="I246" s="1248"/>
      <c r="J246" s="1248"/>
    </row>
    <row r="247" spans="1:10" ht="12.75" customHeight="1">
      <c r="A247" s="1239">
        <v>168</v>
      </c>
      <c r="B247" s="1245" t="s">
        <v>586</v>
      </c>
      <c r="C247" s="1250">
        <v>168.3</v>
      </c>
      <c r="D247" s="1251" t="s">
        <v>2771</v>
      </c>
      <c r="E247" s="1344">
        <v>42209</v>
      </c>
      <c r="F247" s="1251" t="s">
        <v>881</v>
      </c>
      <c r="G247" s="1341"/>
      <c r="H247" s="1251"/>
      <c r="I247" s="1248"/>
      <c r="J247" s="1251" t="s">
        <v>3235</v>
      </c>
    </row>
    <row r="248" spans="1:10" ht="12.75" customHeight="1">
      <c r="A248" s="1239">
        <v>168</v>
      </c>
      <c r="B248" s="1245" t="s">
        <v>586</v>
      </c>
      <c r="C248" s="1250" t="s">
        <v>3236</v>
      </c>
      <c r="D248" s="1251" t="s">
        <v>2765</v>
      </c>
      <c r="E248" s="1344">
        <v>42411</v>
      </c>
      <c r="F248" s="1251" t="s">
        <v>881</v>
      </c>
      <c r="G248" s="1249" t="s">
        <v>3237</v>
      </c>
      <c r="H248" s="1251" t="s">
        <v>3238</v>
      </c>
      <c r="I248" s="1248"/>
      <c r="J248" s="1251" t="s">
        <v>3235</v>
      </c>
    </row>
    <row r="249" spans="1:10" ht="12.75" customHeight="1">
      <c r="A249" s="1239">
        <v>168</v>
      </c>
      <c r="B249" s="1245" t="s">
        <v>586</v>
      </c>
      <c r="C249" s="1250" t="s">
        <v>3239</v>
      </c>
      <c r="D249" s="1251" t="s">
        <v>2765</v>
      </c>
      <c r="E249" s="1344">
        <v>42502</v>
      </c>
      <c r="F249" s="1251" t="s">
        <v>881</v>
      </c>
      <c r="G249" s="1249">
        <v>1.6701999999999999</v>
      </c>
      <c r="H249" s="1251"/>
      <c r="I249" s="1248"/>
      <c r="J249" s="1251" t="s">
        <v>3235</v>
      </c>
    </row>
    <row r="250" spans="1:10" ht="12.75" customHeight="1">
      <c r="A250" s="1239">
        <v>168</v>
      </c>
      <c r="B250" s="1245" t="s">
        <v>586</v>
      </c>
      <c r="C250" s="1250" t="s">
        <v>3240</v>
      </c>
      <c r="D250" s="1251" t="s">
        <v>2765</v>
      </c>
      <c r="E250" s="1344">
        <v>42790</v>
      </c>
      <c r="F250" s="1251" t="s">
        <v>2126</v>
      </c>
      <c r="G250" s="1249" t="s">
        <v>3241</v>
      </c>
      <c r="H250" s="1251"/>
      <c r="I250" s="1248"/>
      <c r="J250" s="1251"/>
    </row>
    <row r="251" spans="1:10" ht="12.75" customHeight="1">
      <c r="A251" s="621">
        <v>169</v>
      </c>
      <c r="C251" s="1" t="s">
        <v>3242</v>
      </c>
      <c r="D251" s="54" t="s">
        <v>2765</v>
      </c>
      <c r="E251" s="1346">
        <v>42692</v>
      </c>
      <c r="F251" s="54" t="s">
        <v>2126</v>
      </c>
      <c r="G251" s="755" t="s">
        <v>3243</v>
      </c>
    </row>
    <row r="252" spans="1:10" ht="12.75" customHeight="1">
      <c r="A252" s="1067">
        <v>170</v>
      </c>
      <c r="B252" s="1148" t="s">
        <v>3244</v>
      </c>
      <c r="C252" s="1068">
        <v>170.1</v>
      </c>
      <c r="D252" s="79" t="s">
        <v>2765</v>
      </c>
      <c r="E252" s="1069">
        <v>41551</v>
      </c>
      <c r="F252" s="79" t="s">
        <v>3055</v>
      </c>
      <c r="G252" s="1071"/>
      <c r="H252" s="80"/>
      <c r="I252" s="80"/>
      <c r="J252" s="80"/>
    </row>
    <row r="253" spans="1:10" ht="12.75" customHeight="1">
      <c r="A253" s="1067">
        <v>170</v>
      </c>
      <c r="B253" s="1148" t="s">
        <v>3244</v>
      </c>
      <c r="C253" s="1068">
        <v>170.2</v>
      </c>
      <c r="D253" s="79" t="s">
        <v>2765</v>
      </c>
      <c r="E253" s="1073" t="s">
        <v>3245</v>
      </c>
      <c r="F253" s="79" t="s">
        <v>881</v>
      </c>
      <c r="G253" s="1075">
        <v>3.1122000000000001</v>
      </c>
      <c r="H253" s="79" t="s">
        <v>929</v>
      </c>
      <c r="I253" s="79" t="s">
        <v>3067</v>
      </c>
      <c r="J253" s="80"/>
    </row>
    <row r="254" spans="1:10" ht="12.75" customHeight="1">
      <c r="A254" s="1067">
        <v>170</v>
      </c>
      <c r="B254" s="1148" t="s">
        <v>3244</v>
      </c>
      <c r="C254" s="1068">
        <v>170.3</v>
      </c>
      <c r="D254" s="79" t="s">
        <v>2765</v>
      </c>
      <c r="E254" s="1347">
        <v>42692</v>
      </c>
      <c r="F254" s="1148" t="s">
        <v>2126</v>
      </c>
      <c r="G254" s="1075" t="s">
        <v>3246</v>
      </c>
      <c r="H254" s="79"/>
      <c r="I254" s="79"/>
      <c r="J254" s="80"/>
    </row>
    <row r="255" spans="1:10" ht="12.75" customHeight="1">
      <c r="A255" s="1067">
        <v>170</v>
      </c>
      <c r="B255" s="1148" t="s">
        <v>3244</v>
      </c>
      <c r="C255" s="1146" t="s">
        <v>3247</v>
      </c>
      <c r="D255" s="1148" t="s">
        <v>2765</v>
      </c>
      <c r="E255" s="1347">
        <v>42811</v>
      </c>
      <c r="F255" s="1148" t="s">
        <v>2126</v>
      </c>
      <c r="G255" s="1348">
        <v>2758710</v>
      </c>
      <c r="H255" s="79"/>
      <c r="I255" s="79"/>
      <c r="J255" s="80"/>
    </row>
    <row r="256" spans="1:10" ht="12.75" customHeight="1">
      <c r="A256" s="621">
        <v>171</v>
      </c>
      <c r="B256" s="50" t="s">
        <v>363</v>
      </c>
      <c r="C256" s="4">
        <v>171.1</v>
      </c>
      <c r="D256" s="50" t="s">
        <v>2765</v>
      </c>
      <c r="E256" s="753">
        <v>41366</v>
      </c>
      <c r="F256" s="50" t="s">
        <v>3231</v>
      </c>
      <c r="G256" s="754"/>
    </row>
    <row r="257" spans="1:10" ht="12.75" customHeight="1">
      <c r="A257" s="621">
        <v>172</v>
      </c>
      <c r="C257" s="757"/>
      <c r="E257" s="758"/>
      <c r="G257" s="754"/>
    </row>
    <row r="258" spans="1:10" ht="12.75" customHeight="1">
      <c r="A258" s="621">
        <v>173</v>
      </c>
      <c r="C258" s="757"/>
      <c r="E258" s="758"/>
      <c r="G258" s="754"/>
    </row>
    <row r="259" spans="1:10" ht="12.75" customHeight="1">
      <c r="A259" s="621">
        <v>174</v>
      </c>
      <c r="B259" s="50" t="s">
        <v>3248</v>
      </c>
      <c r="C259" s="4">
        <v>174.1</v>
      </c>
      <c r="D259" s="50" t="s">
        <v>2765</v>
      </c>
      <c r="E259" s="759" t="s">
        <v>3082</v>
      </c>
      <c r="F259" s="50" t="s">
        <v>3055</v>
      </c>
      <c r="G259" s="754"/>
    </row>
    <row r="260" spans="1:10" ht="12.75" customHeight="1">
      <c r="A260" s="621">
        <v>175</v>
      </c>
      <c r="C260" s="757"/>
      <c r="E260" s="758"/>
      <c r="G260" s="754"/>
    </row>
    <row r="261" spans="1:10" ht="12.75" customHeight="1">
      <c r="A261" s="621">
        <v>176</v>
      </c>
      <c r="C261" s="757"/>
      <c r="E261" s="758"/>
      <c r="G261" s="754"/>
    </row>
    <row r="262" spans="1:10" ht="12.75" customHeight="1">
      <c r="A262" s="1349">
        <v>177</v>
      </c>
      <c r="B262" s="1352" t="str">
        <f>VLOOKUP(A262,plasmids!$A$2:$B$391,2)</f>
        <v>ShH10,1 Y444F</v>
      </c>
      <c r="C262" s="1354">
        <v>177.2</v>
      </c>
      <c r="D262" s="1356" t="s">
        <v>2765</v>
      </c>
      <c r="E262" s="1358">
        <v>41456</v>
      </c>
      <c r="F262" s="1356" t="s">
        <v>3055</v>
      </c>
      <c r="G262" s="1360"/>
      <c r="H262" s="341"/>
      <c r="I262" s="341"/>
      <c r="J262" s="62" t="s">
        <v>2073</v>
      </c>
    </row>
    <row r="263" spans="1:10" ht="12.75" customHeight="1">
      <c r="A263" s="1349">
        <v>177</v>
      </c>
      <c r="B263" s="1352" t="str">
        <f>VLOOKUP(A263,plasmids!$A$2:$B$391,2)</f>
        <v>ShH10,1 Y444F</v>
      </c>
      <c r="C263" s="1364">
        <v>177.3</v>
      </c>
      <c r="D263" s="1356" t="s">
        <v>2765</v>
      </c>
      <c r="E263" s="1358">
        <v>41746</v>
      </c>
      <c r="F263" s="1356" t="s">
        <v>881</v>
      </c>
      <c r="G263" s="1366">
        <v>0.36609999999999998</v>
      </c>
      <c r="H263" s="1356" t="s">
        <v>3029</v>
      </c>
      <c r="I263" s="1356" t="s">
        <v>3067</v>
      </c>
      <c r="J263" s="1105" t="s">
        <v>3252</v>
      </c>
    </row>
    <row r="264" spans="1:10" ht="12.75" customHeight="1">
      <c r="A264" s="1349">
        <v>177</v>
      </c>
      <c r="B264" s="1352" t="str">
        <f>VLOOKUP(A264,plasmids!$A$2:$B$391,2)</f>
        <v>ShH10,1 Y444F</v>
      </c>
      <c r="C264" s="1354">
        <v>177.1</v>
      </c>
      <c r="D264" s="1356" t="s">
        <v>2765</v>
      </c>
      <c r="E264" s="523" t="s">
        <v>3082</v>
      </c>
      <c r="F264" s="1356" t="s">
        <v>3055</v>
      </c>
      <c r="G264" s="1360"/>
      <c r="H264" s="341"/>
      <c r="I264" s="341"/>
      <c r="J264" s="62" t="s">
        <v>2073</v>
      </c>
    </row>
    <row r="265" spans="1:10" ht="12.75" customHeight="1">
      <c r="A265" s="1076">
        <v>177</v>
      </c>
      <c r="B265" s="1371" t="str">
        <f>VLOOKUP(A265,plasmids!$A$2:$B$391,2)</f>
        <v>ShH10,1 Y444F</v>
      </c>
      <c r="C265" s="1372">
        <v>177.4</v>
      </c>
      <c r="D265" s="62" t="s">
        <v>2765</v>
      </c>
      <c r="E265" s="1373">
        <v>41809</v>
      </c>
      <c r="F265" s="62" t="s">
        <v>881</v>
      </c>
      <c r="G265" s="1079">
        <v>1.302</v>
      </c>
      <c r="H265" s="62" t="s">
        <v>3029</v>
      </c>
      <c r="I265" s="62" t="s">
        <v>3067</v>
      </c>
      <c r="J265" s="62" t="s">
        <v>2844</v>
      </c>
    </row>
    <row r="266" spans="1:10" ht="12.75" customHeight="1">
      <c r="A266" s="1374">
        <v>177</v>
      </c>
      <c r="B266" s="1378" t="str">
        <f>VLOOKUP(A266,plasmids!$A$2:$B$391,2)</f>
        <v>ShH10,1 Y444F</v>
      </c>
      <c r="C266" s="1379">
        <v>177.5</v>
      </c>
      <c r="D266" s="303" t="s">
        <v>2765</v>
      </c>
      <c r="E266" s="1380">
        <v>42159</v>
      </c>
      <c r="F266" s="303" t="s">
        <v>881</v>
      </c>
      <c r="G266" s="1381">
        <v>0.78639999999999999</v>
      </c>
      <c r="H266" s="303" t="s">
        <v>3029</v>
      </c>
      <c r="I266" s="303" t="s">
        <v>3067</v>
      </c>
      <c r="J266" s="303" t="s">
        <v>2844</v>
      </c>
    </row>
    <row r="267" spans="1:10" ht="12.75" customHeight="1">
      <c r="A267" s="1076">
        <v>177</v>
      </c>
      <c r="B267" s="1371" t="str">
        <f>VLOOKUP(A267,plasmids!$A$2:$B$391,2)</f>
        <v>ShH10,1 Y444F</v>
      </c>
      <c r="C267" s="1372" t="s">
        <v>3260</v>
      </c>
      <c r="D267" s="1105" t="s">
        <v>2765</v>
      </c>
      <c r="E267" s="1373">
        <v>42530</v>
      </c>
      <c r="F267" s="1105" t="s">
        <v>2126</v>
      </c>
      <c r="G267" s="1382" t="s">
        <v>3261</v>
      </c>
      <c r="H267" s="1105" t="s">
        <v>3029</v>
      </c>
      <c r="I267" s="62" t="s">
        <v>3067</v>
      </c>
      <c r="J267" s="62" t="s">
        <v>2844</v>
      </c>
    </row>
    <row r="268" spans="1:10" ht="12.75" customHeight="1">
      <c r="A268" s="1076">
        <v>177</v>
      </c>
      <c r="B268" s="1371" t="str">
        <f>VLOOKUP(A268,plasmids!$A$2:$B$391,2)</f>
        <v>ShH10,1 Y444F</v>
      </c>
      <c r="C268" s="1372" t="s">
        <v>3262</v>
      </c>
      <c r="D268" s="1105" t="s">
        <v>2765</v>
      </c>
      <c r="E268" s="1373">
        <v>42949</v>
      </c>
      <c r="F268" s="1105" t="s">
        <v>3263</v>
      </c>
      <c r="G268" s="1385">
        <v>0.98499999999999999</v>
      </c>
      <c r="H268" s="1105" t="s">
        <v>3029</v>
      </c>
      <c r="I268" s="62"/>
      <c r="J268" s="62" t="s">
        <v>2844</v>
      </c>
    </row>
    <row r="269" spans="1:10" ht="12.75" customHeight="1">
      <c r="A269" s="1387">
        <v>178</v>
      </c>
      <c r="B269" s="1389" t="s">
        <v>3264</v>
      </c>
      <c r="C269" s="1391" t="s">
        <v>3266</v>
      </c>
      <c r="D269" s="1389" t="s">
        <v>3064</v>
      </c>
      <c r="E269" s="1393" t="s">
        <v>3267</v>
      </c>
      <c r="F269" s="1389" t="s">
        <v>3268</v>
      </c>
      <c r="G269" s="1389" t="s">
        <v>141</v>
      </c>
      <c r="H269" s="625" t="s">
        <v>3029</v>
      </c>
      <c r="I269" s="1389" t="s">
        <v>141</v>
      </c>
      <c r="J269" s="625" t="s">
        <v>3269</v>
      </c>
    </row>
    <row r="270" spans="1:10" ht="12.75" customHeight="1">
      <c r="A270" s="1387">
        <v>178</v>
      </c>
      <c r="B270" s="1389" t="s">
        <v>58</v>
      </c>
      <c r="C270" s="1395">
        <v>178.6</v>
      </c>
      <c r="D270" s="1389" t="s">
        <v>3073</v>
      </c>
      <c r="E270" s="1393" t="s">
        <v>3144</v>
      </c>
      <c r="F270" s="1389" t="s">
        <v>95</v>
      </c>
      <c r="G270" s="1429">
        <v>4.2344999999999997</v>
      </c>
      <c r="H270" s="625" t="s">
        <v>3029</v>
      </c>
      <c r="I270" s="1389" t="s">
        <v>141</v>
      </c>
      <c r="J270" s="625" t="s">
        <v>483</v>
      </c>
    </row>
    <row r="271" spans="1:10" ht="12.75" customHeight="1">
      <c r="A271" s="1387">
        <v>178</v>
      </c>
      <c r="B271" s="1389" t="s">
        <v>3290</v>
      </c>
      <c r="C271" s="1395">
        <v>178.1</v>
      </c>
      <c r="D271" s="1389" t="s">
        <v>2765</v>
      </c>
      <c r="E271" s="1393" t="s">
        <v>3082</v>
      </c>
      <c r="F271" s="1389" t="s">
        <v>3055</v>
      </c>
      <c r="G271" s="1389" t="s">
        <v>141</v>
      </c>
      <c r="H271" s="625" t="s">
        <v>3029</v>
      </c>
      <c r="I271" s="1389" t="s">
        <v>141</v>
      </c>
      <c r="J271" s="625" t="s">
        <v>3291</v>
      </c>
    </row>
    <row r="272" spans="1:10" ht="12.75" customHeight="1">
      <c r="A272" s="1387">
        <v>178</v>
      </c>
      <c r="B272" s="1389" t="s">
        <v>3292</v>
      </c>
      <c r="C272" s="1395">
        <v>178.5</v>
      </c>
      <c r="D272" s="1389" t="s">
        <v>2765</v>
      </c>
      <c r="E272" s="1393" t="s">
        <v>3199</v>
      </c>
      <c r="F272" s="1389" t="s">
        <v>3055</v>
      </c>
      <c r="G272" s="1389" t="s">
        <v>141</v>
      </c>
      <c r="H272" s="625" t="s">
        <v>3029</v>
      </c>
      <c r="I272" s="1389" t="s">
        <v>141</v>
      </c>
      <c r="J272" s="625" t="s">
        <v>3291</v>
      </c>
    </row>
    <row r="273" spans="1:10" ht="12.75" customHeight="1">
      <c r="A273" s="1195">
        <v>178</v>
      </c>
      <c r="B273" s="625" t="s">
        <v>58</v>
      </c>
      <c r="C273" s="1204">
        <v>178.7</v>
      </c>
      <c r="D273" s="625" t="s">
        <v>3073</v>
      </c>
      <c r="E273" s="1201" t="s">
        <v>3293</v>
      </c>
      <c r="F273" s="625" t="s">
        <v>881</v>
      </c>
      <c r="G273" s="1199">
        <v>3.6846000000000001</v>
      </c>
      <c r="H273" s="625" t="s">
        <v>3029</v>
      </c>
      <c r="I273" s="625" t="s">
        <v>3067</v>
      </c>
      <c r="J273" s="625" t="s">
        <v>3294</v>
      </c>
    </row>
    <row r="274" spans="1:10" ht="12.75" customHeight="1">
      <c r="A274" s="1195">
        <v>178</v>
      </c>
      <c r="B274" s="625" t="s">
        <v>58</v>
      </c>
      <c r="C274" s="1204">
        <v>178.9</v>
      </c>
      <c r="D274" s="625" t="s">
        <v>2771</v>
      </c>
      <c r="E274" s="1201" t="s">
        <v>141</v>
      </c>
      <c r="F274" s="625" t="s">
        <v>141</v>
      </c>
      <c r="G274" s="632">
        <v>1.03</v>
      </c>
      <c r="H274" s="625" t="s">
        <v>3029</v>
      </c>
      <c r="I274" s="647"/>
      <c r="J274" s="625" t="s">
        <v>2801</v>
      </c>
    </row>
    <row r="275" spans="1:10" ht="12.75" customHeight="1">
      <c r="A275" s="1450">
        <v>178</v>
      </c>
      <c r="B275" s="1453" t="s">
        <v>58</v>
      </c>
      <c r="C275" s="1454">
        <v>178.1</v>
      </c>
      <c r="D275" s="1453" t="s">
        <v>2771</v>
      </c>
      <c r="E275" s="1455">
        <v>42124</v>
      </c>
      <c r="F275" s="1453" t="s">
        <v>95</v>
      </c>
      <c r="G275" s="1456">
        <v>0.17</v>
      </c>
      <c r="H275" s="1453" t="s">
        <v>3029</v>
      </c>
      <c r="I275" s="1453" t="s">
        <v>3067</v>
      </c>
      <c r="J275" s="1457" t="s">
        <v>3314</v>
      </c>
    </row>
    <row r="276" spans="1:10" ht="12.75" customHeight="1">
      <c r="A276" s="1195">
        <v>178</v>
      </c>
      <c r="B276" s="625" t="s">
        <v>58</v>
      </c>
      <c r="C276" s="1204">
        <v>178.11</v>
      </c>
      <c r="D276" s="625" t="s">
        <v>2771</v>
      </c>
      <c r="E276" s="1197">
        <v>42130</v>
      </c>
      <c r="F276" s="625" t="s">
        <v>881</v>
      </c>
      <c r="G276" s="1458">
        <v>0.77049999999999996</v>
      </c>
      <c r="H276" s="625" t="s">
        <v>3029</v>
      </c>
      <c r="I276" s="625" t="s">
        <v>3181</v>
      </c>
      <c r="J276" s="1457" t="s">
        <v>3317</v>
      </c>
    </row>
    <row r="277" spans="1:10" ht="12.75" customHeight="1">
      <c r="A277" s="1195">
        <v>178</v>
      </c>
      <c r="B277" s="625" t="s">
        <v>58</v>
      </c>
      <c r="C277" s="1204" t="s">
        <v>3318</v>
      </c>
      <c r="D277" s="1457" t="s">
        <v>3073</v>
      </c>
      <c r="E277" s="1197">
        <v>42382</v>
      </c>
      <c r="F277" s="1457" t="s">
        <v>881</v>
      </c>
      <c r="G277" s="1458">
        <v>1.7907999999999999</v>
      </c>
      <c r="H277" s="1457" t="s">
        <v>3029</v>
      </c>
      <c r="I277" s="625"/>
      <c r="J277" s="1457" t="s">
        <v>2844</v>
      </c>
    </row>
    <row r="278" spans="1:10" ht="12.75" customHeight="1">
      <c r="A278" s="621">
        <v>179</v>
      </c>
      <c r="E278" s="758"/>
      <c r="G278" s="754"/>
    </row>
    <row r="279" spans="1:10" ht="12.75" customHeight="1">
      <c r="A279" s="1459">
        <v>180</v>
      </c>
      <c r="B279" s="1460" t="str">
        <f>VLOOKUP(A279,plasmids!$A$2:$B$391,2)</f>
        <v>pHelper</v>
      </c>
      <c r="C279" s="1461">
        <v>180.2</v>
      </c>
      <c r="D279" s="1460" t="s">
        <v>3073</v>
      </c>
      <c r="E279" s="1463">
        <v>41527</v>
      </c>
      <c r="F279" s="1460" t="s">
        <v>881</v>
      </c>
      <c r="G279" s="1465">
        <v>4.25</v>
      </c>
      <c r="H279" s="1467"/>
      <c r="I279" s="1467"/>
      <c r="J279" s="1467"/>
    </row>
    <row r="280" spans="1:10" ht="12.75" customHeight="1">
      <c r="A280" s="1459">
        <v>180</v>
      </c>
      <c r="B280" s="1470" t="str">
        <f>VLOOKUP(A280,plasmids!$A$2:$B$391,2)</f>
        <v>pHelper</v>
      </c>
      <c r="C280" s="1472">
        <v>180.3</v>
      </c>
      <c r="D280" s="1460" t="s">
        <v>3073</v>
      </c>
      <c r="E280" s="1463">
        <v>41754</v>
      </c>
      <c r="F280" s="1460" t="s">
        <v>881</v>
      </c>
      <c r="G280" s="1465">
        <v>1.9936</v>
      </c>
      <c r="H280" s="1460" t="s">
        <v>3029</v>
      </c>
      <c r="I280" s="1460" t="s">
        <v>3067</v>
      </c>
      <c r="J280" s="1460" t="s">
        <v>3329</v>
      </c>
    </row>
    <row r="281" spans="1:10" ht="12.75" customHeight="1">
      <c r="A281" s="1459">
        <v>180</v>
      </c>
      <c r="B281" s="1460" t="str">
        <f>VLOOKUP(A281,plasmids!$A$2:$B$391,2)</f>
        <v>pHelper</v>
      </c>
      <c r="C281" s="1461">
        <v>180.1</v>
      </c>
      <c r="D281" s="1460" t="s">
        <v>3073</v>
      </c>
      <c r="E281" s="1475" t="s">
        <v>141</v>
      </c>
      <c r="F281" s="1460" t="s">
        <v>141</v>
      </c>
      <c r="G281" s="1465" t="s">
        <v>141</v>
      </c>
      <c r="H281" s="1460" t="s">
        <v>141</v>
      </c>
      <c r="I281" s="1467"/>
      <c r="J281" s="1467"/>
    </row>
    <row r="282" spans="1:10" ht="12.75" customHeight="1">
      <c r="A282" s="1459">
        <v>180</v>
      </c>
      <c r="B282" s="1460" t="str">
        <f>VLOOKUP(A282,plasmids!$A$2:$B$391,2)</f>
        <v>pHelper</v>
      </c>
      <c r="C282" s="1477" t="s">
        <v>3332</v>
      </c>
      <c r="D282" s="1460" t="s">
        <v>3073</v>
      </c>
      <c r="E282" s="1463">
        <v>42110</v>
      </c>
      <c r="F282" s="1460" t="s">
        <v>881</v>
      </c>
      <c r="G282" s="1479">
        <v>1.6</v>
      </c>
      <c r="H282" s="1460" t="s">
        <v>3029</v>
      </c>
      <c r="I282" s="1460" t="s">
        <v>3067</v>
      </c>
      <c r="J282" s="1481" t="s">
        <v>3336</v>
      </c>
    </row>
    <row r="283" spans="1:10" ht="12.75" customHeight="1">
      <c r="A283" s="1482">
        <v>180</v>
      </c>
      <c r="B283" s="1460" t="str">
        <f>VLOOKUP(A283,plasmids!$A$2:$B$391,2)</f>
        <v>pHelper</v>
      </c>
      <c r="C283" s="1477" t="s">
        <v>3339</v>
      </c>
      <c r="D283" s="1481" t="s">
        <v>3073</v>
      </c>
      <c r="E283" s="1463">
        <v>42571</v>
      </c>
      <c r="F283" s="1481" t="s">
        <v>2126</v>
      </c>
      <c r="G283" s="1479">
        <v>2</v>
      </c>
      <c r="H283" s="1460"/>
      <c r="I283" s="1460"/>
      <c r="J283" s="1481"/>
    </row>
    <row r="284" spans="1:10" ht="12.75" customHeight="1">
      <c r="A284" s="1482">
        <v>180</v>
      </c>
      <c r="B284" s="1460" t="str">
        <f>VLOOKUP(A284,plasmids!$A$2:$B$391,2)</f>
        <v>pHelper</v>
      </c>
      <c r="C284" s="1477" t="s">
        <v>3341</v>
      </c>
      <c r="D284" s="1481" t="s">
        <v>3342</v>
      </c>
      <c r="E284" s="1463">
        <v>42768</v>
      </c>
      <c r="F284" s="1481" t="s">
        <v>2126</v>
      </c>
      <c r="G284" s="1479" t="s">
        <v>3343</v>
      </c>
      <c r="H284" s="1460"/>
      <c r="I284" s="1460"/>
      <c r="J284" s="1481" t="s">
        <v>3344</v>
      </c>
    </row>
    <row r="285" spans="1:10" ht="12.75" customHeight="1">
      <c r="A285" s="1482">
        <v>180</v>
      </c>
      <c r="B285" s="1481" t="str">
        <f>VLOOKUP(A285,plasmids!$A$2:$B$391,2)</f>
        <v>pHelper</v>
      </c>
      <c r="C285" s="1477" t="s">
        <v>3345</v>
      </c>
      <c r="D285" s="1481" t="s">
        <v>3073</v>
      </c>
      <c r="E285" s="1463">
        <v>42803</v>
      </c>
      <c r="F285" s="1481" t="s">
        <v>2126</v>
      </c>
      <c r="G285" s="1479">
        <v>2</v>
      </c>
      <c r="H285" s="1460"/>
      <c r="I285" s="1460"/>
      <c r="J285" s="1481" t="s">
        <v>3346</v>
      </c>
    </row>
    <row r="286" spans="1:10" ht="12.75" customHeight="1">
      <c r="A286" s="1482">
        <v>180</v>
      </c>
      <c r="B286" s="1481" t="str">
        <f>VLOOKUP(A286,plasmids!$A$2:$B$391,2)</f>
        <v>pHelper</v>
      </c>
      <c r="C286" s="1477">
        <v>180.12</v>
      </c>
      <c r="D286" s="1481" t="s">
        <v>3073</v>
      </c>
      <c r="E286" s="1490" t="s">
        <v>3347</v>
      </c>
      <c r="F286" s="1481"/>
      <c r="G286" s="1479">
        <v>5.2359999999999998</v>
      </c>
      <c r="H286" s="1460"/>
      <c r="I286" s="1460"/>
      <c r="J286" s="1481" t="s">
        <v>3349</v>
      </c>
    </row>
    <row r="287" spans="1:10" ht="12.75" customHeight="1">
      <c r="A287" s="621">
        <v>181</v>
      </c>
      <c r="B287" s="50" t="s">
        <v>621</v>
      </c>
      <c r="C287" s="54" t="s">
        <v>3350</v>
      </c>
      <c r="D287" s="54" t="s">
        <v>2771</v>
      </c>
      <c r="E287" s="1032">
        <v>42348</v>
      </c>
      <c r="F287" s="54" t="s">
        <v>881</v>
      </c>
      <c r="G287" s="755" t="s">
        <v>3351</v>
      </c>
      <c r="J287" s="54" t="s">
        <v>2844</v>
      </c>
    </row>
    <row r="288" spans="1:10" ht="12.75" customHeight="1">
      <c r="A288" s="621">
        <v>182</v>
      </c>
      <c r="B288" s="54" t="s">
        <v>3352</v>
      </c>
      <c r="C288" s="641" t="s">
        <v>3353</v>
      </c>
      <c r="D288" s="54" t="s">
        <v>474</v>
      </c>
      <c r="E288" s="1032">
        <v>41297</v>
      </c>
      <c r="G288" s="755">
        <v>1.1000000000000001</v>
      </c>
    </row>
    <row r="289" spans="1:13" ht="12.75" customHeight="1">
      <c r="A289" s="621">
        <v>183</v>
      </c>
      <c r="B289" s="50" t="s">
        <v>3354</v>
      </c>
      <c r="C289" s="4">
        <v>183.1</v>
      </c>
      <c r="D289" s="50" t="s">
        <v>2765</v>
      </c>
      <c r="E289" s="1032">
        <v>41297</v>
      </c>
      <c r="F289" s="50" t="s">
        <v>3231</v>
      </c>
      <c r="G289" s="755">
        <v>2.4</v>
      </c>
    </row>
    <row r="290" spans="1:13" ht="12.75" customHeight="1">
      <c r="A290" s="621">
        <v>184</v>
      </c>
      <c r="E290" s="758"/>
      <c r="G290" s="754"/>
    </row>
    <row r="291" spans="1:13" ht="12.75" customHeight="1">
      <c r="A291" s="621">
        <v>185</v>
      </c>
      <c r="B291" s="50" t="s">
        <v>630</v>
      </c>
      <c r="C291" s="4">
        <v>185.1</v>
      </c>
      <c r="D291" s="50" t="s">
        <v>2771</v>
      </c>
      <c r="E291" s="753">
        <v>41613</v>
      </c>
      <c r="F291" s="50" t="s">
        <v>881</v>
      </c>
      <c r="G291" s="755">
        <v>0.52</v>
      </c>
    </row>
    <row r="292" spans="1:13" ht="12.75" customHeight="1">
      <c r="A292" s="1497">
        <v>186</v>
      </c>
      <c r="B292" s="1498" t="s">
        <v>632</v>
      </c>
      <c r="C292" s="1499" t="s">
        <v>141</v>
      </c>
      <c r="D292" s="1498" t="s">
        <v>2765</v>
      </c>
      <c r="E292" s="1501">
        <v>42054</v>
      </c>
      <c r="F292" s="1498" t="s">
        <v>881</v>
      </c>
      <c r="G292" s="1502">
        <v>1.6119000000000001</v>
      </c>
      <c r="H292" s="1498" t="s">
        <v>400</v>
      </c>
      <c r="I292" s="1498" t="s">
        <v>141</v>
      </c>
      <c r="J292" s="1498" t="s">
        <v>2844</v>
      </c>
    </row>
    <row r="293" spans="1:13" ht="12.75" customHeight="1">
      <c r="A293" s="1497">
        <v>186</v>
      </c>
      <c r="B293" s="1498" t="s">
        <v>632</v>
      </c>
      <c r="C293" s="1503">
        <v>186.2</v>
      </c>
      <c r="D293" s="1498" t="s">
        <v>2765</v>
      </c>
      <c r="E293" s="1501">
        <v>42201</v>
      </c>
      <c r="F293" s="1498" t="s">
        <v>881</v>
      </c>
      <c r="G293" s="1502">
        <v>0.84299999999999997</v>
      </c>
      <c r="H293" s="1498" t="s">
        <v>400</v>
      </c>
      <c r="I293" s="1498"/>
      <c r="J293" s="1498" t="s">
        <v>2844</v>
      </c>
    </row>
    <row r="294" spans="1:13" ht="12.75" customHeight="1">
      <c r="A294" s="1504">
        <v>186</v>
      </c>
      <c r="B294" s="1498" t="s">
        <v>632</v>
      </c>
      <c r="C294" s="1503" t="s">
        <v>3370</v>
      </c>
      <c r="D294" s="1505" t="s">
        <v>2771</v>
      </c>
      <c r="E294" s="1501">
        <v>42348</v>
      </c>
      <c r="F294" s="1498" t="s">
        <v>881</v>
      </c>
      <c r="G294" s="1502" t="s">
        <v>3371</v>
      </c>
      <c r="H294" s="1498"/>
      <c r="I294" s="1498"/>
      <c r="J294" s="1498" t="s">
        <v>2844</v>
      </c>
    </row>
    <row r="295" spans="1:13" ht="12.75" customHeight="1">
      <c r="A295" s="1239">
        <v>187</v>
      </c>
      <c r="B295" s="1245" t="s">
        <v>3372</v>
      </c>
      <c r="C295" s="1246">
        <v>187.1</v>
      </c>
      <c r="D295" s="1245" t="s">
        <v>3143</v>
      </c>
      <c r="E295" s="1343" t="s">
        <v>3144</v>
      </c>
      <c r="F295" s="1245" t="s">
        <v>881</v>
      </c>
      <c r="G295" s="1249">
        <v>1.7557</v>
      </c>
      <c r="H295" s="1251" t="s">
        <v>929</v>
      </c>
      <c r="I295" s="1248"/>
      <c r="J295" s="1245" t="s">
        <v>3148</v>
      </c>
    </row>
    <row r="296" spans="1:13" ht="12.75" customHeight="1">
      <c r="A296" s="1239">
        <v>187</v>
      </c>
      <c r="B296" s="1245" t="s">
        <v>3372</v>
      </c>
      <c r="C296" s="1250">
        <v>187.2</v>
      </c>
      <c r="D296" s="1245" t="s">
        <v>2771</v>
      </c>
      <c r="E296" s="1247">
        <v>42153</v>
      </c>
      <c r="F296" s="1245" t="s">
        <v>881</v>
      </c>
      <c r="G296" s="1249" t="s">
        <v>3373</v>
      </c>
      <c r="H296" s="1248"/>
      <c r="I296" s="1245" t="s">
        <v>3067</v>
      </c>
      <c r="J296" s="1245" t="s">
        <v>2844</v>
      </c>
    </row>
    <row r="297" spans="1:13" ht="12.75" customHeight="1">
      <c r="A297" s="1239">
        <v>187</v>
      </c>
      <c r="B297" s="1245" t="s">
        <v>3372</v>
      </c>
      <c r="C297" s="1250" t="s">
        <v>3374</v>
      </c>
      <c r="D297" s="1245"/>
      <c r="E297" s="1343"/>
      <c r="F297" s="1245"/>
      <c r="G297" s="1249">
        <v>1.8980999999999999</v>
      </c>
      <c r="H297" s="1251" t="s">
        <v>929</v>
      </c>
      <c r="I297" s="1248"/>
      <c r="J297" s="1245"/>
    </row>
    <row r="298" spans="1:13" ht="12.75" customHeight="1">
      <c r="A298" s="621">
        <v>188</v>
      </c>
      <c r="C298" s="757"/>
      <c r="E298" s="758"/>
      <c r="G298" s="754"/>
    </row>
    <row r="299" spans="1:13" ht="12.75" customHeight="1">
      <c r="A299" s="1067">
        <v>189</v>
      </c>
      <c r="B299" s="79" t="s">
        <v>648</v>
      </c>
      <c r="C299" s="1068">
        <v>189.1</v>
      </c>
      <c r="D299" s="79" t="s">
        <v>2771</v>
      </c>
      <c r="E299" s="1073" t="s">
        <v>141</v>
      </c>
      <c r="F299" s="1506" t="s">
        <v>141</v>
      </c>
      <c r="G299" s="1075">
        <v>0.49399999999999999</v>
      </c>
      <c r="H299" s="80"/>
      <c r="I299" s="80"/>
      <c r="J299" s="80"/>
    </row>
    <row r="300" spans="1:13" ht="12.75" customHeight="1">
      <c r="A300" s="1067">
        <v>189</v>
      </c>
      <c r="B300" s="79" t="s">
        <v>3375</v>
      </c>
      <c r="C300" s="1068">
        <v>189.2</v>
      </c>
      <c r="D300" s="79"/>
      <c r="E300" s="1507">
        <v>41092</v>
      </c>
      <c r="F300" s="79" t="s">
        <v>3055</v>
      </c>
      <c r="G300" s="1075">
        <v>4.2</v>
      </c>
      <c r="H300" s="80"/>
      <c r="I300" s="80"/>
      <c r="J300" s="80"/>
    </row>
    <row r="301" spans="1:13" ht="12.75" customHeight="1">
      <c r="A301" s="931">
        <v>190</v>
      </c>
      <c r="B301" s="231" t="s">
        <v>3376</v>
      </c>
      <c r="C301" s="933">
        <v>190.3</v>
      </c>
      <c r="D301" s="231" t="s">
        <v>2765</v>
      </c>
      <c r="E301" s="1143">
        <v>41376</v>
      </c>
      <c r="F301" s="231" t="s">
        <v>3055</v>
      </c>
      <c r="G301" s="1014">
        <v>2</v>
      </c>
      <c r="H301" s="229"/>
      <c r="I301" s="229"/>
      <c r="J301" s="229"/>
    </row>
    <row r="302" spans="1:13" ht="12.75" customHeight="1">
      <c r="A302" s="1508">
        <v>190</v>
      </c>
      <c r="B302" s="1509" t="s">
        <v>651</v>
      </c>
      <c r="C302" s="1510">
        <v>190.4</v>
      </c>
      <c r="D302" s="1511" t="s">
        <v>2771</v>
      </c>
      <c r="E302" s="1512">
        <v>41710</v>
      </c>
      <c r="F302" s="1511" t="s">
        <v>881</v>
      </c>
      <c r="G302" s="1513">
        <v>0.1012</v>
      </c>
      <c r="H302" s="1511" t="s">
        <v>929</v>
      </c>
      <c r="I302" s="1511" t="s">
        <v>3067</v>
      </c>
      <c r="J302" s="1511" t="s">
        <v>2844</v>
      </c>
      <c r="K302" s="261"/>
      <c r="L302" s="261"/>
      <c r="M302" s="261"/>
    </row>
    <row r="303" spans="1:13" ht="12.75" customHeight="1">
      <c r="A303" s="1508">
        <v>190</v>
      </c>
      <c r="B303" s="1509" t="s">
        <v>651</v>
      </c>
      <c r="C303" s="1510">
        <v>190.1</v>
      </c>
      <c r="D303" s="1511" t="s">
        <v>2771</v>
      </c>
      <c r="E303" s="1514" t="s">
        <v>3377</v>
      </c>
      <c r="F303" s="1515" t="s">
        <v>141</v>
      </c>
      <c r="G303" s="1513">
        <v>0.58220000000000005</v>
      </c>
      <c r="H303" s="1511" t="s">
        <v>929</v>
      </c>
      <c r="I303" s="1516"/>
      <c r="J303" s="1509" t="s">
        <v>3378</v>
      </c>
      <c r="K303" s="261"/>
      <c r="L303" s="261"/>
      <c r="M303" s="261"/>
    </row>
    <row r="304" spans="1:13" ht="12.75" customHeight="1">
      <c r="A304" s="1508">
        <v>190</v>
      </c>
      <c r="B304" s="1511" t="s">
        <v>3379</v>
      </c>
      <c r="C304" s="1510">
        <v>190.2</v>
      </c>
      <c r="D304" s="1511" t="s">
        <v>2765</v>
      </c>
      <c r="E304" s="1514" t="s">
        <v>3082</v>
      </c>
      <c r="F304" s="1511" t="s">
        <v>3055</v>
      </c>
      <c r="G304" s="1517"/>
      <c r="H304" s="1516"/>
      <c r="I304" s="1516"/>
      <c r="J304" s="1516"/>
      <c r="K304" s="261"/>
      <c r="L304" s="261"/>
      <c r="M304" s="261"/>
    </row>
    <row r="305" spans="1:10" ht="12.75" customHeight="1">
      <c r="A305" s="931">
        <v>190</v>
      </c>
      <c r="B305" s="231" t="s">
        <v>3379</v>
      </c>
      <c r="C305" s="1016" t="s">
        <v>2174</v>
      </c>
      <c r="D305" s="228"/>
      <c r="E305" s="935"/>
      <c r="F305" s="228" t="s">
        <v>2772</v>
      </c>
      <c r="G305" s="1014">
        <v>1</v>
      </c>
      <c r="H305" s="229"/>
      <c r="I305" s="229"/>
      <c r="J305" s="229"/>
    </row>
    <row r="306" spans="1:10" ht="12.75" customHeight="1">
      <c r="A306" s="1518">
        <v>190</v>
      </c>
      <c r="B306" s="228" t="s">
        <v>651</v>
      </c>
      <c r="C306" s="1016" t="s">
        <v>3380</v>
      </c>
      <c r="D306" s="228" t="s">
        <v>2771</v>
      </c>
      <c r="E306" s="1519">
        <v>42587</v>
      </c>
      <c r="F306" s="228" t="s">
        <v>881</v>
      </c>
      <c r="G306" s="1014" t="s">
        <v>3381</v>
      </c>
      <c r="H306" s="229"/>
      <c r="I306" s="228" t="s">
        <v>3128</v>
      </c>
      <c r="J306" s="228" t="s">
        <v>3382</v>
      </c>
    </row>
    <row r="307" spans="1:10" ht="12.75" customHeight="1">
      <c r="A307" s="1076">
        <v>191</v>
      </c>
      <c r="B307" s="1105" t="s">
        <v>3383</v>
      </c>
      <c r="C307" s="1077">
        <v>191.2</v>
      </c>
      <c r="D307" s="62" t="s">
        <v>2765</v>
      </c>
      <c r="E307" s="1373">
        <v>41113</v>
      </c>
      <c r="F307" s="62" t="s">
        <v>3055</v>
      </c>
      <c r="G307" s="1079">
        <v>2.6</v>
      </c>
      <c r="H307" s="52"/>
      <c r="I307" s="52"/>
      <c r="J307" s="52"/>
    </row>
    <row r="308" spans="1:10" ht="12.75" customHeight="1">
      <c r="A308" s="1076">
        <v>191</v>
      </c>
      <c r="B308" s="62" t="s">
        <v>653</v>
      </c>
      <c r="C308" s="1077">
        <v>191.1</v>
      </c>
      <c r="D308" s="62" t="s">
        <v>2771</v>
      </c>
      <c r="E308" s="1078" t="s">
        <v>141</v>
      </c>
      <c r="F308" s="1520" t="s">
        <v>141</v>
      </c>
      <c r="G308" s="1079">
        <v>0.39900000000000002</v>
      </c>
      <c r="H308" s="52"/>
      <c r="I308" s="52"/>
      <c r="J308" s="52"/>
    </row>
    <row r="309" spans="1:10" ht="12.75" customHeight="1">
      <c r="A309" s="1521">
        <v>192</v>
      </c>
      <c r="B309" s="1270" t="s">
        <v>3030</v>
      </c>
      <c r="C309" s="1522">
        <v>192.2</v>
      </c>
      <c r="D309" s="1270" t="s">
        <v>2765</v>
      </c>
      <c r="E309" s="1523">
        <v>41098</v>
      </c>
      <c r="F309" s="1270" t="s">
        <v>2766</v>
      </c>
      <c r="G309" s="1524">
        <v>1.6</v>
      </c>
      <c r="H309" s="1274"/>
      <c r="I309" s="1274"/>
      <c r="J309" s="1274"/>
    </row>
    <row r="310" spans="1:10" ht="12.75" customHeight="1">
      <c r="A310" s="1521">
        <v>192</v>
      </c>
      <c r="B310" s="1270" t="s">
        <v>3030</v>
      </c>
      <c r="C310" s="1522">
        <v>192.1</v>
      </c>
      <c r="D310" s="1270" t="s">
        <v>2771</v>
      </c>
      <c r="E310" s="1525" t="s">
        <v>141</v>
      </c>
      <c r="F310" s="1270" t="s">
        <v>141</v>
      </c>
      <c r="G310" s="1524" t="s">
        <v>141</v>
      </c>
      <c r="H310" s="1270" t="s">
        <v>3384</v>
      </c>
      <c r="I310" s="1274"/>
      <c r="J310" s="1270" t="s">
        <v>3385</v>
      </c>
    </row>
    <row r="311" spans="1:10" ht="12.75" customHeight="1">
      <c r="A311" s="772">
        <v>193</v>
      </c>
      <c r="B311" s="773" t="s">
        <v>658</v>
      </c>
      <c r="C311" s="774">
        <v>193.1</v>
      </c>
      <c r="D311" s="773" t="s">
        <v>2771</v>
      </c>
      <c r="E311" s="1194" t="s">
        <v>3386</v>
      </c>
      <c r="F311" s="773" t="s">
        <v>95</v>
      </c>
      <c r="G311" s="776">
        <v>0.23699999999999999</v>
      </c>
      <c r="H311" s="777"/>
      <c r="I311" s="777"/>
      <c r="J311" s="777"/>
    </row>
    <row r="312" spans="1:10" ht="12.75" customHeight="1">
      <c r="A312" s="772">
        <v>193</v>
      </c>
      <c r="B312" s="773" t="s">
        <v>3387</v>
      </c>
      <c r="C312" s="774">
        <v>193.2</v>
      </c>
      <c r="D312" s="773" t="s">
        <v>2765</v>
      </c>
      <c r="E312" s="1194" t="s">
        <v>3388</v>
      </c>
      <c r="F312" s="773" t="s">
        <v>3389</v>
      </c>
      <c r="G312" s="1171"/>
      <c r="H312" s="777"/>
      <c r="I312" s="777"/>
      <c r="J312" s="777"/>
    </row>
    <row r="313" spans="1:10" ht="12.75" customHeight="1">
      <c r="A313" s="621">
        <v>194</v>
      </c>
      <c r="B313" s="50" t="s">
        <v>661</v>
      </c>
      <c r="C313" s="4">
        <v>194.1</v>
      </c>
      <c r="D313" s="50" t="s">
        <v>2771</v>
      </c>
      <c r="E313" s="759" t="s">
        <v>3386</v>
      </c>
      <c r="F313" s="50" t="s">
        <v>95</v>
      </c>
      <c r="G313" s="754"/>
    </row>
    <row r="314" spans="1:10" ht="12.75" customHeight="1">
      <c r="A314" s="1526">
        <v>195</v>
      </c>
      <c r="B314" s="1034" t="s">
        <v>3390</v>
      </c>
      <c r="C314" s="1527">
        <v>195.2</v>
      </c>
      <c r="D314" s="1034" t="s">
        <v>2765</v>
      </c>
      <c r="E314" s="1528">
        <v>41099</v>
      </c>
      <c r="F314" s="1034" t="s">
        <v>2766</v>
      </c>
      <c r="G314" s="1529"/>
      <c r="H314" s="1033"/>
      <c r="I314" s="1033"/>
      <c r="J314" s="1033"/>
    </row>
    <row r="315" spans="1:10" ht="12.75" customHeight="1">
      <c r="A315" s="1526">
        <v>195</v>
      </c>
      <c r="B315" s="1034" t="s">
        <v>3391</v>
      </c>
      <c r="C315" s="1527">
        <v>195.3</v>
      </c>
      <c r="D315" s="1034" t="s">
        <v>2765</v>
      </c>
      <c r="E315" s="1528">
        <v>41456</v>
      </c>
      <c r="F315" s="1034" t="s">
        <v>3055</v>
      </c>
      <c r="G315" s="1529"/>
      <c r="H315" s="1033"/>
      <c r="I315" s="1033"/>
      <c r="J315" s="1033"/>
    </row>
    <row r="316" spans="1:10" ht="12.75" customHeight="1">
      <c r="A316" s="1526">
        <v>195</v>
      </c>
      <c r="B316" s="1530" t="str">
        <f>VLOOKUP(A316,plasmids!$A$2:$B$391,2)</f>
        <v>pXR8 Y447 733F</v>
      </c>
      <c r="C316" s="1531">
        <v>195.4</v>
      </c>
      <c r="D316" s="1034" t="s">
        <v>2765</v>
      </c>
      <c r="E316" s="1528">
        <v>41738</v>
      </c>
      <c r="F316" s="1034" t="s">
        <v>3392</v>
      </c>
      <c r="G316" s="1532">
        <v>2.3079999999999998</v>
      </c>
      <c r="H316" s="1034" t="s">
        <v>3029</v>
      </c>
      <c r="I316" s="1033"/>
      <c r="J316" s="1034" t="s">
        <v>2844</v>
      </c>
    </row>
    <row r="317" spans="1:10" ht="12.75" customHeight="1">
      <c r="A317" s="1526">
        <v>195</v>
      </c>
      <c r="B317" s="1034" t="s">
        <v>662</v>
      </c>
      <c r="C317" s="1527">
        <v>195.1</v>
      </c>
      <c r="D317" s="1034" t="s">
        <v>2771</v>
      </c>
      <c r="E317" s="1533" t="s">
        <v>3393</v>
      </c>
      <c r="F317" s="1034" t="s">
        <v>95</v>
      </c>
      <c r="G317" s="1529"/>
      <c r="H317" s="1033"/>
      <c r="I317" s="1033"/>
      <c r="J317" s="1033"/>
    </row>
    <row r="318" spans="1:10" ht="12.75" customHeight="1">
      <c r="A318" s="1076">
        <v>196</v>
      </c>
      <c r="B318" s="62" t="s">
        <v>3394</v>
      </c>
      <c r="C318" s="1077">
        <v>196.2</v>
      </c>
      <c r="D318" s="62" t="s">
        <v>2765</v>
      </c>
      <c r="E318" s="1373">
        <v>41039</v>
      </c>
      <c r="F318" s="62" t="s">
        <v>2766</v>
      </c>
      <c r="G318" s="1535"/>
      <c r="H318" s="789"/>
      <c r="I318" s="789"/>
      <c r="J318" s="789"/>
    </row>
    <row r="319" spans="1:10" ht="12.75" customHeight="1">
      <c r="A319" s="1076">
        <v>196</v>
      </c>
      <c r="B319" s="62" t="s">
        <v>664</v>
      </c>
      <c r="C319" s="1077">
        <v>196.1</v>
      </c>
      <c r="D319" s="62" t="s">
        <v>2771</v>
      </c>
      <c r="E319" s="1078" t="s">
        <v>3402</v>
      </c>
      <c r="F319" s="62" t="s">
        <v>95</v>
      </c>
      <c r="G319" s="1535"/>
      <c r="H319" s="789"/>
      <c r="I319" s="789"/>
      <c r="J319" s="789"/>
    </row>
    <row r="320" spans="1:10" ht="12.75" customHeight="1">
      <c r="A320" s="1254">
        <v>197</v>
      </c>
      <c r="B320" s="960" t="s">
        <v>3403</v>
      </c>
      <c r="C320" s="1255">
        <v>197.2</v>
      </c>
      <c r="D320" s="960" t="s">
        <v>2765</v>
      </c>
      <c r="E320" s="1256">
        <v>41039</v>
      </c>
      <c r="F320" s="960" t="s">
        <v>2766</v>
      </c>
      <c r="G320" s="1258"/>
      <c r="H320" s="963"/>
      <c r="I320" s="963"/>
      <c r="J320" s="963"/>
    </row>
    <row r="321" spans="1:13" ht="12.75" customHeight="1">
      <c r="A321" s="1254">
        <v>197</v>
      </c>
      <c r="B321" s="960" t="s">
        <v>1915</v>
      </c>
      <c r="C321" s="1260" t="s">
        <v>3404</v>
      </c>
      <c r="D321" s="960" t="s">
        <v>141</v>
      </c>
      <c r="E321" s="1263" t="s">
        <v>141</v>
      </c>
      <c r="F321" s="960" t="s">
        <v>141</v>
      </c>
      <c r="G321" s="1258"/>
      <c r="H321" s="963"/>
      <c r="I321" s="963"/>
      <c r="J321" s="963"/>
    </row>
    <row r="322" spans="1:13" ht="12.75" customHeight="1">
      <c r="A322" s="1254">
        <v>197</v>
      </c>
      <c r="B322" s="960" t="s">
        <v>3403</v>
      </c>
      <c r="C322" s="1260" t="s">
        <v>3405</v>
      </c>
      <c r="D322" s="960" t="s">
        <v>2765</v>
      </c>
      <c r="E322" s="1263" t="s">
        <v>3406</v>
      </c>
      <c r="F322" s="960" t="s">
        <v>141</v>
      </c>
      <c r="G322" s="1258"/>
      <c r="H322" s="963"/>
      <c r="I322" s="963"/>
      <c r="J322" s="963"/>
    </row>
    <row r="323" spans="1:13" ht="12.75" customHeight="1">
      <c r="A323" s="1254">
        <v>197</v>
      </c>
      <c r="B323" s="960" t="s">
        <v>670</v>
      </c>
      <c r="C323" s="1255">
        <v>197.1</v>
      </c>
      <c r="D323" s="960" t="s">
        <v>2771</v>
      </c>
      <c r="E323" s="1263" t="s">
        <v>3402</v>
      </c>
      <c r="F323" s="960" t="s">
        <v>95</v>
      </c>
      <c r="G323" s="1258"/>
      <c r="H323" s="963"/>
      <c r="I323" s="963"/>
      <c r="J323" s="963"/>
    </row>
    <row r="324" spans="1:13" ht="12.75" customHeight="1">
      <c r="A324" s="1254">
        <v>197</v>
      </c>
      <c r="B324" s="960" t="s">
        <v>1915</v>
      </c>
      <c r="C324" s="1255">
        <v>197.5</v>
      </c>
      <c r="D324" s="960" t="s">
        <v>2765</v>
      </c>
      <c r="E324" s="1536"/>
      <c r="F324" s="960" t="s">
        <v>158</v>
      </c>
      <c r="G324" s="1258"/>
      <c r="H324" s="963"/>
      <c r="I324" s="963"/>
      <c r="J324" s="963"/>
    </row>
    <row r="325" spans="1:13" ht="12.75" customHeight="1">
      <c r="A325" s="851">
        <v>198</v>
      </c>
      <c r="B325" s="857" t="s">
        <v>3408</v>
      </c>
      <c r="C325" s="855">
        <v>198.2</v>
      </c>
      <c r="D325" s="857" t="s">
        <v>2765</v>
      </c>
      <c r="E325" s="858" t="s">
        <v>3267</v>
      </c>
      <c r="F325" s="857" t="s">
        <v>3055</v>
      </c>
      <c r="G325" s="1537"/>
      <c r="H325" s="859"/>
      <c r="I325" s="859"/>
      <c r="J325" s="859"/>
    </row>
    <row r="326" spans="1:13" ht="12.75" customHeight="1">
      <c r="A326" s="851">
        <v>198</v>
      </c>
      <c r="B326" s="857" t="s">
        <v>678</v>
      </c>
      <c r="C326" s="855">
        <v>198.1</v>
      </c>
      <c r="D326" s="857" t="s">
        <v>2771</v>
      </c>
      <c r="E326" s="858" t="s">
        <v>3402</v>
      </c>
      <c r="F326" s="857" t="s">
        <v>95</v>
      </c>
      <c r="G326" s="1537"/>
      <c r="H326" s="859"/>
      <c r="I326" s="859"/>
      <c r="J326" s="859"/>
    </row>
    <row r="327" spans="1:13" ht="12.75" customHeight="1">
      <c r="A327" s="1195">
        <v>199</v>
      </c>
      <c r="B327" s="625" t="s">
        <v>682</v>
      </c>
      <c r="C327" s="1196">
        <v>199.1</v>
      </c>
      <c r="D327" s="625" t="s">
        <v>2765</v>
      </c>
      <c r="E327" s="1201" t="s">
        <v>3410</v>
      </c>
      <c r="F327" s="625" t="s">
        <v>95</v>
      </c>
      <c r="G327" s="1203"/>
      <c r="H327" s="625" t="s">
        <v>3384</v>
      </c>
      <c r="I327" s="647"/>
      <c r="J327" s="647"/>
    </row>
    <row r="328" spans="1:13" ht="12.75" customHeight="1">
      <c r="A328" s="1195">
        <v>199</v>
      </c>
      <c r="B328" s="625" t="s">
        <v>682</v>
      </c>
      <c r="C328" s="1196">
        <v>199.2</v>
      </c>
      <c r="D328" s="625" t="s">
        <v>141</v>
      </c>
      <c r="E328" s="1201" t="s">
        <v>3412</v>
      </c>
      <c r="F328" s="625" t="s">
        <v>3055</v>
      </c>
      <c r="G328" s="1199">
        <v>1</v>
      </c>
      <c r="H328" s="625" t="s">
        <v>3384</v>
      </c>
      <c r="I328" s="647"/>
      <c r="J328" s="647"/>
    </row>
    <row r="329" spans="1:13" ht="12.75" customHeight="1">
      <c r="A329" s="1538">
        <v>200</v>
      </c>
      <c r="B329" s="54" t="s">
        <v>3414</v>
      </c>
      <c r="C329" s="1" t="s">
        <v>3415</v>
      </c>
      <c r="E329" s="758"/>
      <c r="G329" s="755">
        <v>1.3804000000000001</v>
      </c>
    </row>
    <row r="330" spans="1:13" ht="12.75" customHeight="1">
      <c r="A330" s="889">
        <v>201</v>
      </c>
      <c r="B330" s="891" t="s">
        <v>3163</v>
      </c>
      <c r="C330" s="893">
        <v>201.1</v>
      </c>
      <c r="D330" s="891" t="s">
        <v>2771</v>
      </c>
      <c r="E330" s="895" t="s">
        <v>141</v>
      </c>
      <c r="F330" s="891" t="s">
        <v>95</v>
      </c>
      <c r="G330" s="897">
        <v>0.39200000000000002</v>
      </c>
      <c r="H330" s="899" t="s">
        <v>720</v>
      </c>
      <c r="I330" s="901"/>
      <c r="J330" s="901"/>
    </row>
    <row r="331" spans="1:13" ht="12.75" customHeight="1">
      <c r="A331" s="889">
        <v>201</v>
      </c>
      <c r="B331" s="891" t="s">
        <v>3163</v>
      </c>
      <c r="C331" s="893">
        <v>201.2</v>
      </c>
      <c r="D331" s="891" t="s">
        <v>2765</v>
      </c>
      <c r="E331" s="895" t="s">
        <v>141</v>
      </c>
      <c r="F331" s="891" t="s">
        <v>95</v>
      </c>
      <c r="G331" s="897">
        <v>1.44</v>
      </c>
      <c r="H331" s="899" t="s">
        <v>720</v>
      </c>
      <c r="I331" s="901"/>
      <c r="J331" s="901"/>
    </row>
    <row r="332" spans="1:13" ht="12.75" customHeight="1">
      <c r="A332" s="621">
        <v>202</v>
      </c>
      <c r="B332" s="50" t="s">
        <v>695</v>
      </c>
      <c r="C332" s="4">
        <v>202.1</v>
      </c>
      <c r="D332" s="50" t="s">
        <v>2765</v>
      </c>
      <c r="E332" s="759" t="s">
        <v>141</v>
      </c>
      <c r="F332" s="50" t="s">
        <v>3418</v>
      </c>
      <c r="G332" s="755">
        <v>0.84499999999999997</v>
      </c>
    </row>
    <row r="333" spans="1:13" ht="12.75" customHeight="1">
      <c r="A333" s="621">
        <v>203</v>
      </c>
      <c r="C333" s="757"/>
      <c r="E333" s="758"/>
      <c r="G333" s="754"/>
    </row>
    <row r="334" spans="1:13" ht="12.75" customHeight="1">
      <c r="A334" s="1067">
        <v>204</v>
      </c>
      <c r="B334" s="79" t="s">
        <v>700</v>
      </c>
      <c r="C334" s="1146" t="s">
        <v>3419</v>
      </c>
      <c r="D334" s="1148" t="s">
        <v>3420</v>
      </c>
      <c r="E334" s="1074"/>
      <c r="F334" s="80"/>
      <c r="G334" s="1071"/>
      <c r="H334" s="80"/>
      <c r="I334" s="80"/>
      <c r="J334" s="1148" t="s">
        <v>3421</v>
      </c>
      <c r="K334" s="80"/>
      <c r="L334" s="80"/>
      <c r="M334" s="80"/>
    </row>
    <row r="335" spans="1:13" ht="12.75" customHeight="1">
      <c r="A335" s="621">
        <v>205</v>
      </c>
      <c r="B335" s="50" t="s">
        <v>704</v>
      </c>
      <c r="C335" s="1" t="s">
        <v>3422</v>
      </c>
      <c r="D335" s="54" t="s">
        <v>3420</v>
      </c>
      <c r="E335" s="758"/>
      <c r="G335" s="754"/>
      <c r="J335" s="54" t="s">
        <v>3421</v>
      </c>
    </row>
    <row r="336" spans="1:13" ht="12.75" customHeight="1">
      <c r="A336" s="1067">
        <v>206</v>
      </c>
      <c r="B336" s="79" t="s">
        <v>3423</v>
      </c>
      <c r="C336" s="1068">
        <v>206.2</v>
      </c>
      <c r="D336" s="79" t="s">
        <v>2765</v>
      </c>
      <c r="E336" s="1069">
        <v>41366</v>
      </c>
      <c r="F336" s="79" t="s">
        <v>3231</v>
      </c>
      <c r="G336" s="1071"/>
      <c r="H336" s="80"/>
      <c r="I336" s="80"/>
      <c r="J336" s="80"/>
    </row>
    <row r="337" spans="1:10" ht="12.75" customHeight="1">
      <c r="A337" s="1067">
        <v>206</v>
      </c>
      <c r="B337" s="79" t="s">
        <v>706</v>
      </c>
      <c r="C337" s="1068">
        <v>206.1</v>
      </c>
      <c r="D337" s="79" t="s">
        <v>2771</v>
      </c>
      <c r="E337" s="1073" t="s">
        <v>3425</v>
      </c>
      <c r="F337" s="79" t="s">
        <v>707</v>
      </c>
      <c r="G337" s="1071"/>
      <c r="H337" s="80"/>
      <c r="I337" s="80"/>
      <c r="J337" s="80"/>
    </row>
    <row r="338" spans="1:10" ht="12.75" customHeight="1">
      <c r="A338" s="1539">
        <v>207</v>
      </c>
      <c r="B338" s="170" t="s">
        <v>3426</v>
      </c>
      <c r="C338" s="1540">
        <v>207.2</v>
      </c>
      <c r="D338" s="170" t="s">
        <v>2765</v>
      </c>
      <c r="E338" s="1541">
        <v>41366</v>
      </c>
      <c r="F338" s="170" t="s">
        <v>3231</v>
      </c>
      <c r="G338" s="1542"/>
      <c r="H338" s="174"/>
      <c r="I338" s="174"/>
      <c r="J338" s="174"/>
    </row>
    <row r="339" spans="1:10" ht="12.75" customHeight="1">
      <c r="A339" s="1539">
        <v>207</v>
      </c>
      <c r="B339" s="170" t="s">
        <v>709</v>
      </c>
      <c r="C339" s="1540">
        <v>207.1</v>
      </c>
      <c r="D339" s="170" t="s">
        <v>2771</v>
      </c>
      <c r="E339" s="1543" t="s">
        <v>3425</v>
      </c>
      <c r="F339" s="170" t="s">
        <v>707</v>
      </c>
      <c r="G339" s="1542"/>
      <c r="H339" s="174"/>
      <c r="I339" s="174"/>
      <c r="J339" s="174"/>
    </row>
    <row r="340" spans="1:10" ht="12.75" customHeight="1">
      <c r="A340" s="1076">
        <v>208</v>
      </c>
      <c r="B340" s="62" t="s">
        <v>3428</v>
      </c>
      <c r="C340" s="1077">
        <v>208.2</v>
      </c>
      <c r="D340" s="62" t="s">
        <v>2765</v>
      </c>
      <c r="E340" s="1373">
        <v>41366</v>
      </c>
      <c r="F340" s="62" t="s">
        <v>3231</v>
      </c>
      <c r="G340" s="1544"/>
      <c r="H340" s="52"/>
      <c r="I340" s="52"/>
      <c r="J340" s="52"/>
    </row>
    <row r="341" spans="1:10" ht="12.75" customHeight="1">
      <c r="A341" s="1076">
        <v>208</v>
      </c>
      <c r="B341" s="62" t="s">
        <v>710</v>
      </c>
      <c r="C341" s="1077">
        <v>208.1</v>
      </c>
      <c r="D341" s="62" t="s">
        <v>2771</v>
      </c>
      <c r="E341" s="1078" t="s">
        <v>3425</v>
      </c>
      <c r="F341" s="62" t="s">
        <v>707</v>
      </c>
      <c r="G341" s="1544"/>
      <c r="H341" s="52"/>
      <c r="I341" s="52"/>
      <c r="J341" s="52"/>
    </row>
    <row r="342" spans="1:10" ht="12.75" customHeight="1">
      <c r="A342" s="1045">
        <v>209</v>
      </c>
      <c r="B342" s="1046" t="s">
        <v>711</v>
      </c>
      <c r="C342" s="1047">
        <v>209.1</v>
      </c>
      <c r="D342" s="1046" t="s">
        <v>2765</v>
      </c>
      <c r="E342" s="1048" t="s">
        <v>141</v>
      </c>
      <c r="F342" s="1046" t="s">
        <v>141</v>
      </c>
      <c r="G342" s="1050">
        <v>1.0207999999999999</v>
      </c>
      <c r="H342" s="1049"/>
      <c r="I342" s="1049"/>
      <c r="J342" s="1049"/>
    </row>
    <row r="343" spans="1:10" ht="12.75" customHeight="1">
      <c r="A343" s="1045">
        <v>209</v>
      </c>
      <c r="B343" s="1046" t="s">
        <v>711</v>
      </c>
      <c r="C343" s="1051">
        <v>209.2</v>
      </c>
      <c r="D343" s="1046"/>
      <c r="E343" s="1048"/>
      <c r="F343" s="1046"/>
      <c r="G343" s="1050">
        <v>1.98</v>
      </c>
      <c r="H343" s="1049"/>
      <c r="I343" s="1049"/>
      <c r="J343" s="1049"/>
    </row>
    <row r="344" spans="1:10" ht="12.75" customHeight="1">
      <c r="A344" s="621">
        <v>210</v>
      </c>
      <c r="C344" s="757"/>
      <c r="E344" s="758"/>
      <c r="G344" s="754"/>
    </row>
    <row r="345" spans="1:10" ht="12.75" customHeight="1">
      <c r="A345" s="621">
        <v>211</v>
      </c>
      <c r="B345" s="50" t="s">
        <v>715</v>
      </c>
      <c r="C345" s="1">
        <v>211.1</v>
      </c>
      <c r="D345" s="50" t="s">
        <v>141</v>
      </c>
      <c r="E345" s="759" t="s">
        <v>141</v>
      </c>
      <c r="F345" s="50" t="s">
        <v>3431</v>
      </c>
      <c r="G345" s="755">
        <v>1</v>
      </c>
    </row>
    <row r="346" spans="1:10" ht="12.75" customHeight="1">
      <c r="A346" s="1036">
        <v>212</v>
      </c>
      <c r="B346" s="1037" t="s">
        <v>716</v>
      </c>
      <c r="C346" s="1043">
        <v>212.1</v>
      </c>
      <c r="D346" s="1037" t="s">
        <v>141</v>
      </c>
      <c r="E346" s="1040" t="s">
        <v>141</v>
      </c>
      <c r="F346" s="1037" t="s">
        <v>3431</v>
      </c>
      <c r="G346" s="1042">
        <v>1.738</v>
      </c>
      <c r="H346" s="1041"/>
      <c r="I346" s="1041"/>
      <c r="J346" s="1041"/>
    </row>
    <row r="347" spans="1:10" ht="12.75" customHeight="1">
      <c r="A347" s="1036">
        <v>212</v>
      </c>
      <c r="B347" s="1037" t="s">
        <v>716</v>
      </c>
      <c r="C347" s="1043" t="s">
        <v>3432</v>
      </c>
      <c r="D347" s="1037"/>
      <c r="E347" s="1040"/>
      <c r="F347" s="1545" t="s">
        <v>3433</v>
      </c>
      <c r="G347" s="1042">
        <v>2.0550000000000002</v>
      </c>
      <c r="H347" s="1041"/>
      <c r="I347" s="1041"/>
      <c r="J347" s="1545" t="s">
        <v>3436</v>
      </c>
    </row>
    <row r="348" spans="1:10" ht="12.75" customHeight="1">
      <c r="A348" s="1036"/>
      <c r="B348" s="1037"/>
      <c r="C348" s="1043"/>
      <c r="D348" s="1037"/>
      <c r="E348" s="1546">
        <v>42576</v>
      </c>
      <c r="F348" s="1545" t="s">
        <v>3433</v>
      </c>
      <c r="G348" s="1042"/>
      <c r="H348" s="1041"/>
      <c r="I348" s="1041"/>
      <c r="J348" s="1545"/>
    </row>
    <row r="349" spans="1:10" ht="12.75" customHeight="1">
      <c r="A349" s="621">
        <v>213</v>
      </c>
      <c r="C349" s="757"/>
      <c r="E349" s="758"/>
      <c r="G349" s="754"/>
    </row>
    <row r="350" spans="1:10" ht="12.75" customHeight="1">
      <c r="A350" s="772">
        <v>214</v>
      </c>
      <c r="B350" s="982" t="s">
        <v>721</v>
      </c>
      <c r="C350" s="774">
        <v>214.1</v>
      </c>
      <c r="D350" s="773" t="s">
        <v>2771</v>
      </c>
      <c r="E350" s="1194" t="s">
        <v>141</v>
      </c>
      <c r="F350" s="773" t="s">
        <v>141</v>
      </c>
      <c r="G350" s="1171"/>
      <c r="H350" s="777"/>
      <c r="I350" s="777"/>
      <c r="J350" s="777"/>
    </row>
    <row r="351" spans="1:10" ht="12.75" customHeight="1">
      <c r="A351" s="772">
        <v>214</v>
      </c>
      <c r="B351" s="982" t="s">
        <v>721</v>
      </c>
      <c r="C351" s="774">
        <v>214.2</v>
      </c>
      <c r="D351" s="773" t="s">
        <v>2771</v>
      </c>
      <c r="E351" s="1194" t="s">
        <v>3438</v>
      </c>
      <c r="F351" s="773" t="s">
        <v>881</v>
      </c>
      <c r="G351" s="776">
        <v>8.7800000000000003E-2</v>
      </c>
      <c r="H351" s="777"/>
      <c r="I351" s="777"/>
      <c r="J351" s="773" t="s">
        <v>3439</v>
      </c>
    </row>
    <row r="352" spans="1:10" ht="12.75" customHeight="1">
      <c r="A352" s="621">
        <v>215</v>
      </c>
      <c r="B352" s="54" t="s">
        <v>724</v>
      </c>
      <c r="C352" s="1" t="s">
        <v>3440</v>
      </c>
      <c r="D352" s="50" t="s">
        <v>141</v>
      </c>
      <c r="E352" s="759" t="s">
        <v>141</v>
      </c>
      <c r="F352" s="50" t="s">
        <v>141</v>
      </c>
      <c r="G352" s="755" t="s">
        <v>3441</v>
      </c>
    </row>
    <row r="353" spans="1:10" ht="12.75" customHeight="1">
      <c r="A353" s="621">
        <v>216</v>
      </c>
      <c r="B353" s="50" t="s">
        <v>3442</v>
      </c>
      <c r="C353" s="4">
        <v>216.1</v>
      </c>
      <c r="D353" s="50" t="s">
        <v>2765</v>
      </c>
      <c r="E353" s="753">
        <v>41072</v>
      </c>
      <c r="F353" s="50" t="s">
        <v>2766</v>
      </c>
      <c r="G353" s="755">
        <v>1.4</v>
      </c>
    </row>
    <row r="354" spans="1:10" ht="12.75" customHeight="1">
      <c r="A354" s="621">
        <v>216</v>
      </c>
      <c r="B354" s="50" t="s">
        <v>3442</v>
      </c>
      <c r="C354" s="4">
        <v>216.2</v>
      </c>
      <c r="D354" s="50" t="s">
        <v>2765</v>
      </c>
      <c r="E354" s="759" t="s">
        <v>141</v>
      </c>
      <c r="F354" s="50" t="s">
        <v>141</v>
      </c>
      <c r="G354" s="755">
        <v>1.9</v>
      </c>
    </row>
    <row r="355" spans="1:10" ht="12.75" customHeight="1">
      <c r="A355" s="621">
        <v>217</v>
      </c>
      <c r="B355" s="50" t="s">
        <v>727</v>
      </c>
      <c r="C355" s="1">
        <v>217.1</v>
      </c>
      <c r="D355" s="50" t="s">
        <v>141</v>
      </c>
      <c r="E355" s="753">
        <v>41236</v>
      </c>
      <c r="F355" s="50" t="s">
        <v>729</v>
      </c>
      <c r="G355" s="755">
        <v>1.0991</v>
      </c>
      <c r="I355" s="50" t="s">
        <v>3443</v>
      </c>
    </row>
    <row r="356" spans="1:10" ht="12.75" customHeight="1">
      <c r="A356" s="621">
        <v>218</v>
      </c>
      <c r="E356" s="758"/>
      <c r="G356" s="754"/>
    </row>
    <row r="357" spans="1:10" ht="12.75" customHeight="1">
      <c r="A357" s="1224">
        <v>219</v>
      </c>
      <c r="B357" s="1550" t="str">
        <f>VLOOKUP(A357,plasmids!$A$2:$B$391,2)</f>
        <v>pAAV-CMV-TGFbeta-muté</v>
      </c>
      <c r="C357" s="1228">
        <v>219.2</v>
      </c>
      <c r="D357" s="1211" t="s">
        <v>2765</v>
      </c>
      <c r="E357" s="1226">
        <v>41738</v>
      </c>
      <c r="F357" s="1211" t="s">
        <v>3392</v>
      </c>
      <c r="G357" s="1227">
        <v>0.72899999999999998</v>
      </c>
      <c r="H357" s="1211" t="s">
        <v>3029</v>
      </c>
      <c r="I357" s="1213"/>
      <c r="J357" s="1211" t="s">
        <v>2844</v>
      </c>
    </row>
    <row r="358" spans="1:10" ht="12.75" customHeight="1">
      <c r="A358" s="1224">
        <v>219</v>
      </c>
      <c r="B358" s="1211" t="s">
        <v>733</v>
      </c>
      <c r="C358" s="1225">
        <v>219.1</v>
      </c>
      <c r="D358" s="1213"/>
      <c r="E358" s="1551" t="s">
        <v>3412</v>
      </c>
      <c r="F358" s="1211" t="s">
        <v>3055</v>
      </c>
      <c r="G358" s="1552"/>
      <c r="H358" s="1213"/>
      <c r="I358" s="1213"/>
      <c r="J358" s="1213"/>
    </row>
    <row r="359" spans="1:10" ht="12.75" customHeight="1">
      <c r="A359" s="621">
        <v>220</v>
      </c>
      <c r="B359" s="50" t="s">
        <v>736</v>
      </c>
      <c r="C359" s="4">
        <v>220.1</v>
      </c>
      <c r="D359" s="50" t="s">
        <v>2765</v>
      </c>
      <c r="E359" s="753">
        <v>41398</v>
      </c>
      <c r="F359" s="50" t="s">
        <v>3055</v>
      </c>
      <c r="G359" s="755">
        <v>1.26</v>
      </c>
    </row>
    <row r="360" spans="1:10" ht="12.75" customHeight="1">
      <c r="A360" s="621">
        <v>221</v>
      </c>
      <c r="B360" s="50" t="s">
        <v>738</v>
      </c>
      <c r="C360" s="4">
        <v>221.1</v>
      </c>
      <c r="D360" s="50" t="s">
        <v>2765</v>
      </c>
      <c r="E360" s="753">
        <v>41398</v>
      </c>
      <c r="F360" s="50" t="s">
        <v>3055</v>
      </c>
      <c r="G360" s="755">
        <v>1</v>
      </c>
    </row>
    <row r="361" spans="1:10" ht="12.75" customHeight="1">
      <c r="A361" s="621">
        <v>222</v>
      </c>
      <c r="B361" s="50" t="s">
        <v>742</v>
      </c>
      <c r="C361" s="1">
        <v>222.1</v>
      </c>
      <c r="D361" s="50" t="s">
        <v>141</v>
      </c>
      <c r="E361" s="759" t="s">
        <v>141</v>
      </c>
      <c r="F361" s="50" t="s">
        <v>141</v>
      </c>
      <c r="G361" s="755">
        <v>0.97099999999999997</v>
      </c>
    </row>
    <row r="362" spans="1:10" ht="12.75" customHeight="1">
      <c r="A362" s="1538">
        <v>228</v>
      </c>
      <c r="B362" s="54" t="s">
        <v>3452</v>
      </c>
      <c r="C362" s="1" t="s">
        <v>3453</v>
      </c>
      <c r="D362" s="54" t="s">
        <v>2765</v>
      </c>
      <c r="E362" s="1553">
        <v>42768</v>
      </c>
      <c r="F362" s="54" t="s">
        <v>2126</v>
      </c>
      <c r="G362" s="755" t="s">
        <v>3454</v>
      </c>
    </row>
    <row r="363" spans="1:10" ht="12.75" customHeight="1">
      <c r="A363" s="621">
        <v>229</v>
      </c>
      <c r="B363" s="50" t="s">
        <v>771</v>
      </c>
      <c r="C363" s="4">
        <v>229.1</v>
      </c>
      <c r="D363" s="50" t="s">
        <v>3455</v>
      </c>
      <c r="E363" s="759" t="s">
        <v>141</v>
      </c>
      <c r="F363" s="50" t="s">
        <v>141</v>
      </c>
      <c r="G363" s="755">
        <v>0.1484</v>
      </c>
    </row>
    <row r="364" spans="1:10" ht="12.75" customHeight="1">
      <c r="A364" s="621">
        <v>230</v>
      </c>
      <c r="E364" s="758"/>
      <c r="G364" s="754"/>
    </row>
    <row r="365" spans="1:10" ht="12.75" customHeight="1">
      <c r="A365" s="1254">
        <v>231</v>
      </c>
      <c r="B365" s="960" t="s">
        <v>3456</v>
      </c>
      <c r="C365" s="1255">
        <v>231.1</v>
      </c>
      <c r="D365" s="960" t="s">
        <v>2765</v>
      </c>
      <c r="E365" s="1256">
        <v>41430</v>
      </c>
      <c r="F365" s="960" t="s">
        <v>3263</v>
      </c>
      <c r="G365" s="1258"/>
      <c r="H365" s="963"/>
      <c r="I365" s="963"/>
      <c r="J365" s="963"/>
    </row>
    <row r="366" spans="1:10" ht="12.75" customHeight="1">
      <c r="A366" s="1254">
        <v>231</v>
      </c>
      <c r="B366" s="960" t="s">
        <v>3456</v>
      </c>
      <c r="C366" s="1255">
        <v>231.2</v>
      </c>
      <c r="D366" s="960" t="s">
        <v>2765</v>
      </c>
      <c r="E366" s="1263" t="s">
        <v>3458</v>
      </c>
      <c r="F366" s="960" t="s">
        <v>3055</v>
      </c>
      <c r="G366" s="1261">
        <v>0.39300000000000002</v>
      </c>
      <c r="H366" s="963"/>
      <c r="I366" s="963"/>
      <c r="J366" s="963"/>
    </row>
    <row r="367" spans="1:10" ht="12.75" customHeight="1">
      <c r="A367" s="1254">
        <v>231</v>
      </c>
      <c r="B367" s="960" t="s">
        <v>3460</v>
      </c>
      <c r="C367" s="1255">
        <v>231.3</v>
      </c>
      <c r="D367" s="960" t="s">
        <v>2765</v>
      </c>
      <c r="E367" s="1263" t="s">
        <v>3461</v>
      </c>
      <c r="F367" s="960" t="s">
        <v>158</v>
      </c>
      <c r="G367" s="1261">
        <v>1.0294000000000001</v>
      </c>
      <c r="H367" s="963"/>
      <c r="I367" s="963"/>
      <c r="J367" s="963"/>
    </row>
    <row r="368" spans="1:10" ht="12.75" customHeight="1">
      <c r="A368" s="1018">
        <v>232</v>
      </c>
      <c r="B368" s="1019" t="s">
        <v>3462</v>
      </c>
      <c r="C368" s="1027">
        <v>232.1</v>
      </c>
      <c r="D368" s="1019" t="s">
        <v>2765</v>
      </c>
      <c r="E368" s="1554">
        <v>41430</v>
      </c>
      <c r="F368" s="1019" t="s">
        <v>3263</v>
      </c>
      <c r="G368" s="1555"/>
      <c r="H368" s="1029"/>
      <c r="I368" s="1029"/>
      <c r="J368" s="1029"/>
    </row>
    <row r="369" spans="1:13" ht="12.75" customHeight="1">
      <c r="A369" s="1018">
        <v>232</v>
      </c>
      <c r="B369" s="1019" t="s">
        <v>3462</v>
      </c>
      <c r="C369" s="1031">
        <v>232.2</v>
      </c>
      <c r="D369" s="1019" t="s">
        <v>2765</v>
      </c>
      <c r="E369" s="1554">
        <v>42186</v>
      </c>
      <c r="F369" s="1556" t="s">
        <v>881</v>
      </c>
      <c r="G369" s="1557">
        <v>1.0955999999999999</v>
      </c>
      <c r="H369" s="1556" t="s">
        <v>929</v>
      </c>
      <c r="I369" s="1556" t="s">
        <v>141</v>
      </c>
      <c r="J369" s="1556" t="s">
        <v>2844</v>
      </c>
    </row>
    <row r="370" spans="1:13" ht="12.75" customHeight="1">
      <c r="A370" s="621">
        <v>233</v>
      </c>
      <c r="B370" s="50" t="s">
        <v>785</v>
      </c>
      <c r="C370" s="1">
        <v>233.1</v>
      </c>
      <c r="D370" s="50" t="s">
        <v>2771</v>
      </c>
      <c r="E370" s="759" t="s">
        <v>141</v>
      </c>
      <c r="F370" s="50" t="s">
        <v>3431</v>
      </c>
      <c r="G370" s="755">
        <v>0.23119999999999999</v>
      </c>
    </row>
    <row r="371" spans="1:13" ht="12.75" customHeight="1">
      <c r="A371" s="1558">
        <v>234</v>
      </c>
      <c r="B371" s="1096" t="s">
        <v>3146</v>
      </c>
      <c r="C371" s="1559">
        <v>234.1</v>
      </c>
      <c r="D371" s="1096" t="s">
        <v>2771</v>
      </c>
      <c r="E371" s="1321">
        <v>41343</v>
      </c>
      <c r="F371" s="1096" t="s">
        <v>881</v>
      </c>
      <c r="G371" s="1560">
        <v>0.44590000000000002</v>
      </c>
      <c r="H371" s="1096" t="s">
        <v>3029</v>
      </c>
      <c r="I371" s="655"/>
      <c r="J371" s="1096" t="s">
        <v>3471</v>
      </c>
    </row>
    <row r="372" spans="1:13" ht="12.75" customHeight="1">
      <c r="A372" s="1558">
        <v>234</v>
      </c>
      <c r="B372" s="1096" t="s">
        <v>3146</v>
      </c>
      <c r="C372" s="1320" t="s">
        <v>3472</v>
      </c>
      <c r="D372" s="653" t="s">
        <v>2952</v>
      </c>
      <c r="E372" s="1321">
        <v>42342</v>
      </c>
      <c r="F372" s="1096" t="s">
        <v>881</v>
      </c>
      <c r="G372" s="1560" t="s">
        <v>3473</v>
      </c>
      <c r="H372" s="653" t="s">
        <v>929</v>
      </c>
      <c r="I372" s="655"/>
      <c r="J372" s="653" t="s">
        <v>3474</v>
      </c>
    </row>
    <row r="373" spans="1:13" ht="12.75" customHeight="1">
      <c r="A373" s="621">
        <v>235</v>
      </c>
      <c r="C373" s="757"/>
      <c r="E373" s="758"/>
      <c r="G373" s="754"/>
    </row>
    <row r="374" spans="1:13" ht="12.75" customHeight="1">
      <c r="A374" s="1561">
        <v>236</v>
      </c>
      <c r="B374" s="1088" t="s">
        <v>3475</v>
      </c>
      <c r="C374" s="1562">
        <v>236.1</v>
      </c>
      <c r="D374" s="1088" t="s">
        <v>2765</v>
      </c>
      <c r="E374" s="1563">
        <v>41430</v>
      </c>
      <c r="F374" s="1088" t="s">
        <v>3263</v>
      </c>
      <c r="G374" s="1564"/>
      <c r="H374" s="1038"/>
      <c r="I374" s="1038"/>
      <c r="J374" s="1038"/>
    </row>
    <row r="375" spans="1:13" ht="12.75" customHeight="1">
      <c r="A375" s="1561">
        <v>236</v>
      </c>
      <c r="B375" s="1088" t="s">
        <v>3475</v>
      </c>
      <c r="C375" s="1562">
        <v>236.2</v>
      </c>
      <c r="D375" s="1088" t="s">
        <v>2765</v>
      </c>
      <c r="E375" s="1565" t="s">
        <v>3458</v>
      </c>
      <c r="F375" s="1088" t="s">
        <v>3055</v>
      </c>
      <c r="G375" s="1566" t="s">
        <v>3478</v>
      </c>
      <c r="H375" s="1038"/>
      <c r="I375" s="1038"/>
      <c r="J375" s="1038"/>
    </row>
    <row r="376" spans="1:13" ht="12.75" customHeight="1">
      <c r="A376" s="1538">
        <v>237</v>
      </c>
      <c r="B376" s="50" t="s">
        <v>794</v>
      </c>
      <c r="C376" s="1" t="s">
        <v>3480</v>
      </c>
      <c r="D376" s="54" t="s">
        <v>141</v>
      </c>
      <c r="E376" s="753">
        <v>41327</v>
      </c>
      <c r="F376" s="54" t="s">
        <v>795</v>
      </c>
      <c r="G376" s="755" t="s">
        <v>3481</v>
      </c>
      <c r="J376" s="54" t="s">
        <v>3482</v>
      </c>
    </row>
    <row r="377" spans="1:13" ht="12.75" customHeight="1">
      <c r="A377" s="1567">
        <v>238</v>
      </c>
      <c r="B377" s="625" t="s">
        <v>798</v>
      </c>
      <c r="C377" s="1204" t="s">
        <v>3484</v>
      </c>
      <c r="D377" s="1457" t="s">
        <v>141</v>
      </c>
      <c r="E377" s="1197">
        <v>41320</v>
      </c>
      <c r="F377" s="1457" t="s">
        <v>795</v>
      </c>
      <c r="G377" s="1199" t="s">
        <v>3486</v>
      </c>
      <c r="H377" s="647"/>
      <c r="I377" s="647"/>
      <c r="J377" s="1457" t="s">
        <v>3482</v>
      </c>
      <c r="K377" s="647"/>
      <c r="L377" s="647"/>
      <c r="M377" s="647"/>
    </row>
    <row r="378" spans="1:13" ht="12.75" customHeight="1">
      <c r="A378" s="621">
        <v>241</v>
      </c>
      <c r="B378" s="50" t="s">
        <v>3487</v>
      </c>
      <c r="C378" s="4">
        <v>241.1</v>
      </c>
      <c r="D378" s="50" t="s">
        <v>2765</v>
      </c>
      <c r="E378" s="753">
        <v>41614</v>
      </c>
      <c r="F378" s="50" t="s">
        <v>158</v>
      </c>
      <c r="G378" s="755">
        <v>0.48699999999999999</v>
      </c>
    </row>
    <row r="379" spans="1:13" ht="12.75" customHeight="1">
      <c r="A379" s="1539">
        <v>242</v>
      </c>
      <c r="B379" s="170" t="s">
        <v>3489</v>
      </c>
      <c r="C379" s="1540">
        <v>242.1</v>
      </c>
      <c r="D379" s="170" t="s">
        <v>2765</v>
      </c>
      <c r="E379" s="1541">
        <v>41614</v>
      </c>
      <c r="F379" s="170" t="s">
        <v>158</v>
      </c>
      <c r="G379" s="1568">
        <v>0.65</v>
      </c>
      <c r="H379" s="174"/>
      <c r="I379" s="174"/>
      <c r="J379" s="174"/>
    </row>
    <row r="380" spans="1:13" ht="12.75" customHeight="1">
      <c r="A380" s="1539">
        <v>242</v>
      </c>
      <c r="B380" s="170" t="s">
        <v>3489</v>
      </c>
      <c r="C380" s="1569">
        <v>242.2</v>
      </c>
      <c r="D380" s="170" t="s">
        <v>2765</v>
      </c>
      <c r="E380" s="1541">
        <v>41787</v>
      </c>
      <c r="F380" s="170" t="s">
        <v>881</v>
      </c>
      <c r="G380" s="1568">
        <v>0.1348</v>
      </c>
      <c r="H380" s="170" t="s">
        <v>929</v>
      </c>
      <c r="I380" s="174"/>
      <c r="J380" s="170" t="s">
        <v>2844</v>
      </c>
    </row>
    <row r="381" spans="1:13" ht="12.75" customHeight="1">
      <c r="A381" s="1539">
        <v>242</v>
      </c>
      <c r="B381" s="170" t="s">
        <v>3489</v>
      </c>
      <c r="C381" s="1569">
        <v>242.3</v>
      </c>
      <c r="D381" s="170" t="s">
        <v>2765</v>
      </c>
      <c r="E381" s="1541">
        <v>41795</v>
      </c>
      <c r="F381" s="170" t="s">
        <v>881</v>
      </c>
      <c r="G381" s="1568">
        <v>0.29830000000000001</v>
      </c>
      <c r="H381" s="170" t="s">
        <v>929</v>
      </c>
      <c r="I381" s="174"/>
      <c r="J381" s="170" t="s">
        <v>2844</v>
      </c>
    </row>
    <row r="382" spans="1:13" ht="12.75" customHeight="1">
      <c r="A382" s="1539">
        <v>242</v>
      </c>
      <c r="B382" s="170" t="s">
        <v>3489</v>
      </c>
      <c r="C382" s="1569">
        <v>242.4</v>
      </c>
      <c r="D382" s="170" t="s">
        <v>2771</v>
      </c>
      <c r="E382" s="1541">
        <v>41852</v>
      </c>
      <c r="F382" s="170" t="s">
        <v>158</v>
      </c>
      <c r="G382" s="1568">
        <v>0.1215</v>
      </c>
      <c r="H382" s="174"/>
      <c r="I382" s="174"/>
      <c r="J382" s="170" t="s">
        <v>2844</v>
      </c>
    </row>
    <row r="383" spans="1:13" ht="12.75" customHeight="1">
      <c r="A383" s="621">
        <v>244</v>
      </c>
      <c r="B383" s="50" t="s">
        <v>3491</v>
      </c>
      <c r="C383" s="4">
        <v>244.1</v>
      </c>
      <c r="D383" s="50" t="s">
        <v>2765</v>
      </c>
      <c r="E383" s="753">
        <v>41614</v>
      </c>
      <c r="F383" s="50" t="s">
        <v>158</v>
      </c>
      <c r="G383" s="755" t="s">
        <v>3492</v>
      </c>
    </row>
    <row r="384" spans="1:13" ht="12.75" customHeight="1">
      <c r="A384" s="621">
        <v>253</v>
      </c>
      <c r="B384" s="50" t="s">
        <v>842</v>
      </c>
      <c r="C384" s="4">
        <v>253.1</v>
      </c>
      <c r="D384" s="50" t="s">
        <v>2765</v>
      </c>
      <c r="E384" s="759" t="s">
        <v>3493</v>
      </c>
      <c r="F384" s="50" t="s">
        <v>158</v>
      </c>
      <c r="G384" s="755">
        <v>2.1448</v>
      </c>
    </row>
    <row r="385" spans="1:11" ht="12.75" customHeight="1">
      <c r="A385" s="621">
        <v>254</v>
      </c>
      <c r="E385" s="758"/>
      <c r="G385" s="754"/>
    </row>
    <row r="386" spans="1:11" ht="12.75" customHeight="1">
      <c r="A386" s="621">
        <v>255</v>
      </c>
      <c r="E386" s="758"/>
      <c r="G386" s="754"/>
    </row>
    <row r="387" spans="1:11" ht="12.75" customHeight="1">
      <c r="A387" s="762">
        <v>256</v>
      </c>
      <c r="B387" s="763" t="s">
        <v>3494</v>
      </c>
      <c r="C387" s="764">
        <v>256.2</v>
      </c>
      <c r="D387" s="763" t="s">
        <v>2765</v>
      </c>
      <c r="E387" s="767">
        <v>41315</v>
      </c>
      <c r="F387" s="763" t="s">
        <v>881</v>
      </c>
      <c r="G387" s="769" t="s">
        <v>141</v>
      </c>
      <c r="H387" s="763" t="s">
        <v>141</v>
      </c>
      <c r="I387" s="763" t="s">
        <v>141</v>
      </c>
      <c r="J387" s="970" t="s">
        <v>3197</v>
      </c>
    </row>
    <row r="388" spans="1:11" ht="12.75" customHeight="1">
      <c r="A388" s="772">
        <v>256</v>
      </c>
      <c r="B388" s="773" t="s">
        <v>3495</v>
      </c>
      <c r="C388" s="774">
        <v>256.3</v>
      </c>
      <c r="D388" s="773" t="s">
        <v>2765</v>
      </c>
      <c r="E388" s="1194" t="s">
        <v>3496</v>
      </c>
      <c r="F388" s="773" t="s">
        <v>158</v>
      </c>
      <c r="G388" s="776">
        <v>0.46250000000000002</v>
      </c>
      <c r="H388" s="777"/>
      <c r="I388" s="773" t="s">
        <v>3443</v>
      </c>
      <c r="J388" s="777"/>
    </row>
    <row r="389" spans="1:11" ht="12.75" customHeight="1">
      <c r="A389" s="1570">
        <v>256</v>
      </c>
      <c r="B389" s="1571" t="s">
        <v>3495</v>
      </c>
      <c r="C389" s="1572">
        <v>256.10000000000002</v>
      </c>
      <c r="D389" s="1571" t="s">
        <v>2771</v>
      </c>
      <c r="E389" s="1573" t="s">
        <v>3501</v>
      </c>
      <c r="F389" s="1571" t="s">
        <v>925</v>
      </c>
      <c r="G389" s="1574">
        <v>0.11219999999999999</v>
      </c>
      <c r="H389" s="1575"/>
      <c r="I389" s="1575"/>
      <c r="J389" s="1575"/>
    </row>
    <row r="390" spans="1:11" ht="12.75" customHeight="1">
      <c r="A390" s="1576">
        <v>257</v>
      </c>
      <c r="B390" s="1577" t="s">
        <v>865</v>
      </c>
      <c r="C390" s="1578">
        <v>257.2</v>
      </c>
      <c r="D390" s="1577" t="s">
        <v>2765</v>
      </c>
      <c r="E390" s="1579" t="s">
        <v>3509</v>
      </c>
      <c r="F390" s="1577" t="s">
        <v>881</v>
      </c>
      <c r="G390" s="1580" t="s">
        <v>141</v>
      </c>
      <c r="H390" s="1577" t="s">
        <v>141</v>
      </c>
      <c r="I390" s="1577" t="s">
        <v>141</v>
      </c>
      <c r="J390" s="1581" t="s">
        <v>3513</v>
      </c>
      <c r="K390" s="380"/>
    </row>
    <row r="391" spans="1:11" ht="12.75" customHeight="1">
      <c r="A391" s="1582">
        <v>257</v>
      </c>
      <c r="B391" s="891" t="s">
        <v>865</v>
      </c>
      <c r="C391" s="893">
        <v>257.10000000000002</v>
      </c>
      <c r="D391" s="891" t="s">
        <v>2771</v>
      </c>
      <c r="E391" s="895" t="s">
        <v>3517</v>
      </c>
      <c r="F391" s="891" t="s">
        <v>881</v>
      </c>
      <c r="G391" s="897">
        <v>0.1188</v>
      </c>
      <c r="H391" s="899" t="s">
        <v>720</v>
      </c>
      <c r="I391" s="891" t="s">
        <v>3443</v>
      </c>
      <c r="J391" s="1583"/>
      <c r="K391" s="380"/>
    </row>
    <row r="392" spans="1:11" ht="12.75" customHeight="1">
      <c r="A392" s="1582">
        <v>257</v>
      </c>
      <c r="B392" s="891" t="s">
        <v>865</v>
      </c>
      <c r="C392" s="893">
        <v>257.3</v>
      </c>
      <c r="D392" s="891" t="s">
        <v>2765</v>
      </c>
      <c r="E392" s="895" t="s">
        <v>3520</v>
      </c>
      <c r="F392" s="891" t="s">
        <v>881</v>
      </c>
      <c r="G392" s="897">
        <v>0.40953000000000001</v>
      </c>
      <c r="H392" s="899" t="s">
        <v>3521</v>
      </c>
      <c r="I392" s="891" t="s">
        <v>3443</v>
      </c>
      <c r="J392" s="1583"/>
      <c r="K392" s="380"/>
    </row>
    <row r="393" spans="1:11" ht="12.75" customHeight="1">
      <c r="A393" s="1582">
        <v>257</v>
      </c>
      <c r="B393" s="891" t="s">
        <v>865</v>
      </c>
      <c r="C393" s="1182">
        <v>257.39999999999998</v>
      </c>
      <c r="D393" s="891" t="s">
        <v>2765</v>
      </c>
      <c r="E393" s="1185">
        <v>41787</v>
      </c>
      <c r="F393" s="891" t="s">
        <v>881</v>
      </c>
      <c r="G393" s="897">
        <v>0.15890000000000001</v>
      </c>
      <c r="H393" s="899" t="s">
        <v>3521</v>
      </c>
      <c r="I393" s="891" t="s">
        <v>3443</v>
      </c>
      <c r="J393" s="1584" t="s">
        <v>2844</v>
      </c>
      <c r="K393" s="380"/>
    </row>
    <row r="394" spans="1:11" ht="12.75" customHeight="1">
      <c r="A394" s="1582">
        <v>257</v>
      </c>
      <c r="B394" s="891" t="s">
        <v>865</v>
      </c>
      <c r="C394" s="1182">
        <v>257.5</v>
      </c>
      <c r="D394" s="891" t="s">
        <v>2765</v>
      </c>
      <c r="E394" s="1185">
        <v>41802</v>
      </c>
      <c r="F394" s="891" t="s">
        <v>881</v>
      </c>
      <c r="G394" s="897">
        <v>0.48770000000000002</v>
      </c>
      <c r="H394" s="899" t="s">
        <v>3521</v>
      </c>
      <c r="I394" s="891" t="s">
        <v>3443</v>
      </c>
      <c r="J394" s="1584" t="s">
        <v>2844</v>
      </c>
      <c r="K394" s="380"/>
    </row>
    <row r="395" spans="1:11" ht="12.75" customHeight="1">
      <c r="A395" s="1585">
        <v>258</v>
      </c>
      <c r="B395" s="50" t="s">
        <v>884</v>
      </c>
      <c r="C395" s="1586">
        <v>258.10000000000002</v>
      </c>
      <c r="D395" s="54" t="s">
        <v>2765</v>
      </c>
      <c r="E395" s="1587">
        <v>42949</v>
      </c>
      <c r="F395" s="54" t="s">
        <v>95</v>
      </c>
      <c r="G395" s="1588">
        <v>0.218</v>
      </c>
      <c r="H395" s="18"/>
      <c r="J395" s="1593" t="s">
        <v>2844</v>
      </c>
      <c r="K395" s="380"/>
    </row>
    <row r="396" spans="1:11" ht="12.75" customHeight="1">
      <c r="A396" s="1595">
        <v>267</v>
      </c>
      <c r="B396" s="891" t="s">
        <v>908</v>
      </c>
      <c r="C396" s="1596">
        <v>267.10000000000002</v>
      </c>
      <c r="D396" s="891" t="s">
        <v>2771</v>
      </c>
      <c r="E396" s="1597">
        <v>41494</v>
      </c>
      <c r="F396" s="891" t="s">
        <v>872</v>
      </c>
      <c r="G396" s="1598">
        <v>0.14299999999999999</v>
      </c>
      <c r="H396" s="899" t="s">
        <v>720</v>
      </c>
      <c r="I396" s="901"/>
      <c r="J396" s="1583"/>
      <c r="K396" s="380"/>
    </row>
    <row r="397" spans="1:11" ht="12.75" customHeight="1">
      <c r="A397" s="1582">
        <v>267</v>
      </c>
      <c r="B397" s="891" t="s">
        <v>908</v>
      </c>
      <c r="C397" s="893">
        <v>267.2</v>
      </c>
      <c r="D397" s="891" t="s">
        <v>2765</v>
      </c>
      <c r="E397" s="895" t="s">
        <v>3204</v>
      </c>
      <c r="F397" s="891" t="s">
        <v>881</v>
      </c>
      <c r="G397" s="897">
        <v>0.69699999999999995</v>
      </c>
      <c r="H397" s="899" t="s">
        <v>720</v>
      </c>
      <c r="I397" s="901"/>
      <c r="J397" s="1584" t="s">
        <v>3205</v>
      </c>
      <c r="K397" s="380"/>
    </row>
    <row r="398" spans="1:11" ht="12.75" customHeight="1">
      <c r="A398" s="1585">
        <v>272</v>
      </c>
      <c r="B398" s="50" t="s">
        <v>919</v>
      </c>
      <c r="C398" s="1586" t="s">
        <v>3609</v>
      </c>
      <c r="D398" s="1660" t="s">
        <v>141</v>
      </c>
      <c r="E398" s="1661" t="s">
        <v>141</v>
      </c>
      <c r="F398" s="1660" t="s">
        <v>141</v>
      </c>
      <c r="G398" s="1588">
        <v>1</v>
      </c>
      <c r="H398" s="1663" t="s">
        <v>141</v>
      </c>
      <c r="I398" s="1161"/>
      <c r="J398" s="1664" t="s">
        <v>795</v>
      </c>
      <c r="K398" s="380"/>
    </row>
    <row r="399" spans="1:11" ht="12.75" customHeight="1">
      <c r="A399" s="1665">
        <v>273</v>
      </c>
      <c r="B399" s="1669" t="s">
        <v>3747</v>
      </c>
      <c r="C399" s="1671">
        <v>273.2</v>
      </c>
      <c r="D399" s="1669" t="s">
        <v>2765</v>
      </c>
      <c r="E399" s="1597">
        <v>41717</v>
      </c>
      <c r="F399" s="1669" t="s">
        <v>95</v>
      </c>
      <c r="G399" s="1598">
        <v>0.1681</v>
      </c>
      <c r="H399" s="1673" t="s">
        <v>720</v>
      </c>
      <c r="I399" s="1674"/>
      <c r="J399" s="1669" t="s">
        <v>3759</v>
      </c>
    </row>
    <row r="400" spans="1:11" ht="12.75" customHeight="1">
      <c r="A400" s="621">
        <v>273</v>
      </c>
      <c r="B400" s="50" t="s">
        <v>3760</v>
      </c>
      <c r="C400" s="4">
        <v>273.10000000000002</v>
      </c>
      <c r="D400" s="50" t="s">
        <v>141</v>
      </c>
      <c r="E400" s="759" t="s">
        <v>141</v>
      </c>
      <c r="F400" s="50" t="s">
        <v>925</v>
      </c>
      <c r="G400" s="755">
        <v>0.13389999999999999</v>
      </c>
      <c r="H400" s="50" t="s">
        <v>3029</v>
      </c>
    </row>
    <row r="401" spans="1:10" ht="12.75" customHeight="1">
      <c r="A401" s="864">
        <v>274</v>
      </c>
      <c r="B401" s="865" t="s">
        <v>927</v>
      </c>
      <c r="C401" s="866">
        <v>274.10000000000002</v>
      </c>
      <c r="D401" s="865" t="s">
        <v>2771</v>
      </c>
      <c r="E401" s="867" t="s">
        <v>141</v>
      </c>
      <c r="F401" s="865" t="s">
        <v>872</v>
      </c>
      <c r="G401" s="869">
        <v>0.56610000000000005</v>
      </c>
      <c r="H401" s="865" t="s">
        <v>929</v>
      </c>
      <c r="I401" s="868"/>
      <c r="J401" s="868"/>
    </row>
    <row r="402" spans="1:10" ht="12.75" customHeight="1">
      <c r="A402" s="864">
        <v>274</v>
      </c>
      <c r="B402" s="865" t="s">
        <v>3762</v>
      </c>
      <c r="C402" s="866">
        <v>274.2</v>
      </c>
      <c r="D402" s="865" t="s">
        <v>3073</v>
      </c>
      <c r="E402" s="867" t="s">
        <v>3144</v>
      </c>
      <c r="F402" s="865" t="s">
        <v>881</v>
      </c>
      <c r="G402" s="869">
        <v>3.7</v>
      </c>
      <c r="H402" s="865" t="s">
        <v>929</v>
      </c>
      <c r="I402" s="868"/>
      <c r="J402" s="865" t="s">
        <v>3764</v>
      </c>
    </row>
    <row r="403" spans="1:10" ht="12.75" customHeight="1">
      <c r="A403" s="621">
        <v>275</v>
      </c>
      <c r="B403" s="50" t="s">
        <v>931</v>
      </c>
      <c r="C403" s="4">
        <v>275.10000000000002</v>
      </c>
      <c r="D403" s="50" t="s">
        <v>2771</v>
      </c>
      <c r="E403" s="759" t="s">
        <v>3765</v>
      </c>
      <c r="F403" s="50" t="s">
        <v>881</v>
      </c>
      <c r="G403" s="755">
        <v>0.54059999999999997</v>
      </c>
      <c r="H403" s="50" t="s">
        <v>3029</v>
      </c>
    </row>
    <row r="404" spans="1:10" ht="12.75" customHeight="1">
      <c r="A404" s="1558">
        <v>276</v>
      </c>
      <c r="B404" s="1096" t="s">
        <v>941</v>
      </c>
      <c r="C404" s="1559">
        <v>276.10000000000002</v>
      </c>
      <c r="D404" s="1096" t="s">
        <v>2771</v>
      </c>
      <c r="E404" s="1676" t="s">
        <v>3765</v>
      </c>
      <c r="F404" s="1096" t="s">
        <v>881</v>
      </c>
      <c r="G404" s="1560">
        <v>0.53010000000000002</v>
      </c>
      <c r="H404" s="1096" t="s">
        <v>3029</v>
      </c>
      <c r="I404" s="655"/>
      <c r="J404" s="655"/>
    </row>
    <row r="405" spans="1:10" ht="12.75" customHeight="1">
      <c r="A405" s="1558">
        <v>276</v>
      </c>
      <c r="B405" s="1096" t="s">
        <v>941</v>
      </c>
      <c r="C405" s="1559">
        <v>276.2</v>
      </c>
      <c r="D405" s="1096" t="s">
        <v>2765</v>
      </c>
      <c r="E405" s="1676" t="s">
        <v>3461</v>
      </c>
      <c r="F405" s="1096" t="s">
        <v>158</v>
      </c>
      <c r="G405" s="1560">
        <v>1.7485999999999999</v>
      </c>
      <c r="H405" s="1096" t="s">
        <v>929</v>
      </c>
      <c r="I405" s="655"/>
      <c r="J405" s="655"/>
    </row>
    <row r="406" spans="1:10" ht="12.75" customHeight="1">
      <c r="A406" s="621">
        <v>277</v>
      </c>
      <c r="B406" s="50" t="s">
        <v>944</v>
      </c>
      <c r="C406" s="4">
        <v>277.10000000000002</v>
      </c>
      <c r="D406" s="50" t="s">
        <v>2771</v>
      </c>
      <c r="E406" s="759" t="s">
        <v>3765</v>
      </c>
      <c r="F406" s="50" t="s">
        <v>881</v>
      </c>
      <c r="G406" s="755">
        <v>0.53749999999999998</v>
      </c>
      <c r="H406" s="50" t="s">
        <v>3029</v>
      </c>
    </row>
    <row r="407" spans="1:10" ht="12.75" customHeight="1">
      <c r="A407" s="621">
        <v>278</v>
      </c>
      <c r="B407" s="50" t="s">
        <v>948</v>
      </c>
      <c r="C407" s="4">
        <v>278.10000000000002</v>
      </c>
      <c r="D407" s="50" t="s">
        <v>2771</v>
      </c>
      <c r="E407" s="759" t="s">
        <v>3765</v>
      </c>
      <c r="F407" s="50" t="s">
        <v>881</v>
      </c>
      <c r="G407" s="755">
        <v>0.22650000000000001</v>
      </c>
      <c r="H407" s="50" t="s">
        <v>3029</v>
      </c>
    </row>
    <row r="408" spans="1:10" ht="12.75" customHeight="1">
      <c r="A408" s="889">
        <v>279</v>
      </c>
      <c r="B408" s="891" t="s">
        <v>3773</v>
      </c>
      <c r="C408" s="893">
        <v>279.10000000000002</v>
      </c>
      <c r="D408" s="891" t="s">
        <v>2771</v>
      </c>
      <c r="E408" s="1185">
        <v>41373</v>
      </c>
      <c r="F408" s="891" t="s">
        <v>881</v>
      </c>
      <c r="G408" s="897">
        <v>0.25819999999999999</v>
      </c>
      <c r="H408" s="899" t="s">
        <v>720</v>
      </c>
      <c r="I408" s="891" t="s">
        <v>3443</v>
      </c>
      <c r="J408" s="901"/>
    </row>
    <row r="409" spans="1:10" ht="12.75" customHeight="1">
      <c r="A409" s="779">
        <v>279</v>
      </c>
      <c r="B409" s="780" t="s">
        <v>3773</v>
      </c>
      <c r="C409" s="781">
        <v>279.2</v>
      </c>
      <c r="D409" s="780" t="s">
        <v>2765</v>
      </c>
      <c r="E409" s="1679">
        <v>41403</v>
      </c>
      <c r="F409" s="780" t="s">
        <v>881</v>
      </c>
      <c r="G409" s="1535"/>
      <c r="H409" s="780" t="s">
        <v>3029</v>
      </c>
      <c r="I409" s="780" t="s">
        <v>3443</v>
      </c>
      <c r="J409" s="780" t="s">
        <v>3777</v>
      </c>
    </row>
    <row r="410" spans="1:10" ht="12.75" customHeight="1">
      <c r="A410" s="889">
        <v>279</v>
      </c>
      <c r="B410" s="891" t="s">
        <v>3773</v>
      </c>
      <c r="C410" s="893">
        <v>279.3</v>
      </c>
      <c r="D410" s="891" t="s">
        <v>2765</v>
      </c>
      <c r="E410" s="1185">
        <v>41434</v>
      </c>
      <c r="F410" s="891" t="s">
        <v>881</v>
      </c>
      <c r="G410" s="897">
        <v>0.57489999999999997</v>
      </c>
      <c r="H410" s="899" t="s">
        <v>720</v>
      </c>
      <c r="I410" s="891" t="s">
        <v>3443</v>
      </c>
      <c r="J410" s="901"/>
    </row>
    <row r="411" spans="1:10" ht="12.75" customHeight="1">
      <c r="A411" s="779">
        <v>279</v>
      </c>
      <c r="B411" s="780" t="s">
        <v>3773</v>
      </c>
      <c r="C411" s="781">
        <v>279.39999999999998</v>
      </c>
      <c r="D411" s="780" t="s">
        <v>2765</v>
      </c>
      <c r="E411" s="1679">
        <v>41617</v>
      </c>
      <c r="F411" s="780" t="s">
        <v>881</v>
      </c>
      <c r="G411" s="787">
        <v>0.1</v>
      </c>
      <c r="H411" s="780" t="s">
        <v>3029</v>
      </c>
      <c r="I411" s="780" t="s">
        <v>3443</v>
      </c>
      <c r="J411" s="780" t="s">
        <v>3777</v>
      </c>
    </row>
    <row r="412" spans="1:10" ht="12.75" customHeight="1">
      <c r="A412" s="889">
        <v>279</v>
      </c>
      <c r="B412" s="891" t="s">
        <v>952</v>
      </c>
      <c r="C412" s="893">
        <v>279.5</v>
      </c>
      <c r="D412" s="891" t="s">
        <v>2765</v>
      </c>
      <c r="E412" s="895" t="s">
        <v>3778</v>
      </c>
      <c r="F412" s="891" t="s">
        <v>881</v>
      </c>
      <c r="G412" s="897">
        <v>0.61819999999999997</v>
      </c>
      <c r="H412" s="899" t="s">
        <v>720</v>
      </c>
      <c r="I412" s="891" t="s">
        <v>3443</v>
      </c>
      <c r="J412" s="901"/>
    </row>
    <row r="413" spans="1:10" ht="12.75" customHeight="1">
      <c r="A413" s="621">
        <v>280</v>
      </c>
      <c r="B413" s="50" t="s">
        <v>960</v>
      </c>
      <c r="C413" s="4">
        <v>280.10000000000002</v>
      </c>
      <c r="D413" s="50" t="s">
        <v>2771</v>
      </c>
      <c r="E413" s="759" t="s">
        <v>3780</v>
      </c>
      <c r="F413" s="50" t="s">
        <v>881</v>
      </c>
      <c r="G413" s="755">
        <v>0.50570000000000004</v>
      </c>
      <c r="H413" s="50" t="s">
        <v>3029</v>
      </c>
    </row>
    <row r="414" spans="1:10" ht="12.75" customHeight="1">
      <c r="A414" s="621">
        <v>281</v>
      </c>
      <c r="B414" s="50" t="s">
        <v>966</v>
      </c>
      <c r="C414" s="4">
        <v>281.10000000000002</v>
      </c>
      <c r="D414" s="50" t="s">
        <v>2771</v>
      </c>
      <c r="E414" s="759" t="s">
        <v>3780</v>
      </c>
      <c r="F414" s="50" t="s">
        <v>881</v>
      </c>
      <c r="G414" s="755">
        <v>0.34660000000000002</v>
      </c>
      <c r="H414" s="50" t="s">
        <v>3029</v>
      </c>
    </row>
    <row r="415" spans="1:10" ht="12.75" customHeight="1">
      <c r="A415" s="621">
        <v>282</v>
      </c>
      <c r="B415" s="50" t="s">
        <v>1048</v>
      </c>
      <c r="C415" s="4">
        <v>282.10000000000002</v>
      </c>
      <c r="D415" s="50" t="s">
        <v>2771</v>
      </c>
      <c r="E415" s="759" t="s">
        <v>3780</v>
      </c>
      <c r="F415" s="50" t="s">
        <v>881</v>
      </c>
      <c r="G415" s="755">
        <v>0.42009999999999997</v>
      </c>
      <c r="H415" s="50" t="s">
        <v>3029</v>
      </c>
    </row>
    <row r="416" spans="1:10" ht="12.75" customHeight="1">
      <c r="A416" s="621">
        <v>283</v>
      </c>
      <c r="B416" s="50" t="s">
        <v>1051</v>
      </c>
      <c r="C416" s="4">
        <v>283.10000000000002</v>
      </c>
      <c r="D416" s="50" t="s">
        <v>2771</v>
      </c>
      <c r="E416" s="759" t="s">
        <v>3780</v>
      </c>
      <c r="F416" s="50" t="s">
        <v>881</v>
      </c>
      <c r="G416" s="755">
        <v>0.61929999999999996</v>
      </c>
      <c r="H416" s="50" t="s">
        <v>3029</v>
      </c>
    </row>
    <row r="417" spans="1:10" ht="12.75" customHeight="1">
      <c r="A417" s="772">
        <v>284</v>
      </c>
      <c r="B417" s="773" t="s">
        <v>1056</v>
      </c>
      <c r="C417" s="774">
        <v>284.2</v>
      </c>
      <c r="D417" s="773" t="s">
        <v>2765</v>
      </c>
      <c r="E417" s="775">
        <v>41315</v>
      </c>
      <c r="F417" s="773" t="s">
        <v>881</v>
      </c>
      <c r="G417" s="776">
        <v>0.2321</v>
      </c>
      <c r="H417" s="773" t="s">
        <v>929</v>
      </c>
      <c r="I417" s="777"/>
      <c r="J417" s="777"/>
    </row>
    <row r="418" spans="1:10" ht="12.75" customHeight="1">
      <c r="A418" s="772">
        <v>284</v>
      </c>
      <c r="B418" s="773" t="s">
        <v>1056</v>
      </c>
      <c r="C418" s="774">
        <v>284.10000000000002</v>
      </c>
      <c r="D418" s="773" t="s">
        <v>2771</v>
      </c>
      <c r="E418" s="1194" t="s">
        <v>3784</v>
      </c>
      <c r="F418" s="773" t="s">
        <v>881</v>
      </c>
      <c r="G418" s="776">
        <v>0.27729999999999999</v>
      </c>
      <c r="H418" s="773" t="s">
        <v>929</v>
      </c>
      <c r="I418" s="777"/>
      <c r="J418" s="777"/>
    </row>
    <row r="419" spans="1:10" ht="12.75" customHeight="1">
      <c r="A419" s="772">
        <v>284</v>
      </c>
      <c r="B419" s="773" t="s">
        <v>1056</v>
      </c>
      <c r="C419" s="774">
        <v>284.3</v>
      </c>
      <c r="D419" s="773" t="s">
        <v>2765</v>
      </c>
      <c r="E419" s="1194" t="s">
        <v>3786</v>
      </c>
      <c r="F419" s="773" t="s">
        <v>881</v>
      </c>
      <c r="G419" s="776">
        <v>0.39460000000000001</v>
      </c>
      <c r="H419" s="773" t="s">
        <v>929</v>
      </c>
      <c r="I419" s="777"/>
      <c r="J419" s="777"/>
    </row>
    <row r="420" spans="1:10" ht="12.75" customHeight="1">
      <c r="A420" s="772">
        <v>284</v>
      </c>
      <c r="B420" s="773" t="s">
        <v>1056</v>
      </c>
      <c r="C420" s="1116">
        <v>284.39999999999998</v>
      </c>
      <c r="D420" s="773" t="s">
        <v>2765</v>
      </c>
      <c r="E420" s="775">
        <v>41850</v>
      </c>
      <c r="F420" s="773" t="s">
        <v>881</v>
      </c>
      <c r="G420" s="776">
        <v>0.34399999999999997</v>
      </c>
      <c r="H420" s="773" t="s">
        <v>929</v>
      </c>
      <c r="I420" s="777"/>
      <c r="J420" s="777"/>
    </row>
    <row r="421" spans="1:10" ht="12.75" customHeight="1">
      <c r="A421" s="889">
        <v>285</v>
      </c>
      <c r="B421" s="891" t="s">
        <v>3788</v>
      </c>
      <c r="C421" s="893">
        <v>285.2</v>
      </c>
      <c r="D421" s="891" t="s">
        <v>2765</v>
      </c>
      <c r="E421" s="1185">
        <v>41315</v>
      </c>
      <c r="F421" s="891" t="s">
        <v>881</v>
      </c>
      <c r="G421" s="897" t="s">
        <v>141</v>
      </c>
      <c r="H421" s="899" t="s">
        <v>720</v>
      </c>
      <c r="I421" s="891" t="s">
        <v>141</v>
      </c>
      <c r="J421" s="899" t="s">
        <v>3197</v>
      </c>
    </row>
    <row r="422" spans="1:10" ht="12.75" customHeight="1">
      <c r="A422" s="1294">
        <v>285</v>
      </c>
      <c r="B422" s="285" t="s">
        <v>1063</v>
      </c>
      <c r="C422" s="1295">
        <v>285.10000000000002</v>
      </c>
      <c r="D422" s="285" t="s">
        <v>2771</v>
      </c>
      <c r="E422" s="1296">
        <v>41617</v>
      </c>
      <c r="F422" s="285" t="s">
        <v>881</v>
      </c>
      <c r="G422" s="1313">
        <v>0.22009999999999999</v>
      </c>
      <c r="H422" s="285" t="s">
        <v>929</v>
      </c>
      <c r="I422" s="287"/>
      <c r="J422" s="287"/>
    </row>
    <row r="423" spans="1:10" ht="12.75" customHeight="1">
      <c r="A423" s="1294">
        <v>285</v>
      </c>
      <c r="B423" s="285" t="s">
        <v>3790</v>
      </c>
      <c r="C423" s="1295">
        <v>285.39999999999998</v>
      </c>
      <c r="D423" s="285" t="s">
        <v>2765</v>
      </c>
      <c r="E423" s="1685" t="s">
        <v>3496</v>
      </c>
      <c r="F423" s="285" t="s">
        <v>881</v>
      </c>
      <c r="G423" s="1313">
        <v>1.08833</v>
      </c>
      <c r="H423" s="285" t="s">
        <v>929</v>
      </c>
      <c r="I423" s="285" t="s">
        <v>3181</v>
      </c>
      <c r="J423" s="287"/>
    </row>
    <row r="424" spans="1:10" ht="12.75" customHeight="1">
      <c r="A424" s="889">
        <v>285</v>
      </c>
      <c r="B424" s="891" t="s">
        <v>3788</v>
      </c>
      <c r="C424" s="893">
        <v>285.3</v>
      </c>
      <c r="D424" s="891" t="s">
        <v>2765</v>
      </c>
      <c r="E424" s="895" t="s">
        <v>3786</v>
      </c>
      <c r="F424" s="891" t="s">
        <v>881</v>
      </c>
      <c r="G424" s="897" t="s">
        <v>141</v>
      </c>
      <c r="H424" s="899" t="s">
        <v>720</v>
      </c>
      <c r="I424" s="891" t="s">
        <v>141</v>
      </c>
      <c r="J424" s="899" t="s">
        <v>3197</v>
      </c>
    </row>
    <row r="425" spans="1:10" ht="12.75" customHeight="1">
      <c r="A425" s="1076">
        <v>286</v>
      </c>
      <c r="B425" s="62" t="s">
        <v>1073</v>
      </c>
      <c r="C425" s="1077">
        <v>286.10000000000002</v>
      </c>
      <c r="D425" s="62" t="s">
        <v>2771</v>
      </c>
      <c r="E425" s="1373">
        <v>41343</v>
      </c>
      <c r="F425" s="62" t="s">
        <v>881</v>
      </c>
      <c r="G425" s="1079">
        <v>0.57689999999999997</v>
      </c>
      <c r="H425" s="62" t="s">
        <v>929</v>
      </c>
      <c r="I425" s="52"/>
      <c r="J425" s="52"/>
    </row>
    <row r="426" spans="1:10" ht="12.75" customHeight="1">
      <c r="A426" s="1076">
        <v>286</v>
      </c>
      <c r="B426" s="1687" t="s">
        <v>168</v>
      </c>
      <c r="C426" s="1077">
        <v>286.2</v>
      </c>
      <c r="D426" s="62" t="s">
        <v>2765</v>
      </c>
      <c r="E426" s="1078" t="s">
        <v>3799</v>
      </c>
      <c r="F426" s="62" t="s">
        <v>881</v>
      </c>
      <c r="G426" s="1079">
        <v>0.57220000000000004</v>
      </c>
      <c r="H426" s="62" t="s">
        <v>929</v>
      </c>
      <c r="I426" s="52"/>
      <c r="J426" s="52"/>
    </row>
    <row r="427" spans="1:10" ht="12.75" customHeight="1">
      <c r="A427" s="1195">
        <v>287</v>
      </c>
      <c r="B427" s="625" t="s">
        <v>1079</v>
      </c>
      <c r="C427" s="1196">
        <v>287.10000000000002</v>
      </c>
      <c r="D427" s="625" t="s">
        <v>2771</v>
      </c>
      <c r="E427" s="1197">
        <v>41343</v>
      </c>
      <c r="F427" s="625" t="s">
        <v>881</v>
      </c>
      <c r="G427" s="1199">
        <v>0.34910000000000002</v>
      </c>
      <c r="H427" s="625" t="s">
        <v>929</v>
      </c>
      <c r="I427" s="647"/>
      <c r="J427" s="647"/>
    </row>
    <row r="428" spans="1:10" ht="12.75" customHeight="1">
      <c r="A428" s="1195">
        <v>287</v>
      </c>
      <c r="B428" s="657" t="s">
        <v>194</v>
      </c>
      <c r="C428" s="1196">
        <v>287.2</v>
      </c>
      <c r="D428" s="625" t="s">
        <v>2765</v>
      </c>
      <c r="E428" s="1201" t="s">
        <v>3799</v>
      </c>
      <c r="F428" s="625" t="s">
        <v>881</v>
      </c>
      <c r="G428" s="1199">
        <v>0.76659999999999995</v>
      </c>
      <c r="H428" s="625" t="s">
        <v>929</v>
      </c>
      <c r="I428" s="647"/>
      <c r="J428" s="647"/>
    </row>
    <row r="429" spans="1:10" ht="12.75" customHeight="1">
      <c r="A429" s="621">
        <v>288</v>
      </c>
      <c r="B429" s="50" t="s">
        <v>3804</v>
      </c>
      <c r="C429" s="4">
        <v>288.10000000000002</v>
      </c>
      <c r="D429" s="50" t="s">
        <v>2771</v>
      </c>
      <c r="E429" s="753">
        <v>41613</v>
      </c>
      <c r="F429" s="50" t="s">
        <v>881</v>
      </c>
      <c r="G429" s="755">
        <v>0.53169999999999995</v>
      </c>
    </row>
    <row r="430" spans="1:10" ht="12.75" customHeight="1">
      <c r="A430" s="1539">
        <v>289</v>
      </c>
      <c r="B430" s="170" t="s">
        <v>1083</v>
      </c>
      <c r="C430" s="1540">
        <v>289.10000000000002</v>
      </c>
      <c r="D430" s="170" t="s">
        <v>2771</v>
      </c>
      <c r="E430" s="1541">
        <v>41436</v>
      </c>
      <c r="F430" s="170" t="s">
        <v>881</v>
      </c>
      <c r="G430" s="1568">
        <v>0.1691</v>
      </c>
      <c r="H430" s="170" t="s">
        <v>3029</v>
      </c>
      <c r="I430" s="170" t="s">
        <v>3443</v>
      </c>
      <c r="J430" s="170" t="s">
        <v>483</v>
      </c>
    </row>
    <row r="431" spans="1:10" ht="12.75" customHeight="1">
      <c r="A431" s="1539">
        <v>289</v>
      </c>
      <c r="B431" s="170" t="s">
        <v>1083</v>
      </c>
      <c r="C431" s="1540">
        <v>289.3</v>
      </c>
      <c r="D431" s="170" t="s">
        <v>2765</v>
      </c>
      <c r="E431" s="1541">
        <v>41792</v>
      </c>
      <c r="F431" s="170" t="s">
        <v>881</v>
      </c>
      <c r="G431" s="1568">
        <v>0.28870000000000001</v>
      </c>
      <c r="H431" s="170" t="s">
        <v>929</v>
      </c>
      <c r="I431" s="170" t="s">
        <v>3443</v>
      </c>
      <c r="J431" s="170" t="s">
        <v>2844</v>
      </c>
    </row>
    <row r="432" spans="1:10" ht="12.75" customHeight="1">
      <c r="A432" s="1539">
        <v>289</v>
      </c>
      <c r="B432" s="170" t="s">
        <v>1083</v>
      </c>
      <c r="C432" s="1540">
        <v>289.39999999999998</v>
      </c>
      <c r="D432" s="170" t="s">
        <v>2765</v>
      </c>
      <c r="E432" s="1543" t="s">
        <v>3245</v>
      </c>
      <c r="F432" s="170" t="s">
        <v>881</v>
      </c>
      <c r="G432" s="1568">
        <v>1.7198</v>
      </c>
      <c r="H432" s="170" t="s">
        <v>929</v>
      </c>
      <c r="I432" s="170" t="s">
        <v>3128</v>
      </c>
      <c r="J432" s="172" t="s">
        <v>3806</v>
      </c>
    </row>
    <row r="433" spans="1:10" ht="12.75" customHeight="1">
      <c r="A433" s="1539">
        <v>289</v>
      </c>
      <c r="B433" s="170" t="s">
        <v>3808</v>
      </c>
      <c r="C433" s="1540">
        <v>289.2</v>
      </c>
      <c r="D433" s="170" t="s">
        <v>2765</v>
      </c>
      <c r="E433" s="1543" t="s">
        <v>3809</v>
      </c>
      <c r="F433" s="170" t="s">
        <v>881</v>
      </c>
      <c r="G433" s="1568">
        <v>0.56599999999999995</v>
      </c>
      <c r="H433" s="170" t="s">
        <v>929</v>
      </c>
      <c r="I433" s="170" t="s">
        <v>3443</v>
      </c>
      <c r="J433" s="174"/>
    </row>
    <row r="434" spans="1:10" ht="12.75" customHeight="1">
      <c r="A434" s="1692">
        <v>290</v>
      </c>
      <c r="B434" s="1091" t="s">
        <v>1089</v>
      </c>
      <c r="C434" s="1695">
        <v>290.10000000000002</v>
      </c>
      <c r="D434" s="1091" t="s">
        <v>2765</v>
      </c>
      <c r="E434" s="1697" t="s">
        <v>141</v>
      </c>
      <c r="F434" s="1091" t="s">
        <v>1091</v>
      </c>
      <c r="G434" s="1699">
        <v>2</v>
      </c>
      <c r="H434" s="1091" t="s">
        <v>400</v>
      </c>
      <c r="I434" s="1700" t="s">
        <v>141</v>
      </c>
      <c r="J434" s="1094"/>
    </row>
    <row r="435" spans="1:10" ht="12.75" customHeight="1">
      <c r="A435" s="1692">
        <v>290</v>
      </c>
      <c r="B435" s="1091" t="s">
        <v>1089</v>
      </c>
      <c r="C435" s="1702">
        <v>290.2</v>
      </c>
      <c r="D435" s="1091" t="s">
        <v>2771</v>
      </c>
      <c r="E435" s="1704">
        <v>42153</v>
      </c>
      <c r="F435" s="1091" t="s">
        <v>881</v>
      </c>
      <c r="G435" s="1706"/>
      <c r="H435" s="1094"/>
      <c r="I435" s="1700" t="s">
        <v>3128</v>
      </c>
      <c r="J435" s="1091" t="s">
        <v>2844</v>
      </c>
    </row>
    <row r="436" spans="1:10" ht="12.75" customHeight="1">
      <c r="A436" s="621">
        <v>291</v>
      </c>
      <c r="B436" s="50" t="s">
        <v>1094</v>
      </c>
      <c r="C436" s="4">
        <v>291.10000000000002</v>
      </c>
      <c r="D436" s="50" t="s">
        <v>2765</v>
      </c>
      <c r="E436" s="759" t="s">
        <v>141</v>
      </c>
      <c r="F436" s="50" t="s">
        <v>1091</v>
      </c>
      <c r="G436" s="755" t="s">
        <v>3832</v>
      </c>
      <c r="H436" s="50" t="s">
        <v>3833</v>
      </c>
      <c r="I436" s="180" t="s">
        <v>141</v>
      </c>
      <c r="J436" s="50" t="s">
        <v>3834</v>
      </c>
    </row>
    <row r="437" spans="1:10" ht="12.75" customHeight="1">
      <c r="A437" s="1076">
        <v>292</v>
      </c>
      <c r="B437" s="62" t="s">
        <v>1097</v>
      </c>
      <c r="C437" s="1077">
        <v>292.10000000000002</v>
      </c>
      <c r="D437" s="62" t="s">
        <v>2765</v>
      </c>
      <c r="E437" s="1078" t="s">
        <v>141</v>
      </c>
      <c r="F437" s="62" t="s">
        <v>1091</v>
      </c>
      <c r="G437" s="1079" t="s">
        <v>3835</v>
      </c>
      <c r="H437" s="62" t="s">
        <v>3833</v>
      </c>
      <c r="I437" s="1520" t="s">
        <v>141</v>
      </c>
      <c r="J437" s="62" t="s">
        <v>3834</v>
      </c>
    </row>
    <row r="438" spans="1:10" ht="12.75" customHeight="1">
      <c r="A438" s="1076">
        <v>292</v>
      </c>
      <c r="B438" s="62" t="s">
        <v>1097</v>
      </c>
      <c r="C438" s="1077">
        <v>292.2</v>
      </c>
      <c r="D438" s="62" t="s">
        <v>2765</v>
      </c>
      <c r="E438" s="1078" t="s">
        <v>3809</v>
      </c>
      <c r="F438" s="62" t="s">
        <v>881</v>
      </c>
      <c r="G438" s="1079">
        <v>0.315</v>
      </c>
      <c r="H438" s="52"/>
      <c r="I438" s="52"/>
      <c r="J438" s="52"/>
    </row>
    <row r="439" spans="1:10" ht="12.75" customHeight="1">
      <c r="A439" s="851">
        <v>293</v>
      </c>
      <c r="B439" s="857" t="s">
        <v>1105</v>
      </c>
      <c r="C439" s="855">
        <v>293.2</v>
      </c>
      <c r="D439" s="857" t="s">
        <v>2765</v>
      </c>
      <c r="E439" s="1035">
        <v>41612</v>
      </c>
      <c r="F439" s="857" t="s">
        <v>881</v>
      </c>
      <c r="G439" s="860">
        <v>1.391</v>
      </c>
      <c r="H439" s="857" t="s">
        <v>929</v>
      </c>
      <c r="I439" s="857" t="s">
        <v>3443</v>
      </c>
      <c r="J439" s="859"/>
    </row>
    <row r="440" spans="1:10" ht="12.75" customHeight="1">
      <c r="A440" s="851">
        <v>293</v>
      </c>
      <c r="B440" s="857" t="s">
        <v>1105</v>
      </c>
      <c r="C440" s="855">
        <v>293.10000000000002</v>
      </c>
      <c r="D440" s="857" t="s">
        <v>2771</v>
      </c>
      <c r="E440" s="858" t="s">
        <v>3837</v>
      </c>
      <c r="F440" s="857" t="s">
        <v>881</v>
      </c>
      <c r="G440" s="860">
        <v>0.20849999999999999</v>
      </c>
      <c r="H440" s="857" t="s">
        <v>3029</v>
      </c>
      <c r="I440" s="859"/>
      <c r="J440" s="859"/>
    </row>
    <row r="441" spans="1:10" ht="12.75" customHeight="1">
      <c r="A441" s="621">
        <v>294</v>
      </c>
      <c r="B441" s="50" t="s">
        <v>1110</v>
      </c>
      <c r="C441" s="4">
        <v>294.10000000000002</v>
      </c>
      <c r="D441" s="50" t="s">
        <v>2771</v>
      </c>
      <c r="E441" s="759" t="s">
        <v>3837</v>
      </c>
      <c r="F441" s="50" t="s">
        <v>881</v>
      </c>
      <c r="G441" s="755">
        <v>0.29920000000000002</v>
      </c>
      <c r="H441" s="50" t="s">
        <v>3029</v>
      </c>
    </row>
    <row r="442" spans="1:10" ht="12.75" customHeight="1">
      <c r="A442" s="872">
        <v>295</v>
      </c>
      <c r="B442" s="873" t="s">
        <v>1115</v>
      </c>
      <c r="C442" s="874">
        <v>295.10000000000002</v>
      </c>
      <c r="D442" s="873" t="s">
        <v>2771</v>
      </c>
      <c r="E442" s="1332">
        <v>41436</v>
      </c>
      <c r="F442" s="873" t="s">
        <v>881</v>
      </c>
      <c r="G442" s="881">
        <v>0.23089999999999999</v>
      </c>
      <c r="H442" s="873" t="s">
        <v>3029</v>
      </c>
      <c r="I442" s="873" t="s">
        <v>3443</v>
      </c>
      <c r="J442" s="879"/>
    </row>
    <row r="443" spans="1:10" ht="12.75" customHeight="1">
      <c r="A443" s="1710">
        <v>295</v>
      </c>
      <c r="B443" s="1711" t="s">
        <v>1115</v>
      </c>
      <c r="C443" s="1712">
        <v>295.2</v>
      </c>
      <c r="D443" s="1711" t="s">
        <v>2765</v>
      </c>
      <c r="E443" s="1714">
        <v>41703</v>
      </c>
      <c r="F443" s="1711" t="s">
        <v>881</v>
      </c>
      <c r="G443" s="1718">
        <v>0.57599999999999996</v>
      </c>
      <c r="H443" s="1711" t="s">
        <v>929</v>
      </c>
      <c r="I443" s="1711" t="s">
        <v>3847</v>
      </c>
      <c r="J443" s="886" t="s">
        <v>3848</v>
      </c>
    </row>
    <row r="444" spans="1:10" ht="12.75" customHeight="1">
      <c r="A444" s="872">
        <v>295</v>
      </c>
      <c r="B444" s="873" t="s">
        <v>1115</v>
      </c>
      <c r="C444" s="884">
        <v>295.3</v>
      </c>
      <c r="D444" s="873" t="s">
        <v>2765</v>
      </c>
      <c r="E444" s="1332">
        <v>41850</v>
      </c>
      <c r="F444" s="873" t="s">
        <v>881</v>
      </c>
      <c r="G444" s="881">
        <v>0.93730000000000002</v>
      </c>
      <c r="H444" s="873" t="s">
        <v>929</v>
      </c>
      <c r="I444" s="873" t="s">
        <v>3847</v>
      </c>
      <c r="J444" s="886" t="s">
        <v>3849</v>
      </c>
    </row>
    <row r="445" spans="1:10" ht="12.75" customHeight="1">
      <c r="A445" s="872">
        <v>295</v>
      </c>
      <c r="B445" s="873" t="s">
        <v>1115</v>
      </c>
      <c r="C445" s="884">
        <v>295.39999999999998</v>
      </c>
      <c r="D445" s="873" t="s">
        <v>2771</v>
      </c>
      <c r="E445" s="1720"/>
      <c r="F445" s="873" t="s">
        <v>881</v>
      </c>
      <c r="G445" s="881">
        <v>0.15340000000000001</v>
      </c>
      <c r="H445" s="879"/>
      <c r="I445" s="879"/>
      <c r="J445" s="886" t="s">
        <v>3852</v>
      </c>
    </row>
    <row r="446" spans="1:10" ht="12.75" customHeight="1">
      <c r="A446" s="872">
        <v>295</v>
      </c>
      <c r="B446" s="873" t="s">
        <v>1115</v>
      </c>
      <c r="C446" s="884" t="s">
        <v>3854</v>
      </c>
      <c r="D446" s="886" t="s">
        <v>141</v>
      </c>
      <c r="E446" s="1722" t="s">
        <v>141</v>
      </c>
      <c r="F446" s="886" t="s">
        <v>141</v>
      </c>
      <c r="G446" s="881" t="s">
        <v>3857</v>
      </c>
      <c r="H446" s="886" t="s">
        <v>141</v>
      </c>
      <c r="I446" s="886" t="s">
        <v>141</v>
      </c>
      <c r="J446" s="886" t="s">
        <v>3859</v>
      </c>
    </row>
    <row r="447" spans="1:10" ht="12.75" customHeight="1">
      <c r="A447" s="872">
        <v>295</v>
      </c>
      <c r="B447" s="873" t="s">
        <v>1115</v>
      </c>
      <c r="C447" s="884">
        <v>295.60000000000002</v>
      </c>
      <c r="D447" s="873" t="s">
        <v>2765</v>
      </c>
      <c r="E447" s="1332"/>
      <c r="F447" s="886" t="s">
        <v>3860</v>
      </c>
      <c r="G447" s="881" t="s">
        <v>3861</v>
      </c>
      <c r="H447" s="873" t="s">
        <v>929</v>
      </c>
      <c r="I447" s="873"/>
      <c r="J447" s="873"/>
    </row>
    <row r="448" spans="1:10" ht="12.75" customHeight="1">
      <c r="A448" s="621">
        <v>296</v>
      </c>
      <c r="B448" s="50" t="s">
        <v>1118</v>
      </c>
      <c r="C448" s="4">
        <v>296.10000000000002</v>
      </c>
      <c r="D448" s="50" t="s">
        <v>2771</v>
      </c>
      <c r="E448" s="753">
        <v>41436</v>
      </c>
      <c r="F448" s="50" t="s">
        <v>881</v>
      </c>
      <c r="G448" s="755">
        <v>0.20100000000000001</v>
      </c>
      <c r="H448" s="50" t="s">
        <v>3029</v>
      </c>
      <c r="I448" s="50" t="s">
        <v>3443</v>
      </c>
    </row>
    <row r="449" spans="1:10" ht="12.75" customHeight="1">
      <c r="A449" s="621">
        <v>297</v>
      </c>
      <c r="B449" s="50" t="s">
        <v>1121</v>
      </c>
      <c r="C449" s="4">
        <v>297.10000000000002</v>
      </c>
      <c r="D449" s="50" t="s">
        <v>2771</v>
      </c>
      <c r="E449" s="753">
        <v>41436</v>
      </c>
      <c r="F449" s="50" t="s">
        <v>881</v>
      </c>
      <c r="G449" s="755">
        <v>0.13089999999999999</v>
      </c>
      <c r="H449" s="50" t="s">
        <v>3029</v>
      </c>
      <c r="I449" s="50" t="s">
        <v>3443</v>
      </c>
    </row>
    <row r="450" spans="1:10" ht="12.75" customHeight="1">
      <c r="A450" s="621">
        <v>298</v>
      </c>
      <c r="B450" s="50" t="s">
        <v>1124</v>
      </c>
      <c r="C450" s="4">
        <v>298.10000000000002</v>
      </c>
      <c r="D450" s="50" t="s">
        <v>2765</v>
      </c>
      <c r="E450" s="753">
        <v>41497</v>
      </c>
      <c r="F450" s="50" t="s">
        <v>3863</v>
      </c>
      <c r="G450" s="755" t="s">
        <v>3864</v>
      </c>
      <c r="H450" s="50" t="s">
        <v>3029</v>
      </c>
      <c r="I450" s="50" t="s">
        <v>3067</v>
      </c>
    </row>
    <row r="451" spans="1:10" ht="12.75" customHeight="1">
      <c r="A451" s="621">
        <v>299</v>
      </c>
      <c r="B451" s="50" t="s">
        <v>1128</v>
      </c>
      <c r="C451" s="4">
        <v>299.10000000000002</v>
      </c>
      <c r="D451" s="50" t="s">
        <v>2765</v>
      </c>
      <c r="E451" s="753">
        <v>41497</v>
      </c>
      <c r="F451" s="50" t="s">
        <v>3863</v>
      </c>
      <c r="G451" s="755" t="s">
        <v>3865</v>
      </c>
      <c r="H451" s="50" t="s">
        <v>3029</v>
      </c>
      <c r="I451" s="50" t="s">
        <v>3067</v>
      </c>
    </row>
    <row r="452" spans="1:10" ht="12.75" customHeight="1">
      <c r="A452" s="621">
        <v>300</v>
      </c>
      <c r="B452" s="50" t="s">
        <v>1129</v>
      </c>
      <c r="C452" s="4">
        <v>300.10000000000002</v>
      </c>
      <c r="D452" s="50" t="s">
        <v>2765</v>
      </c>
      <c r="E452" s="753">
        <v>41497</v>
      </c>
      <c r="F452" s="50" t="s">
        <v>3863</v>
      </c>
      <c r="G452" s="755" t="s">
        <v>3866</v>
      </c>
      <c r="H452" s="50" t="s">
        <v>3029</v>
      </c>
      <c r="I452" s="50" t="s">
        <v>3067</v>
      </c>
    </row>
    <row r="453" spans="1:10" ht="12.75" customHeight="1">
      <c r="A453" s="1254">
        <v>301</v>
      </c>
      <c r="B453" s="960" t="s">
        <v>2441</v>
      </c>
      <c r="C453" s="1255">
        <v>301.3</v>
      </c>
      <c r="D453" s="960" t="s">
        <v>2765</v>
      </c>
      <c r="E453" s="1256">
        <v>41792</v>
      </c>
      <c r="F453" s="960" t="s">
        <v>881</v>
      </c>
      <c r="G453" s="1261">
        <v>1.8265</v>
      </c>
      <c r="H453" s="960" t="s">
        <v>929</v>
      </c>
      <c r="I453" s="960" t="s">
        <v>3443</v>
      </c>
      <c r="J453" s="963"/>
    </row>
    <row r="454" spans="1:10" ht="12.75" customHeight="1">
      <c r="A454" s="1254">
        <v>301</v>
      </c>
      <c r="B454" s="960" t="s">
        <v>2441</v>
      </c>
      <c r="C454" s="1255">
        <v>301.10000000000002</v>
      </c>
      <c r="D454" s="960" t="s">
        <v>2771</v>
      </c>
      <c r="E454" s="1263" t="s">
        <v>3868</v>
      </c>
      <c r="F454" s="960" t="s">
        <v>881</v>
      </c>
      <c r="G454" s="1261">
        <v>0.34449999999999997</v>
      </c>
      <c r="H454" s="960" t="s">
        <v>3029</v>
      </c>
      <c r="I454" s="960" t="s">
        <v>3181</v>
      </c>
      <c r="J454" s="963"/>
    </row>
    <row r="455" spans="1:10" ht="12.75" customHeight="1">
      <c r="A455" s="889">
        <v>301</v>
      </c>
      <c r="B455" s="891" t="s">
        <v>2441</v>
      </c>
      <c r="C455" s="893">
        <v>301.2</v>
      </c>
      <c r="D455" s="891" t="s">
        <v>2765</v>
      </c>
      <c r="E455" s="895" t="s">
        <v>3461</v>
      </c>
      <c r="F455" s="891" t="s">
        <v>881</v>
      </c>
      <c r="G455" s="1726"/>
      <c r="H455" s="899" t="s">
        <v>720</v>
      </c>
      <c r="I455" s="891" t="s">
        <v>3443</v>
      </c>
      <c r="J455" s="891" t="s">
        <v>3872</v>
      </c>
    </row>
    <row r="456" spans="1:10" ht="12.75" customHeight="1">
      <c r="A456" s="1076">
        <v>302</v>
      </c>
      <c r="B456" s="62" t="s">
        <v>1135</v>
      </c>
      <c r="C456" s="1077">
        <v>302.10000000000002</v>
      </c>
      <c r="D456" s="62" t="s">
        <v>2771</v>
      </c>
      <c r="E456" s="1078" t="s">
        <v>3873</v>
      </c>
      <c r="F456" s="62" t="s">
        <v>881</v>
      </c>
      <c r="G456" s="1079">
        <v>0.2344</v>
      </c>
      <c r="H456" s="62" t="s">
        <v>3029</v>
      </c>
      <c r="I456" s="52"/>
      <c r="J456" s="52"/>
    </row>
    <row r="457" spans="1:10" ht="12.75" customHeight="1">
      <c r="A457" s="1076">
        <v>302</v>
      </c>
      <c r="B457" s="62" t="s">
        <v>1135</v>
      </c>
      <c r="C457" s="1077">
        <v>302.2</v>
      </c>
      <c r="D457" s="62" t="s">
        <v>2765</v>
      </c>
      <c r="E457" s="1078" t="s">
        <v>3461</v>
      </c>
      <c r="F457" s="62" t="s">
        <v>881</v>
      </c>
      <c r="G457" s="1544"/>
      <c r="H457" s="52"/>
      <c r="I457" s="52"/>
      <c r="J457" s="52"/>
    </row>
    <row r="458" spans="1:10" ht="12.75" customHeight="1">
      <c r="A458" s="621">
        <v>303</v>
      </c>
      <c r="B458" s="50" t="s">
        <v>1140</v>
      </c>
      <c r="C458" s="54" t="s">
        <v>3874</v>
      </c>
      <c r="D458" s="54" t="s">
        <v>2765</v>
      </c>
      <c r="E458" s="1032">
        <v>42326</v>
      </c>
      <c r="F458" s="54" t="s">
        <v>881</v>
      </c>
      <c r="G458" s="482">
        <v>1.2724</v>
      </c>
      <c r="H458" s="54" t="s">
        <v>929</v>
      </c>
      <c r="I458" s="50" t="s">
        <v>3181</v>
      </c>
      <c r="J458" s="54" t="s">
        <v>2844</v>
      </c>
    </row>
    <row r="459" spans="1:10" ht="12.75" customHeight="1">
      <c r="A459" s="772">
        <v>304</v>
      </c>
      <c r="B459" s="773" t="s">
        <v>3160</v>
      </c>
      <c r="C459" s="774">
        <v>304.10000000000002</v>
      </c>
      <c r="D459" s="773" t="s">
        <v>2765</v>
      </c>
      <c r="E459" s="775">
        <v>41612</v>
      </c>
      <c r="F459" s="773" t="s">
        <v>881</v>
      </c>
      <c r="G459" s="776">
        <v>1.8919999999999999</v>
      </c>
      <c r="H459" s="773" t="s">
        <v>929</v>
      </c>
      <c r="I459" s="773" t="s">
        <v>3181</v>
      </c>
      <c r="J459" s="773" t="s">
        <v>3471</v>
      </c>
    </row>
    <row r="460" spans="1:10" ht="12.75" customHeight="1">
      <c r="A460" s="772">
        <v>304</v>
      </c>
      <c r="B460" s="773" t="s">
        <v>3160</v>
      </c>
      <c r="C460" s="1116">
        <v>304.2</v>
      </c>
      <c r="D460" s="773" t="s">
        <v>2771</v>
      </c>
      <c r="E460" s="775">
        <v>41669</v>
      </c>
      <c r="F460" s="773" t="s">
        <v>881</v>
      </c>
      <c r="G460" s="776">
        <v>0.32600000000000001</v>
      </c>
      <c r="H460" s="773" t="s">
        <v>3029</v>
      </c>
      <c r="I460" s="777"/>
      <c r="J460" s="777"/>
    </row>
    <row r="461" spans="1:10" ht="12.75" customHeight="1">
      <c r="A461" s="772">
        <v>304</v>
      </c>
      <c r="B461" s="773" t="s">
        <v>3160</v>
      </c>
      <c r="C461" s="1116">
        <v>304.3</v>
      </c>
      <c r="D461" s="773" t="s">
        <v>2765</v>
      </c>
      <c r="E461" s="1194" t="s">
        <v>141</v>
      </c>
      <c r="F461" s="773" t="s">
        <v>141</v>
      </c>
      <c r="G461" s="776">
        <v>2.8613</v>
      </c>
      <c r="H461" s="773" t="s">
        <v>141</v>
      </c>
      <c r="I461" s="777"/>
      <c r="J461" s="777"/>
    </row>
    <row r="462" spans="1:10" ht="12.75" customHeight="1">
      <c r="A462" s="621">
        <v>305</v>
      </c>
      <c r="B462" s="50" t="s">
        <v>3162</v>
      </c>
      <c r="C462" s="4">
        <v>305.10000000000002</v>
      </c>
      <c r="D462" s="50" t="s">
        <v>2771</v>
      </c>
      <c r="E462" s="753">
        <v>41613</v>
      </c>
      <c r="F462" s="50" t="s">
        <v>881</v>
      </c>
      <c r="G462" s="755">
        <v>0.55520000000000003</v>
      </c>
    </row>
    <row r="463" spans="1:10" ht="12.75" customHeight="1">
      <c r="A463" s="889">
        <v>306</v>
      </c>
      <c r="B463" s="575" t="s">
        <v>1154</v>
      </c>
      <c r="C463" s="893">
        <v>306.10000000000002</v>
      </c>
      <c r="D463" s="891" t="s">
        <v>2765</v>
      </c>
      <c r="E463" s="1185">
        <v>41612</v>
      </c>
      <c r="F463" s="891" t="s">
        <v>881</v>
      </c>
      <c r="G463" s="897">
        <v>1.679</v>
      </c>
      <c r="H463" s="899" t="s">
        <v>720</v>
      </c>
      <c r="I463" s="891" t="s">
        <v>3181</v>
      </c>
      <c r="J463" s="891" t="s">
        <v>3471</v>
      </c>
    </row>
    <row r="464" spans="1:10" ht="12.75" customHeight="1">
      <c r="A464" s="1195">
        <v>314</v>
      </c>
      <c r="B464" s="625" t="s">
        <v>1181</v>
      </c>
      <c r="C464" s="1204">
        <v>314.10000000000002</v>
      </c>
      <c r="D464" s="625" t="s">
        <v>2771</v>
      </c>
      <c r="E464" s="1730"/>
      <c r="F464" s="647"/>
      <c r="G464" s="647"/>
      <c r="H464" s="647"/>
      <c r="I464" s="647"/>
      <c r="J464" s="647"/>
    </row>
    <row r="465" spans="1:10" ht="12.75" customHeight="1">
      <c r="A465" s="1195">
        <v>314</v>
      </c>
      <c r="B465" s="625" t="s">
        <v>1181</v>
      </c>
      <c r="C465" s="1204">
        <v>314.2</v>
      </c>
      <c r="D465" s="625" t="s">
        <v>2771</v>
      </c>
      <c r="E465" s="1197">
        <v>42031</v>
      </c>
      <c r="F465" s="625" t="s">
        <v>881</v>
      </c>
      <c r="G465" s="1199">
        <v>0.14119999999999999</v>
      </c>
      <c r="H465" s="647"/>
      <c r="I465" s="625" t="s">
        <v>3181</v>
      </c>
      <c r="J465" s="625" t="s">
        <v>3875</v>
      </c>
    </row>
    <row r="466" spans="1:10" ht="12.75" customHeight="1">
      <c r="A466" s="621">
        <v>324</v>
      </c>
      <c r="B466" s="50" t="s">
        <v>1203</v>
      </c>
      <c r="C466" s="4">
        <v>324.10000000000002</v>
      </c>
      <c r="D466" s="50" t="s">
        <v>2771</v>
      </c>
      <c r="E466" s="753">
        <v>41613</v>
      </c>
      <c r="F466" s="50" t="s">
        <v>881</v>
      </c>
      <c r="G466" s="755">
        <v>0.38059999999999999</v>
      </c>
    </row>
    <row r="467" spans="1:10" ht="12.75" customHeight="1">
      <c r="A467" s="621">
        <v>332</v>
      </c>
      <c r="B467" s="50" t="s">
        <v>1219</v>
      </c>
      <c r="C467" s="4">
        <v>332.1</v>
      </c>
      <c r="D467" s="50" t="s">
        <v>2771</v>
      </c>
      <c r="E467" s="759" t="s">
        <v>3080</v>
      </c>
      <c r="F467" s="50" t="s">
        <v>881</v>
      </c>
      <c r="G467" s="755">
        <v>0.56999999999999995</v>
      </c>
      <c r="H467" s="50" t="s">
        <v>3029</v>
      </c>
      <c r="I467" s="50" t="s">
        <v>3128</v>
      </c>
      <c r="J467" s="50" t="s">
        <v>3471</v>
      </c>
    </row>
    <row r="468" spans="1:10" ht="12.75" customHeight="1">
      <c r="A468" s="621">
        <v>333</v>
      </c>
      <c r="B468" s="50" t="s">
        <v>2935</v>
      </c>
      <c r="C468" s="4">
        <v>333.1</v>
      </c>
      <c r="D468" s="50" t="s">
        <v>2771</v>
      </c>
      <c r="E468" s="759" t="s">
        <v>3080</v>
      </c>
      <c r="F468" s="50" t="s">
        <v>881</v>
      </c>
      <c r="G468" s="755">
        <v>0.4128</v>
      </c>
      <c r="H468" s="50" t="s">
        <v>3029</v>
      </c>
      <c r="I468" s="50" t="s">
        <v>3128</v>
      </c>
      <c r="J468" s="50" t="s">
        <v>3471</v>
      </c>
    </row>
    <row r="469" spans="1:10" ht="12.75" customHeight="1">
      <c r="A469" s="1076">
        <v>334</v>
      </c>
      <c r="B469" s="62" t="s">
        <v>1223</v>
      </c>
      <c r="C469" s="1077">
        <v>334.1</v>
      </c>
      <c r="D469" s="62" t="s">
        <v>2771</v>
      </c>
      <c r="E469" s="1373">
        <v>41613</v>
      </c>
      <c r="F469" s="62" t="s">
        <v>881</v>
      </c>
      <c r="G469" s="1079">
        <v>0.2031</v>
      </c>
      <c r="H469" s="62" t="s">
        <v>3029</v>
      </c>
      <c r="I469" s="52"/>
      <c r="J469" s="52"/>
    </row>
    <row r="470" spans="1:10" ht="12.75" customHeight="1">
      <c r="A470" s="1076">
        <v>334</v>
      </c>
      <c r="B470" s="62" t="s">
        <v>1223</v>
      </c>
      <c r="C470" s="1372" t="s">
        <v>3876</v>
      </c>
      <c r="D470" s="1105" t="s">
        <v>2765</v>
      </c>
      <c r="E470" s="1373">
        <v>42341</v>
      </c>
      <c r="F470" s="1105" t="s">
        <v>881</v>
      </c>
      <c r="G470" s="1079"/>
      <c r="H470" s="1105" t="s">
        <v>929</v>
      </c>
      <c r="I470" s="1105" t="s">
        <v>3877</v>
      </c>
      <c r="J470" s="1105" t="s">
        <v>2844</v>
      </c>
    </row>
    <row r="471" spans="1:10" ht="12.75" customHeight="1">
      <c r="A471" s="889">
        <v>335</v>
      </c>
      <c r="B471" s="891" t="s">
        <v>1225</v>
      </c>
      <c r="C471" s="893">
        <v>335.1</v>
      </c>
      <c r="D471" s="891" t="s">
        <v>2771</v>
      </c>
      <c r="E471" s="1185">
        <v>41612</v>
      </c>
      <c r="F471" s="891" t="s">
        <v>881</v>
      </c>
      <c r="G471" s="897">
        <v>0.62549999999999994</v>
      </c>
      <c r="H471" s="899" t="s">
        <v>720</v>
      </c>
      <c r="I471" s="891" t="s">
        <v>3181</v>
      </c>
      <c r="J471" s="901"/>
    </row>
    <row r="472" spans="1:10" ht="12.75" customHeight="1">
      <c r="A472" s="889">
        <v>336</v>
      </c>
      <c r="B472" s="891" t="s">
        <v>1230</v>
      </c>
      <c r="C472" s="893">
        <v>336.1</v>
      </c>
      <c r="D472" s="891" t="s">
        <v>2771</v>
      </c>
      <c r="E472" s="1185">
        <v>41612</v>
      </c>
      <c r="F472" s="891" t="s">
        <v>881</v>
      </c>
      <c r="G472" s="897">
        <v>0.63470000000000004</v>
      </c>
      <c r="H472" s="899" t="s">
        <v>720</v>
      </c>
      <c r="I472" s="891" t="s">
        <v>3181</v>
      </c>
      <c r="J472" s="901"/>
    </row>
    <row r="473" spans="1:10" ht="12.75" customHeight="1">
      <c r="A473" s="621">
        <v>337</v>
      </c>
      <c r="B473" s="50" t="s">
        <v>1232</v>
      </c>
      <c r="C473" s="4">
        <v>337.1</v>
      </c>
      <c r="D473" s="180" t="s">
        <v>2771</v>
      </c>
      <c r="E473" s="759" t="s">
        <v>3878</v>
      </c>
      <c r="F473" s="50" t="s">
        <v>881</v>
      </c>
      <c r="G473" s="755">
        <v>0.16520000000000001</v>
      </c>
      <c r="H473" s="50" t="s">
        <v>3029</v>
      </c>
    </row>
    <row r="474" spans="1:10" ht="12.75" customHeight="1">
      <c r="A474" s="1735">
        <v>338</v>
      </c>
      <c r="B474" s="1737" t="s">
        <v>1234</v>
      </c>
      <c r="C474" s="1738">
        <v>338.1</v>
      </c>
      <c r="D474" s="1737" t="s">
        <v>2771</v>
      </c>
      <c r="E474" s="1739">
        <v>41590</v>
      </c>
      <c r="F474" s="1737" t="s">
        <v>881</v>
      </c>
      <c r="G474" s="1741">
        <v>0.21920000000000001</v>
      </c>
      <c r="H474" s="1737" t="s">
        <v>3029</v>
      </c>
      <c r="I474" s="1742"/>
      <c r="J474" s="285" t="s">
        <v>483</v>
      </c>
    </row>
    <row r="475" spans="1:10" ht="12.75" customHeight="1">
      <c r="A475" s="1294">
        <v>338</v>
      </c>
      <c r="B475" s="285" t="s">
        <v>1234</v>
      </c>
      <c r="C475" s="1744">
        <v>338.2</v>
      </c>
      <c r="D475" s="285" t="s">
        <v>2765</v>
      </c>
      <c r="E475" s="1296">
        <v>41984</v>
      </c>
      <c r="F475" s="285" t="s">
        <v>881</v>
      </c>
      <c r="G475" s="1313">
        <v>0.61450000000000005</v>
      </c>
      <c r="H475" s="285" t="s">
        <v>929</v>
      </c>
      <c r="I475" s="287"/>
      <c r="J475" s="285" t="s">
        <v>2844</v>
      </c>
    </row>
    <row r="476" spans="1:10" ht="12.75" customHeight="1">
      <c r="A476" s="1746">
        <v>339</v>
      </c>
      <c r="B476" s="1747" t="s">
        <v>3882</v>
      </c>
      <c r="C476" s="1748">
        <v>339.1</v>
      </c>
      <c r="D476" s="1747" t="s">
        <v>2771</v>
      </c>
      <c r="E476" s="1750">
        <v>41620</v>
      </c>
      <c r="F476" s="1747" t="s">
        <v>881</v>
      </c>
      <c r="G476" s="1751">
        <v>0.1201</v>
      </c>
      <c r="H476" s="1747" t="s">
        <v>3029</v>
      </c>
      <c r="I476" s="1752"/>
      <c r="J476" s="1753" t="s">
        <v>3890</v>
      </c>
    </row>
    <row r="477" spans="1:10" ht="12.75" customHeight="1">
      <c r="A477" s="1746">
        <v>339</v>
      </c>
      <c r="B477" s="1747" t="s">
        <v>3882</v>
      </c>
      <c r="C477" s="1755">
        <v>339.2</v>
      </c>
      <c r="D477" s="1747" t="s">
        <v>2771</v>
      </c>
      <c r="E477" s="1750">
        <v>41661</v>
      </c>
      <c r="F477" s="1747" t="s">
        <v>881</v>
      </c>
      <c r="G477" s="1751">
        <v>0.28799999999999998</v>
      </c>
      <c r="H477" s="1747" t="s">
        <v>3029</v>
      </c>
      <c r="I477" s="1752"/>
      <c r="J477" s="1753" t="s">
        <v>3890</v>
      </c>
    </row>
    <row r="478" spans="1:10" ht="12.75" customHeight="1">
      <c r="A478" s="1757">
        <v>339</v>
      </c>
      <c r="B478" s="1759" t="s">
        <v>3882</v>
      </c>
      <c r="C478" s="1760">
        <v>339.3</v>
      </c>
      <c r="D478" s="1759" t="s">
        <v>2771</v>
      </c>
      <c r="E478" s="1762">
        <v>41718</v>
      </c>
      <c r="F478" s="1759" t="s">
        <v>881</v>
      </c>
      <c r="G478" s="1764">
        <v>9.1800000000000007E-2</v>
      </c>
      <c r="H478" s="1765" t="s">
        <v>720</v>
      </c>
      <c r="I478" s="1769"/>
      <c r="J478" s="891" t="s">
        <v>3890</v>
      </c>
    </row>
    <row r="479" spans="1:10" ht="12.75" customHeight="1">
      <c r="A479" s="1773">
        <v>339</v>
      </c>
      <c r="B479" s="1777" t="str">
        <f>VLOOKUP(A479,plasmids!$A$2:$B$391,2)</f>
        <v xml:space="preserve">pssAAV-SNCG-hCatch-MBD-GFP </v>
      </c>
      <c r="C479" s="1778">
        <v>339.4</v>
      </c>
      <c r="D479" s="1753" t="s">
        <v>2771</v>
      </c>
      <c r="E479" s="1780">
        <v>41729</v>
      </c>
      <c r="F479" s="1753" t="s">
        <v>881</v>
      </c>
      <c r="G479" s="1782">
        <v>0.26090000000000002</v>
      </c>
      <c r="H479" s="1753" t="s">
        <v>929</v>
      </c>
      <c r="I479" s="1753" t="s">
        <v>3128</v>
      </c>
      <c r="J479" s="1753" t="s">
        <v>3920</v>
      </c>
    </row>
    <row r="480" spans="1:10" ht="12.75" customHeight="1">
      <c r="A480" s="1773">
        <v>339</v>
      </c>
      <c r="B480" s="1777" t="str">
        <f>VLOOKUP(A480,plasmids!$A$2:$B$391,2)</f>
        <v xml:space="preserve">pssAAV-SNCG-hCatch-MBD-GFP </v>
      </c>
      <c r="C480" s="1778">
        <v>339.5</v>
      </c>
      <c r="D480" s="1753" t="s">
        <v>2765</v>
      </c>
      <c r="E480" s="1780">
        <v>41746</v>
      </c>
      <c r="F480" s="1753" t="s">
        <v>881</v>
      </c>
      <c r="G480" s="1782">
        <v>0.36030000000000001</v>
      </c>
      <c r="H480" s="1753" t="s">
        <v>929</v>
      </c>
      <c r="I480" s="1753" t="s">
        <v>3128</v>
      </c>
      <c r="J480" s="1753" t="s">
        <v>3923</v>
      </c>
    </row>
    <row r="481" spans="1:10" ht="12.75" customHeight="1">
      <c r="A481" s="1773">
        <v>339</v>
      </c>
      <c r="B481" s="1777" t="str">
        <f>VLOOKUP(A481,plasmids!$A$2:$B$391,2)</f>
        <v xml:space="preserve">pssAAV-SNCG-hCatch-MBD-GFP </v>
      </c>
      <c r="C481" s="1778">
        <v>339.6</v>
      </c>
      <c r="D481" s="1753" t="s">
        <v>2765</v>
      </c>
      <c r="E481" s="1780">
        <v>41787</v>
      </c>
      <c r="F481" s="1753" t="s">
        <v>881</v>
      </c>
      <c r="G481" s="1782">
        <v>0.25469999999999998</v>
      </c>
      <c r="H481" s="1753" t="s">
        <v>929</v>
      </c>
      <c r="I481" s="1753" t="s">
        <v>3128</v>
      </c>
      <c r="J481" s="1753" t="s">
        <v>2844</v>
      </c>
    </row>
    <row r="482" spans="1:10" ht="12.75" customHeight="1">
      <c r="A482" s="1773">
        <v>339</v>
      </c>
      <c r="B482" s="1777" t="str">
        <f>VLOOKUP(A482,plasmids!$A$2:$B$391,2)</f>
        <v xml:space="preserve">pssAAV-SNCG-hCatch-MBD-GFP </v>
      </c>
      <c r="C482" s="1778">
        <v>339.7</v>
      </c>
      <c r="D482" s="1753" t="s">
        <v>2765</v>
      </c>
      <c r="E482" s="1780">
        <v>41809</v>
      </c>
      <c r="F482" s="1753" t="s">
        <v>881</v>
      </c>
      <c r="G482" s="1782">
        <v>0.86880000000000002</v>
      </c>
      <c r="H482" s="1753" t="s">
        <v>929</v>
      </c>
      <c r="I482" s="1753" t="s">
        <v>3128</v>
      </c>
      <c r="J482" s="1753" t="s">
        <v>2844</v>
      </c>
    </row>
    <row r="483" spans="1:10" ht="12.75" customHeight="1">
      <c r="A483" s="621">
        <v>340</v>
      </c>
      <c r="B483" s="50" t="s">
        <v>1259</v>
      </c>
      <c r="C483" s="4">
        <v>340.1</v>
      </c>
      <c r="D483" s="50" t="s">
        <v>2771</v>
      </c>
      <c r="E483" s="753">
        <v>41620</v>
      </c>
      <c r="F483" s="50" t="s">
        <v>881</v>
      </c>
      <c r="G483" s="755">
        <v>0.10589999999999999</v>
      </c>
      <c r="H483" s="50" t="s">
        <v>3029</v>
      </c>
    </row>
    <row r="484" spans="1:10" ht="12.75" customHeight="1">
      <c r="A484" s="621">
        <v>341</v>
      </c>
      <c r="B484" s="50" t="s">
        <v>1261</v>
      </c>
      <c r="C484" s="4">
        <v>341.1</v>
      </c>
      <c r="D484" s="50" t="s">
        <v>2771</v>
      </c>
      <c r="E484" s="753">
        <v>41613</v>
      </c>
      <c r="F484" s="50" t="s">
        <v>158</v>
      </c>
      <c r="G484" s="755">
        <v>7.4999999999999997E-2</v>
      </c>
      <c r="H484" s="50" t="s">
        <v>3029</v>
      </c>
    </row>
    <row r="485" spans="1:10" ht="12.75" customHeight="1">
      <c r="A485" s="621">
        <v>342</v>
      </c>
      <c r="B485" s="50" t="s">
        <v>1266</v>
      </c>
      <c r="C485" s="4">
        <v>342.1</v>
      </c>
      <c r="D485" s="50" t="s">
        <v>2765</v>
      </c>
      <c r="E485" s="759" t="s">
        <v>3778</v>
      </c>
      <c r="F485" s="50" t="s">
        <v>881</v>
      </c>
      <c r="G485" s="755">
        <v>0.6845</v>
      </c>
      <c r="H485" s="50" t="s">
        <v>929</v>
      </c>
    </row>
    <row r="486" spans="1:10" ht="12.75" customHeight="1">
      <c r="A486" s="621">
        <v>343</v>
      </c>
      <c r="B486" s="50" t="s">
        <v>1269</v>
      </c>
      <c r="C486" s="4">
        <v>343.1</v>
      </c>
      <c r="D486" s="50" t="s">
        <v>2765</v>
      </c>
      <c r="E486" s="759" t="s">
        <v>3778</v>
      </c>
      <c r="F486" s="50" t="s">
        <v>881</v>
      </c>
      <c r="G486" s="755">
        <v>0.72989999999999999</v>
      </c>
      <c r="H486" s="50" t="s">
        <v>929</v>
      </c>
    </row>
    <row r="487" spans="1:10" ht="12.75" customHeight="1">
      <c r="A487" s="621">
        <v>344</v>
      </c>
      <c r="E487" s="758"/>
      <c r="G487" s="754"/>
    </row>
    <row r="488" spans="1:10" ht="12.75" customHeight="1">
      <c r="A488" s="621">
        <v>345</v>
      </c>
      <c r="E488" s="758"/>
      <c r="G488" s="754"/>
    </row>
    <row r="489" spans="1:10" ht="12.75" customHeight="1">
      <c r="A489" s="621">
        <v>346</v>
      </c>
      <c r="B489" s="50" t="s">
        <v>1273</v>
      </c>
      <c r="C489" s="4">
        <v>346.1</v>
      </c>
      <c r="D489" s="50" t="s">
        <v>2771</v>
      </c>
      <c r="E489" s="759" t="s">
        <v>3924</v>
      </c>
      <c r="F489" s="50" t="s">
        <v>881</v>
      </c>
      <c r="G489" s="755">
        <v>0.3407</v>
      </c>
      <c r="H489" s="50" t="s">
        <v>3029</v>
      </c>
    </row>
    <row r="490" spans="1:10" ht="12.75" customHeight="1">
      <c r="A490" s="621">
        <v>347</v>
      </c>
      <c r="B490" s="50" t="s">
        <v>1278</v>
      </c>
      <c r="C490" s="4">
        <v>347.1</v>
      </c>
      <c r="D490" s="180" t="s">
        <v>2771</v>
      </c>
      <c r="E490" s="753">
        <v>41913</v>
      </c>
      <c r="F490" s="50" t="s">
        <v>881</v>
      </c>
      <c r="G490" s="755">
        <v>0.53390000000000004</v>
      </c>
      <c r="H490" s="50" t="s">
        <v>3029</v>
      </c>
    </row>
    <row r="491" spans="1:10" ht="12.75" customHeight="1">
      <c r="A491" s="621">
        <v>348</v>
      </c>
      <c r="B491" s="50" t="s">
        <v>1306</v>
      </c>
      <c r="C491" s="4">
        <v>348.1</v>
      </c>
      <c r="D491" s="180" t="s">
        <v>2771</v>
      </c>
      <c r="E491" s="753">
        <v>41913</v>
      </c>
      <c r="F491" s="50" t="s">
        <v>881</v>
      </c>
      <c r="G491" s="755">
        <v>0.47899999999999998</v>
      </c>
      <c r="H491" s="50" t="s">
        <v>3029</v>
      </c>
    </row>
    <row r="492" spans="1:10" ht="12.75" customHeight="1">
      <c r="A492" s="1757">
        <v>349</v>
      </c>
      <c r="B492" s="1759" t="s">
        <v>1314</v>
      </c>
      <c r="C492" s="1783" t="s">
        <v>3197</v>
      </c>
      <c r="D492" s="1759" t="s">
        <v>2765</v>
      </c>
      <c r="E492" s="1795" t="s">
        <v>3206</v>
      </c>
      <c r="F492" s="1759" t="s">
        <v>881</v>
      </c>
      <c r="G492" s="1764">
        <v>0.76129999999999998</v>
      </c>
      <c r="H492" s="1765" t="s">
        <v>720</v>
      </c>
      <c r="I492" s="1759" t="s">
        <v>3181</v>
      </c>
      <c r="J492" s="1759" t="s">
        <v>3513</v>
      </c>
    </row>
    <row r="493" spans="1:10" ht="12.75" customHeight="1">
      <c r="A493" s="1796" t="s">
        <v>3970</v>
      </c>
      <c r="B493" s="1804" t="s">
        <v>1314</v>
      </c>
      <c r="C493" s="1805">
        <v>349.1</v>
      </c>
      <c r="D493" s="1804" t="s">
        <v>2771</v>
      </c>
      <c r="E493" s="1806">
        <v>41761</v>
      </c>
      <c r="F493" s="1804" t="s">
        <v>881</v>
      </c>
      <c r="G493" s="1809">
        <v>0.1012</v>
      </c>
      <c r="H493" s="1804" t="s">
        <v>929</v>
      </c>
      <c r="I493" s="1804" t="s">
        <v>3128</v>
      </c>
      <c r="J493" s="646" t="s">
        <v>483</v>
      </c>
    </row>
    <row r="494" spans="1:10" ht="12.75" customHeight="1">
      <c r="A494" s="1561" t="s">
        <v>3970</v>
      </c>
      <c r="B494" s="1088" t="s">
        <v>1314</v>
      </c>
      <c r="C494" s="1562">
        <v>349.2</v>
      </c>
      <c r="D494" s="1088" t="s">
        <v>2765</v>
      </c>
      <c r="E494" s="1563">
        <v>41792</v>
      </c>
      <c r="F494" s="1088" t="s">
        <v>881</v>
      </c>
      <c r="G494" s="1566">
        <v>1.1774</v>
      </c>
      <c r="H494" s="1088" t="s">
        <v>929</v>
      </c>
      <c r="I494" s="1088" t="s">
        <v>3128</v>
      </c>
      <c r="J494" s="1038"/>
    </row>
    <row r="495" spans="1:10" ht="12.75" customHeight="1">
      <c r="A495" s="1561" t="s">
        <v>3970</v>
      </c>
      <c r="B495" s="1088" t="s">
        <v>1314</v>
      </c>
      <c r="C495" s="1811">
        <v>349.3</v>
      </c>
      <c r="D495" s="646" t="s">
        <v>2771</v>
      </c>
      <c r="E495" s="1563">
        <v>42200</v>
      </c>
      <c r="F495" s="1088" t="s">
        <v>881</v>
      </c>
      <c r="G495" s="1566">
        <v>0.51649999999999996</v>
      </c>
      <c r="H495" s="1088"/>
      <c r="I495" s="1088" t="s">
        <v>3128</v>
      </c>
      <c r="J495" s="646" t="s">
        <v>3982</v>
      </c>
    </row>
    <row r="496" spans="1:10" ht="12.75" customHeight="1">
      <c r="A496" s="889">
        <v>350</v>
      </c>
      <c r="B496" s="891" t="s">
        <v>3983</v>
      </c>
      <c r="C496" s="893">
        <v>350.1</v>
      </c>
      <c r="D496" s="1813" t="s">
        <v>2771</v>
      </c>
      <c r="E496" s="895" t="s">
        <v>3778</v>
      </c>
      <c r="F496" s="891" t="s">
        <v>881</v>
      </c>
      <c r="G496" s="897">
        <v>0.37890000000000001</v>
      </c>
      <c r="H496" s="899" t="s">
        <v>720</v>
      </c>
      <c r="I496" s="891" t="s">
        <v>3181</v>
      </c>
      <c r="J496" s="901"/>
    </row>
    <row r="497" spans="1:10" ht="12.75" customHeight="1">
      <c r="A497" s="889">
        <v>350</v>
      </c>
      <c r="B497" s="891" t="s">
        <v>3983</v>
      </c>
      <c r="C497" s="893">
        <v>350.2</v>
      </c>
      <c r="D497" s="891" t="s">
        <v>2765</v>
      </c>
      <c r="E497" s="895" t="s">
        <v>3206</v>
      </c>
      <c r="F497" s="891" t="s">
        <v>881</v>
      </c>
      <c r="G497" s="897">
        <v>0.4335</v>
      </c>
      <c r="H497" s="899" t="s">
        <v>720</v>
      </c>
      <c r="I497" s="891" t="s">
        <v>3181</v>
      </c>
      <c r="J497" s="901"/>
    </row>
    <row r="498" spans="1:10" ht="12.75" customHeight="1">
      <c r="A498" s="621">
        <v>351</v>
      </c>
      <c r="B498" s="50" t="s">
        <v>1323</v>
      </c>
      <c r="C498" s="4">
        <v>351.1</v>
      </c>
      <c r="D498" s="180" t="s">
        <v>2771</v>
      </c>
      <c r="E498" s="753">
        <v>41913</v>
      </c>
      <c r="F498" s="50" t="s">
        <v>881</v>
      </c>
      <c r="G498" s="755">
        <v>0.33879999999999999</v>
      </c>
      <c r="H498" s="50" t="s">
        <v>3029</v>
      </c>
      <c r="I498" s="50" t="s">
        <v>3128</v>
      </c>
    </row>
    <row r="499" spans="1:10" ht="12.75" customHeight="1">
      <c r="A499" s="621">
        <v>352</v>
      </c>
      <c r="B499" s="50" t="s">
        <v>1327</v>
      </c>
      <c r="C499" s="4">
        <v>352.1</v>
      </c>
      <c r="D499" s="180" t="s">
        <v>2771</v>
      </c>
      <c r="E499" s="759" t="s">
        <v>3986</v>
      </c>
      <c r="F499" s="50" t="s">
        <v>881</v>
      </c>
      <c r="G499" s="755">
        <v>0.38129999999999997</v>
      </c>
      <c r="H499" s="50" t="s">
        <v>3029</v>
      </c>
      <c r="I499" s="50" t="s">
        <v>3181</v>
      </c>
    </row>
    <row r="500" spans="1:10" ht="12.75" customHeight="1">
      <c r="A500" s="1539">
        <v>353</v>
      </c>
      <c r="B500" s="170" t="s">
        <v>1331</v>
      </c>
      <c r="C500" s="1569">
        <v>353.2</v>
      </c>
      <c r="D500" s="170" t="s">
        <v>2765</v>
      </c>
      <c r="E500" s="1541">
        <v>41717</v>
      </c>
      <c r="F500" s="170" t="s">
        <v>95</v>
      </c>
      <c r="G500" s="1568">
        <v>0.51849999999999996</v>
      </c>
      <c r="H500" s="170" t="s">
        <v>929</v>
      </c>
      <c r="I500" s="170" t="s">
        <v>3877</v>
      </c>
      <c r="J500" s="170" t="s">
        <v>3989</v>
      </c>
    </row>
    <row r="501" spans="1:10" ht="12.75" customHeight="1">
      <c r="A501" s="1539">
        <v>353</v>
      </c>
      <c r="B501" s="170" t="s">
        <v>1331</v>
      </c>
      <c r="C501" s="1540">
        <v>353.1</v>
      </c>
      <c r="D501" s="1816" t="s">
        <v>2771</v>
      </c>
      <c r="E501" s="1543" t="s">
        <v>3991</v>
      </c>
      <c r="F501" s="170" t="s">
        <v>881</v>
      </c>
      <c r="G501" s="1568">
        <v>8.7499999999999994E-2</v>
      </c>
      <c r="H501" s="170" t="s">
        <v>929</v>
      </c>
      <c r="I501" s="170" t="s">
        <v>3128</v>
      </c>
      <c r="J501" s="174"/>
    </row>
    <row r="502" spans="1:10" ht="12.75" customHeight="1">
      <c r="A502" s="851">
        <v>354</v>
      </c>
      <c r="B502" s="857" t="s">
        <v>526</v>
      </c>
      <c r="C502" s="855">
        <v>354.2</v>
      </c>
      <c r="D502" s="857" t="s">
        <v>2765</v>
      </c>
      <c r="E502" s="1035">
        <v>41703</v>
      </c>
      <c r="F502" s="857" t="s">
        <v>881</v>
      </c>
      <c r="G502" s="860">
        <v>0.93700000000000006</v>
      </c>
      <c r="H502" s="857" t="s">
        <v>929</v>
      </c>
      <c r="I502" s="857" t="s">
        <v>3128</v>
      </c>
      <c r="J502" s="857" t="s">
        <v>2844</v>
      </c>
    </row>
    <row r="503" spans="1:10" ht="12.75" customHeight="1">
      <c r="A503" s="851">
        <v>354</v>
      </c>
      <c r="B503" s="857" t="s">
        <v>526</v>
      </c>
      <c r="C503" s="855">
        <v>354.1</v>
      </c>
      <c r="D503" s="1819" t="s">
        <v>2771</v>
      </c>
      <c r="E503" s="858" t="s">
        <v>3991</v>
      </c>
      <c r="F503" s="857" t="s">
        <v>881</v>
      </c>
      <c r="G503" s="860">
        <v>7.3599999999999999E-2</v>
      </c>
      <c r="H503" s="857" t="s">
        <v>929</v>
      </c>
      <c r="I503" s="857" t="s">
        <v>3128</v>
      </c>
      <c r="J503" s="859"/>
    </row>
    <row r="504" spans="1:10" ht="12.75" customHeight="1">
      <c r="A504" s="851">
        <v>354</v>
      </c>
      <c r="B504" s="857" t="s">
        <v>526</v>
      </c>
      <c r="C504" s="862">
        <v>354.3</v>
      </c>
      <c r="D504" s="1819" t="s">
        <v>2771</v>
      </c>
      <c r="E504" s="858" t="s">
        <v>141</v>
      </c>
      <c r="F504" s="857" t="s">
        <v>881</v>
      </c>
      <c r="G504" s="860">
        <v>0.2792</v>
      </c>
      <c r="H504" s="859"/>
      <c r="I504" s="859"/>
      <c r="J504" s="859"/>
    </row>
    <row r="505" spans="1:10" ht="12.75" customHeight="1">
      <c r="A505" s="621">
        <v>355</v>
      </c>
      <c r="B505" s="50" t="s">
        <v>536</v>
      </c>
      <c r="C505" s="4">
        <v>355.1</v>
      </c>
      <c r="D505" s="180" t="s">
        <v>2771</v>
      </c>
      <c r="E505" s="759" t="s">
        <v>3991</v>
      </c>
      <c r="F505" s="50" t="s">
        <v>881</v>
      </c>
      <c r="G505" s="755">
        <v>0.2581</v>
      </c>
      <c r="H505" s="50" t="s">
        <v>929</v>
      </c>
      <c r="I505" s="50" t="s">
        <v>3128</v>
      </c>
    </row>
    <row r="506" spans="1:10" ht="12.75" customHeight="1">
      <c r="A506" s="621">
        <v>356</v>
      </c>
      <c r="B506" s="50" t="s">
        <v>1340</v>
      </c>
      <c r="C506" s="4">
        <v>356.1</v>
      </c>
      <c r="D506" s="50" t="s">
        <v>2765</v>
      </c>
      <c r="E506" s="759" t="s">
        <v>3245</v>
      </c>
      <c r="F506" s="50" t="s">
        <v>881</v>
      </c>
      <c r="G506" s="755">
        <v>0.2979</v>
      </c>
      <c r="H506" s="50" t="s">
        <v>929</v>
      </c>
      <c r="I506" s="50" t="s">
        <v>3128</v>
      </c>
      <c r="J506" s="50" t="s">
        <v>3471</v>
      </c>
    </row>
    <row r="507" spans="1:10" ht="12.75" customHeight="1">
      <c r="A507" s="837">
        <v>357</v>
      </c>
      <c r="B507" s="838" t="s">
        <v>1344</v>
      </c>
      <c r="C507" s="845">
        <v>357.1</v>
      </c>
      <c r="D507" s="838" t="s">
        <v>2771</v>
      </c>
      <c r="E507" s="841">
        <v>41872</v>
      </c>
      <c r="F507" s="838" t="s">
        <v>158</v>
      </c>
      <c r="G507" s="843">
        <v>0.15809999999999999</v>
      </c>
      <c r="H507" s="838" t="s">
        <v>3029</v>
      </c>
      <c r="I507" s="838" t="s">
        <v>3128</v>
      </c>
      <c r="J507" s="838" t="s">
        <v>2844</v>
      </c>
    </row>
    <row r="508" spans="1:10" ht="12.75" customHeight="1">
      <c r="A508" s="1054">
        <v>358</v>
      </c>
      <c r="B508" s="672" t="str">
        <f>VLOOKUP(A508,plasmids!$A$2:$B$391,2)</f>
        <v>pscAAV-CAG-hCatCh-GFP</v>
      </c>
      <c r="C508" s="1059">
        <v>358.2</v>
      </c>
      <c r="D508" s="672" t="s">
        <v>2765</v>
      </c>
      <c r="E508" s="1056">
        <v>41717</v>
      </c>
      <c r="F508" s="672" t="s">
        <v>95</v>
      </c>
      <c r="G508" s="1058">
        <v>1.2992999999999999</v>
      </c>
      <c r="H508" s="672" t="s">
        <v>929</v>
      </c>
      <c r="I508" s="672" t="s">
        <v>3128</v>
      </c>
      <c r="J508" s="672" t="s">
        <v>2844</v>
      </c>
    </row>
    <row r="509" spans="1:10" ht="12.75" customHeight="1">
      <c r="A509" s="1054">
        <v>358</v>
      </c>
      <c r="B509" s="672" t="str">
        <f>VLOOKUP(A509,plasmids!$A$2:$B$391,2)</f>
        <v>pscAAV-CAG-hCatCh-GFP</v>
      </c>
      <c r="C509" s="1055">
        <v>358.1</v>
      </c>
      <c r="D509" s="672" t="s">
        <v>2771</v>
      </c>
      <c r="E509" s="1252" t="s">
        <v>4001</v>
      </c>
      <c r="F509" s="672" t="s">
        <v>881</v>
      </c>
      <c r="G509" s="1058">
        <v>0.2177</v>
      </c>
      <c r="H509" s="672" t="s">
        <v>929</v>
      </c>
      <c r="I509" s="672" t="s">
        <v>3128</v>
      </c>
      <c r="J509" s="1057"/>
    </row>
    <row r="510" spans="1:10" ht="12.75" customHeight="1">
      <c r="A510" s="1294">
        <v>359</v>
      </c>
      <c r="B510" s="1827" t="s">
        <v>4002</v>
      </c>
      <c r="C510" s="1744">
        <v>359.2</v>
      </c>
      <c r="D510" s="285" t="s">
        <v>2765</v>
      </c>
      <c r="E510" s="1296">
        <v>41717</v>
      </c>
      <c r="F510" s="285" t="s">
        <v>95</v>
      </c>
      <c r="G510" s="1313">
        <v>0.43980000000000002</v>
      </c>
      <c r="H510" s="285" t="s">
        <v>929</v>
      </c>
      <c r="I510" s="285" t="s">
        <v>3128</v>
      </c>
      <c r="J510" s="285" t="s">
        <v>2844</v>
      </c>
    </row>
    <row r="511" spans="1:10" ht="12.75" customHeight="1">
      <c r="A511" s="1294">
        <v>359</v>
      </c>
      <c r="B511" s="1829" t="str">
        <f>VLOOKUP(A511,plasmids!$A$2:$B$391,2)</f>
        <v>pssAAV-1xGrm6-GFP_x000D_</v>
      </c>
      <c r="C511" s="1744">
        <v>359.3</v>
      </c>
      <c r="D511" s="285" t="s">
        <v>2765</v>
      </c>
      <c r="E511" s="1296">
        <v>41738</v>
      </c>
      <c r="F511" s="285" t="s">
        <v>3392</v>
      </c>
      <c r="G511" s="1313">
        <v>0.40500000000000003</v>
      </c>
      <c r="H511" s="285" t="s">
        <v>929</v>
      </c>
      <c r="I511" s="285" t="s">
        <v>3128</v>
      </c>
      <c r="J511" s="285" t="s">
        <v>2844</v>
      </c>
    </row>
    <row r="512" spans="1:10" ht="12.75" customHeight="1">
      <c r="A512" s="1294">
        <v>359</v>
      </c>
      <c r="B512" s="1829" t="str">
        <f>VLOOKUP(A512,plasmids!$A$2:$B$391,2)</f>
        <v>pssAAV-1xGrm6-GFP_x000D_</v>
      </c>
      <c r="C512" s="1744">
        <v>359.4</v>
      </c>
      <c r="D512" s="285" t="s">
        <v>2765</v>
      </c>
      <c r="E512" s="1296">
        <v>41739</v>
      </c>
      <c r="F512" s="285" t="s">
        <v>881</v>
      </c>
      <c r="G512" s="1313">
        <v>0.43</v>
      </c>
      <c r="H512" s="285" t="s">
        <v>3029</v>
      </c>
      <c r="I512" s="285" t="s">
        <v>3128</v>
      </c>
      <c r="J512" s="395" t="s">
        <v>4011</v>
      </c>
    </row>
    <row r="513" spans="1:10" ht="12.75" customHeight="1">
      <c r="A513" s="1294">
        <v>359</v>
      </c>
      <c r="B513" s="1829" t="str">
        <f>VLOOKUP(A513,plasmids!$A$2:$B$391,2)</f>
        <v>pssAAV-1xGrm6-GFP_x000D_</v>
      </c>
      <c r="C513" s="1744">
        <v>359.5</v>
      </c>
      <c r="D513" s="285" t="s">
        <v>2765</v>
      </c>
      <c r="E513" s="1296">
        <v>41744</v>
      </c>
      <c r="F513" s="285" t="s">
        <v>881</v>
      </c>
      <c r="G513" s="1313">
        <v>0.25800000000000001</v>
      </c>
      <c r="H513" s="285" t="s">
        <v>929</v>
      </c>
      <c r="I513" s="285" t="s">
        <v>3128</v>
      </c>
      <c r="J513" s="395" t="s">
        <v>4013</v>
      </c>
    </row>
    <row r="514" spans="1:10" ht="12.75" customHeight="1">
      <c r="A514" s="1294">
        <v>359</v>
      </c>
      <c r="B514" s="1829" t="str">
        <f>VLOOKUP(A514,plasmids!$A$2:$B$391,2)</f>
        <v>pssAAV-1xGrm6-GFP_x000D_</v>
      </c>
      <c r="C514" s="1744">
        <v>359.5</v>
      </c>
      <c r="D514" s="285" t="s">
        <v>2765</v>
      </c>
      <c r="E514" s="1296">
        <v>41744</v>
      </c>
      <c r="F514" s="285" t="s">
        <v>881</v>
      </c>
      <c r="G514" s="1313">
        <v>0.63759999999999994</v>
      </c>
      <c r="H514" s="285" t="s">
        <v>929</v>
      </c>
      <c r="I514" s="285" t="s">
        <v>3128</v>
      </c>
      <c r="J514" s="395" t="s">
        <v>4021</v>
      </c>
    </row>
    <row r="515" spans="1:10" ht="12.75" customHeight="1">
      <c r="A515" s="1294">
        <v>359</v>
      </c>
      <c r="B515" s="1827" t="str">
        <f>VLOOKUP(A515,plasmids!$A$2:$B$391,2)</f>
        <v>pssAAV-1xGrm6-GFP_x000D_</v>
      </c>
      <c r="C515" s="1295">
        <v>359.1</v>
      </c>
      <c r="D515" s="285" t="s">
        <v>2771</v>
      </c>
      <c r="E515" s="1685" t="s">
        <v>4022</v>
      </c>
      <c r="F515" s="285" t="s">
        <v>881</v>
      </c>
      <c r="G515" s="1313">
        <v>0.25879999999999997</v>
      </c>
      <c r="H515" s="285" t="s">
        <v>929</v>
      </c>
      <c r="I515" s="285" t="s">
        <v>3128</v>
      </c>
      <c r="J515" s="287"/>
    </row>
    <row r="516" spans="1:10" ht="12.75" customHeight="1">
      <c r="A516" s="872">
        <v>360</v>
      </c>
      <c r="B516" s="1337" t="str">
        <f>VLOOKUP(A516,plasmids!$A$2:$B$391,2)</f>
        <v>pssAAV-SNCG-hCatch-GFP-WPRE ultime</v>
      </c>
      <c r="C516" s="1835">
        <v>360.2</v>
      </c>
      <c r="D516" s="1836" t="s">
        <v>2771</v>
      </c>
      <c r="E516" s="1837">
        <v>41731</v>
      </c>
      <c r="F516" s="1836" t="s">
        <v>881</v>
      </c>
      <c r="G516" s="1838">
        <v>0.20530000000000001</v>
      </c>
      <c r="H516" s="1836" t="s">
        <v>929</v>
      </c>
      <c r="I516" s="1836" t="s">
        <v>3128</v>
      </c>
      <c r="J516" s="949" t="s">
        <v>3081</v>
      </c>
    </row>
    <row r="517" spans="1:10" ht="12.75" customHeight="1">
      <c r="A517" s="872">
        <v>360</v>
      </c>
      <c r="B517" s="873" t="s">
        <v>1382</v>
      </c>
      <c r="C517" s="1839">
        <v>360.1</v>
      </c>
      <c r="D517" s="1836" t="s">
        <v>2771</v>
      </c>
      <c r="E517" s="1840" t="s">
        <v>4022</v>
      </c>
      <c r="F517" s="1836" t="s">
        <v>881</v>
      </c>
      <c r="G517" s="1838">
        <v>0.41460000000000002</v>
      </c>
      <c r="H517" s="1836" t="s">
        <v>929</v>
      </c>
      <c r="I517" s="1836" t="s">
        <v>3128</v>
      </c>
      <c r="J517" s="949" t="s">
        <v>2073</v>
      </c>
    </row>
    <row r="518" spans="1:10" ht="12.75" customHeight="1">
      <c r="A518" s="872">
        <v>360</v>
      </c>
      <c r="B518" s="873" t="s">
        <v>1382</v>
      </c>
      <c r="C518" s="884">
        <v>360.3</v>
      </c>
      <c r="D518" s="873" t="s">
        <v>2765</v>
      </c>
      <c r="E518" s="1332">
        <v>42149</v>
      </c>
      <c r="F518" s="873" t="s">
        <v>881</v>
      </c>
      <c r="G518" s="881">
        <v>1.4726999999999999</v>
      </c>
      <c r="H518" s="873" t="s">
        <v>929</v>
      </c>
      <c r="I518" s="873" t="s">
        <v>3128</v>
      </c>
      <c r="J518" s="873" t="s">
        <v>4026</v>
      </c>
    </row>
    <row r="519" spans="1:10" ht="12.75" customHeight="1">
      <c r="A519" s="1195">
        <v>361</v>
      </c>
      <c r="B519" s="657" t="str">
        <f>VLOOKUP(A519,plasmids!$A$2:$B$391,2)</f>
        <v>pAAV-ss-4xGRm6-GFP_x000D_</v>
      </c>
      <c r="C519" s="1204">
        <v>361.2</v>
      </c>
      <c r="D519" s="625" t="s">
        <v>2765</v>
      </c>
      <c r="E519" s="1197">
        <v>41717</v>
      </c>
      <c r="F519" s="625" t="s">
        <v>95</v>
      </c>
      <c r="G519" s="1199">
        <v>0.9294</v>
      </c>
      <c r="H519" s="625" t="s">
        <v>929</v>
      </c>
      <c r="I519" s="625" t="s">
        <v>3128</v>
      </c>
      <c r="J519" s="625" t="s">
        <v>2844</v>
      </c>
    </row>
    <row r="520" spans="1:10" ht="12.75" customHeight="1">
      <c r="A520" s="1195">
        <v>361</v>
      </c>
      <c r="B520" s="657" t="s">
        <v>1386</v>
      </c>
      <c r="C520" s="1196">
        <v>361.1</v>
      </c>
      <c r="D520" s="625" t="s">
        <v>2771</v>
      </c>
      <c r="E520" s="1201" t="s">
        <v>4022</v>
      </c>
      <c r="F520" s="625" t="s">
        <v>881</v>
      </c>
      <c r="G520" s="1199">
        <v>0.2049</v>
      </c>
      <c r="H520" s="625" t="s">
        <v>929</v>
      </c>
      <c r="I520" s="625" t="s">
        <v>3128</v>
      </c>
      <c r="J520" s="647"/>
    </row>
    <row r="521" spans="1:10" ht="12.75" customHeight="1">
      <c r="A521" s="1692">
        <v>362</v>
      </c>
      <c r="B521" s="1841" t="s">
        <v>4032</v>
      </c>
      <c r="C521" s="1702">
        <v>362.1</v>
      </c>
      <c r="D521" s="1091" t="s">
        <v>2765</v>
      </c>
      <c r="E521" s="1697" t="s">
        <v>141</v>
      </c>
      <c r="F521" s="1091" t="s">
        <v>1091</v>
      </c>
      <c r="G521" s="1699">
        <v>2.8</v>
      </c>
      <c r="H521" s="1091" t="s">
        <v>3029</v>
      </c>
      <c r="I521" s="1091" t="s">
        <v>141</v>
      </c>
      <c r="J521" s="1094"/>
    </row>
    <row r="522" spans="1:10" ht="12.75" customHeight="1">
      <c r="A522" s="1692">
        <v>362</v>
      </c>
      <c r="B522" s="1841" t="s">
        <v>4032</v>
      </c>
      <c r="C522" s="1702" t="s">
        <v>4034</v>
      </c>
      <c r="D522" s="1091" t="s">
        <v>2765</v>
      </c>
      <c r="E522" s="1842" t="s">
        <v>141</v>
      </c>
      <c r="F522" s="1091" t="s">
        <v>1091</v>
      </c>
      <c r="G522" s="1699">
        <v>2.8</v>
      </c>
      <c r="H522" s="1091" t="s">
        <v>3029</v>
      </c>
      <c r="I522" s="1091" t="s">
        <v>141</v>
      </c>
      <c r="J522" s="1841" t="s">
        <v>4035</v>
      </c>
    </row>
    <row r="523" spans="1:10" ht="12.75" customHeight="1">
      <c r="A523" s="1106">
        <v>363</v>
      </c>
      <c r="B523" s="1110" t="s">
        <v>4036</v>
      </c>
      <c r="C523" s="1113">
        <v>363.1</v>
      </c>
      <c r="D523" s="1107" t="s">
        <v>2765</v>
      </c>
      <c r="E523" s="1109" t="s">
        <v>141</v>
      </c>
      <c r="F523" s="1107" t="s">
        <v>1091</v>
      </c>
      <c r="G523" s="1111">
        <v>2.4</v>
      </c>
      <c r="H523" s="1107" t="s">
        <v>3029</v>
      </c>
      <c r="I523" s="1107" t="s">
        <v>141</v>
      </c>
      <c r="J523" s="1112"/>
    </row>
    <row r="524" spans="1:10" ht="12.75" customHeight="1">
      <c r="A524" s="1106">
        <v>363</v>
      </c>
      <c r="B524" s="1110" t="s">
        <v>4036</v>
      </c>
      <c r="C524" s="1113" t="s">
        <v>4037</v>
      </c>
      <c r="D524" s="1107" t="s">
        <v>2765</v>
      </c>
      <c r="E524" s="1843" t="s">
        <v>141</v>
      </c>
      <c r="F524" s="1107" t="s">
        <v>1091</v>
      </c>
      <c r="G524" s="1111">
        <v>2.4</v>
      </c>
      <c r="H524" s="1107" t="s">
        <v>3029</v>
      </c>
      <c r="I524" s="1107" t="s">
        <v>141</v>
      </c>
      <c r="J524" s="1110" t="s">
        <v>4035</v>
      </c>
    </row>
    <row r="525" spans="1:10" ht="12.75" customHeight="1">
      <c r="A525" s="772">
        <v>364</v>
      </c>
      <c r="B525" s="773" t="s">
        <v>4038</v>
      </c>
      <c r="C525" s="1116">
        <v>364.1</v>
      </c>
      <c r="D525" s="773" t="s">
        <v>2771</v>
      </c>
      <c r="E525" s="775">
        <v>41703</v>
      </c>
      <c r="F525" s="773" t="s">
        <v>881</v>
      </c>
      <c r="G525" s="776">
        <v>0.28710000000000002</v>
      </c>
      <c r="H525" s="773" t="s">
        <v>929</v>
      </c>
      <c r="I525" s="773" t="s">
        <v>3128</v>
      </c>
      <c r="J525" s="777"/>
    </row>
    <row r="526" spans="1:10" ht="12.75" customHeight="1">
      <c r="A526" s="772">
        <v>364</v>
      </c>
      <c r="B526" s="1192" t="str">
        <f>VLOOKUP(A526,plasmids!$A$2:$B$391,2)</f>
        <v>pssAAV-mCar-ChrimsonR-tdTomato</v>
      </c>
      <c r="C526" s="1116">
        <v>364.2</v>
      </c>
      <c r="D526" s="773" t="s">
        <v>2765</v>
      </c>
      <c r="E526" s="775">
        <v>41738</v>
      </c>
      <c r="F526" s="773" t="s">
        <v>3392</v>
      </c>
      <c r="G526" s="776">
        <v>0.70099999999999996</v>
      </c>
      <c r="H526" s="773" t="s">
        <v>929</v>
      </c>
      <c r="I526" s="773" t="s">
        <v>3128</v>
      </c>
      <c r="J526" s="773" t="s">
        <v>2844</v>
      </c>
    </row>
    <row r="527" spans="1:10" ht="12.75" customHeight="1">
      <c r="A527" s="621">
        <v>365</v>
      </c>
      <c r="B527" s="50" t="s">
        <v>1398</v>
      </c>
      <c r="C527" s="1">
        <v>365.1</v>
      </c>
      <c r="D527" s="50" t="s">
        <v>2765</v>
      </c>
      <c r="E527" s="753">
        <v>41717</v>
      </c>
      <c r="F527" s="50" t="s">
        <v>95</v>
      </c>
      <c r="G527" s="755">
        <v>1.0113000000000001</v>
      </c>
      <c r="H527" s="50" t="s">
        <v>929</v>
      </c>
      <c r="I527" s="50" t="s">
        <v>3128</v>
      </c>
      <c r="J527" s="50" t="s">
        <v>2844</v>
      </c>
    </row>
    <row r="528" spans="1:10" ht="12.75" customHeight="1">
      <c r="A528" s="621">
        <v>366</v>
      </c>
      <c r="E528" s="758"/>
      <c r="G528" s="754"/>
    </row>
    <row r="529" spans="1:13" ht="12.75" customHeight="1">
      <c r="A529" s="621">
        <v>367</v>
      </c>
      <c r="E529" s="758"/>
      <c r="G529" s="754"/>
    </row>
    <row r="530" spans="1:13" ht="12.75" customHeight="1">
      <c r="A530" s="1845">
        <v>368</v>
      </c>
      <c r="B530" s="1846" t="str">
        <f>VLOOKUP(A530,plasmids!$A$2:$B$391,2)</f>
        <v>pssAAV-1xGrm6-ChrimsonR-dtTomato</v>
      </c>
      <c r="C530" s="1847">
        <v>368.1</v>
      </c>
      <c r="D530" s="1338" t="s">
        <v>2771</v>
      </c>
      <c r="E530" s="1848">
        <v>41731</v>
      </c>
      <c r="F530" s="1338" t="s">
        <v>881</v>
      </c>
      <c r="G530" s="1849">
        <v>8.2100000000000006E-2</v>
      </c>
      <c r="H530" s="1338" t="s">
        <v>929</v>
      </c>
      <c r="I530" s="1338" t="s">
        <v>3128</v>
      </c>
      <c r="J530" s="1339"/>
    </row>
    <row r="531" spans="1:13" ht="12.75" customHeight="1">
      <c r="A531" s="1845">
        <v>368</v>
      </c>
      <c r="B531" s="1846" t="str">
        <f>VLOOKUP(A531,plasmids!$A$2:$B$391,2)</f>
        <v>pssAAV-1xGrm6-ChrimsonR-dtTomato</v>
      </c>
      <c r="C531" s="1847">
        <v>368.2</v>
      </c>
      <c r="D531" s="1338" t="s">
        <v>2771</v>
      </c>
      <c r="E531" s="1848">
        <v>42083</v>
      </c>
      <c r="F531" s="1338" t="s">
        <v>881</v>
      </c>
      <c r="G531" s="1849">
        <v>0.90010000000000001</v>
      </c>
      <c r="H531" s="1338" t="s">
        <v>141</v>
      </c>
      <c r="I531" s="1338" t="s">
        <v>3128</v>
      </c>
      <c r="J531" s="1338" t="s">
        <v>2844</v>
      </c>
    </row>
    <row r="532" spans="1:13" ht="12.75" customHeight="1">
      <c r="A532" s="1845">
        <v>368</v>
      </c>
      <c r="B532" s="1846" t="str">
        <f>VLOOKUP(A532,plasmids!$A$2:$B$391,2)</f>
        <v>pssAAV-1xGrm6-ChrimsonR-dtTomato</v>
      </c>
      <c r="C532" s="1847">
        <v>368.3</v>
      </c>
      <c r="D532" s="1338" t="s">
        <v>2771</v>
      </c>
      <c r="E532" s="1848">
        <v>42748</v>
      </c>
      <c r="F532" s="1887" t="s">
        <v>2126</v>
      </c>
      <c r="G532" s="1849">
        <v>0.14649999999999999</v>
      </c>
      <c r="H532" s="1338"/>
      <c r="I532" s="1887" t="s">
        <v>3128</v>
      </c>
      <c r="J532" s="1887" t="s">
        <v>2844</v>
      </c>
    </row>
    <row r="533" spans="1:13" ht="12.75" customHeight="1">
      <c r="A533" s="1845">
        <v>368</v>
      </c>
      <c r="B533" s="1846" t="str">
        <f>VLOOKUP(A533,plasmids!$A$2:$B$391,2)</f>
        <v>pssAAV-1xGrm6-ChrimsonR-dtTomato</v>
      </c>
      <c r="C533" s="1847" t="s">
        <v>4063</v>
      </c>
      <c r="D533" s="1887" t="s">
        <v>2765</v>
      </c>
      <c r="E533" s="1848">
        <v>42550</v>
      </c>
      <c r="F533" s="1338" t="s">
        <v>881</v>
      </c>
      <c r="G533" s="1889" t="s">
        <v>4064</v>
      </c>
      <c r="H533" s="1887" t="s">
        <v>929</v>
      </c>
      <c r="I533" s="1338" t="s">
        <v>3128</v>
      </c>
      <c r="J533" s="1338" t="s">
        <v>2844</v>
      </c>
    </row>
    <row r="534" spans="1:13" ht="12.75" customHeight="1">
      <c r="A534" s="1060">
        <v>369</v>
      </c>
      <c r="B534" s="1890" t="str">
        <f>VLOOKUP(A534,plasmids!$A$2:$B$391,2)</f>
        <v>pssAAV-4xGrm6-ChrimsonR-dtTomato</v>
      </c>
      <c r="C534" s="1891">
        <v>369.1</v>
      </c>
      <c r="D534" s="268" t="s">
        <v>2771</v>
      </c>
      <c r="E534" s="1892">
        <v>41731</v>
      </c>
      <c r="F534" s="268" t="s">
        <v>881</v>
      </c>
      <c r="G534" s="1063">
        <v>6.5699999999999995E-2</v>
      </c>
      <c r="H534" s="268" t="s">
        <v>929</v>
      </c>
      <c r="I534" s="268" t="s">
        <v>3128</v>
      </c>
      <c r="J534" s="273"/>
      <c r="K534" s="273"/>
      <c r="L534" s="273"/>
      <c r="M534" s="273"/>
    </row>
    <row r="535" spans="1:13" ht="12.75" customHeight="1">
      <c r="A535" s="1060">
        <v>369</v>
      </c>
      <c r="B535" s="1890" t="str">
        <f>VLOOKUP(A535,plasmids!$A$2:$B$391,2)</f>
        <v>pssAAV-4xGrm6-ChrimsonR-dtTomato</v>
      </c>
      <c r="C535" s="1891">
        <v>369.2</v>
      </c>
      <c r="D535" s="268" t="s">
        <v>2771</v>
      </c>
      <c r="E535" s="1892">
        <v>42748</v>
      </c>
      <c r="F535" s="1065" t="s">
        <v>2126</v>
      </c>
      <c r="G535" s="1894">
        <v>0.17</v>
      </c>
      <c r="H535" s="268"/>
      <c r="I535" s="1065" t="s">
        <v>3128</v>
      </c>
      <c r="J535" s="273"/>
      <c r="K535" s="273"/>
      <c r="L535" s="273"/>
      <c r="M535" s="273"/>
    </row>
    <row r="536" spans="1:13" ht="12.75" customHeight="1">
      <c r="A536" s="1060">
        <v>369</v>
      </c>
      <c r="B536" s="1890" t="str">
        <f>VLOOKUP(A536,plasmids!$A$2:$B$391,2)</f>
        <v>pssAAV-4xGrm6-ChrimsonR-dtTomato</v>
      </c>
      <c r="C536" s="1064" t="s">
        <v>4069</v>
      </c>
      <c r="D536" s="1065" t="s">
        <v>2765</v>
      </c>
      <c r="E536" s="1892">
        <v>42790</v>
      </c>
      <c r="F536" s="1065" t="s">
        <v>2126</v>
      </c>
      <c r="G536" s="1894" t="s">
        <v>4070</v>
      </c>
      <c r="H536" s="268"/>
      <c r="I536" s="1065"/>
      <c r="J536" s="273"/>
      <c r="K536" s="273"/>
      <c r="L536" s="273"/>
      <c r="M536" s="273"/>
    </row>
    <row r="537" spans="1:13" ht="12.75" customHeight="1">
      <c r="A537" s="1558">
        <v>370</v>
      </c>
      <c r="B537" s="1895" t="str">
        <f>VLOOKUP(A537,plasmids!$A$2:$B$391,2)</f>
        <v>pssAAV-mCAR-LWO-GFP</v>
      </c>
      <c r="C537" s="1320">
        <v>370.1</v>
      </c>
      <c r="D537" s="1096" t="s">
        <v>2771</v>
      </c>
      <c r="E537" s="1321">
        <v>41731</v>
      </c>
      <c r="F537" s="1096" t="s">
        <v>881</v>
      </c>
      <c r="G537" s="1560">
        <v>0.1676</v>
      </c>
      <c r="H537" s="1096" t="s">
        <v>929</v>
      </c>
      <c r="I537" s="1096" t="s">
        <v>3128</v>
      </c>
      <c r="J537" s="655"/>
    </row>
    <row r="538" spans="1:13" ht="12.75" customHeight="1">
      <c r="A538" s="1558">
        <v>370</v>
      </c>
      <c r="B538" s="1895" t="str">
        <f>VLOOKUP(A538,plasmids!$A$2:$B$391,2)</f>
        <v>pssAAV-mCAR-LWO-GFP</v>
      </c>
      <c r="C538" s="1320">
        <v>370.2</v>
      </c>
      <c r="D538" s="1096" t="s">
        <v>2765</v>
      </c>
      <c r="E538" s="1321">
        <v>41739</v>
      </c>
      <c r="F538" s="1096" t="s">
        <v>881</v>
      </c>
      <c r="G538" s="1560">
        <v>0.40100000000000002</v>
      </c>
      <c r="H538" s="1096" t="s">
        <v>3029</v>
      </c>
      <c r="I538" s="1096" t="s">
        <v>3128</v>
      </c>
      <c r="J538" s="653" t="s">
        <v>4073</v>
      </c>
    </row>
    <row r="539" spans="1:13" ht="12.75" customHeight="1">
      <c r="A539" s="851">
        <v>371</v>
      </c>
      <c r="B539" s="1896" t="str">
        <f>VLOOKUP(A539,plasmids!$A$2:$B$391,2)</f>
        <v>pscAAV-CAG-eNpHR3,0-YFP</v>
      </c>
      <c r="C539" s="862">
        <v>371.1</v>
      </c>
      <c r="D539" s="857" t="s">
        <v>2771</v>
      </c>
      <c r="E539" s="1035">
        <v>41737</v>
      </c>
      <c r="F539" s="857" t="s">
        <v>881</v>
      </c>
      <c r="G539" s="860">
        <v>0.2492</v>
      </c>
      <c r="H539" s="857" t="s">
        <v>3029</v>
      </c>
      <c r="I539" s="857" t="s">
        <v>3128</v>
      </c>
      <c r="J539" s="857" t="s">
        <v>4074</v>
      </c>
    </row>
    <row r="540" spans="1:13" ht="12.75" customHeight="1">
      <c r="A540" s="851">
        <v>371</v>
      </c>
      <c r="B540" s="1896" t="str">
        <f>VLOOKUP(A540,plasmids!$A$2:$B$391,2)</f>
        <v>pscAAV-CAG-eNpHR3,0-YFP</v>
      </c>
      <c r="C540" s="862" t="s">
        <v>4075</v>
      </c>
      <c r="D540" s="853" t="s">
        <v>2765</v>
      </c>
      <c r="E540" s="1035">
        <v>41816</v>
      </c>
      <c r="F540" s="857" t="s">
        <v>881</v>
      </c>
      <c r="G540" s="860" t="s">
        <v>4076</v>
      </c>
      <c r="H540" s="857"/>
      <c r="I540" s="857"/>
      <c r="J540" s="857"/>
    </row>
    <row r="541" spans="1:13" ht="12.75" customHeight="1">
      <c r="A541" s="621">
        <v>372</v>
      </c>
      <c r="B541" s="1901" t="str">
        <f>VLOOKUP(A541,plasmids!$A$2:$B$391,2)</f>
        <v>pssAAV-SNCG-hCatch-GFP-WPRE ultime v2</v>
      </c>
      <c r="C541" s="1">
        <v>372.1</v>
      </c>
      <c r="D541" s="50" t="s">
        <v>2771</v>
      </c>
      <c r="E541" s="753">
        <v>41745</v>
      </c>
      <c r="F541" s="50" t="s">
        <v>881</v>
      </c>
      <c r="G541" s="755">
        <v>0.15210000000000001</v>
      </c>
      <c r="H541" s="50" t="s">
        <v>929</v>
      </c>
      <c r="I541" s="50" t="s">
        <v>3181</v>
      </c>
      <c r="J541" s="50" t="s">
        <v>4077</v>
      </c>
    </row>
    <row r="542" spans="1:13" ht="12.75" customHeight="1">
      <c r="A542" s="1224">
        <v>373</v>
      </c>
      <c r="B542" s="1550" t="str">
        <f>VLOOKUP(A542,plasmids!$A$2:$B$391,2)</f>
        <v xml:space="preserve">pssAAV-SNCG-hChR2 (H134R)-GFP-WPRE </v>
      </c>
      <c r="C542" s="1228">
        <v>373.1</v>
      </c>
      <c r="D542" s="1211" t="s">
        <v>2771</v>
      </c>
      <c r="E542" s="1226">
        <v>41744</v>
      </c>
      <c r="F542" s="1211" t="s">
        <v>881</v>
      </c>
      <c r="G542" s="1227">
        <v>0.3175</v>
      </c>
      <c r="H542" s="1211" t="s">
        <v>929</v>
      </c>
      <c r="I542" s="1211" t="s">
        <v>3181</v>
      </c>
      <c r="J542" s="1211" t="s">
        <v>4078</v>
      </c>
    </row>
    <row r="543" spans="1:13" ht="12.75" customHeight="1">
      <c r="A543" s="1224">
        <v>373</v>
      </c>
      <c r="B543" s="1550" t="str">
        <f>VLOOKUP(A543,plasmids!$A$2:$B$391,2)</f>
        <v xml:space="preserve">pssAAV-SNCG-hChR2 (H134R)-GFP-WPRE </v>
      </c>
      <c r="C543" s="1228">
        <v>373.2</v>
      </c>
      <c r="D543" s="1211" t="s">
        <v>2765</v>
      </c>
      <c r="E543" s="1226">
        <v>41746</v>
      </c>
      <c r="F543" s="1211" t="s">
        <v>881</v>
      </c>
      <c r="G543" s="1227">
        <v>0.88805000000000001</v>
      </c>
      <c r="H543" s="1211" t="s">
        <v>929</v>
      </c>
      <c r="I543" s="1211" t="s">
        <v>3181</v>
      </c>
      <c r="J543" s="1211" t="s">
        <v>4079</v>
      </c>
    </row>
    <row r="544" spans="1:13" ht="12.75" customHeight="1">
      <c r="A544" s="621">
        <v>374</v>
      </c>
      <c r="B544" s="1901" t="str">
        <f>VLOOKUP(A544,plasmids!$A$2:$B$391,2)</f>
        <v xml:space="preserve">puc19-CAP2+pept1 </v>
      </c>
      <c r="C544" s="1">
        <v>374.1</v>
      </c>
      <c r="D544" s="50" t="s">
        <v>2771</v>
      </c>
      <c r="E544" s="753">
        <v>41766</v>
      </c>
      <c r="F544" s="50" t="s">
        <v>1549</v>
      </c>
      <c r="G544" s="755">
        <v>0.45150000000000001</v>
      </c>
      <c r="H544" s="50" t="s">
        <v>3029</v>
      </c>
      <c r="I544" s="50" t="s">
        <v>4081</v>
      </c>
    </row>
    <row r="545" spans="1:10" ht="12.75" customHeight="1">
      <c r="A545" s="621">
        <v>375</v>
      </c>
      <c r="B545" s="1907" t="str">
        <f>VLOOKUP(A545,plasmids!$A$2:$B$391,2)</f>
        <v xml:space="preserve">puc19-CAP2+pept2 </v>
      </c>
      <c r="C545" s="1908">
        <v>375.1</v>
      </c>
      <c r="D545" s="50" t="s">
        <v>2771</v>
      </c>
      <c r="E545" s="753">
        <v>41766</v>
      </c>
      <c r="F545" s="50" t="s">
        <v>1549</v>
      </c>
      <c r="G545" s="755">
        <v>0.41830000000000001</v>
      </c>
      <c r="H545" s="50" t="s">
        <v>3029</v>
      </c>
      <c r="I545" s="50" t="s">
        <v>4081</v>
      </c>
    </row>
    <row r="546" spans="1:10" ht="12.75" customHeight="1">
      <c r="A546" s="621">
        <v>376</v>
      </c>
      <c r="B546" s="1901" t="str">
        <f>VLOOKUP(A546,plasmids!$A$2:$B$391,2)</f>
        <v xml:space="preserve">puc19-CAP2+pept3 </v>
      </c>
      <c r="C546" s="1">
        <v>376.1</v>
      </c>
      <c r="D546" s="50" t="s">
        <v>2771</v>
      </c>
      <c r="E546" s="753">
        <v>41766</v>
      </c>
      <c r="F546" s="50" t="s">
        <v>1549</v>
      </c>
      <c r="G546" s="755">
        <v>0.35630000000000001</v>
      </c>
      <c r="H546" s="50" t="s">
        <v>3029</v>
      </c>
      <c r="I546" s="50" t="s">
        <v>4081</v>
      </c>
    </row>
    <row r="547" spans="1:10" ht="12.75" customHeight="1">
      <c r="A547" s="621">
        <v>377</v>
      </c>
      <c r="B547" s="1901" t="str">
        <f>VLOOKUP(A547,plasmids!$A$2:$B$391,2)</f>
        <v>pssAAV-hROmini-LWO-GFP</v>
      </c>
      <c r="C547" s="1">
        <v>377.1</v>
      </c>
      <c r="D547" s="50" t="s">
        <v>2771</v>
      </c>
      <c r="E547" s="753">
        <v>41765</v>
      </c>
      <c r="F547" s="50" t="s">
        <v>881</v>
      </c>
      <c r="G547" s="755">
        <v>0.3629</v>
      </c>
      <c r="H547" s="50" t="s">
        <v>929</v>
      </c>
      <c r="I547" s="50" t="s">
        <v>3128</v>
      </c>
      <c r="J547" s="50" t="s">
        <v>1454</v>
      </c>
    </row>
    <row r="548" spans="1:10" ht="12.75" customHeight="1">
      <c r="A548" s="1239">
        <v>378</v>
      </c>
      <c r="B548" s="1910" t="str">
        <f>VLOOKUP(A548,plasmids!$A$2:$B$391,2)</f>
        <v>pssAAV-mCAR-eNphR2,0V-EYFP</v>
      </c>
      <c r="C548" s="1250">
        <v>378.1</v>
      </c>
      <c r="D548" s="1245" t="s">
        <v>2771</v>
      </c>
      <c r="E548" s="1247">
        <v>41773</v>
      </c>
      <c r="F548" s="1245" t="s">
        <v>881</v>
      </c>
      <c r="G548" s="1249">
        <v>0.2366</v>
      </c>
      <c r="H548" s="1245" t="s">
        <v>929</v>
      </c>
      <c r="I548" s="1245" t="s">
        <v>3181</v>
      </c>
      <c r="J548" s="1245" t="s">
        <v>1457</v>
      </c>
    </row>
    <row r="549" spans="1:10" ht="12.75" customHeight="1">
      <c r="A549" s="1239">
        <v>378</v>
      </c>
      <c r="B549" s="1910" t="str">
        <f>VLOOKUP(A549,plasmids!$A$2:$B$391,2)</f>
        <v>pssAAV-mCAR-eNphR2,0V-EYFP</v>
      </c>
      <c r="C549" s="1250">
        <v>378.2</v>
      </c>
      <c r="D549" s="1245" t="s">
        <v>2765</v>
      </c>
      <c r="E549" s="1247">
        <v>41795</v>
      </c>
      <c r="F549" s="1245" t="s">
        <v>881</v>
      </c>
      <c r="G549" s="1249">
        <v>0.93530000000000002</v>
      </c>
      <c r="H549" s="1245" t="s">
        <v>929</v>
      </c>
      <c r="I549" s="1245" t="s">
        <v>3128</v>
      </c>
      <c r="J549" s="1245" t="s">
        <v>4083</v>
      </c>
    </row>
    <row r="550" spans="1:10" ht="12.75" customHeight="1">
      <c r="A550" s="621">
        <v>379</v>
      </c>
      <c r="B550" s="1901" t="str">
        <f>VLOOKUP(A550,plasmids!$A$2:$B$391,2)</f>
        <v>pssAAV-mCar-eNpHR2,0V-WPRE</v>
      </c>
      <c r="C550" s="1">
        <v>379.1</v>
      </c>
      <c r="D550" s="50" t="s">
        <v>2771</v>
      </c>
      <c r="E550" s="753">
        <v>41773</v>
      </c>
      <c r="F550" s="50" t="s">
        <v>881</v>
      </c>
      <c r="G550" s="755">
        <v>0.3206</v>
      </c>
      <c r="H550" s="50" t="s">
        <v>929</v>
      </c>
      <c r="I550" s="50" t="s">
        <v>3181</v>
      </c>
      <c r="J550" s="50" t="s">
        <v>4087</v>
      </c>
    </row>
    <row r="551" spans="1:10" ht="12.75" customHeight="1">
      <c r="A551" s="1076">
        <v>380</v>
      </c>
      <c r="B551" s="1371" t="str">
        <f>VLOOKUP(A551,plasmids!$A$2:$B$391,2)</f>
        <v>pssAAV-hCar-eNpHR2,0V-WPRE</v>
      </c>
      <c r="C551" s="1372">
        <v>380.1</v>
      </c>
      <c r="D551" s="62" t="s">
        <v>2771</v>
      </c>
      <c r="E551" s="1373">
        <v>41773</v>
      </c>
      <c r="F551" s="62" t="s">
        <v>881</v>
      </c>
      <c r="G551" s="1079">
        <v>0.25729999999999997</v>
      </c>
      <c r="H551" s="62" t="s">
        <v>929</v>
      </c>
      <c r="I551" s="62" t="s">
        <v>3181</v>
      </c>
      <c r="J551" s="62" t="s">
        <v>4091</v>
      </c>
    </row>
    <row r="552" spans="1:10" ht="12.75" customHeight="1">
      <c r="A552" s="1349">
        <v>380</v>
      </c>
      <c r="B552" s="1352" t="str">
        <f>VLOOKUP(A552,plasmids!$A$2:$B$391,2)</f>
        <v>pssAAV-hCar-eNpHR2,0V-WPRE</v>
      </c>
      <c r="C552" s="1364">
        <v>380.2</v>
      </c>
      <c r="D552" s="1356" t="s">
        <v>2771</v>
      </c>
      <c r="E552" s="1358">
        <v>41815</v>
      </c>
      <c r="F552" s="1356" t="s">
        <v>881</v>
      </c>
      <c r="G552" s="1366">
        <v>0.08</v>
      </c>
      <c r="H552" s="1356" t="s">
        <v>3029</v>
      </c>
      <c r="I552" s="1356" t="s">
        <v>3128</v>
      </c>
      <c r="J552" s="1911" t="s">
        <v>4093</v>
      </c>
    </row>
    <row r="553" spans="1:10" ht="12.75" customHeight="1">
      <c r="A553" s="1076">
        <v>380</v>
      </c>
      <c r="B553" s="1371" t="str">
        <f>VLOOKUP(A553,plasmids!$A$2:$B$391,2)</f>
        <v>pssAAV-hCar-eNpHR2,0V-WPRE</v>
      </c>
      <c r="C553" s="1372">
        <v>380.3</v>
      </c>
      <c r="D553" s="62" t="s">
        <v>2765</v>
      </c>
      <c r="E553" s="1373">
        <v>41816</v>
      </c>
      <c r="F553" s="62" t="s">
        <v>4099</v>
      </c>
      <c r="G553" s="1079">
        <v>0.7208</v>
      </c>
      <c r="H553" s="62" t="s">
        <v>929</v>
      </c>
      <c r="I553" s="62" t="s">
        <v>3128</v>
      </c>
      <c r="J553" s="62" t="s">
        <v>4100</v>
      </c>
    </row>
    <row r="554" spans="1:10" ht="12.75" customHeight="1">
      <c r="A554" s="1076">
        <v>380</v>
      </c>
      <c r="B554" s="1371" t="str">
        <f>VLOOKUP(A554,plasmids!$A$2:$B$391,2)</f>
        <v>pssAAV-hCar-eNpHR2,0V-WPRE</v>
      </c>
      <c r="C554" s="1372">
        <v>380.4</v>
      </c>
      <c r="D554" s="62" t="s">
        <v>2771</v>
      </c>
      <c r="E554" s="1373">
        <v>41827</v>
      </c>
      <c r="F554" s="62" t="s">
        <v>881</v>
      </c>
      <c r="G554" s="1079">
        <v>0.10150000000000001</v>
      </c>
      <c r="H554" s="62" t="s">
        <v>929</v>
      </c>
      <c r="I554" s="62" t="s">
        <v>3128</v>
      </c>
      <c r="J554" s="52"/>
    </row>
    <row r="555" spans="1:10" ht="12.75" customHeight="1">
      <c r="A555" s="621">
        <v>381</v>
      </c>
      <c r="B555" s="1901" t="str">
        <f>VLOOKUP(A555,plasmids!$A$2:$B$391,2)</f>
        <v>pAAV-hRO-eNpHR-eYFP</v>
      </c>
      <c r="C555" s="1">
        <v>381.1</v>
      </c>
      <c r="D555" s="50" t="s">
        <v>2771</v>
      </c>
      <c r="E555" s="753">
        <v>41787</v>
      </c>
      <c r="F555" s="50" t="s">
        <v>881</v>
      </c>
      <c r="G555" s="755">
        <v>0.16400000000000001</v>
      </c>
      <c r="H555" s="50" t="s">
        <v>3029</v>
      </c>
      <c r="I555" s="50" t="s">
        <v>3128</v>
      </c>
      <c r="J555" s="50" t="s">
        <v>4109</v>
      </c>
    </row>
    <row r="556" spans="1:10" ht="12.75" customHeight="1">
      <c r="A556" s="889">
        <v>382</v>
      </c>
      <c r="B556" s="1181" t="str">
        <f>VLOOKUP(A556,plasmids!$A$2:$B$391,2)</f>
        <v>pssAAV-SNCG-hCatch (T159S)-GFP-WPRE</v>
      </c>
      <c r="C556" s="1182">
        <v>382.1</v>
      </c>
      <c r="D556" s="891" t="s">
        <v>2771</v>
      </c>
      <c r="E556" s="1185">
        <v>41772</v>
      </c>
      <c r="F556" s="891" t="s">
        <v>881</v>
      </c>
      <c r="G556" s="897">
        <v>0.4657</v>
      </c>
      <c r="H556" s="899" t="s">
        <v>720</v>
      </c>
      <c r="I556" s="891" t="s">
        <v>3181</v>
      </c>
      <c r="J556" s="891" t="s">
        <v>4112</v>
      </c>
    </row>
    <row r="557" spans="1:10" ht="12.75" customHeight="1">
      <c r="A557" s="621">
        <v>383</v>
      </c>
      <c r="B557" s="1901" t="str">
        <f>VLOOKUP(A557,plasmids!$A$2:$B$391,2)</f>
        <v>pssAAV-4xgrm6-ReachR-Citrine</v>
      </c>
      <c r="C557" s="1">
        <v>383.1</v>
      </c>
      <c r="D557" s="50" t="s">
        <v>2771</v>
      </c>
      <c r="E557" s="753">
        <v>41771</v>
      </c>
      <c r="F557" s="50" t="s">
        <v>881</v>
      </c>
      <c r="G557" s="755">
        <v>0.2334</v>
      </c>
      <c r="H557" s="50" t="s">
        <v>929</v>
      </c>
      <c r="I557" s="50" t="s">
        <v>3128</v>
      </c>
    </row>
    <row r="558" spans="1:10" ht="12.75" customHeight="1">
      <c r="A558" s="621">
        <v>384</v>
      </c>
      <c r="B558" s="1901" t="str">
        <f>VLOOKUP(A558,plasmids!$A$2:$B$391,2)</f>
        <v>pssAAV-1xgrm6-ReachR-Citrine</v>
      </c>
      <c r="C558" s="1">
        <v>384.1</v>
      </c>
      <c r="D558" s="50" t="s">
        <v>2771</v>
      </c>
      <c r="E558" s="753">
        <v>41771</v>
      </c>
      <c r="F558" s="50" t="s">
        <v>881</v>
      </c>
      <c r="G558" s="755">
        <v>0.19539999999999999</v>
      </c>
      <c r="H558" s="50" t="s">
        <v>929</v>
      </c>
      <c r="I558" s="50" t="s">
        <v>3128</v>
      </c>
    </row>
    <row r="559" spans="1:10" ht="12.75" customHeight="1">
      <c r="A559" s="621">
        <v>385</v>
      </c>
      <c r="B559" s="1901" t="str">
        <f>VLOOKUP(A559,plasmids!$A$2:$B$391,2)</f>
        <v>pssAAV-hCar-eNpHR2,0V-GFP-WPRE</v>
      </c>
      <c r="C559" s="1">
        <v>385.1</v>
      </c>
      <c r="D559" s="50" t="s">
        <v>2771</v>
      </c>
      <c r="E559" s="753">
        <v>41787</v>
      </c>
      <c r="F559" s="50" t="s">
        <v>881</v>
      </c>
      <c r="G559" s="755">
        <v>0.22770000000000001</v>
      </c>
      <c r="H559" s="50" t="s">
        <v>3029</v>
      </c>
      <c r="I559" s="50" t="s">
        <v>3128</v>
      </c>
    </row>
    <row r="560" spans="1:10" ht="12.75" customHeight="1">
      <c r="A560" s="621">
        <v>386</v>
      </c>
      <c r="B560" s="1901" t="str">
        <f>VLOOKUP(A560,plasmids!$A$2:$B$391,2)</f>
        <v>pssAAV-mCar-eNpHR2,0V-GFP-WPRE</v>
      </c>
      <c r="C560" s="1">
        <v>386.1</v>
      </c>
      <c r="D560" s="50" t="s">
        <v>2771</v>
      </c>
      <c r="E560" s="753">
        <v>41787</v>
      </c>
      <c r="F560" s="50" t="s">
        <v>881</v>
      </c>
      <c r="G560" s="755">
        <v>0.1208</v>
      </c>
      <c r="H560" s="50" t="s">
        <v>3029</v>
      </c>
      <c r="I560" s="50" t="s">
        <v>3128</v>
      </c>
    </row>
    <row r="561" spans="1:10" ht="12.75" customHeight="1">
      <c r="A561" s="772">
        <v>387</v>
      </c>
      <c r="B561" s="1192" t="str">
        <f>VLOOKUP(A561,plasmids!$A$2:$B$391,2)</f>
        <v>pssAAV-hCAr-eNpHR2,0V-YFP-WPRE</v>
      </c>
      <c r="C561" s="1116">
        <v>387.1</v>
      </c>
      <c r="D561" s="773" t="s">
        <v>2771</v>
      </c>
      <c r="E561" s="775">
        <v>41794</v>
      </c>
      <c r="F561" s="773" t="s">
        <v>881</v>
      </c>
      <c r="G561" s="776">
        <v>0.17660000000000001</v>
      </c>
      <c r="H561" s="773" t="s">
        <v>3029</v>
      </c>
      <c r="I561" s="773" t="s">
        <v>3128</v>
      </c>
      <c r="J561" s="773" t="s">
        <v>4123</v>
      </c>
    </row>
    <row r="562" spans="1:10" ht="12.75" customHeight="1">
      <c r="A562" s="772">
        <v>387</v>
      </c>
      <c r="B562" s="1192" t="str">
        <f>VLOOKUP(A562,plasmids!$A$2:$B$391,2)</f>
        <v>pssAAV-hCAr-eNpHR2,0V-YFP-WPRE</v>
      </c>
      <c r="C562" s="1116">
        <v>387.2</v>
      </c>
      <c r="D562" s="773" t="s">
        <v>2765</v>
      </c>
      <c r="E562" s="775">
        <v>41802</v>
      </c>
      <c r="F562" s="773" t="s">
        <v>881</v>
      </c>
      <c r="G562" s="776">
        <v>0.88049999999999995</v>
      </c>
      <c r="H562" s="773" t="s">
        <v>929</v>
      </c>
      <c r="I562" s="773" t="s">
        <v>3128</v>
      </c>
      <c r="J562" s="773" t="s">
        <v>2844</v>
      </c>
    </row>
    <row r="563" spans="1:10" ht="12.75" customHeight="1">
      <c r="A563" s="772">
        <v>387</v>
      </c>
      <c r="B563" s="1192" t="str">
        <f>VLOOKUP(A563,plasmids!$A$2:$B$391,2)</f>
        <v>pssAAV-hCAr-eNpHR2,0V-YFP-WPRE</v>
      </c>
      <c r="C563" s="1116">
        <v>387.3</v>
      </c>
      <c r="D563" s="773" t="s">
        <v>2771</v>
      </c>
      <c r="E563" s="775">
        <v>41827</v>
      </c>
      <c r="F563" s="773" t="s">
        <v>881</v>
      </c>
      <c r="G563" s="776">
        <v>0.14050000000000001</v>
      </c>
      <c r="H563" s="773" t="s">
        <v>929</v>
      </c>
      <c r="I563" s="773" t="s">
        <v>3128</v>
      </c>
      <c r="J563" s="773" t="s">
        <v>2844</v>
      </c>
    </row>
    <row r="564" spans="1:10" ht="12.75" customHeight="1">
      <c r="A564" s="1913">
        <v>388</v>
      </c>
      <c r="B564" s="1914" t="str">
        <f>VLOOKUP(A564,plasmids!$A$2:$B$391,2)</f>
        <v>pscAAV-CAG-eNpHR2,0V-eYFP</v>
      </c>
      <c r="C564" s="1835">
        <v>388.1</v>
      </c>
      <c r="D564" s="1836" t="s">
        <v>2771</v>
      </c>
      <c r="E564" s="1837">
        <v>41787</v>
      </c>
      <c r="F564" s="1836" t="s">
        <v>881</v>
      </c>
      <c r="G564" s="1838">
        <v>0.34649999999999997</v>
      </c>
      <c r="H564" s="1836" t="s">
        <v>929</v>
      </c>
      <c r="I564" s="1836" t="s">
        <v>3181</v>
      </c>
      <c r="J564" s="1915" t="s">
        <v>3513</v>
      </c>
    </row>
    <row r="565" spans="1:10" ht="12.75" customHeight="1">
      <c r="A565" s="1913">
        <v>388</v>
      </c>
      <c r="B565" s="1914" t="str">
        <f>VLOOKUP(A565,plasmids!$A$2:$B$391,2)</f>
        <v>pscAAV-CAG-eNpHR2,0V-eYFP</v>
      </c>
      <c r="C565" s="1835">
        <v>388.2</v>
      </c>
      <c r="D565" s="1836" t="s">
        <v>2771</v>
      </c>
      <c r="E565" s="1837">
        <v>41838</v>
      </c>
      <c r="F565" s="1836" t="s">
        <v>881</v>
      </c>
      <c r="G565" s="1838">
        <v>7.6200000000000004E-2</v>
      </c>
      <c r="H565" s="1836" t="s">
        <v>929</v>
      </c>
      <c r="I565" s="1836" t="s">
        <v>3128</v>
      </c>
      <c r="J565" s="1916" t="s">
        <v>4130</v>
      </c>
    </row>
    <row r="566" spans="1:10" ht="12.75" customHeight="1">
      <c r="A566" s="1913">
        <v>388</v>
      </c>
      <c r="B566" s="1914" t="str">
        <f>VLOOKUP(A566,plasmids!$A$2:$B$391,2)</f>
        <v>pscAAV-CAG-eNpHR2,0V-eYFP</v>
      </c>
      <c r="C566" s="1835">
        <v>388.3</v>
      </c>
      <c r="D566" s="1836" t="s">
        <v>2771</v>
      </c>
      <c r="E566" s="1837">
        <v>41859</v>
      </c>
      <c r="F566" s="1836" t="s">
        <v>158</v>
      </c>
      <c r="G566" s="1838">
        <v>8.7499999999999994E-2</v>
      </c>
      <c r="H566" s="1917"/>
      <c r="I566" s="1836" t="s">
        <v>3128</v>
      </c>
      <c r="J566" s="5324" t="s">
        <v>4135</v>
      </c>
    </row>
    <row r="567" spans="1:10" ht="12.75" customHeight="1">
      <c r="A567" s="1913">
        <v>388</v>
      </c>
      <c r="B567" s="1914" t="str">
        <f>VLOOKUP(A567,plasmids!$A$2:$B$391,2)</f>
        <v>pscAAV-CAG-eNpHR2,0V-eYFP</v>
      </c>
      <c r="C567" s="1835">
        <v>388.4</v>
      </c>
      <c r="D567" s="1836" t="s">
        <v>2771</v>
      </c>
      <c r="E567" s="1837">
        <v>41859</v>
      </c>
      <c r="F567" s="1836" t="s">
        <v>158</v>
      </c>
      <c r="G567" s="1838">
        <v>0.246</v>
      </c>
      <c r="H567" s="1917"/>
      <c r="I567" s="1836" t="s">
        <v>3128</v>
      </c>
      <c r="J567" s="5320"/>
    </row>
    <row r="568" spans="1:10" ht="12.75" customHeight="1">
      <c r="A568" s="1913">
        <v>388</v>
      </c>
      <c r="B568" s="1914" t="str">
        <f>VLOOKUP(A568,plasmids!$A$2:$B$391,2)</f>
        <v>pscAAV-CAG-eNpHR2,0V-eYFP</v>
      </c>
      <c r="C568" s="1835">
        <v>388.5</v>
      </c>
      <c r="D568" s="1836" t="s">
        <v>2771</v>
      </c>
      <c r="E568" s="1837">
        <v>41859</v>
      </c>
      <c r="F568" s="1836" t="s">
        <v>158</v>
      </c>
      <c r="G568" s="1838">
        <v>0.312</v>
      </c>
      <c r="H568" s="1917"/>
      <c r="I568" s="1836" t="s">
        <v>3128</v>
      </c>
      <c r="J568" s="5320"/>
    </row>
    <row r="569" spans="1:10" ht="12.75" customHeight="1">
      <c r="A569" s="1918">
        <v>389</v>
      </c>
      <c r="B569" s="1919" t="str">
        <f>VLOOKUP(A569,plasmids!$A$2:$B$391,2)</f>
        <v>pscAAV-CAG-eNpHR2,0V</v>
      </c>
      <c r="C569" s="1920">
        <v>389.1</v>
      </c>
      <c r="D569" s="1921" t="s">
        <v>2771</v>
      </c>
      <c r="E569" s="1922">
        <v>41787</v>
      </c>
      <c r="F569" s="1921" t="s">
        <v>881</v>
      </c>
      <c r="G569" s="1923">
        <v>0.22889999999999999</v>
      </c>
      <c r="H569" s="1921" t="s">
        <v>929</v>
      </c>
      <c r="I569" s="1921" t="s">
        <v>3181</v>
      </c>
      <c r="J569" s="1924" t="s">
        <v>2073</v>
      </c>
    </row>
    <row r="570" spans="1:10" ht="12.75" customHeight="1">
      <c r="A570" s="1521">
        <v>389</v>
      </c>
      <c r="B570" s="1925" t="str">
        <f>VLOOKUP(A570,plasmids!$A$2:$B$391,2)</f>
        <v>pscAAV-CAG-eNpHR2,0V</v>
      </c>
      <c r="C570" s="1926">
        <v>389.2</v>
      </c>
      <c r="D570" s="1270" t="s">
        <v>2771</v>
      </c>
      <c r="E570" s="1523">
        <v>41838</v>
      </c>
      <c r="F570" s="1270" t="s">
        <v>881</v>
      </c>
      <c r="G570" s="1524">
        <v>0.1555</v>
      </c>
      <c r="H570" s="1270" t="s">
        <v>929</v>
      </c>
      <c r="I570" s="1270" t="s">
        <v>3128</v>
      </c>
      <c r="J570" s="1270" t="s">
        <v>2844</v>
      </c>
    </row>
    <row r="571" spans="1:10" ht="12.75" customHeight="1">
      <c r="A571" s="1521">
        <v>389</v>
      </c>
      <c r="B571" s="1925" t="str">
        <f>VLOOKUP(A571,plasmids!$A$2:$B$391,2)</f>
        <v>pscAAV-CAG-eNpHR2,0V</v>
      </c>
      <c r="C571" s="1926">
        <v>389.3</v>
      </c>
      <c r="D571" s="1270" t="s">
        <v>2771</v>
      </c>
      <c r="E571" s="1928"/>
      <c r="F571" s="1270" t="s">
        <v>881</v>
      </c>
      <c r="G571" s="1524">
        <v>0.157</v>
      </c>
      <c r="H571" s="1274"/>
      <c r="I571" s="1270" t="s">
        <v>3128</v>
      </c>
      <c r="J571" s="1270" t="s">
        <v>2844</v>
      </c>
    </row>
    <row r="572" spans="1:10" ht="12.75" customHeight="1">
      <c r="A572" s="931">
        <v>390</v>
      </c>
      <c r="B572" s="1929" t="str">
        <f>VLOOKUP(A572,plasmids!$A$2:$B$391,2)</f>
        <v>pssAAV-hRo-LWO-GFP</v>
      </c>
      <c r="C572" s="1016">
        <v>390.1</v>
      </c>
      <c r="D572" s="231" t="s">
        <v>2771</v>
      </c>
      <c r="E572" s="1143">
        <v>41814</v>
      </c>
      <c r="F572" s="231" t="s">
        <v>881</v>
      </c>
      <c r="G572" s="1014">
        <v>0.18659999999999999</v>
      </c>
      <c r="H572" s="231" t="s">
        <v>929</v>
      </c>
      <c r="I572" s="231" t="s">
        <v>3181</v>
      </c>
      <c r="J572" s="229"/>
    </row>
    <row r="573" spans="1:10" ht="12.75" customHeight="1">
      <c r="A573" s="931">
        <v>390</v>
      </c>
      <c r="B573" s="1929" t="str">
        <f>VLOOKUP(A573,plasmids!$A$2:$B$391,2)</f>
        <v>pssAAV-hRo-LWO-GFP</v>
      </c>
      <c r="C573" s="1016">
        <v>390.2</v>
      </c>
      <c r="D573" s="231" t="s">
        <v>2765</v>
      </c>
      <c r="E573" s="1143">
        <v>41830</v>
      </c>
      <c r="F573" s="231" t="s">
        <v>881</v>
      </c>
      <c r="G573" s="1014">
        <v>2.0472000000000001</v>
      </c>
      <c r="H573" s="231" t="s">
        <v>929</v>
      </c>
      <c r="I573" s="231" t="s">
        <v>3128</v>
      </c>
      <c r="J573" s="229"/>
    </row>
    <row r="574" spans="1:10" ht="12.75" customHeight="1">
      <c r="A574" s="1254">
        <v>391</v>
      </c>
      <c r="B574" s="1931" t="str">
        <f>VLOOKUP(A574,plasmids!$A$2:$B$400,2)</f>
        <v>pAAV-CaMKIIa-SwiChR(C128A)-TS-eYFP</v>
      </c>
      <c r="C574" s="1260">
        <v>391.1</v>
      </c>
      <c r="D574" s="960" t="s">
        <v>2765</v>
      </c>
      <c r="E574" s="1932" t="s">
        <v>141</v>
      </c>
      <c r="F574" s="960" t="s">
        <v>2989</v>
      </c>
      <c r="G574" s="1261" t="s">
        <v>4149</v>
      </c>
      <c r="H574" s="960" t="s">
        <v>141</v>
      </c>
      <c r="I574" s="960" t="s">
        <v>4150</v>
      </c>
      <c r="J574" s="963"/>
    </row>
    <row r="575" spans="1:10" ht="12.75" customHeight="1">
      <c r="A575" s="1254">
        <v>391</v>
      </c>
      <c r="B575" s="1931" t="str">
        <f>VLOOKUP(A575,plasmids!$A$2:$B$400,2)</f>
        <v>pAAV-CaMKIIa-SwiChR(C128A)-TS-eYFP</v>
      </c>
      <c r="C575" s="1260">
        <v>391.2</v>
      </c>
      <c r="D575" s="960" t="s">
        <v>2765</v>
      </c>
      <c r="E575" s="1256">
        <v>41830</v>
      </c>
      <c r="F575" s="960" t="s">
        <v>881</v>
      </c>
      <c r="G575" s="1261">
        <v>0.80879999999999996</v>
      </c>
      <c r="H575" s="960" t="s">
        <v>929</v>
      </c>
      <c r="I575" s="960" t="s">
        <v>3128</v>
      </c>
      <c r="J575" s="960" t="s">
        <v>4157</v>
      </c>
    </row>
    <row r="576" spans="1:10" ht="12.75" customHeight="1">
      <c r="A576" s="1254">
        <v>391</v>
      </c>
      <c r="B576" s="1931" t="str">
        <f>VLOOKUP(A576,plasmids!$A$2:$B$400,2)</f>
        <v>pAAV-CaMKIIa-SwiChR(C128A)-TS-eYFP</v>
      </c>
      <c r="C576" s="1260">
        <v>391.3</v>
      </c>
      <c r="D576" s="960" t="s">
        <v>2771</v>
      </c>
      <c r="E576" s="1263" t="s">
        <v>141</v>
      </c>
      <c r="F576" s="960" t="s">
        <v>881</v>
      </c>
      <c r="G576" s="1261">
        <v>0.14929999999999999</v>
      </c>
      <c r="H576" s="960" t="s">
        <v>141</v>
      </c>
      <c r="I576" s="960" t="s">
        <v>141</v>
      </c>
      <c r="J576" s="963"/>
    </row>
    <row r="577" spans="1:10" ht="12.75" customHeight="1">
      <c r="A577" s="1254">
        <v>391</v>
      </c>
      <c r="B577" s="1931" t="str">
        <f>VLOOKUP(A577,plasmids!$A$2:$B$400,2)</f>
        <v>pAAV-CaMKIIa-SwiChR(C128A)-TS-eYFP</v>
      </c>
      <c r="C577" s="1260" t="s">
        <v>4161</v>
      </c>
      <c r="D577" s="968" t="s">
        <v>2765</v>
      </c>
      <c r="E577" s="1936">
        <v>42825</v>
      </c>
      <c r="F577" s="968" t="s">
        <v>2126</v>
      </c>
      <c r="G577" s="1261"/>
      <c r="H577" s="960"/>
      <c r="I577" s="968" t="s">
        <v>3128</v>
      </c>
      <c r="J577" s="968" t="s">
        <v>2844</v>
      </c>
    </row>
    <row r="578" spans="1:10" ht="12.75" customHeight="1">
      <c r="A578" s="1195">
        <v>392</v>
      </c>
      <c r="B578" s="1938" t="str">
        <f>VLOOKUP(A578,plasmids!$A$2:$B$400,2)</f>
        <v>pAAV-hRho-eNpHR-EYFP</v>
      </c>
      <c r="C578" s="1204">
        <v>392.1</v>
      </c>
      <c r="D578" s="625" t="s">
        <v>2765</v>
      </c>
      <c r="E578" s="1197">
        <v>41842</v>
      </c>
      <c r="F578" s="625" t="s">
        <v>881</v>
      </c>
      <c r="G578" s="1199">
        <v>1.0399</v>
      </c>
      <c r="H578" s="625" t="s">
        <v>3029</v>
      </c>
      <c r="I578" s="625" t="s">
        <v>3128</v>
      </c>
      <c r="J578" s="1457" t="s">
        <v>4167</v>
      </c>
    </row>
    <row r="579" spans="1:10" ht="12.75" customHeight="1">
      <c r="A579" s="1195">
        <v>392</v>
      </c>
      <c r="B579" s="1938" t="str">
        <f>VLOOKUP(A579,plasmids!$A$2:$B$400,2)</f>
        <v>pAAV-hRho-eNpHR-EYFP</v>
      </c>
      <c r="C579" s="1204">
        <v>392.2</v>
      </c>
      <c r="D579" s="625" t="s">
        <v>2771</v>
      </c>
      <c r="E579" s="1197">
        <v>41837</v>
      </c>
      <c r="F579" s="625" t="s">
        <v>881</v>
      </c>
      <c r="G579" s="1199">
        <v>0.16500000000000001</v>
      </c>
      <c r="H579" s="625" t="s">
        <v>4170</v>
      </c>
      <c r="I579" s="625" t="s">
        <v>3128</v>
      </c>
      <c r="J579" s="625" t="s">
        <v>4171</v>
      </c>
    </row>
    <row r="580" spans="1:10" ht="12.75" customHeight="1">
      <c r="A580" s="1735">
        <v>393</v>
      </c>
      <c r="B580" s="1942" t="str">
        <f>VLOOKUP(A580,plasmids!$A$2:$B$400,2)</f>
        <v>pscAAV-CAG-mem-Killer Red</v>
      </c>
      <c r="C580" s="1943">
        <v>393.1</v>
      </c>
      <c r="D580" s="1737" t="s">
        <v>2765</v>
      </c>
      <c r="E580" s="1739">
        <v>41842</v>
      </c>
      <c r="F580" s="1737" t="s">
        <v>881</v>
      </c>
      <c r="G580" s="1741">
        <v>1.1220000000000001</v>
      </c>
      <c r="H580" s="1737" t="s">
        <v>3029</v>
      </c>
      <c r="I580" s="1737" t="s">
        <v>3128</v>
      </c>
      <c r="J580" s="395" t="s">
        <v>4173</v>
      </c>
    </row>
    <row r="581" spans="1:10" ht="12.75" customHeight="1">
      <c r="A581" s="1735">
        <v>393</v>
      </c>
      <c r="B581" s="1942" t="str">
        <f>VLOOKUP(A581,plasmids!$A$2:$B$400,2)</f>
        <v>pscAAV-CAG-mem-Killer Red</v>
      </c>
      <c r="C581" s="1943">
        <v>393.2</v>
      </c>
      <c r="D581" s="1737" t="s">
        <v>2771</v>
      </c>
      <c r="E581" s="1739">
        <v>41837</v>
      </c>
      <c r="F581" s="1737" t="s">
        <v>881</v>
      </c>
      <c r="G581" s="1741">
        <v>0.27100000000000002</v>
      </c>
      <c r="H581" s="1737" t="s">
        <v>4170</v>
      </c>
      <c r="I581" s="1737" t="s">
        <v>3128</v>
      </c>
      <c r="J581" s="285" t="s">
        <v>4174</v>
      </c>
    </row>
    <row r="582" spans="1:10" ht="12.75" customHeight="1">
      <c r="A582" s="1294">
        <v>393</v>
      </c>
      <c r="B582" s="1829" t="str">
        <f>VLOOKUP(A582,plasmids!$A$2:$B$400,2)</f>
        <v>pscAAV-CAG-mem-Killer Red</v>
      </c>
      <c r="C582" s="1744">
        <v>393.3</v>
      </c>
      <c r="D582" s="285" t="s">
        <v>2771</v>
      </c>
      <c r="E582" s="1949"/>
      <c r="F582" s="285" t="s">
        <v>881</v>
      </c>
      <c r="G582" s="1313">
        <v>0.31109999999999999</v>
      </c>
      <c r="H582" s="287"/>
      <c r="I582" s="285" t="s">
        <v>3181</v>
      </c>
      <c r="J582" s="285" t="s">
        <v>4177</v>
      </c>
    </row>
    <row r="583" spans="1:10" ht="12.75" customHeight="1">
      <c r="A583" s="1294">
        <v>393</v>
      </c>
      <c r="B583" s="1829" t="str">
        <f>VLOOKUP(A583,plasmids!$A$2:$B$400,2)</f>
        <v>pscAAV-CAG-mem-Killer Red</v>
      </c>
      <c r="C583" s="1744">
        <v>393.4</v>
      </c>
      <c r="D583" s="285" t="s">
        <v>2771</v>
      </c>
      <c r="E583" s="1296">
        <v>42068</v>
      </c>
      <c r="F583" s="285" t="s">
        <v>881</v>
      </c>
      <c r="G583" s="1313">
        <v>0.182</v>
      </c>
      <c r="H583" s="287"/>
      <c r="I583" s="285" t="s">
        <v>3128</v>
      </c>
      <c r="J583" s="285" t="s">
        <v>4179</v>
      </c>
    </row>
    <row r="584" spans="1:10" ht="12.75" customHeight="1">
      <c r="A584" s="1294">
        <v>393</v>
      </c>
      <c r="B584" s="1829" t="str">
        <f>VLOOKUP(A584,plasmids!$A$2:$B$400,2)</f>
        <v>pscAAV-CAG-mem-Killer Red</v>
      </c>
      <c r="C584" s="1744">
        <v>393.5</v>
      </c>
      <c r="D584" s="285" t="s">
        <v>2771</v>
      </c>
      <c r="E584" s="1296">
        <v>42090</v>
      </c>
      <c r="F584" s="285" t="s">
        <v>881</v>
      </c>
      <c r="G584" s="1313">
        <v>0.94879999999999998</v>
      </c>
      <c r="H584" s="285" t="s">
        <v>400</v>
      </c>
      <c r="I584" s="285" t="s">
        <v>3128</v>
      </c>
      <c r="J584" s="285" t="s">
        <v>4180</v>
      </c>
    </row>
    <row r="585" spans="1:10" ht="12.75" customHeight="1">
      <c r="A585" s="1294">
        <v>393</v>
      </c>
      <c r="B585" s="1829" t="str">
        <f>VLOOKUP(A585,plasmids!$A$2:$B$400,2)</f>
        <v>pscAAV-CAG-mem-Killer Red</v>
      </c>
      <c r="C585" s="1744">
        <v>393.6</v>
      </c>
      <c r="D585" s="285" t="s">
        <v>2771</v>
      </c>
      <c r="E585" s="1296">
        <v>42090</v>
      </c>
      <c r="F585" s="285" t="s">
        <v>881</v>
      </c>
      <c r="G585" s="1313">
        <v>1.1442000000000001</v>
      </c>
      <c r="H585" s="285" t="s">
        <v>3238</v>
      </c>
      <c r="I585" s="285" t="s">
        <v>3128</v>
      </c>
      <c r="J585" s="285" t="s">
        <v>4181</v>
      </c>
    </row>
    <row r="586" spans="1:10" ht="12.75" customHeight="1">
      <c r="A586" s="1294">
        <v>393</v>
      </c>
      <c r="B586" s="1829" t="str">
        <f>VLOOKUP(A586,plasmids!$A$2:$B$400,2)</f>
        <v>pscAAV-CAG-mem-Killer Red</v>
      </c>
      <c r="C586" s="1744">
        <v>393.6</v>
      </c>
      <c r="D586" s="395" t="s">
        <v>2765</v>
      </c>
      <c r="E586" s="1296">
        <v>42678</v>
      </c>
      <c r="F586" s="395" t="s">
        <v>2126</v>
      </c>
      <c r="G586" s="1313" t="s">
        <v>4182</v>
      </c>
      <c r="H586" s="285"/>
      <c r="I586" s="395" t="s">
        <v>3128</v>
      </c>
      <c r="J586" s="395" t="s">
        <v>3027</v>
      </c>
    </row>
    <row r="587" spans="1:10" ht="12.75" customHeight="1">
      <c r="A587" s="1054">
        <v>394</v>
      </c>
      <c r="B587" s="1955" t="str">
        <f>VLOOKUP(A587,plasmids!$A$2:$B$400,2)</f>
        <v>pssAAV-NheI-mCAR-NcoI-eNphR2,0V-EYFP</v>
      </c>
      <c r="C587" s="1059">
        <v>394.1</v>
      </c>
      <c r="D587" s="672" t="s">
        <v>2771</v>
      </c>
      <c r="E587" s="1056">
        <v>41828</v>
      </c>
      <c r="F587" s="672" t="s">
        <v>881</v>
      </c>
      <c r="G587" s="1058">
        <v>0.16650000000000001</v>
      </c>
      <c r="H587" s="672" t="s">
        <v>929</v>
      </c>
      <c r="I587" s="672" t="s">
        <v>3128</v>
      </c>
      <c r="J587" s="1057"/>
    </row>
    <row r="588" spans="1:10" ht="12.75" customHeight="1">
      <c r="A588" s="1054">
        <v>394</v>
      </c>
      <c r="B588" s="1955" t="str">
        <f>VLOOKUP(A588,plasmids!$A$2:$B$400,2)</f>
        <v>pssAAV-NheI-mCAR-NcoI-eNphR2,0V-EYFP</v>
      </c>
      <c r="C588" s="1059">
        <v>394.2</v>
      </c>
      <c r="D588" s="672" t="s">
        <v>2771</v>
      </c>
      <c r="E588" s="1056">
        <v>41838</v>
      </c>
      <c r="F588" s="672" t="s">
        <v>881</v>
      </c>
      <c r="G588" s="1058">
        <v>0.1045</v>
      </c>
      <c r="H588" s="672" t="s">
        <v>929</v>
      </c>
      <c r="I588" s="672" t="s">
        <v>3128</v>
      </c>
      <c r="J588" s="672" t="s">
        <v>2844</v>
      </c>
    </row>
    <row r="589" spans="1:10" ht="12.75" customHeight="1">
      <c r="A589" s="1958">
        <v>395</v>
      </c>
      <c r="B589" s="1965" t="str">
        <f>VLOOKUP(A589,plasmids!$A$2:$B$400,2)</f>
        <v>pssAAV-NheI-mCar-eNpHR2,0V-WPRE</v>
      </c>
      <c r="C589" s="1967">
        <v>395.1</v>
      </c>
      <c r="D589" s="1971" t="s">
        <v>2771</v>
      </c>
      <c r="E589" s="1972">
        <v>41828</v>
      </c>
      <c r="F589" s="1971" t="s">
        <v>881</v>
      </c>
      <c r="G589" s="1973">
        <v>9.5000000000000001E-2</v>
      </c>
      <c r="H589" s="1971" t="s">
        <v>929</v>
      </c>
      <c r="I589" s="1971" t="s">
        <v>3128</v>
      </c>
      <c r="J589" s="1974" t="s">
        <v>2073</v>
      </c>
    </row>
    <row r="590" spans="1:10" ht="12.75" customHeight="1">
      <c r="A590" s="851">
        <v>395</v>
      </c>
      <c r="B590" s="1896" t="str">
        <f>VLOOKUP(A590,plasmids!$A$2:$B$400,2)</f>
        <v>pssAAV-NheI-mCar-eNpHR2,0V-WPRE</v>
      </c>
      <c r="C590" s="862">
        <v>395.2</v>
      </c>
      <c r="D590" s="857" t="s">
        <v>2771</v>
      </c>
      <c r="E590" s="1035">
        <v>41838</v>
      </c>
      <c r="F590" s="857" t="s">
        <v>881</v>
      </c>
      <c r="G590" s="860">
        <v>7.1300000000000002E-2</v>
      </c>
      <c r="H590" s="857" t="s">
        <v>929</v>
      </c>
      <c r="I590" s="857" t="s">
        <v>3128</v>
      </c>
      <c r="J590" s="857" t="s">
        <v>2844</v>
      </c>
    </row>
    <row r="591" spans="1:10" ht="12.75" customHeight="1">
      <c r="A591" s="1958">
        <v>395</v>
      </c>
      <c r="B591" s="1965" t="str">
        <f>VLOOKUP(A591,plasmids!$A$2:$B$400,2)</f>
        <v>pssAAV-NheI-mCar-eNpHR2,0V-WPRE</v>
      </c>
      <c r="C591" s="1967">
        <v>395.3</v>
      </c>
      <c r="D591" s="1971" t="s">
        <v>2771</v>
      </c>
      <c r="E591" s="1972">
        <v>41880</v>
      </c>
      <c r="F591" s="1971" t="s">
        <v>881</v>
      </c>
      <c r="G591" s="1973">
        <v>0.1661</v>
      </c>
      <c r="H591" s="1971" t="s">
        <v>3029</v>
      </c>
      <c r="I591" s="1971" t="s">
        <v>3128</v>
      </c>
      <c r="J591" s="1971" t="s">
        <v>3081</v>
      </c>
    </row>
    <row r="592" spans="1:10" ht="12.75" customHeight="1">
      <c r="A592" s="851">
        <v>395</v>
      </c>
      <c r="B592" s="1896" t="str">
        <f>VLOOKUP(A592,plasmids!$A$2:$B$400,2)</f>
        <v>pssAAV-NheI-mCar-eNpHR2,0V-WPRE</v>
      </c>
      <c r="C592" s="862">
        <v>395.4</v>
      </c>
      <c r="D592" s="857" t="s">
        <v>2771</v>
      </c>
      <c r="E592" s="1035">
        <v>41962</v>
      </c>
      <c r="F592" s="857" t="s">
        <v>1549</v>
      </c>
      <c r="G592" s="860">
        <v>0.215</v>
      </c>
      <c r="H592" s="857" t="s">
        <v>3029</v>
      </c>
      <c r="I592" s="857" t="s">
        <v>3128</v>
      </c>
      <c r="J592" s="857" t="s">
        <v>2844</v>
      </c>
    </row>
    <row r="593" spans="1:10" ht="12.75" customHeight="1">
      <c r="A593" s="756"/>
      <c r="B593" s="745"/>
      <c r="E593" s="758"/>
      <c r="G593" s="754"/>
    </row>
    <row r="594" spans="1:10" ht="12.75" customHeight="1">
      <c r="A594" s="621">
        <v>398</v>
      </c>
      <c r="B594" s="1981" t="str">
        <f>VLOOKUP(A594,plasmids!$A$2:$B$910,2)</f>
        <v>pssAAV-mCAR-ClaI-eNphR2,0V-EYFP</v>
      </c>
      <c r="C594" s="1">
        <v>398.1</v>
      </c>
      <c r="D594" s="50" t="s">
        <v>2771</v>
      </c>
      <c r="E594" s="753">
        <v>41828</v>
      </c>
      <c r="F594" s="50" t="s">
        <v>881</v>
      </c>
      <c r="G594" s="755">
        <v>0.12089999999999999</v>
      </c>
      <c r="H594" s="50" t="s">
        <v>400</v>
      </c>
      <c r="I594" s="50" t="s">
        <v>3181</v>
      </c>
    </row>
    <row r="595" spans="1:10" ht="12.75" customHeight="1">
      <c r="A595" s="621">
        <v>399</v>
      </c>
      <c r="B595" s="1981" t="str">
        <f>VLOOKUP(A595,plasmids!$A$2:$B$910,2)</f>
        <v>pssAAV-mCar-ClaI-eNpHR2,0V-WPRE</v>
      </c>
      <c r="C595" s="1">
        <v>399.1</v>
      </c>
      <c r="D595" s="50" t="s">
        <v>2771</v>
      </c>
      <c r="E595" s="753">
        <v>41828</v>
      </c>
      <c r="F595" s="50" t="s">
        <v>881</v>
      </c>
      <c r="G595" s="755">
        <v>0.32379999999999998</v>
      </c>
      <c r="H595" s="50" t="s">
        <v>400</v>
      </c>
      <c r="I595" s="50" t="s">
        <v>3181</v>
      </c>
    </row>
    <row r="596" spans="1:10" ht="12.75" customHeight="1">
      <c r="A596" s="1984">
        <v>400</v>
      </c>
      <c r="B596" s="1986" t="str">
        <f>VLOOKUP(A596,plasmids!$A$2:$B$910,2)</f>
        <v>pssAAV-mCar-ClaI-eNphR-EYFP</v>
      </c>
      <c r="C596" s="1988">
        <v>400.1</v>
      </c>
      <c r="D596" s="1990" t="s">
        <v>2771</v>
      </c>
      <c r="E596" s="1992">
        <v>41841</v>
      </c>
      <c r="F596" s="1990" t="s">
        <v>881</v>
      </c>
      <c r="G596" s="1994">
        <v>7.7600000000000002E-2</v>
      </c>
      <c r="H596" s="1990" t="s">
        <v>3029</v>
      </c>
      <c r="I596" s="1990" t="s">
        <v>3181</v>
      </c>
      <c r="J596" s="1996" t="s">
        <v>2073</v>
      </c>
    </row>
    <row r="597" spans="1:10" ht="12.75" customHeight="1">
      <c r="A597" s="837">
        <v>400</v>
      </c>
      <c r="B597" s="1999" t="str">
        <f>VLOOKUP(A597,plasmids!$A$2:$B$910,2)</f>
        <v>pssAAV-mCar-ClaI-eNphR-EYFP</v>
      </c>
      <c r="C597" s="845">
        <v>400.2</v>
      </c>
      <c r="D597" s="838" t="s">
        <v>2771</v>
      </c>
      <c r="E597" s="841">
        <v>41852</v>
      </c>
      <c r="F597" s="838" t="s">
        <v>158</v>
      </c>
      <c r="G597" s="843">
        <v>0.1138</v>
      </c>
      <c r="H597" s="838" t="s">
        <v>400</v>
      </c>
      <c r="I597" s="838" t="s">
        <v>3128</v>
      </c>
      <c r="J597" s="842"/>
    </row>
    <row r="598" spans="1:10" ht="12.75" customHeight="1">
      <c r="A598" s="621">
        <v>401</v>
      </c>
      <c r="B598" s="1981" t="str">
        <f>VLOOKUP(A598,plasmids!$A$2:$B$910,2)</f>
        <v>pssAAV-hSyn-ChR2 long-citrine</v>
      </c>
      <c r="C598" s="1">
        <v>401.1</v>
      </c>
      <c r="D598" s="50" t="s">
        <v>2771</v>
      </c>
      <c r="E598" s="753">
        <v>41849</v>
      </c>
      <c r="F598" s="50" t="s">
        <v>881</v>
      </c>
      <c r="G598" s="755">
        <v>0.27610000000000001</v>
      </c>
      <c r="H598" s="50" t="s">
        <v>4214</v>
      </c>
      <c r="I598" s="50" t="s">
        <v>3128</v>
      </c>
      <c r="J598" s="50" t="s">
        <v>4215</v>
      </c>
    </row>
    <row r="599" spans="1:10" ht="12.75" customHeight="1">
      <c r="A599" s="1518">
        <v>402</v>
      </c>
      <c r="B599" s="1929" t="str">
        <f>VLOOKUP(A599,plasmids!$A$2:$B$910,2)</f>
        <v>puc19-CAP2</v>
      </c>
      <c r="C599" s="1016">
        <v>402.2</v>
      </c>
      <c r="D599" s="231" t="s">
        <v>2771</v>
      </c>
      <c r="E599" s="1115">
        <v>42163</v>
      </c>
      <c r="F599" s="231" t="s">
        <v>881</v>
      </c>
      <c r="G599" s="1014">
        <v>0.76439999999999997</v>
      </c>
      <c r="H599" s="229"/>
      <c r="I599" s="231" t="s">
        <v>3128</v>
      </c>
      <c r="J599" s="228" t="s">
        <v>3875</v>
      </c>
    </row>
    <row r="600" spans="1:10" ht="12.75" customHeight="1">
      <c r="A600" s="1518">
        <v>402</v>
      </c>
      <c r="B600" s="1929" t="str">
        <f>VLOOKUP(A600,plasmids!$A$2:$B$910,2)</f>
        <v>puc19-CAP2</v>
      </c>
      <c r="C600" s="1016">
        <v>402.1</v>
      </c>
      <c r="D600" s="231" t="s">
        <v>2771</v>
      </c>
      <c r="E600" s="1115"/>
      <c r="F600" s="228" t="s">
        <v>1549</v>
      </c>
      <c r="G600" s="1014"/>
      <c r="H600" s="229"/>
      <c r="I600" s="229"/>
      <c r="J600" s="229"/>
    </row>
    <row r="601" spans="1:10" ht="12.75" customHeight="1">
      <c r="A601" s="1521">
        <v>403</v>
      </c>
      <c r="B601" s="1925" t="str">
        <f>VLOOKUP(A601,plasmids!$A$2:$B$910,2)</f>
        <v>pssAAV-mCar-SwiChR-TS-eYFP</v>
      </c>
      <c r="C601" s="1926">
        <v>403.2</v>
      </c>
      <c r="D601" s="1270" t="s">
        <v>2771</v>
      </c>
      <c r="E601" s="1523">
        <v>41894</v>
      </c>
      <c r="F601" s="1270" t="s">
        <v>881</v>
      </c>
      <c r="G601" s="1524">
        <v>0.1021</v>
      </c>
      <c r="H601" s="1270" t="s">
        <v>3238</v>
      </c>
      <c r="I601" s="1270" t="s">
        <v>3128</v>
      </c>
      <c r="J601" s="1274"/>
    </row>
    <row r="602" spans="1:10" ht="12.75" customHeight="1">
      <c r="A602" s="1521">
        <v>403</v>
      </c>
      <c r="B602" s="1925" t="str">
        <f>VLOOKUP(A602,plasmids!$A$2:$B$910,2)</f>
        <v>pssAAV-mCar-SwiChR-TS-eYFP</v>
      </c>
      <c r="C602" s="1926">
        <v>403.1</v>
      </c>
      <c r="D602" s="1270" t="s">
        <v>2771</v>
      </c>
      <c r="E602" s="1525" t="s">
        <v>141</v>
      </c>
      <c r="F602" s="1270" t="s">
        <v>862</v>
      </c>
      <c r="G602" s="1524">
        <v>0.33110000000000001</v>
      </c>
      <c r="H602" s="1270" t="s">
        <v>141</v>
      </c>
      <c r="I602" s="1270" t="s">
        <v>3128</v>
      </c>
      <c r="J602" s="1270" t="s">
        <v>1552</v>
      </c>
    </row>
    <row r="603" spans="1:10" ht="12.75" customHeight="1">
      <c r="A603" s="1521">
        <v>403</v>
      </c>
      <c r="B603" s="1925" t="str">
        <f>VLOOKUP(A603,plasmids!$A$2:$B$910,2)</f>
        <v>pssAAV-mCar-SwiChR-TS-eYFP</v>
      </c>
      <c r="C603" s="1926">
        <v>403.3</v>
      </c>
      <c r="D603" s="1270" t="s">
        <v>2765</v>
      </c>
      <c r="E603" s="1523">
        <v>41914</v>
      </c>
      <c r="F603" s="1270" t="s">
        <v>881</v>
      </c>
      <c r="G603" s="1524">
        <v>1.1564000000000001</v>
      </c>
      <c r="H603" s="1270" t="s">
        <v>929</v>
      </c>
      <c r="I603" s="1270" t="s">
        <v>3128</v>
      </c>
      <c r="J603" s="1270" t="s">
        <v>2844</v>
      </c>
    </row>
    <row r="604" spans="1:10" ht="12.75" customHeight="1">
      <c r="A604" s="851">
        <v>404</v>
      </c>
      <c r="B604" s="1896" t="str">
        <f>VLOOKUP(A604,plasmids!$A$2:$B$910,2)</f>
        <v>pCap2 Maurocalcine pep1</v>
      </c>
      <c r="C604" s="862">
        <v>404.2</v>
      </c>
      <c r="D604" s="857" t="s">
        <v>2765</v>
      </c>
      <c r="E604" s="1035">
        <v>41907</v>
      </c>
      <c r="F604" s="857" t="s">
        <v>881</v>
      </c>
      <c r="G604" s="860">
        <v>1.3402000000000001</v>
      </c>
      <c r="H604" s="857" t="s">
        <v>929</v>
      </c>
      <c r="I604" s="857" t="s">
        <v>3128</v>
      </c>
      <c r="J604" s="857" t="s">
        <v>2844</v>
      </c>
    </row>
    <row r="605" spans="1:10" ht="12.75" customHeight="1">
      <c r="A605" s="851">
        <v>404</v>
      </c>
      <c r="B605" s="1896" t="str">
        <f>VLOOKUP(A605,plasmids!$A$2:$B$910,2)</f>
        <v>pCap2 Maurocalcine pep1</v>
      </c>
      <c r="C605" s="862">
        <v>404.1</v>
      </c>
      <c r="D605" s="857" t="s">
        <v>2771</v>
      </c>
      <c r="E605" s="1035">
        <v>41864</v>
      </c>
      <c r="F605" s="857" t="s">
        <v>158</v>
      </c>
      <c r="G605" s="860">
        <v>0.15770000000000001</v>
      </c>
      <c r="H605" s="857" t="s">
        <v>3029</v>
      </c>
      <c r="I605" s="857" t="s">
        <v>3181</v>
      </c>
      <c r="J605" s="857" t="s">
        <v>4222</v>
      </c>
    </row>
    <row r="606" spans="1:10" ht="12.75" customHeight="1">
      <c r="A606" s="2018">
        <v>405</v>
      </c>
      <c r="B606" s="2021" t="str">
        <f>VLOOKUP(A606,plasmids!$A$2:$B$910,2)</f>
        <v>pCap2 Maurocalcine pep2</v>
      </c>
      <c r="C606" s="2023">
        <v>405.2</v>
      </c>
      <c r="D606" s="2029" t="s">
        <v>2765</v>
      </c>
      <c r="E606" s="2031">
        <v>41907</v>
      </c>
      <c r="F606" s="2029" t="s">
        <v>881</v>
      </c>
      <c r="G606" s="2032">
        <v>1.8265</v>
      </c>
      <c r="H606" s="2029" t="s">
        <v>929</v>
      </c>
      <c r="I606" s="2029" t="s">
        <v>3128</v>
      </c>
      <c r="J606" s="2029" t="s">
        <v>2844</v>
      </c>
    </row>
    <row r="607" spans="1:10" ht="12.75" customHeight="1">
      <c r="A607" s="2018">
        <v>405</v>
      </c>
      <c r="B607" s="2021" t="str">
        <f>VLOOKUP(A607,plasmids!$A$2:$B$910,2)</f>
        <v>pCap2 Maurocalcine pep2</v>
      </c>
      <c r="C607" s="2023">
        <v>405.1</v>
      </c>
      <c r="D607" s="2029" t="s">
        <v>2771</v>
      </c>
      <c r="E607" s="2031">
        <v>41864</v>
      </c>
      <c r="F607" s="2029" t="s">
        <v>158</v>
      </c>
      <c r="G607" s="2032">
        <v>0.24890000000000001</v>
      </c>
      <c r="H607" s="2029" t="s">
        <v>3029</v>
      </c>
      <c r="I607" s="2029" t="s">
        <v>3181</v>
      </c>
      <c r="J607" s="2029" t="s">
        <v>4231</v>
      </c>
    </row>
    <row r="608" spans="1:10" ht="12.75" customHeight="1">
      <c r="A608" s="2036">
        <v>406</v>
      </c>
      <c r="B608" s="2038" t="str">
        <f>VLOOKUP(A608,plasmids!$A$2:$B$910,2)</f>
        <v>pCap2 Maurocalcine pep3</v>
      </c>
      <c r="C608" s="2040">
        <v>406.2</v>
      </c>
      <c r="D608" s="2041" t="s">
        <v>2765</v>
      </c>
      <c r="E608" s="2042">
        <v>41907</v>
      </c>
      <c r="F608" s="2041" t="s">
        <v>881</v>
      </c>
      <c r="G608" s="2043">
        <v>1.5335000000000001</v>
      </c>
      <c r="H608" s="2041" t="s">
        <v>929</v>
      </c>
      <c r="I608" s="2041" t="s">
        <v>3128</v>
      </c>
      <c r="J608" s="2041" t="s">
        <v>2844</v>
      </c>
    </row>
    <row r="609" spans="1:10" ht="12.75" customHeight="1">
      <c r="A609" s="2036">
        <v>406</v>
      </c>
      <c r="B609" s="2038" t="str">
        <f>VLOOKUP(A609,plasmids!$A$2:$B$910,2)</f>
        <v>pCap2 Maurocalcine pep3</v>
      </c>
      <c r="C609" s="2040">
        <v>406.1</v>
      </c>
      <c r="D609" s="2041" t="s">
        <v>2771</v>
      </c>
      <c r="E609" s="2042">
        <v>41864</v>
      </c>
      <c r="F609" s="2041" t="s">
        <v>158</v>
      </c>
      <c r="G609" s="2043">
        <v>0.20830000000000001</v>
      </c>
      <c r="H609" s="2041" t="s">
        <v>3029</v>
      </c>
      <c r="I609" s="2041" t="s">
        <v>3181</v>
      </c>
      <c r="J609" s="2041" t="s">
        <v>4234</v>
      </c>
    </row>
    <row r="610" spans="1:10" ht="12.75" customHeight="1">
      <c r="A610" s="1054">
        <v>407</v>
      </c>
      <c r="B610" s="1955" t="str">
        <f>VLOOKUP(A610,plasmids!$A$2:$B$910,2)</f>
        <v>puc57-rHKAb</v>
      </c>
      <c r="C610" s="1059">
        <v>407.1</v>
      </c>
      <c r="D610" s="672" t="s">
        <v>2771</v>
      </c>
      <c r="E610" s="1056">
        <v>41873</v>
      </c>
      <c r="F610" s="672" t="s">
        <v>158</v>
      </c>
      <c r="G610" s="1058">
        <v>0.15570000000000001</v>
      </c>
      <c r="H610" s="672" t="s">
        <v>4235</v>
      </c>
      <c r="I610" s="672" t="s">
        <v>3128</v>
      </c>
      <c r="J610" s="1057"/>
    </row>
    <row r="611" spans="1:10" ht="12.75" customHeight="1">
      <c r="A611" s="1054">
        <v>407</v>
      </c>
      <c r="B611" s="1955" t="str">
        <f>VLOOKUP(A611,plasmids!$A$2:$B$910,2)</f>
        <v>puc57-rHKAb</v>
      </c>
      <c r="C611" s="1059">
        <v>407.2</v>
      </c>
      <c r="D611" s="672" t="s">
        <v>4236</v>
      </c>
      <c r="E611" s="1056">
        <v>41872</v>
      </c>
      <c r="F611" s="672" t="s">
        <v>158</v>
      </c>
      <c r="G611" s="1058">
        <v>0.2</v>
      </c>
      <c r="H611" s="672" t="s">
        <v>3029</v>
      </c>
      <c r="I611" s="672" t="s">
        <v>141</v>
      </c>
      <c r="J611" s="1057"/>
    </row>
    <row r="612" spans="1:10" ht="12.75" customHeight="1">
      <c r="A612" s="2048">
        <v>408</v>
      </c>
      <c r="B612" s="2050" t="str">
        <f>VLOOKUP(A612,plasmids!$A$2:$B$910,2)</f>
        <v>pAAV-mCAr-rHKAb-eNpHR-YFP-WPRE</v>
      </c>
      <c r="C612" s="2051">
        <v>408.1</v>
      </c>
      <c r="D612" s="2052" t="s">
        <v>2771</v>
      </c>
      <c r="E612" s="2054">
        <v>41873</v>
      </c>
      <c r="F612" s="2052" t="s">
        <v>158</v>
      </c>
      <c r="G612" s="2056">
        <v>0.19320000000000001</v>
      </c>
      <c r="H612" s="2052" t="s">
        <v>4170</v>
      </c>
      <c r="I612" s="2052" t="s">
        <v>3128</v>
      </c>
      <c r="J612" s="2057"/>
    </row>
    <row r="613" spans="1:10" ht="12.75" customHeight="1">
      <c r="A613" s="2048">
        <v>408</v>
      </c>
      <c r="B613" s="2050" t="str">
        <f>VLOOKUP(A613,plasmids!$A$2:$B$910,2)</f>
        <v>pAAV-mCAr-rHKAb-eNpHR-YFP-WPRE</v>
      </c>
      <c r="C613" s="2051">
        <v>408.2</v>
      </c>
      <c r="D613" s="2052" t="s">
        <v>4236</v>
      </c>
      <c r="E613" s="2054">
        <v>41872</v>
      </c>
      <c r="F613" s="2052" t="s">
        <v>158</v>
      </c>
      <c r="G613" s="2056">
        <v>0.2</v>
      </c>
      <c r="H613" s="2052" t="s">
        <v>3029</v>
      </c>
      <c r="I613" s="2052" t="s">
        <v>141</v>
      </c>
      <c r="J613" s="2057"/>
    </row>
    <row r="614" spans="1:10" ht="12.75" customHeight="1">
      <c r="A614" s="2048">
        <v>408</v>
      </c>
      <c r="B614" s="2050" t="str">
        <f>VLOOKUP(A614,plasmids!$A$2:$B$910,2)</f>
        <v>pAAV-mCAr-rHKAb-eNpHR-YFP-WPRE</v>
      </c>
      <c r="C614" s="2051">
        <v>408.3</v>
      </c>
      <c r="D614" s="2052" t="s">
        <v>2765</v>
      </c>
      <c r="E614" s="2054">
        <v>41856</v>
      </c>
      <c r="F614" s="2052" t="s">
        <v>881</v>
      </c>
      <c r="G614" s="2056">
        <v>1.2233000000000001</v>
      </c>
      <c r="H614" s="2052" t="s">
        <v>929</v>
      </c>
      <c r="I614" s="2052" t="s">
        <v>3128</v>
      </c>
      <c r="J614" s="2052" t="s">
        <v>4246</v>
      </c>
    </row>
    <row r="615" spans="1:10" ht="12.75" customHeight="1">
      <c r="A615" s="1757">
        <v>409</v>
      </c>
      <c r="B615" s="2060" t="str">
        <f>VLOOKUP(A615,plasmids!$A$2:$B$910,2)</f>
        <v>pAAV-mCAr-rHKAb-eNpHR-WPRE</v>
      </c>
      <c r="C615" s="1760">
        <v>409.1</v>
      </c>
      <c r="D615" s="1759" t="s">
        <v>2771</v>
      </c>
      <c r="E615" s="1762">
        <v>41873</v>
      </c>
      <c r="F615" s="1759" t="s">
        <v>158</v>
      </c>
      <c r="G615" s="1764">
        <v>0.63580000000000003</v>
      </c>
      <c r="H615" s="1765" t="s">
        <v>4247</v>
      </c>
      <c r="I615" s="1759" t="s">
        <v>3128</v>
      </c>
      <c r="J615" s="891" t="s">
        <v>4248</v>
      </c>
    </row>
    <row r="616" spans="1:10" ht="12.75" customHeight="1">
      <c r="A616" s="2063">
        <v>409</v>
      </c>
      <c r="B616" s="2066" t="str">
        <f>VLOOKUP(A616,plasmids!$A$2:$B$910,2)</f>
        <v>pAAV-mCAr-rHKAb-eNpHR-WPRE</v>
      </c>
      <c r="C616" s="2068">
        <v>409.2</v>
      </c>
      <c r="D616" s="2070" t="s">
        <v>4236</v>
      </c>
      <c r="E616" s="2071">
        <v>41872</v>
      </c>
      <c r="F616" s="2070" t="s">
        <v>158</v>
      </c>
      <c r="G616" s="2073">
        <v>0.2</v>
      </c>
      <c r="H616" s="2070" t="s">
        <v>3029</v>
      </c>
      <c r="I616" s="2070" t="s">
        <v>141</v>
      </c>
      <c r="J616" s="1265" t="s">
        <v>3197</v>
      </c>
    </row>
    <row r="617" spans="1:10" ht="12.75" customHeight="1">
      <c r="A617" s="2075">
        <v>409</v>
      </c>
      <c r="B617" s="2079" t="str">
        <f>VLOOKUP(A617,plasmids!$A$2:$B$910,2)</f>
        <v>pAAV-mCAr-rHKAb-eNpHR-WPRE</v>
      </c>
      <c r="C617" s="2081">
        <v>409.3</v>
      </c>
      <c r="D617" s="1265" t="s">
        <v>2771</v>
      </c>
      <c r="E617" s="2097">
        <v>41885</v>
      </c>
      <c r="F617" s="1265" t="s">
        <v>881</v>
      </c>
      <c r="G617" s="2099">
        <v>0.42099999999999999</v>
      </c>
      <c r="H617" s="1265" t="s">
        <v>4266</v>
      </c>
      <c r="I617" s="1265" t="s">
        <v>3128</v>
      </c>
      <c r="J617" s="1265" t="s">
        <v>4267</v>
      </c>
    </row>
    <row r="618" spans="1:10" ht="12.75" customHeight="1">
      <c r="A618" s="2101">
        <v>410</v>
      </c>
      <c r="B618" s="2104" t="str">
        <f>VLOOKUP(A618,plasmids!$A$2:$B$910,2)</f>
        <v>pAAV-hCAr-rHKAb-eNpHR-YFP-WPRE</v>
      </c>
      <c r="C618" s="2106">
        <v>410.1</v>
      </c>
      <c r="D618" s="2108" t="s">
        <v>2771</v>
      </c>
      <c r="E618" s="2109">
        <v>41873</v>
      </c>
      <c r="F618" s="2108" t="s">
        <v>158</v>
      </c>
      <c r="G618" s="2110">
        <v>0.1711</v>
      </c>
      <c r="H618" s="2108" t="s">
        <v>4170</v>
      </c>
      <c r="I618" s="2108" t="s">
        <v>3128</v>
      </c>
      <c r="J618" s="2111"/>
    </row>
    <row r="619" spans="1:10" ht="12.75" customHeight="1">
      <c r="A619" s="2101">
        <v>410</v>
      </c>
      <c r="B619" s="2104" t="str">
        <f>VLOOKUP(A619,plasmids!$A$2:$B$910,2)</f>
        <v>pAAV-hCAr-rHKAb-eNpHR-YFP-WPRE</v>
      </c>
      <c r="C619" s="2106">
        <v>410.2</v>
      </c>
      <c r="D619" s="2108" t="s">
        <v>4236</v>
      </c>
      <c r="E619" s="2109">
        <v>41872</v>
      </c>
      <c r="F619" s="2108" t="s">
        <v>158</v>
      </c>
      <c r="G619" s="2110">
        <v>0.2</v>
      </c>
      <c r="H619" s="2108" t="s">
        <v>3029</v>
      </c>
      <c r="I619" s="2108" t="s">
        <v>141</v>
      </c>
      <c r="J619" s="2111"/>
    </row>
    <row r="620" spans="1:10" ht="12.75" customHeight="1">
      <c r="A620" s="921">
        <v>411</v>
      </c>
      <c r="B620" s="2115" t="str">
        <f>VLOOKUP(A620,plasmids!$A$2:$B$910,2)</f>
        <v>pAAV-hCAr-rHKAb-eNpHR-WPRE</v>
      </c>
      <c r="C620" s="928">
        <v>411.1</v>
      </c>
      <c r="D620" s="659" t="s">
        <v>2771</v>
      </c>
      <c r="E620" s="924">
        <v>41873</v>
      </c>
      <c r="F620" s="659" t="s">
        <v>158</v>
      </c>
      <c r="G620" s="927">
        <v>0.40760000000000002</v>
      </c>
      <c r="H620" s="659" t="s">
        <v>929</v>
      </c>
      <c r="I620" s="659" t="s">
        <v>3128</v>
      </c>
      <c r="J620" s="926"/>
    </row>
    <row r="621" spans="1:10" ht="12.75" customHeight="1">
      <c r="A621" s="921">
        <v>411</v>
      </c>
      <c r="B621" s="2115" t="str">
        <f>VLOOKUP(A621,plasmids!$A$2:$B$910,2)</f>
        <v>pAAV-hCAr-rHKAb-eNpHR-WPRE</v>
      </c>
      <c r="C621" s="928">
        <v>411.2</v>
      </c>
      <c r="D621" s="659" t="s">
        <v>4236</v>
      </c>
      <c r="E621" s="924">
        <v>41872</v>
      </c>
      <c r="F621" s="659" t="s">
        <v>158</v>
      </c>
      <c r="G621" s="927">
        <v>0.2</v>
      </c>
      <c r="H621" s="659" t="s">
        <v>3029</v>
      </c>
      <c r="I621" s="659" t="s">
        <v>141</v>
      </c>
      <c r="J621" s="926"/>
    </row>
    <row r="622" spans="1:10" ht="12.75" customHeight="1">
      <c r="A622" s="2121">
        <v>412</v>
      </c>
      <c r="B622" s="2124" t="str">
        <f>VLOOKUP(A622,plasmids!$A$2:$B$910,2)</f>
        <v>pAAV-mCAr-hHKAb-eNpHR-YFP-WPRE</v>
      </c>
      <c r="C622" s="2127">
        <v>412.1</v>
      </c>
      <c r="D622" s="2129" t="s">
        <v>2771</v>
      </c>
      <c r="E622" s="2131">
        <v>41873</v>
      </c>
      <c r="F622" s="2129" t="s">
        <v>158</v>
      </c>
      <c r="G622" s="2133">
        <v>7.6999999999999999E-2</v>
      </c>
      <c r="H622" s="2129" t="s">
        <v>929</v>
      </c>
      <c r="I622" s="2129" t="s">
        <v>3128</v>
      </c>
      <c r="J622" s="2134"/>
    </row>
    <row r="623" spans="1:10" ht="12.75" customHeight="1">
      <c r="A623" s="2121">
        <v>412</v>
      </c>
      <c r="B623" s="2124" t="str">
        <f>VLOOKUP(A623,plasmids!$A$2:$B$910,2)</f>
        <v>pAAV-mCAr-hHKAb-eNpHR-YFP-WPRE</v>
      </c>
      <c r="C623" s="2127">
        <v>412.2</v>
      </c>
      <c r="D623" s="2129" t="s">
        <v>4236</v>
      </c>
      <c r="E623" s="2131">
        <v>41872</v>
      </c>
      <c r="F623" s="2129" t="s">
        <v>158</v>
      </c>
      <c r="G623" s="2133">
        <v>0.2</v>
      </c>
      <c r="H623" s="2129" t="s">
        <v>3029</v>
      </c>
      <c r="I623" s="2129" t="s">
        <v>141</v>
      </c>
      <c r="J623" s="2134"/>
    </row>
    <row r="624" spans="1:10" ht="12.75" customHeight="1">
      <c r="A624" s="2121">
        <v>412</v>
      </c>
      <c r="B624" s="2124" t="str">
        <f>VLOOKUP(A624,plasmids!$A$2:$B$910,2)</f>
        <v>pAAV-mCAr-hHKAb-eNpHR-YFP-WPRE</v>
      </c>
      <c r="C624" s="2127">
        <v>412.3</v>
      </c>
      <c r="D624" s="2129" t="s">
        <v>2765</v>
      </c>
      <c r="E624" s="2131">
        <v>41856</v>
      </c>
      <c r="F624" s="2129" t="s">
        <v>881</v>
      </c>
      <c r="G624" s="2133">
        <v>1.089</v>
      </c>
      <c r="H624" s="2129" t="s">
        <v>929</v>
      </c>
      <c r="I624" s="2129" t="s">
        <v>3128</v>
      </c>
      <c r="J624" s="2129" t="s">
        <v>4246</v>
      </c>
    </row>
    <row r="625" spans="1:10" ht="12.75" customHeight="1">
      <c r="A625" s="1757">
        <v>413</v>
      </c>
      <c r="B625" s="2060" t="str">
        <f>VLOOKUP(A625,plasmids!$A$2:$B$910,2)</f>
        <v>pAAV-mCAr-hHKAb-eNpHR-WPRE</v>
      </c>
      <c r="C625" s="1760">
        <v>413.1</v>
      </c>
      <c r="D625" s="1759" t="s">
        <v>2771</v>
      </c>
      <c r="E625" s="1762">
        <v>41873</v>
      </c>
      <c r="F625" s="1759" t="s">
        <v>158</v>
      </c>
      <c r="G625" s="1764">
        <v>0.14549999999999999</v>
      </c>
      <c r="H625" s="1765" t="s">
        <v>4247</v>
      </c>
      <c r="I625" s="1759" t="s">
        <v>3128</v>
      </c>
      <c r="J625" s="891" t="s">
        <v>4280</v>
      </c>
    </row>
    <row r="626" spans="1:10" ht="12.75" customHeight="1">
      <c r="A626" s="2137">
        <v>413</v>
      </c>
      <c r="B626" s="2139" t="str">
        <f>VLOOKUP(A626,plasmids!$A$2:$B$910,2)</f>
        <v>pAAV-mCAr-hHKAb-eNpHR-WPRE</v>
      </c>
      <c r="C626" s="2140">
        <v>413.2</v>
      </c>
      <c r="D626" s="2142" t="s">
        <v>4236</v>
      </c>
      <c r="E626" s="2144">
        <v>41872</v>
      </c>
      <c r="F626" s="2142" t="s">
        <v>158</v>
      </c>
      <c r="G626" s="2146">
        <v>0.2</v>
      </c>
      <c r="H626" s="2142" t="s">
        <v>3029</v>
      </c>
      <c r="I626" s="2142" t="s">
        <v>141</v>
      </c>
      <c r="J626" s="1245" t="s">
        <v>3197</v>
      </c>
    </row>
    <row r="627" spans="1:10" ht="12.75" customHeight="1">
      <c r="A627" s="1239">
        <v>413</v>
      </c>
      <c r="B627" s="1910" t="str">
        <f>VLOOKUP(A627,plasmids!$A$2:$B$910,2)</f>
        <v>pAAV-mCAr-hHKAb-eNpHR-WPRE</v>
      </c>
      <c r="C627" s="1250">
        <v>413.3</v>
      </c>
      <c r="D627" s="1245" t="s">
        <v>2771</v>
      </c>
      <c r="E627" s="1247">
        <v>41885</v>
      </c>
      <c r="F627" s="1245" t="s">
        <v>881</v>
      </c>
      <c r="G627" s="1341"/>
      <c r="H627" s="1248"/>
      <c r="I627" s="1245" t="s">
        <v>3128</v>
      </c>
      <c r="J627" s="1245" t="s">
        <v>4283</v>
      </c>
    </row>
    <row r="628" spans="1:10" ht="12.75" customHeight="1">
      <c r="A628" s="872">
        <v>414</v>
      </c>
      <c r="B628" s="1337" t="str">
        <f>VLOOKUP(A628,plasmids!$A$2:$B$910,2)</f>
        <v>pAAV-hCAr-hHKAb-eNpHR-YFP-WPRE</v>
      </c>
      <c r="C628" s="884">
        <v>414.1</v>
      </c>
      <c r="D628" s="873" t="s">
        <v>2771</v>
      </c>
      <c r="E628" s="1332">
        <v>41873</v>
      </c>
      <c r="F628" s="873" t="s">
        <v>158</v>
      </c>
      <c r="G628" s="881">
        <v>0.12540000000000001</v>
      </c>
      <c r="H628" s="873" t="s">
        <v>929</v>
      </c>
      <c r="I628" s="873" t="s">
        <v>3128</v>
      </c>
      <c r="J628" s="879"/>
    </row>
    <row r="629" spans="1:10" ht="12.75" customHeight="1">
      <c r="A629" s="872">
        <v>414</v>
      </c>
      <c r="B629" s="1337" t="str">
        <f>VLOOKUP(A629,plasmids!$A$2:$B$910,2)</f>
        <v>pAAV-hCAr-hHKAb-eNpHR-YFP-WPRE</v>
      </c>
      <c r="C629" s="884">
        <v>414.2</v>
      </c>
      <c r="D629" s="873" t="s">
        <v>4236</v>
      </c>
      <c r="E629" s="1332">
        <v>41872</v>
      </c>
      <c r="F629" s="873" t="s">
        <v>158</v>
      </c>
      <c r="G629" s="881">
        <v>0.2</v>
      </c>
      <c r="H629" s="873" t="s">
        <v>3029</v>
      </c>
      <c r="I629" s="873" t="s">
        <v>141</v>
      </c>
      <c r="J629" s="879"/>
    </row>
    <row r="630" spans="1:10" ht="12.75" customHeight="1">
      <c r="A630" s="1497">
        <v>415</v>
      </c>
      <c r="B630" s="2155" t="str">
        <f>VLOOKUP(A630,plasmids!$A$2:$B$910,2)</f>
        <v>pAAV-hCAr-hHKAb-eNpHR-WPRE</v>
      </c>
      <c r="C630" s="1503">
        <v>415.1</v>
      </c>
      <c r="D630" s="1498" t="s">
        <v>2771</v>
      </c>
      <c r="E630" s="1501">
        <v>41873</v>
      </c>
      <c r="F630" s="1498" t="s">
        <v>158</v>
      </c>
      <c r="G630" s="1502">
        <v>0.30809999999999998</v>
      </c>
      <c r="H630" s="1498" t="s">
        <v>929</v>
      </c>
      <c r="I630" s="1498" t="s">
        <v>3128</v>
      </c>
      <c r="J630" s="2157"/>
    </row>
    <row r="631" spans="1:10" ht="12.75" customHeight="1">
      <c r="A631" s="1497">
        <v>415</v>
      </c>
      <c r="B631" s="2155" t="str">
        <f>VLOOKUP(A631,plasmids!$A$2:$B$910,2)</f>
        <v>pAAV-hCAr-hHKAb-eNpHR-WPRE</v>
      </c>
      <c r="C631" s="1503">
        <v>415.2</v>
      </c>
      <c r="D631" s="1498" t="s">
        <v>4236</v>
      </c>
      <c r="E631" s="1501">
        <v>41872</v>
      </c>
      <c r="F631" s="1498" t="s">
        <v>158</v>
      </c>
      <c r="G631" s="1502">
        <v>0.2</v>
      </c>
      <c r="H631" s="1498" t="s">
        <v>3029</v>
      </c>
      <c r="I631" s="1498" t="s">
        <v>141</v>
      </c>
      <c r="J631" s="2157"/>
    </row>
    <row r="632" spans="1:10" ht="12.75" customHeight="1">
      <c r="A632" s="1067">
        <v>416</v>
      </c>
      <c r="B632" s="2160" t="str">
        <f>VLOOKUP(A632,plasmids!$A$2:$B$910,2)</f>
        <v>puc57-hHKAb</v>
      </c>
      <c r="C632" s="1146">
        <v>416.1</v>
      </c>
      <c r="D632" s="79" t="s">
        <v>2771</v>
      </c>
      <c r="E632" s="1069">
        <v>41873</v>
      </c>
      <c r="F632" s="79" t="s">
        <v>158</v>
      </c>
      <c r="G632" s="1075">
        <v>0.1179</v>
      </c>
      <c r="H632" s="79" t="s">
        <v>4235</v>
      </c>
      <c r="I632" s="79" t="s">
        <v>3128</v>
      </c>
      <c r="J632" s="80"/>
    </row>
    <row r="633" spans="1:10" ht="12.75" customHeight="1">
      <c r="A633" s="1067">
        <v>416</v>
      </c>
      <c r="B633" s="2160" t="str">
        <f>VLOOKUP(A633,plasmids!$A$2:$B$910,2)</f>
        <v>puc57-hHKAb</v>
      </c>
      <c r="C633" s="1146">
        <v>416.2</v>
      </c>
      <c r="D633" s="79" t="s">
        <v>4236</v>
      </c>
      <c r="E633" s="1069">
        <v>41872</v>
      </c>
      <c r="F633" s="79" t="s">
        <v>158</v>
      </c>
      <c r="G633" s="1075">
        <v>0.2</v>
      </c>
      <c r="H633" s="79" t="s">
        <v>3029</v>
      </c>
      <c r="I633" s="79" t="s">
        <v>141</v>
      </c>
      <c r="J633" s="80"/>
    </row>
    <row r="634" spans="1:10" ht="12.75" customHeight="1">
      <c r="A634" s="1254">
        <v>417</v>
      </c>
      <c r="B634" s="1931" t="str">
        <f>VLOOKUP(A634,plasmids!$A$2:$B$910,2)</f>
        <v>pscAAV-CAG-eNpHR2,0V-eYFP</v>
      </c>
      <c r="C634" s="1260">
        <v>417.1</v>
      </c>
      <c r="D634" s="960" t="s">
        <v>2771</v>
      </c>
      <c r="E634" s="1256">
        <v>41872</v>
      </c>
      <c r="F634" s="960" t="s">
        <v>881</v>
      </c>
      <c r="G634" s="1261">
        <v>0.45500000000000002</v>
      </c>
      <c r="H634" s="960" t="s">
        <v>929</v>
      </c>
      <c r="I634" s="960" t="s">
        <v>3181</v>
      </c>
      <c r="J634" s="963"/>
    </row>
    <row r="635" spans="1:10" ht="12.75" customHeight="1">
      <c r="A635" s="1254">
        <v>417</v>
      </c>
      <c r="B635" s="1931" t="str">
        <f>VLOOKUP(A635,plasmids!$A$2:$B$910,2)</f>
        <v>pscAAV-CAG-eNpHR2,0V-eYFP</v>
      </c>
      <c r="C635" s="1260">
        <v>417.2</v>
      </c>
      <c r="D635" s="960" t="s">
        <v>4236</v>
      </c>
      <c r="E635" s="1256">
        <v>41872</v>
      </c>
      <c r="F635" s="960" t="s">
        <v>158</v>
      </c>
      <c r="G635" s="1261">
        <v>0.2</v>
      </c>
      <c r="H635" s="960" t="s">
        <v>3029</v>
      </c>
      <c r="I635" s="960" t="s">
        <v>141</v>
      </c>
      <c r="J635" s="963"/>
    </row>
    <row r="636" spans="1:10" ht="12.75" customHeight="1">
      <c r="A636" s="1254">
        <v>417</v>
      </c>
      <c r="B636" s="1931" t="str">
        <f>VLOOKUP(A636,plasmids!$A$2:$B$910,2)</f>
        <v>pscAAV-CAG-eNpHR2,0V-eYFP</v>
      </c>
      <c r="C636" s="1260">
        <v>417.3</v>
      </c>
      <c r="D636" s="960" t="s">
        <v>2771</v>
      </c>
      <c r="E636" s="1256">
        <v>41894</v>
      </c>
      <c r="F636" s="960" t="s">
        <v>881</v>
      </c>
      <c r="G636" s="1261">
        <v>0.19600000000000001</v>
      </c>
      <c r="H636" s="960" t="s">
        <v>3029</v>
      </c>
      <c r="I636" s="960" t="s">
        <v>3128</v>
      </c>
      <c r="J636" s="963"/>
    </row>
    <row r="637" spans="1:10" ht="12.75" customHeight="1">
      <c r="A637" s="1254">
        <v>417</v>
      </c>
      <c r="B637" s="1931" t="str">
        <f>VLOOKUP(A637,plasmids!$A$2:$B$910,2)</f>
        <v>pscAAV-CAG-eNpHR2,0V-eYFP</v>
      </c>
      <c r="C637" s="1260">
        <v>417.4</v>
      </c>
      <c r="D637" s="960" t="s">
        <v>2771</v>
      </c>
      <c r="E637" s="1256">
        <v>41962</v>
      </c>
      <c r="F637" s="960" t="s">
        <v>1549</v>
      </c>
      <c r="G637" s="1261">
        <v>0.25169999999999998</v>
      </c>
      <c r="H637" s="960" t="s">
        <v>3029</v>
      </c>
      <c r="I637" s="963"/>
      <c r="J637" s="960" t="s">
        <v>2844</v>
      </c>
    </row>
    <row r="638" spans="1:10" ht="12.75" customHeight="1">
      <c r="A638" s="1254">
        <v>417</v>
      </c>
      <c r="B638" s="1931" t="str">
        <f>VLOOKUP(A638,plasmids!$A$2:$B$910,2)</f>
        <v>pscAAV-CAG-eNpHR2,0V-eYFP</v>
      </c>
      <c r="C638" s="1260" t="s">
        <v>4290</v>
      </c>
      <c r="D638" s="968" t="s">
        <v>2765</v>
      </c>
      <c r="E638" s="1256">
        <v>42314</v>
      </c>
      <c r="F638" s="968" t="s">
        <v>3860</v>
      </c>
      <c r="G638" s="1261" t="s">
        <v>4291</v>
      </c>
      <c r="H638" s="968" t="s">
        <v>929</v>
      </c>
      <c r="I638" s="968" t="s">
        <v>141</v>
      </c>
      <c r="J638" s="968" t="s">
        <v>141</v>
      </c>
    </row>
    <row r="639" spans="1:10" ht="12.75" customHeight="1">
      <c r="A639" s="621">
        <v>418</v>
      </c>
      <c r="B639" s="1981" t="str">
        <f>VLOOKUP(A639,plasmids!$A$2:$B$910,2)</f>
        <v>puc57-hBO promoteur</v>
      </c>
      <c r="C639" s="1">
        <v>418.1</v>
      </c>
      <c r="D639" s="50" t="s">
        <v>2771</v>
      </c>
      <c r="E639" s="753">
        <v>41894</v>
      </c>
      <c r="F639" s="50" t="s">
        <v>881</v>
      </c>
      <c r="G639" s="755">
        <v>0.1658</v>
      </c>
      <c r="H639" s="50" t="s">
        <v>3029</v>
      </c>
      <c r="I639" s="50" t="s">
        <v>3128</v>
      </c>
    </row>
    <row r="640" spans="1:10" ht="12.75" customHeight="1">
      <c r="A640" s="2075">
        <v>419</v>
      </c>
      <c r="B640" s="2079" t="str">
        <f>VLOOKUP(A640,plasmids!$A$2:$B$910,2)</f>
        <v>pssAAV-mCAr-ReachR-Citrine</v>
      </c>
      <c r="C640" s="2081">
        <v>419.1</v>
      </c>
      <c r="D640" s="1265" t="s">
        <v>2771</v>
      </c>
      <c r="E640" s="2097">
        <v>41877</v>
      </c>
      <c r="F640" s="1265" t="s">
        <v>881</v>
      </c>
      <c r="G640" s="2099">
        <v>0.1048</v>
      </c>
      <c r="H640" s="1265" t="s">
        <v>3029</v>
      </c>
      <c r="I640" s="1265" t="s">
        <v>3128</v>
      </c>
      <c r="J640" s="1265" t="s">
        <v>4293</v>
      </c>
    </row>
    <row r="641" spans="1:10" ht="12.75" customHeight="1">
      <c r="A641" s="2075">
        <v>419</v>
      </c>
      <c r="B641" s="2079" t="str">
        <f>VLOOKUP(A641,plasmids!$A$2:$B$910,2)</f>
        <v>pssAAV-mCAr-ReachR-Citrine</v>
      </c>
      <c r="C641" s="2081">
        <v>419.2</v>
      </c>
      <c r="D641" s="1265" t="s">
        <v>2765</v>
      </c>
      <c r="E641" s="2097">
        <v>41914</v>
      </c>
      <c r="F641" s="1265" t="s">
        <v>881</v>
      </c>
      <c r="G641" s="2099">
        <v>1.9406000000000001</v>
      </c>
      <c r="H641" s="1265" t="s">
        <v>929</v>
      </c>
      <c r="I641" s="1265" t="s">
        <v>3128</v>
      </c>
      <c r="J641" s="1265" t="s">
        <v>2844</v>
      </c>
    </row>
    <row r="642" spans="1:10" ht="12.75" customHeight="1">
      <c r="A642" s="621">
        <v>420</v>
      </c>
      <c r="B642" s="1981" t="str">
        <f>VLOOKUP(A642,plasmids!$A$2:$B$910,2)</f>
        <v>pAAV-CAG-rHKAb-NpHR-bghPA</v>
      </c>
      <c r="C642" s="757"/>
      <c r="E642" s="758"/>
      <c r="G642" s="754"/>
    </row>
    <row r="643" spans="1:10" ht="12.75" customHeight="1">
      <c r="A643" s="621">
        <v>421</v>
      </c>
      <c r="B643" s="1981" t="str">
        <f>VLOOKUP(A643,plasmids!$A$2:$B$910,2)</f>
        <v>pAAV-CAG-hHKAb-NpHR-bghPA</v>
      </c>
      <c r="C643" s="757"/>
      <c r="E643" s="758"/>
      <c r="G643" s="754"/>
    </row>
    <row r="644" spans="1:10" ht="12.75" customHeight="1">
      <c r="A644" s="851">
        <v>422</v>
      </c>
      <c r="B644" s="1896" t="str">
        <f>VLOOKUP(A644,plasmids!$A$2:$B$910,2)</f>
        <v>puc19-Cap2</v>
      </c>
      <c r="C644" s="855">
        <v>422.1</v>
      </c>
      <c r="D644" s="857" t="s">
        <v>2771</v>
      </c>
      <c r="E644" s="1035">
        <v>41879</v>
      </c>
      <c r="F644" s="857" t="s">
        <v>158</v>
      </c>
      <c r="G644" s="860">
        <v>0.25540000000000002</v>
      </c>
      <c r="H644" s="857" t="s">
        <v>4235</v>
      </c>
      <c r="I644" s="857" t="s">
        <v>4296</v>
      </c>
      <c r="J644" s="859"/>
    </row>
    <row r="645" spans="1:10" ht="12.75" customHeight="1">
      <c r="A645" s="851">
        <v>422</v>
      </c>
      <c r="B645" s="1896" t="str">
        <f>VLOOKUP(A645,plasmids!$A$2:$B$910,2)</f>
        <v>puc19-Cap2</v>
      </c>
      <c r="C645" s="855">
        <v>422.2</v>
      </c>
      <c r="D645" s="857" t="s">
        <v>2771</v>
      </c>
      <c r="E645" s="1035">
        <v>41926</v>
      </c>
      <c r="F645" s="857" t="s">
        <v>1549</v>
      </c>
      <c r="G645" s="2177">
        <v>0.29599999999999999</v>
      </c>
      <c r="H645" s="857" t="s">
        <v>4235</v>
      </c>
      <c r="I645" s="857" t="s">
        <v>4081</v>
      </c>
      <c r="J645" s="857" t="s">
        <v>4298</v>
      </c>
    </row>
    <row r="646" spans="1:10" ht="12.75" customHeight="1">
      <c r="A646" s="621">
        <v>423</v>
      </c>
      <c r="B646" s="1981" t="str">
        <f>VLOOKUP(A646,plasmids!$A$2:$B$910,2)</f>
        <v>pAAV-EF1a-mCherry-WGA-Cre</v>
      </c>
      <c r="C646" s="1">
        <v>423.1</v>
      </c>
      <c r="D646" s="50" t="s">
        <v>2765</v>
      </c>
      <c r="E646" s="759" t="s">
        <v>141</v>
      </c>
      <c r="F646" s="50" t="s">
        <v>1643</v>
      </c>
      <c r="G646" s="180">
        <v>2.8</v>
      </c>
      <c r="H646" s="50" t="s">
        <v>141</v>
      </c>
      <c r="I646" s="50" t="s">
        <v>141</v>
      </c>
    </row>
    <row r="647" spans="1:10" ht="12.75" customHeight="1">
      <c r="A647" s="621">
        <v>424</v>
      </c>
      <c r="B647" s="1981" t="str">
        <f>VLOOKUP(A647,plasmids!$A$2:$B$910,2)</f>
        <v>pAAV-1,5kb-1A</v>
      </c>
      <c r="C647" s="1">
        <v>424.1</v>
      </c>
      <c r="D647" s="50" t="s">
        <v>2765</v>
      </c>
      <c r="E647" s="759" t="s">
        <v>141</v>
      </c>
      <c r="F647" s="50" t="s">
        <v>1643</v>
      </c>
      <c r="G647" s="755">
        <v>3.1</v>
      </c>
      <c r="H647" s="50" t="s">
        <v>141</v>
      </c>
      <c r="I647" s="50" t="s">
        <v>141</v>
      </c>
    </row>
    <row r="648" spans="1:10" ht="12.75" customHeight="1">
      <c r="A648" s="621">
        <v>425</v>
      </c>
      <c r="B648" s="1981" t="str">
        <f>VLOOKUP(A648,plasmids!$A$2:$B$910,2)</f>
        <v>pHluorin-1A</v>
      </c>
      <c r="C648" s="1">
        <v>425.1</v>
      </c>
      <c r="D648" s="50" t="s">
        <v>2765</v>
      </c>
      <c r="E648" s="759" t="s">
        <v>141</v>
      </c>
      <c r="F648" s="50" t="s">
        <v>1643</v>
      </c>
      <c r="G648" s="755">
        <v>3</v>
      </c>
      <c r="H648" s="50" t="s">
        <v>141</v>
      </c>
      <c r="I648" s="50" t="s">
        <v>141</v>
      </c>
    </row>
    <row r="649" spans="1:10" ht="12.75" customHeight="1">
      <c r="A649" s="1230">
        <v>426</v>
      </c>
      <c r="B649" s="2185" t="str">
        <f>VLOOKUP(A649,plasmids!$A$2:$B$910,2)</f>
        <v>pCMV-iGluSnFR</v>
      </c>
      <c r="C649" s="1236">
        <v>426.1</v>
      </c>
      <c r="D649" s="1231" t="s">
        <v>2771</v>
      </c>
      <c r="E649" s="1233">
        <v>41894</v>
      </c>
      <c r="F649" s="1231" t="s">
        <v>881</v>
      </c>
      <c r="G649" s="1235">
        <v>0.5554</v>
      </c>
      <c r="H649" s="1231" t="s">
        <v>3029</v>
      </c>
      <c r="I649" s="1231" t="s">
        <v>3128</v>
      </c>
      <c r="J649" s="1234"/>
    </row>
    <row r="650" spans="1:10" ht="12.75" customHeight="1">
      <c r="A650" s="1230">
        <v>426</v>
      </c>
      <c r="B650" s="2185" t="str">
        <f>VLOOKUP(A650,plasmids!$A$2:$B$910,2)</f>
        <v>pCMV-iGluSnFR</v>
      </c>
      <c r="C650" s="1236" t="s">
        <v>4302</v>
      </c>
      <c r="D650" s="1237" t="s">
        <v>2765</v>
      </c>
      <c r="E650" s="1233">
        <v>42411</v>
      </c>
      <c r="F650" s="1231" t="s">
        <v>881</v>
      </c>
      <c r="G650" s="2189">
        <v>2710467</v>
      </c>
      <c r="H650" s="1231"/>
      <c r="I650" s="1231" t="s">
        <v>3128</v>
      </c>
      <c r="J650" s="1237" t="s">
        <v>3235</v>
      </c>
    </row>
    <row r="651" spans="1:10" ht="12.75" customHeight="1">
      <c r="A651" s="621">
        <v>427</v>
      </c>
      <c r="B651" s="1981" t="str">
        <f>VLOOKUP(A651,plasmids!$A$2:$B$910,2)</f>
        <v>AAV-EF1a-DIO-GCaMP6f-P2A-nls-dTomato</v>
      </c>
      <c r="C651" s="1">
        <v>427.1</v>
      </c>
      <c r="D651" s="50" t="s">
        <v>2771</v>
      </c>
      <c r="E651" s="753">
        <v>41894</v>
      </c>
      <c r="F651" s="50" t="s">
        <v>881</v>
      </c>
      <c r="G651" s="755">
        <v>8.4199999999999997E-2</v>
      </c>
      <c r="H651" s="50" t="s">
        <v>3029</v>
      </c>
      <c r="I651" s="50" t="s">
        <v>3128</v>
      </c>
    </row>
    <row r="652" spans="1:10" ht="12.75" customHeight="1">
      <c r="A652" s="621">
        <v>428</v>
      </c>
      <c r="B652" s="1981" t="str">
        <f>VLOOKUP(A652,plasmids!$A$2:$B$910,2)</f>
        <v>AAV-EF1a-DIO-GCaMP6s-P2A-nls-dTomato</v>
      </c>
      <c r="C652" s="1">
        <v>428.1</v>
      </c>
      <c r="D652" s="50" t="s">
        <v>2771</v>
      </c>
      <c r="E652" s="753">
        <v>41894</v>
      </c>
      <c r="F652" s="50" t="s">
        <v>881</v>
      </c>
      <c r="G652" s="755">
        <v>0.2104</v>
      </c>
      <c r="H652" s="50" t="s">
        <v>3029</v>
      </c>
      <c r="I652" s="50" t="s">
        <v>3128</v>
      </c>
    </row>
    <row r="653" spans="1:10" ht="12.75" customHeight="1">
      <c r="A653" s="621">
        <v>429</v>
      </c>
      <c r="B653" s="1981" t="str">
        <f>VLOOKUP(A653,plasmids!$A$2:$B$910,2)</f>
        <v>pCMV-Cerulean-C1</v>
      </c>
      <c r="C653" s="1">
        <v>429.1</v>
      </c>
      <c r="D653" s="50" t="s">
        <v>2771</v>
      </c>
      <c r="E653" s="753">
        <v>41894</v>
      </c>
      <c r="F653" s="50" t="s">
        <v>881</v>
      </c>
      <c r="G653" s="755">
        <v>0.31459999999999999</v>
      </c>
      <c r="H653" s="50" t="s">
        <v>3029</v>
      </c>
      <c r="I653" s="50" t="s">
        <v>3128</v>
      </c>
    </row>
    <row r="654" spans="1:10" ht="12.75" customHeight="1">
      <c r="A654" s="621">
        <v>430</v>
      </c>
      <c r="B654" s="1981" t="str">
        <f>VLOOKUP(A654,plasmids!$A$2:$B$910,2)</f>
        <v>pQC mPlum IX</v>
      </c>
      <c r="C654" s="1">
        <v>430.1</v>
      </c>
      <c r="D654" s="50" t="s">
        <v>2771</v>
      </c>
      <c r="E654" s="753">
        <v>41894</v>
      </c>
      <c r="F654" s="50" t="s">
        <v>881</v>
      </c>
      <c r="G654" s="755">
        <v>0.25259999999999999</v>
      </c>
      <c r="H654" s="50" t="s">
        <v>3029</v>
      </c>
      <c r="I654" s="50" t="s">
        <v>3128</v>
      </c>
    </row>
    <row r="655" spans="1:10" ht="12.75" customHeight="1">
      <c r="A655" s="621">
        <v>431</v>
      </c>
      <c r="B655" s="1981" t="str">
        <f>VLOOKUP(A655,plasmids!$A$2:$B$910,2)</f>
        <v>pCMV-Emerald-C1</v>
      </c>
      <c r="C655" s="1">
        <v>431.1</v>
      </c>
      <c r="D655" s="50" t="s">
        <v>2771</v>
      </c>
      <c r="E655" s="753">
        <v>41894</v>
      </c>
      <c r="F655" s="50" t="s">
        <v>881</v>
      </c>
      <c r="G655" s="755">
        <v>0.37990000000000002</v>
      </c>
      <c r="H655" s="50" t="s">
        <v>3029</v>
      </c>
      <c r="I655" s="50" t="s">
        <v>3128</v>
      </c>
    </row>
    <row r="656" spans="1:10" ht="12.75" customHeight="1">
      <c r="A656" s="1054">
        <v>432</v>
      </c>
      <c r="B656" s="1955" t="str">
        <f>VLOOKUP(A656,plasmids!$A$2:$B$910,2)</f>
        <v>pssAAV-mCAr-SwichR-ReachR-Citrine</v>
      </c>
      <c r="C656" s="1059">
        <v>432.1</v>
      </c>
      <c r="D656" s="672" t="s">
        <v>2771</v>
      </c>
      <c r="E656" s="1056">
        <v>41885</v>
      </c>
      <c r="F656" s="672" t="s">
        <v>881</v>
      </c>
      <c r="G656" s="1058">
        <v>0.15770000000000001</v>
      </c>
      <c r="H656" s="672" t="s">
        <v>3029</v>
      </c>
      <c r="I656" s="672" t="s">
        <v>3128</v>
      </c>
      <c r="J656" s="672" t="s">
        <v>1612</v>
      </c>
    </row>
    <row r="657" spans="1:10" ht="12.75" customHeight="1">
      <c r="A657" s="1054">
        <v>432</v>
      </c>
      <c r="B657" s="1955" t="str">
        <f>VLOOKUP(A657,plasmids!$A$2:$B$910,2)</f>
        <v>pssAAV-mCAr-SwichR-ReachR-Citrine</v>
      </c>
      <c r="C657" s="1059">
        <v>432.2</v>
      </c>
      <c r="D657" s="672" t="s">
        <v>2765</v>
      </c>
      <c r="E657" s="1056">
        <v>42089</v>
      </c>
      <c r="F657" s="672" t="s">
        <v>881</v>
      </c>
      <c r="G657" s="1058">
        <v>1.2453000000000001</v>
      </c>
      <c r="H657" s="672" t="s">
        <v>929</v>
      </c>
      <c r="I657" s="672" t="s">
        <v>3128</v>
      </c>
      <c r="J657" s="1057"/>
    </row>
    <row r="658" spans="1:10" ht="12.75" customHeight="1">
      <c r="A658" s="621">
        <v>433</v>
      </c>
      <c r="B658" s="1981" t="str">
        <f>VLOOKUP(A658,plasmids!$A$2:$B$910,2)</f>
        <v>pssAAV-mCar-ChrimsonR*sans stop-WPRE</v>
      </c>
      <c r="C658" s="1">
        <v>433.1</v>
      </c>
      <c r="D658" s="50" t="s">
        <v>2771</v>
      </c>
      <c r="E658" s="753">
        <v>41899</v>
      </c>
      <c r="F658" s="50" t="s">
        <v>881</v>
      </c>
      <c r="G658" s="755">
        <v>0.21759999999999999</v>
      </c>
      <c r="H658" s="50" t="s">
        <v>3029</v>
      </c>
      <c r="I658" s="50" t="s">
        <v>3181</v>
      </c>
      <c r="J658" s="50" t="s">
        <v>1615</v>
      </c>
    </row>
    <row r="659" spans="1:10" ht="12.75" customHeight="1">
      <c r="A659" s="2198">
        <v>434</v>
      </c>
      <c r="B659" s="2200" t="str">
        <f>VLOOKUP(A659,plasmids!$A$2:$B$910,2)</f>
        <v>pAAV-hRho-Killer Red</v>
      </c>
      <c r="C659" s="2201">
        <v>434.1</v>
      </c>
      <c r="D659" s="2206" t="s">
        <v>2771</v>
      </c>
      <c r="E659" s="2207">
        <v>41899</v>
      </c>
      <c r="F659" s="2206" t="s">
        <v>881</v>
      </c>
      <c r="G659" s="2208">
        <v>0.1072</v>
      </c>
      <c r="H659" s="2206" t="s">
        <v>3029</v>
      </c>
      <c r="I659" s="2206" t="s">
        <v>3128</v>
      </c>
      <c r="J659" s="2209" t="s">
        <v>4318</v>
      </c>
    </row>
    <row r="660" spans="1:10" ht="12.75" customHeight="1">
      <c r="A660" s="2198">
        <v>434</v>
      </c>
      <c r="B660" s="2200" t="str">
        <f>VLOOKUP(A660,plasmids!$A$2:$B$910,2)</f>
        <v>pAAV-hRho-Killer Red</v>
      </c>
      <c r="C660" s="2201">
        <v>434.2</v>
      </c>
      <c r="D660" s="2206" t="s">
        <v>2765</v>
      </c>
      <c r="E660" s="2207">
        <v>41914</v>
      </c>
      <c r="F660" s="2206" t="s">
        <v>881</v>
      </c>
      <c r="G660" s="2208">
        <v>0.80649999999999999</v>
      </c>
      <c r="H660" s="2206" t="s">
        <v>929</v>
      </c>
      <c r="I660" s="2206" t="s">
        <v>3128</v>
      </c>
      <c r="J660" s="2206" t="s">
        <v>4320</v>
      </c>
    </row>
    <row r="661" spans="1:10" ht="12.75" customHeight="1">
      <c r="A661" s="1459">
        <v>434</v>
      </c>
      <c r="B661" s="1470" t="str">
        <f>VLOOKUP(A661,plasmids!$A$2:$B$910,2)</f>
        <v>pAAV-hRho-Killer Red</v>
      </c>
      <c r="C661" s="1472">
        <v>434.3</v>
      </c>
      <c r="D661" s="1460" t="s">
        <v>2771</v>
      </c>
      <c r="E661" s="1463">
        <v>42010</v>
      </c>
      <c r="F661" s="1460" t="s">
        <v>881</v>
      </c>
      <c r="G661" s="1465">
        <v>0.2666</v>
      </c>
      <c r="H661" s="1467"/>
      <c r="I661" s="1460" t="s">
        <v>3181</v>
      </c>
      <c r="J661" s="1460" t="s">
        <v>4322</v>
      </c>
    </row>
    <row r="662" spans="1:10" ht="12.75" customHeight="1">
      <c r="A662" s="1459">
        <v>434</v>
      </c>
      <c r="B662" s="1470" t="str">
        <f>VLOOKUP(A662,plasmids!$A$2:$B$910,2)</f>
        <v>pAAV-hRho-Killer Red</v>
      </c>
      <c r="C662" s="1472">
        <v>434.4</v>
      </c>
      <c r="D662" s="1460" t="s">
        <v>2765</v>
      </c>
      <c r="E662" s="1463">
        <v>42069</v>
      </c>
      <c r="F662" s="1460" t="s">
        <v>881</v>
      </c>
      <c r="G662" s="1465">
        <v>0.65990000000000004</v>
      </c>
      <c r="H662" s="1460" t="s">
        <v>929</v>
      </c>
      <c r="I662" s="1460" t="s">
        <v>3128</v>
      </c>
      <c r="J662" s="1460" t="s">
        <v>4324</v>
      </c>
    </row>
    <row r="663" spans="1:10" ht="12.75" customHeight="1">
      <c r="A663" s="1459">
        <v>434</v>
      </c>
      <c r="B663" s="1470" t="str">
        <f>VLOOKUP(A663,plasmids!$A$2:$B$910,2)</f>
        <v>pAAV-hRho-Killer Red</v>
      </c>
      <c r="C663" s="1472">
        <v>434.5</v>
      </c>
      <c r="D663" s="1460" t="s">
        <v>2765</v>
      </c>
      <c r="E663" s="1463">
        <v>42145</v>
      </c>
      <c r="F663" s="1460" t="s">
        <v>881</v>
      </c>
      <c r="G663" s="1465">
        <v>1.0112000000000001</v>
      </c>
      <c r="H663" s="1460" t="s">
        <v>929</v>
      </c>
      <c r="I663" s="1460" t="s">
        <v>3128</v>
      </c>
      <c r="J663" s="1460" t="s">
        <v>4324</v>
      </c>
    </row>
    <row r="664" spans="1:10" ht="12.75" customHeight="1">
      <c r="A664" s="621">
        <v>435</v>
      </c>
      <c r="B664" s="1981" t="str">
        <f>VLOOKUP(A664,plasmids!$A$2:$B$910,2)</f>
        <v>pAAV-CAG-mCherry-IRES-Cre-WPRE</v>
      </c>
      <c r="C664" s="1">
        <v>435.1</v>
      </c>
      <c r="D664" s="50" t="s">
        <v>2771</v>
      </c>
      <c r="E664" s="753">
        <v>41899</v>
      </c>
      <c r="F664" s="50" t="s">
        <v>881</v>
      </c>
      <c r="G664" s="755">
        <v>5.0599999999999999E-2</v>
      </c>
      <c r="H664" s="50" t="s">
        <v>3029</v>
      </c>
      <c r="I664" s="50" t="s">
        <v>3128</v>
      </c>
      <c r="J664" s="50" t="s">
        <v>4329</v>
      </c>
    </row>
    <row r="665" spans="1:10" ht="12.75" customHeight="1">
      <c r="A665" s="1224">
        <v>436</v>
      </c>
      <c r="B665" s="1550" t="str">
        <f>VLOOKUP(A665,plasmids!$A$2:$B$910,2)</f>
        <v>pssAAV-CMV-hCatCH-GFP</v>
      </c>
      <c r="C665" s="1228">
        <v>436.1</v>
      </c>
      <c r="D665" s="1211" t="s">
        <v>2771</v>
      </c>
      <c r="E665" s="1226">
        <v>41906</v>
      </c>
      <c r="F665" s="1211" t="s">
        <v>881</v>
      </c>
      <c r="G665" s="1227">
        <v>0.34310000000000002</v>
      </c>
      <c r="H665" s="1211" t="s">
        <v>929</v>
      </c>
      <c r="I665" s="1211" t="s">
        <v>3128</v>
      </c>
      <c r="J665" s="1211" t="s">
        <v>1627</v>
      </c>
    </row>
    <row r="666" spans="1:10" ht="12.75" customHeight="1">
      <c r="A666" s="1224">
        <v>436</v>
      </c>
      <c r="B666" s="1550" t="str">
        <f>VLOOKUP(A666,plasmids!$A$2:$B$910,2)</f>
        <v>pssAAV-CMV-hCatCH-GFP</v>
      </c>
      <c r="C666" s="1228">
        <v>436.2</v>
      </c>
      <c r="D666" s="1211" t="s">
        <v>2765</v>
      </c>
      <c r="E666" s="1226">
        <v>41907</v>
      </c>
      <c r="F666" s="1211" t="s">
        <v>881</v>
      </c>
      <c r="G666" s="1227">
        <v>1.1729000000000001</v>
      </c>
      <c r="H666" s="1211" t="s">
        <v>929</v>
      </c>
      <c r="I666" s="1211" t="s">
        <v>3128</v>
      </c>
      <c r="J666" s="1211" t="s">
        <v>4333</v>
      </c>
    </row>
    <row r="667" spans="1:10" ht="12.75" customHeight="1">
      <c r="A667" s="1036">
        <v>437</v>
      </c>
      <c r="B667" s="2217" t="str">
        <f>VLOOKUP(A667,plasmids!$A$2:$B$910,2)</f>
        <v>pAAV-CAG-rHKAb-eNpHR-YFP</v>
      </c>
      <c r="C667" s="1043">
        <v>437.1</v>
      </c>
      <c r="D667" s="1037" t="s">
        <v>2771</v>
      </c>
      <c r="E667" s="2219"/>
      <c r="F667" s="1041"/>
      <c r="G667" s="1156"/>
      <c r="H667" s="1041"/>
      <c r="I667" s="1041"/>
      <c r="J667" s="1041"/>
    </row>
    <row r="668" spans="1:10" ht="12.75" customHeight="1">
      <c r="A668" s="1036">
        <v>437</v>
      </c>
      <c r="B668" s="2217" t="str">
        <f>VLOOKUP(A668,plasmids!$A$2:$B$910,2)</f>
        <v>pAAV-CAG-rHKAb-eNpHR-YFP</v>
      </c>
      <c r="C668" s="1043">
        <v>373.2</v>
      </c>
      <c r="D668" s="1037" t="s">
        <v>2765</v>
      </c>
      <c r="E668" s="1154">
        <v>41984</v>
      </c>
      <c r="F668" s="1037" t="s">
        <v>881</v>
      </c>
      <c r="G668" s="1042">
        <v>1.0087999999999999</v>
      </c>
      <c r="H668" s="1037" t="s">
        <v>929</v>
      </c>
      <c r="I668" s="1041"/>
      <c r="J668" s="1037" t="s">
        <v>2844</v>
      </c>
    </row>
    <row r="669" spans="1:10" ht="12.75" customHeight="1">
      <c r="A669" s="872">
        <v>439</v>
      </c>
      <c r="B669" s="1337" t="str">
        <f>VLOOKUP(A669,plasmids!$A$2:$B$910,2)</f>
        <v>pssAAV-mCar-ChrimsonR-WPRE</v>
      </c>
      <c r="C669" s="884">
        <v>439.1</v>
      </c>
      <c r="D669" s="873" t="s">
        <v>2771</v>
      </c>
      <c r="E669" s="1332">
        <v>41913</v>
      </c>
      <c r="F669" s="873" t="s">
        <v>881</v>
      </c>
      <c r="G669" s="1333"/>
      <c r="H669" s="879"/>
      <c r="I669" s="873" t="s">
        <v>3181</v>
      </c>
      <c r="J669" s="873" t="s">
        <v>4346</v>
      </c>
    </row>
    <row r="670" spans="1:10" ht="12.75" customHeight="1">
      <c r="A670" s="872">
        <v>439</v>
      </c>
      <c r="B670" s="1337" t="str">
        <f>VLOOKUP(A670,plasmids!$A$2:$B$910,2)</f>
        <v>pssAAV-mCar-ChrimsonR-WPRE</v>
      </c>
      <c r="C670" s="884">
        <v>439.2</v>
      </c>
      <c r="D670" s="873" t="s">
        <v>2765</v>
      </c>
      <c r="E670" s="1332">
        <v>41920</v>
      </c>
      <c r="F670" s="873" t="s">
        <v>95</v>
      </c>
      <c r="G670" s="881">
        <v>1.67</v>
      </c>
      <c r="H670" s="873" t="s">
        <v>929</v>
      </c>
      <c r="I670" s="873" t="s">
        <v>3128</v>
      </c>
      <c r="J670" s="886" t="s">
        <v>4348</v>
      </c>
    </row>
    <row r="671" spans="1:10" ht="12.75" customHeight="1">
      <c r="A671" s="1327">
        <v>443</v>
      </c>
      <c r="B671" s="2229" t="str">
        <f>VLOOKUP(A671,plasmids!$A$2:$B$910,2)</f>
        <v>pAAV-flox-CAG-hCatCh-YFP</v>
      </c>
      <c r="C671" s="1328">
        <v>443.2</v>
      </c>
      <c r="D671" s="161" t="s">
        <v>2765</v>
      </c>
      <c r="E671" s="2230">
        <v>41928</v>
      </c>
      <c r="F671" s="161" t="s">
        <v>3470</v>
      </c>
      <c r="G671" s="1331">
        <v>0.16300000000000001</v>
      </c>
      <c r="H671" s="163"/>
      <c r="I671" s="161" t="s">
        <v>3128</v>
      </c>
      <c r="J671" s="161" t="s">
        <v>4333</v>
      </c>
    </row>
    <row r="672" spans="1:10" ht="12.75" customHeight="1">
      <c r="A672" s="1327">
        <v>443</v>
      </c>
      <c r="B672" s="2229" t="str">
        <f>VLOOKUP(A672,plasmids!$A$2:$B$910,2)</f>
        <v>pAAV-flox-CAG-hCatCh-YFP</v>
      </c>
      <c r="C672" s="2233">
        <v>443.1</v>
      </c>
      <c r="D672" s="161" t="s">
        <v>2771</v>
      </c>
      <c r="E672" s="2235"/>
      <c r="F672" s="161" t="s">
        <v>95</v>
      </c>
      <c r="G672" s="1331" t="s">
        <v>4379</v>
      </c>
      <c r="H672" s="161" t="s">
        <v>400</v>
      </c>
      <c r="I672" s="161" t="s">
        <v>3128</v>
      </c>
      <c r="J672" s="161" t="s">
        <v>4333</v>
      </c>
    </row>
    <row r="673" spans="1:10" ht="12.75" customHeight="1">
      <c r="A673" s="1327">
        <v>443</v>
      </c>
      <c r="B673" s="2229" t="str">
        <f>VLOOKUP(A673,plasmids!$A$2:$B$910,2)</f>
        <v>pAAV-flox-CAG-hCatCh-YFP</v>
      </c>
      <c r="C673" s="1328" t="s">
        <v>4382</v>
      </c>
      <c r="D673" s="166" t="s">
        <v>2765</v>
      </c>
      <c r="E673" s="2237">
        <v>42299</v>
      </c>
      <c r="F673" s="166" t="s">
        <v>881</v>
      </c>
      <c r="G673" s="2238">
        <v>1.0819000000000001</v>
      </c>
      <c r="H673" s="161" t="s">
        <v>400</v>
      </c>
      <c r="I673" s="161" t="s">
        <v>3128</v>
      </c>
      <c r="J673" s="166" t="s">
        <v>2844</v>
      </c>
    </row>
    <row r="674" spans="1:10" ht="12.75" customHeight="1">
      <c r="A674" s="1327">
        <v>443</v>
      </c>
      <c r="B674" s="2229" t="str">
        <f>VLOOKUP(A674,plasmids!$A$2:$B$910,2)</f>
        <v>pAAV-flox-CAG-hCatCh-YFP</v>
      </c>
      <c r="C674" s="1328" t="s">
        <v>4386</v>
      </c>
      <c r="D674" s="166" t="s">
        <v>2814</v>
      </c>
      <c r="E674" s="2237"/>
      <c r="F674" s="166"/>
      <c r="G674" s="2238" t="s">
        <v>4387</v>
      </c>
      <c r="H674" s="161"/>
      <c r="I674" s="161"/>
      <c r="J674" s="166"/>
    </row>
    <row r="675" spans="1:10" ht="12.75" customHeight="1">
      <c r="A675" s="621">
        <v>444</v>
      </c>
      <c r="B675" s="1981" t="str">
        <f>VLOOKUP(A675,plasmids!$A$2:$B$910,2)</f>
        <v>pcDNA3,1-GIRK1</v>
      </c>
      <c r="C675" s="1">
        <v>444.1</v>
      </c>
      <c r="D675" s="50" t="s">
        <v>2771</v>
      </c>
      <c r="E675" s="753">
        <v>41950</v>
      </c>
      <c r="F675" s="50" t="s">
        <v>881</v>
      </c>
      <c r="G675" s="755">
        <v>8.9399999999999993E-2</v>
      </c>
      <c r="I675" s="50" t="s">
        <v>3128</v>
      </c>
      <c r="J675" s="50" t="s">
        <v>4390</v>
      </c>
    </row>
    <row r="676" spans="1:10" ht="12.75" customHeight="1">
      <c r="A676" s="621">
        <v>445</v>
      </c>
      <c r="B676" s="1981" t="str">
        <f>VLOOKUP(A676,plasmids!$A$2:$B$910,2)</f>
        <v>pcDNA3,1-GIRK2</v>
      </c>
      <c r="C676" s="1">
        <v>445.1</v>
      </c>
      <c r="D676" s="50" t="s">
        <v>2771</v>
      </c>
      <c r="E676" s="753">
        <v>41950</v>
      </c>
      <c r="F676" s="50" t="s">
        <v>881</v>
      </c>
      <c r="G676" s="755">
        <v>9.2399999999999996E-2</v>
      </c>
      <c r="I676" s="50" t="s">
        <v>3128</v>
      </c>
      <c r="J676" s="50" t="s">
        <v>4390</v>
      </c>
    </row>
    <row r="677" spans="1:10" ht="12.75" customHeight="1">
      <c r="A677" s="2018">
        <v>446</v>
      </c>
      <c r="B677" s="2021" t="str">
        <f>VLOOKUP(A677,plasmids!$A$2:$B$910,2)</f>
        <v>ssAAV Ple155-emGFP-WPRE</v>
      </c>
      <c r="C677" s="2023">
        <v>446.1</v>
      </c>
      <c r="D677" s="2029" t="s">
        <v>2771</v>
      </c>
      <c r="E677" s="2031">
        <v>46674</v>
      </c>
      <c r="F677" s="2029" t="s">
        <v>4394</v>
      </c>
      <c r="G677" s="2032">
        <v>0.2</v>
      </c>
      <c r="H677" s="2029" t="s">
        <v>141</v>
      </c>
      <c r="I677" s="2029" t="s">
        <v>141</v>
      </c>
      <c r="J677" s="2241"/>
    </row>
    <row r="678" spans="1:10" ht="12.75" customHeight="1">
      <c r="A678" s="2018">
        <v>446</v>
      </c>
      <c r="B678" s="2021" t="str">
        <f>VLOOKUP(A678,plasmids!$A$2:$B$910,2)</f>
        <v>ssAAV Ple155-emGFP-WPRE</v>
      </c>
      <c r="C678" s="2023">
        <v>446.2</v>
      </c>
      <c r="D678" s="2029" t="s">
        <v>2771</v>
      </c>
      <c r="E678" s="2031">
        <v>41950</v>
      </c>
      <c r="F678" s="2029" t="s">
        <v>881</v>
      </c>
      <c r="G678" s="2032">
        <v>9.9099999999999994E-2</v>
      </c>
      <c r="H678" s="2241"/>
      <c r="I678" s="2029" t="s">
        <v>3128</v>
      </c>
      <c r="J678" s="2245" t="s">
        <v>4396</v>
      </c>
    </row>
    <row r="679" spans="1:10" ht="12.75" customHeight="1">
      <c r="A679" s="2018">
        <v>446</v>
      </c>
      <c r="B679" s="2021" t="str">
        <f>VLOOKUP(A679,plasmids!$A$2:$B$910,2)</f>
        <v>ssAAV Ple155-emGFP-WPRE</v>
      </c>
      <c r="C679" s="2023">
        <v>446.3</v>
      </c>
      <c r="D679" s="2029" t="s">
        <v>2765</v>
      </c>
      <c r="E679" s="2031">
        <v>42152</v>
      </c>
      <c r="F679" s="2029" t="s">
        <v>881</v>
      </c>
      <c r="G679" s="2032">
        <v>1.7786</v>
      </c>
      <c r="H679" s="2029" t="s">
        <v>929</v>
      </c>
      <c r="I679" s="2029" t="s">
        <v>3128</v>
      </c>
      <c r="J679" s="2029" t="s">
        <v>2844</v>
      </c>
    </row>
    <row r="680" spans="1:10" ht="12.75" customHeight="1">
      <c r="A680" s="2036">
        <v>447</v>
      </c>
      <c r="B680" s="2038" t="str">
        <f>VLOOKUP(A680,plasmids!$A$2:$B$910,2)</f>
        <v>ssAAV Ple155-emGFP</v>
      </c>
      <c r="C680" s="2040">
        <v>447.1</v>
      </c>
      <c r="D680" s="2041" t="s">
        <v>2771</v>
      </c>
      <c r="E680" s="2042">
        <v>46674</v>
      </c>
      <c r="F680" s="2041" t="s">
        <v>4394</v>
      </c>
      <c r="G680" s="2043">
        <v>0.2</v>
      </c>
      <c r="H680" s="2041" t="s">
        <v>141</v>
      </c>
      <c r="I680" s="2041" t="s">
        <v>141</v>
      </c>
      <c r="J680" s="2249"/>
    </row>
    <row r="681" spans="1:10" ht="12.75" customHeight="1">
      <c r="A681" s="2036">
        <v>447</v>
      </c>
      <c r="B681" s="2038" t="str">
        <f>VLOOKUP(A681,plasmids!$A$2:$B$910,2)</f>
        <v>ssAAV Ple155-emGFP</v>
      </c>
      <c r="C681" s="2040">
        <v>447.2</v>
      </c>
      <c r="D681" s="2041" t="s">
        <v>2771</v>
      </c>
      <c r="E681" s="2042">
        <v>41950</v>
      </c>
      <c r="F681" s="2041" t="s">
        <v>881</v>
      </c>
      <c r="G681" s="2043">
        <v>0.2084</v>
      </c>
      <c r="H681" s="2249"/>
      <c r="I681" s="2041" t="s">
        <v>3128</v>
      </c>
      <c r="J681" s="2252" t="s">
        <v>4399</v>
      </c>
    </row>
    <row r="682" spans="1:10" ht="12.75" customHeight="1">
      <c r="A682" s="2253">
        <v>448</v>
      </c>
      <c r="B682" s="2256" t="str">
        <f>VLOOKUP(A682,plasmids!$A$2:$B$910,2)</f>
        <v>pfck-CAMKII-Jaws-GFP-ER2</v>
      </c>
      <c r="C682" s="2257">
        <v>448.1</v>
      </c>
      <c r="D682" s="2259" t="s">
        <v>2771</v>
      </c>
      <c r="E682" s="2260" t="s">
        <v>141</v>
      </c>
      <c r="F682" s="2259" t="s">
        <v>141</v>
      </c>
      <c r="G682" s="2261">
        <v>0.60360000000000003</v>
      </c>
      <c r="H682" s="2265"/>
      <c r="I682" s="2259" t="s">
        <v>141</v>
      </c>
      <c r="J682" s="2265"/>
    </row>
    <row r="683" spans="1:10" ht="12.75" customHeight="1">
      <c r="A683" s="2253">
        <v>448</v>
      </c>
      <c r="B683" s="2256" t="str">
        <f>VLOOKUP(A683,plasmids!$A$2:$B$910,2)</f>
        <v>pfck-CAMKII-Jaws-GFP-ER2</v>
      </c>
      <c r="C683" s="2257">
        <v>448.2</v>
      </c>
      <c r="D683" s="2259" t="s">
        <v>2771</v>
      </c>
      <c r="E683" s="2266">
        <v>41950</v>
      </c>
      <c r="F683" s="2259" t="s">
        <v>881</v>
      </c>
      <c r="G683" s="2261">
        <v>9.2999999999999999E-2</v>
      </c>
      <c r="H683" s="2265"/>
      <c r="I683" s="2259" t="s">
        <v>3128</v>
      </c>
      <c r="J683" s="2267" t="s">
        <v>4396</v>
      </c>
    </row>
    <row r="684" spans="1:10" ht="12.75" customHeight="1">
      <c r="A684" s="2268">
        <v>449</v>
      </c>
      <c r="B684" s="2269" t="str">
        <f>VLOOKUP(A684,plasmids!$A$2:$B$910,2)</f>
        <v>pfck-CAMKII-Jaws-KGC-GFP-ER2</v>
      </c>
      <c r="C684" s="2270">
        <v>449.1</v>
      </c>
      <c r="D684" s="2271" t="s">
        <v>2771</v>
      </c>
      <c r="E684" s="2272" t="s">
        <v>141</v>
      </c>
      <c r="F684" s="2271" t="s">
        <v>141</v>
      </c>
      <c r="G684" s="2273">
        <v>0.57240000000000002</v>
      </c>
      <c r="H684" s="2274"/>
      <c r="I684" s="2271" t="s">
        <v>141</v>
      </c>
      <c r="J684" s="2274"/>
    </row>
    <row r="685" spans="1:10" ht="12.75" customHeight="1">
      <c r="A685" s="2268">
        <v>449</v>
      </c>
      <c r="B685" s="2269" t="str">
        <f>VLOOKUP(A685,plasmids!$A$2:$B$910,2)</f>
        <v>pfck-CAMKII-Jaws-KGC-GFP-ER2</v>
      </c>
      <c r="C685" s="2270">
        <v>449.2</v>
      </c>
      <c r="D685" s="2271" t="s">
        <v>2771</v>
      </c>
      <c r="E685" s="2275">
        <v>41950</v>
      </c>
      <c r="F685" s="2271" t="s">
        <v>881</v>
      </c>
      <c r="G685" s="2273">
        <v>0.24740000000000001</v>
      </c>
      <c r="H685" s="2274"/>
      <c r="I685" s="2271" t="s">
        <v>3128</v>
      </c>
      <c r="J685" s="2276" t="s">
        <v>4396</v>
      </c>
    </row>
    <row r="686" spans="1:10" ht="12.75" customHeight="1">
      <c r="A686" s="1036">
        <v>450</v>
      </c>
      <c r="B686" s="2217" t="str">
        <f>VLOOKUP(A686,plasmids!$A$2:$B$910,2)</f>
        <v>pAAV-mCAr-hHKAb-eNpHR-WPRE</v>
      </c>
      <c r="C686" s="1043">
        <v>450.1</v>
      </c>
      <c r="D686" s="1037" t="s">
        <v>2771</v>
      </c>
      <c r="E686" s="1154">
        <v>41947</v>
      </c>
      <c r="F686" s="1037" t="s">
        <v>881</v>
      </c>
      <c r="G686" s="1042">
        <v>0.36120000000000002</v>
      </c>
      <c r="H686" s="1037" t="s">
        <v>929</v>
      </c>
      <c r="I686" s="1037" t="s">
        <v>4422</v>
      </c>
      <c r="J686" s="1041"/>
    </row>
    <row r="687" spans="1:10" ht="12.75" customHeight="1">
      <c r="A687" s="1036">
        <v>450</v>
      </c>
      <c r="B687" s="2217" t="str">
        <f>VLOOKUP(A687,plasmids!$A$2:$B$910,2)</f>
        <v>pAAV-mCAr-hHKAb-eNpHR-WPRE</v>
      </c>
      <c r="C687" s="1043">
        <v>450.2</v>
      </c>
      <c r="D687" s="1037" t="s">
        <v>2771</v>
      </c>
      <c r="E687" s="1154">
        <v>41969</v>
      </c>
      <c r="F687" s="1037" t="s">
        <v>881</v>
      </c>
      <c r="G687" s="1042">
        <v>0.1835</v>
      </c>
      <c r="H687" s="1041"/>
      <c r="I687" s="1037" t="s">
        <v>3128</v>
      </c>
      <c r="J687" s="1037" t="s">
        <v>3989</v>
      </c>
    </row>
    <row r="688" spans="1:10" ht="12.75" customHeight="1">
      <c r="A688" s="2277">
        <v>451</v>
      </c>
      <c r="B688" s="2279" t="str">
        <f>VLOOKUP(A688,plasmids!$A$2:$B$910,2)</f>
        <v>pAAV-CAG-hHKAb-NpHR-YFP</v>
      </c>
      <c r="C688" s="2285">
        <v>451.1</v>
      </c>
      <c r="D688" s="2286" t="s">
        <v>2771</v>
      </c>
      <c r="E688" s="2288">
        <v>41947</v>
      </c>
      <c r="F688" s="2286" t="s">
        <v>881</v>
      </c>
      <c r="G688" s="2289">
        <v>0.1457</v>
      </c>
      <c r="H688" s="2286" t="s">
        <v>929</v>
      </c>
      <c r="I688" s="2286" t="s">
        <v>3181</v>
      </c>
      <c r="J688" s="2286" t="s">
        <v>483</v>
      </c>
    </row>
    <row r="689" spans="1:10" ht="12.75" customHeight="1">
      <c r="A689" s="1539">
        <v>451</v>
      </c>
      <c r="B689" s="2290" t="str">
        <f>VLOOKUP(A689,plasmids!$A$2:$B$910,2)</f>
        <v>pAAV-CAG-hHKAb-NpHR-YFP</v>
      </c>
      <c r="C689" s="1569">
        <v>451.2</v>
      </c>
      <c r="D689" s="170" t="s">
        <v>2771</v>
      </c>
      <c r="E689" s="1541">
        <v>41969</v>
      </c>
      <c r="F689" s="170" t="s">
        <v>881</v>
      </c>
      <c r="G689" s="1568">
        <v>0.08</v>
      </c>
      <c r="H689" s="174"/>
      <c r="I689" s="170" t="s">
        <v>3128</v>
      </c>
      <c r="J689" s="170" t="s">
        <v>3989</v>
      </c>
    </row>
    <row r="690" spans="1:10" ht="12.75" customHeight="1">
      <c r="A690" s="1539">
        <v>451</v>
      </c>
      <c r="B690" s="2290" t="str">
        <f>VLOOKUP(A690,plasmids!$A$2:$B$910,2)</f>
        <v>pAAV-CAG-hHKAb-NpHR-YFP</v>
      </c>
      <c r="C690" s="1569">
        <v>451.3</v>
      </c>
      <c r="D690" s="170" t="s">
        <v>2765</v>
      </c>
      <c r="E690" s="1541">
        <v>41984</v>
      </c>
      <c r="F690" s="170" t="s">
        <v>881</v>
      </c>
      <c r="G690" s="1568">
        <v>1.3805000000000001</v>
      </c>
      <c r="H690" s="170" t="s">
        <v>929</v>
      </c>
      <c r="I690" s="170" t="s">
        <v>3128</v>
      </c>
      <c r="J690" s="170" t="s">
        <v>2844</v>
      </c>
    </row>
    <row r="691" spans="1:10" ht="12.75" customHeight="1">
      <c r="A691" s="621">
        <v>452</v>
      </c>
      <c r="B691" s="1981" t="str">
        <f>VLOOKUP(A691,plasmids!$A$2:$B$910,2)</f>
        <v>pAAV-CMV-vSWO-mCherry</v>
      </c>
      <c r="C691" s="1">
        <v>452.1</v>
      </c>
      <c r="D691" s="50" t="s">
        <v>2771</v>
      </c>
      <c r="E691" s="753">
        <v>41962</v>
      </c>
      <c r="F691" s="50" t="s">
        <v>1549</v>
      </c>
      <c r="G691" s="755">
        <v>0.14149999999999999</v>
      </c>
      <c r="H691" s="50" t="s">
        <v>141</v>
      </c>
    </row>
    <row r="692" spans="1:10" ht="12.75" customHeight="1">
      <c r="A692" s="621">
        <v>452</v>
      </c>
      <c r="B692" s="1981" t="str">
        <f>VLOOKUP(A692,plasmids!$A$2:$B$910,2)</f>
        <v>pAAV-CMV-vSWO-mCherry</v>
      </c>
      <c r="C692" s="1">
        <v>452.2</v>
      </c>
      <c r="D692" s="50" t="s">
        <v>2765</v>
      </c>
      <c r="E692" s="753">
        <v>42018</v>
      </c>
      <c r="F692" s="50" t="s">
        <v>881</v>
      </c>
      <c r="G692" s="755">
        <v>0.78100000000000003</v>
      </c>
      <c r="H692" s="50" t="s">
        <v>929</v>
      </c>
      <c r="I692" s="50" t="s">
        <v>3128</v>
      </c>
      <c r="J692" s="50" t="s">
        <v>2844</v>
      </c>
    </row>
    <row r="693" spans="1:10" ht="12.75" customHeight="1">
      <c r="A693" s="821">
        <v>453</v>
      </c>
      <c r="B693" s="2294" t="str">
        <f>VLOOKUP(A693,plasmids!$A$2:$B$910,2)</f>
        <v xml:space="preserve">pAAV-CMV-NogoA </v>
      </c>
      <c r="C693" s="833">
        <v>453.1</v>
      </c>
      <c r="D693" s="823" t="s">
        <v>2771</v>
      </c>
      <c r="E693" s="2295">
        <v>41962</v>
      </c>
      <c r="F693" s="823" t="s">
        <v>1549</v>
      </c>
      <c r="G693" s="831">
        <v>0.1179</v>
      </c>
      <c r="H693" s="829"/>
      <c r="I693" s="829"/>
      <c r="J693" s="829"/>
    </row>
    <row r="694" spans="1:10" ht="12.75" customHeight="1">
      <c r="A694" s="821">
        <v>453</v>
      </c>
      <c r="B694" s="2294" t="str">
        <f>VLOOKUP(A694,plasmids!$A$2:$B$910,2)</f>
        <v xml:space="preserve">pAAV-CMV-NogoA </v>
      </c>
      <c r="C694" s="833">
        <v>453.2</v>
      </c>
      <c r="D694" s="823" t="s">
        <v>2765</v>
      </c>
      <c r="E694" s="2295">
        <v>41997</v>
      </c>
      <c r="F694" s="823" t="s">
        <v>881</v>
      </c>
      <c r="G694" s="831">
        <v>0.59740000000000004</v>
      </c>
      <c r="H694" s="823" t="s">
        <v>929</v>
      </c>
      <c r="I694" s="823" t="s">
        <v>3128</v>
      </c>
      <c r="J694" s="823" t="s">
        <v>2844</v>
      </c>
    </row>
    <row r="695" spans="1:10" ht="12.75" customHeight="1">
      <c r="A695" s="2297">
        <v>454</v>
      </c>
      <c r="B695" s="2298" t="str">
        <f>VLOOKUP(A695,plasmids!$A$2:$B$910,2)</f>
        <v>pscAAV-CAG-tdTomato-bghPA</v>
      </c>
      <c r="C695" s="2299">
        <v>454.1</v>
      </c>
      <c r="D695" s="2300" t="s">
        <v>2771</v>
      </c>
      <c r="E695" s="2301">
        <v>41947</v>
      </c>
      <c r="F695" s="2300" t="s">
        <v>881</v>
      </c>
      <c r="G695" s="2302">
        <v>0.20780000000000001</v>
      </c>
      <c r="H695" s="2300" t="s">
        <v>3029</v>
      </c>
      <c r="I695" s="2300" t="s">
        <v>3128</v>
      </c>
    </row>
    <row r="696" spans="1:10" ht="12.75" customHeight="1">
      <c r="A696" s="2297">
        <v>454</v>
      </c>
      <c r="B696" s="2298" t="str">
        <f>VLOOKUP(A696,plasmids!$A$2:$B$910,2)</f>
        <v>pscAAV-CAG-tdTomato-bghPA</v>
      </c>
      <c r="C696" s="2299">
        <v>454.2</v>
      </c>
      <c r="D696" s="2300" t="s">
        <v>2765</v>
      </c>
      <c r="E696" s="2301">
        <v>41955</v>
      </c>
      <c r="F696" s="2300" t="s">
        <v>881</v>
      </c>
      <c r="G696" s="2302">
        <v>1.0386</v>
      </c>
      <c r="H696" s="2300" t="s">
        <v>929</v>
      </c>
      <c r="I696" s="2300" t="s">
        <v>3128</v>
      </c>
    </row>
    <row r="697" spans="1:10" ht="12.75" customHeight="1">
      <c r="A697" s="1294">
        <v>455</v>
      </c>
      <c r="B697" s="1829" t="str">
        <f>VLOOKUP(A697,plasmids!$A$2:$B$910,2)</f>
        <v>pscAAV-CAG-mCherry-bghPA</v>
      </c>
      <c r="C697" s="1744">
        <v>455.1</v>
      </c>
      <c r="D697" s="285" t="s">
        <v>2771</v>
      </c>
      <c r="E697" s="1296">
        <v>41947</v>
      </c>
      <c r="F697" s="285" t="s">
        <v>881</v>
      </c>
      <c r="G697" s="1313">
        <v>0.23300000000000001</v>
      </c>
      <c r="H697" s="285" t="s">
        <v>3029</v>
      </c>
      <c r="I697" s="285" t="s">
        <v>3128</v>
      </c>
    </row>
    <row r="698" spans="1:10" ht="12.75" customHeight="1">
      <c r="A698" s="1294">
        <v>455</v>
      </c>
      <c r="B698" s="1829" t="str">
        <f>VLOOKUP(A698,plasmids!$A$2:$B$910,2)</f>
        <v>pscAAV-CAG-mCherry-bghPA</v>
      </c>
      <c r="C698" s="1744">
        <v>455.2</v>
      </c>
      <c r="D698" s="285" t="s">
        <v>2765</v>
      </c>
      <c r="E698" s="1296">
        <v>41955</v>
      </c>
      <c r="F698" s="285" t="s">
        <v>881</v>
      </c>
      <c r="G698" s="1313">
        <v>0.53569999999999995</v>
      </c>
      <c r="H698" s="285" t="s">
        <v>929</v>
      </c>
      <c r="I698" s="285" t="s">
        <v>3128</v>
      </c>
    </row>
    <row r="699" spans="1:10" ht="12.75" customHeight="1">
      <c r="A699" s="2305">
        <v>456</v>
      </c>
      <c r="B699" s="2308" t="str">
        <f>VLOOKUP(A699,plasmids!$A$2:$B$910,2)</f>
        <v>pAAV-mCAr-hHKAb-eNpHR-YFP-WPRE</v>
      </c>
      <c r="C699" s="2310">
        <v>456.1</v>
      </c>
      <c r="D699" s="1198" t="s">
        <v>2771</v>
      </c>
      <c r="E699" s="2311"/>
      <c r="F699" s="1198" t="s">
        <v>881</v>
      </c>
      <c r="G699" s="2312">
        <v>0.2596</v>
      </c>
      <c r="H699" s="1202"/>
      <c r="I699" s="1198" t="s">
        <v>3181</v>
      </c>
      <c r="J699" s="1202"/>
    </row>
    <row r="700" spans="1:10" ht="12.75" customHeight="1">
      <c r="A700" s="2305">
        <v>456</v>
      </c>
      <c r="B700" s="2308" t="str">
        <f>VLOOKUP(A700,plasmids!$A$2:$B$910,2)</f>
        <v>pAAV-mCAr-hHKAb-eNpHR-YFP-WPRE</v>
      </c>
      <c r="C700" s="2310">
        <v>456.2</v>
      </c>
      <c r="D700" s="1198" t="s">
        <v>2765</v>
      </c>
      <c r="E700" s="2314">
        <v>41976</v>
      </c>
      <c r="F700" s="1198" t="s">
        <v>881</v>
      </c>
      <c r="G700" s="2312">
        <v>1.0508999999999999</v>
      </c>
      <c r="H700" s="1198" t="s">
        <v>929</v>
      </c>
      <c r="I700" s="1198" t="s">
        <v>3128</v>
      </c>
      <c r="J700" s="1198" t="s">
        <v>4447</v>
      </c>
    </row>
    <row r="701" spans="1:10" ht="12.75" customHeight="1">
      <c r="A701" s="2316">
        <v>457</v>
      </c>
      <c r="B701" s="2319" t="str">
        <f>VLOOKUP(A701,plasmids!$A$2:$B$910,2)</f>
        <v>pssAAV- mCAR-Clm</v>
      </c>
      <c r="C701" s="2322">
        <v>457.1</v>
      </c>
      <c r="D701" s="2324" t="s">
        <v>2771</v>
      </c>
      <c r="E701" s="2327"/>
      <c r="F701" s="2324" t="s">
        <v>881</v>
      </c>
      <c r="G701" s="2329">
        <v>0.22589999999999999</v>
      </c>
      <c r="H701" s="2331"/>
      <c r="I701" s="2324" t="s">
        <v>3128</v>
      </c>
      <c r="J701" s="2331"/>
    </row>
    <row r="702" spans="1:10" ht="12.75" customHeight="1">
      <c r="A702" s="2336">
        <v>457</v>
      </c>
      <c r="B702" s="2338" t="str">
        <f>VLOOKUP(A702,plasmids!$A$2:$B$910,2)</f>
        <v>pssAAV- mCAR-Clm</v>
      </c>
      <c r="C702" s="2340">
        <v>457.2</v>
      </c>
      <c r="D702" s="2341" t="s">
        <v>3342</v>
      </c>
      <c r="E702" s="2342">
        <v>42018</v>
      </c>
      <c r="F702" s="2341" t="s">
        <v>881</v>
      </c>
      <c r="G702" s="2344">
        <v>7.1999999999999995E-2</v>
      </c>
      <c r="H702" s="2341" t="s">
        <v>929</v>
      </c>
      <c r="I702" s="2341" t="s">
        <v>3128</v>
      </c>
      <c r="J702" s="2324" t="s">
        <v>4458</v>
      </c>
    </row>
    <row r="703" spans="1:10" ht="12.75" customHeight="1">
      <c r="A703" s="2316">
        <v>457</v>
      </c>
      <c r="B703" s="2319" t="str">
        <f>VLOOKUP(A703,plasmids!$A$2:$B$910,2)</f>
        <v>pssAAV- mCAR-Clm</v>
      </c>
      <c r="C703" s="2322">
        <v>457.3</v>
      </c>
      <c r="D703" s="2324" t="s">
        <v>2765</v>
      </c>
      <c r="E703" s="2347">
        <v>42025</v>
      </c>
      <c r="F703" s="2324" t="s">
        <v>881</v>
      </c>
      <c r="G703" s="2329">
        <v>1.3701000000000001</v>
      </c>
      <c r="H703" s="2324" t="s">
        <v>929</v>
      </c>
      <c r="I703" s="2324" t="s">
        <v>3128</v>
      </c>
      <c r="J703" s="2331"/>
    </row>
    <row r="704" spans="1:10" ht="12.75" customHeight="1">
      <c r="A704" s="1076">
        <v>458</v>
      </c>
      <c r="B704" s="1371" t="str">
        <f>VLOOKUP(A704,plasmids!$A$2:$B$910,2)</f>
        <v>pssAAV-mCAR-ChrimsonR-GFP</v>
      </c>
      <c r="C704" s="1372">
        <v>458.1</v>
      </c>
      <c r="D704" s="62" t="s">
        <v>2771</v>
      </c>
      <c r="E704" s="1080"/>
      <c r="F704" s="62" t="s">
        <v>881</v>
      </c>
      <c r="G704" s="1079">
        <v>0.1867</v>
      </c>
      <c r="H704" s="52"/>
      <c r="I704" s="62" t="s">
        <v>3128</v>
      </c>
      <c r="J704" s="52"/>
    </row>
    <row r="705" spans="1:10" ht="12.75" customHeight="1">
      <c r="A705" s="1076">
        <v>458</v>
      </c>
      <c r="B705" s="1371" t="str">
        <f>VLOOKUP(A705,plasmids!$A$2:$B$910,2)</f>
        <v>pssAAV-mCAR-ChrimsonR-GFP</v>
      </c>
      <c r="C705" s="1372">
        <v>458.2</v>
      </c>
      <c r="D705" s="62" t="s">
        <v>2765</v>
      </c>
      <c r="E705" s="1373">
        <v>41976</v>
      </c>
      <c r="F705" s="62" t="s">
        <v>881</v>
      </c>
      <c r="G705" s="1079">
        <v>1.2137</v>
      </c>
      <c r="H705" s="62" t="s">
        <v>929</v>
      </c>
      <c r="I705" s="62" t="s">
        <v>3128</v>
      </c>
      <c r="J705" s="62" t="s">
        <v>4461</v>
      </c>
    </row>
    <row r="706" spans="1:10" ht="12.75" customHeight="1">
      <c r="A706" s="1984">
        <v>459</v>
      </c>
      <c r="B706" s="1986" t="str">
        <f>VLOOKUP(A706,plasmids!$A$2:$B$910,2)</f>
        <v>pAAV2</v>
      </c>
      <c r="C706" s="1988">
        <v>459.1</v>
      </c>
      <c r="D706" s="1990" t="s">
        <v>2771</v>
      </c>
      <c r="E706" s="1992">
        <v>41969</v>
      </c>
      <c r="F706" s="1990" t="s">
        <v>1549</v>
      </c>
      <c r="G706" s="1994">
        <v>0.1057</v>
      </c>
      <c r="H706" s="1990" t="s">
        <v>929</v>
      </c>
      <c r="I706" s="2348" t="s">
        <v>4464</v>
      </c>
      <c r="J706" s="1996" t="s">
        <v>4467</v>
      </c>
    </row>
    <row r="707" spans="1:10" ht="12.75" customHeight="1">
      <c r="A707" s="837">
        <v>459</v>
      </c>
      <c r="B707" s="1999" t="str">
        <f>VLOOKUP(A707,plasmids!$A$2:$B$910,2)</f>
        <v>pAAV2</v>
      </c>
      <c r="C707" s="845">
        <v>459.2</v>
      </c>
      <c r="D707" s="838" t="s">
        <v>2771</v>
      </c>
      <c r="E707" s="841">
        <v>41976</v>
      </c>
      <c r="F707" s="838" t="s">
        <v>1549</v>
      </c>
      <c r="G707" s="843">
        <v>8.0600000000000005E-2</v>
      </c>
      <c r="H707" s="838" t="s">
        <v>929</v>
      </c>
      <c r="I707" s="848" t="s">
        <v>4464</v>
      </c>
      <c r="J707" s="838" t="s">
        <v>4469</v>
      </c>
    </row>
    <row r="708" spans="1:10" ht="12.75" customHeight="1">
      <c r="A708" s="837">
        <v>459</v>
      </c>
      <c r="B708" s="2349" t="s">
        <v>1679</v>
      </c>
      <c r="C708" s="845">
        <v>459.3</v>
      </c>
      <c r="D708" s="838" t="s">
        <v>2771</v>
      </c>
      <c r="E708" s="841">
        <v>41982</v>
      </c>
      <c r="F708" s="838" t="s">
        <v>1549</v>
      </c>
      <c r="G708" s="843">
        <v>9.2700000000000005E-2</v>
      </c>
      <c r="H708" s="838" t="s">
        <v>929</v>
      </c>
      <c r="I708" s="838" t="s">
        <v>3128</v>
      </c>
      <c r="J708" s="848" t="s">
        <v>4470</v>
      </c>
    </row>
    <row r="709" spans="1:10" ht="12.75" customHeight="1">
      <c r="A709" s="621">
        <v>460</v>
      </c>
      <c r="B709" s="1981" t="str">
        <f>VLOOKUP(A709,plasmids!$A$2:$B$910,2)</f>
        <v>pscAAV-CAG-Jaws-GFP</v>
      </c>
      <c r="C709" s="1">
        <v>460.1</v>
      </c>
      <c r="D709" s="50" t="s">
        <v>2771</v>
      </c>
      <c r="E709" s="753">
        <v>41970</v>
      </c>
      <c r="F709" s="50" t="s">
        <v>881</v>
      </c>
      <c r="G709" s="755">
        <v>9.6299999999999997E-2</v>
      </c>
      <c r="H709" s="50" t="s">
        <v>3029</v>
      </c>
      <c r="I709" s="50" t="s">
        <v>3128</v>
      </c>
    </row>
    <row r="710" spans="1:10" ht="12.75" customHeight="1">
      <c r="A710" s="621">
        <v>461</v>
      </c>
      <c r="B710" s="1981" t="str">
        <f>VLOOKUP(A710,plasmids!$A$2:$B$910,2)</f>
        <v>pscAAV-CAG-BFP-bghPA</v>
      </c>
      <c r="C710" s="1">
        <v>461.1</v>
      </c>
      <c r="D710" s="50" t="s">
        <v>2771</v>
      </c>
      <c r="E710" s="753">
        <v>41969</v>
      </c>
      <c r="F710" s="50" t="s">
        <v>881</v>
      </c>
      <c r="G710" s="755">
        <v>0.1313</v>
      </c>
      <c r="H710" s="50" t="s">
        <v>3029</v>
      </c>
      <c r="I710" s="50" t="s">
        <v>3128</v>
      </c>
    </row>
    <row r="711" spans="1:10" ht="12.75" customHeight="1">
      <c r="A711" s="621">
        <v>462</v>
      </c>
      <c r="B711" s="1981" t="str">
        <f>VLOOKUP(A711,plasmids!$A$2:$B$910,2)</f>
        <v>pscAAV-CAG-Cerulean-bghPA</v>
      </c>
      <c r="C711" s="1">
        <v>462.1</v>
      </c>
      <c r="D711" s="50" t="s">
        <v>2771</v>
      </c>
      <c r="E711" s="753">
        <v>41970</v>
      </c>
      <c r="F711" s="50" t="s">
        <v>881</v>
      </c>
      <c r="G711" s="755">
        <v>0.2394</v>
      </c>
      <c r="H711" s="50" t="s">
        <v>3029</v>
      </c>
      <c r="I711" s="50" t="s">
        <v>3128</v>
      </c>
    </row>
    <row r="712" spans="1:10" ht="12.75" customHeight="1">
      <c r="A712" s="621">
        <v>463</v>
      </c>
      <c r="B712" s="1981" t="str">
        <f>VLOOKUP(A712,plasmids!$A$2:$B$910,2)</f>
        <v>pscAAV-CAG-Emerald-bghPA</v>
      </c>
      <c r="C712" s="1">
        <v>463.1</v>
      </c>
      <c r="D712" s="50" t="s">
        <v>2771</v>
      </c>
      <c r="E712" s="753">
        <v>41970</v>
      </c>
      <c r="F712" s="50" t="s">
        <v>881</v>
      </c>
      <c r="G712" s="755">
        <v>0.1186</v>
      </c>
      <c r="H712" s="50" t="s">
        <v>3029</v>
      </c>
      <c r="I712" s="50" t="s">
        <v>3128</v>
      </c>
    </row>
    <row r="713" spans="1:10" ht="12.75" customHeight="1">
      <c r="A713" s="2305">
        <v>464</v>
      </c>
      <c r="B713" s="2308" t="str">
        <f>VLOOKUP(A713,plasmids!$A$2:$B$910,2)</f>
        <v>pAAV2 AscI+NotI 1/3</v>
      </c>
      <c r="C713" s="2310">
        <v>464.1</v>
      </c>
      <c r="D713" s="1198" t="s">
        <v>2771</v>
      </c>
      <c r="E713" s="2314">
        <v>41974</v>
      </c>
      <c r="F713" s="1198" t="s">
        <v>1549</v>
      </c>
      <c r="G713" s="2312">
        <v>8.5699999999999998E-2</v>
      </c>
      <c r="H713" s="1198" t="s">
        <v>929</v>
      </c>
      <c r="I713" s="1198" t="s">
        <v>4472</v>
      </c>
      <c r="J713" s="1198" t="s">
        <v>1699</v>
      </c>
    </row>
    <row r="714" spans="1:10" ht="12.75" customHeight="1">
      <c r="A714" s="2305">
        <v>464</v>
      </c>
      <c r="B714" s="2308" t="str">
        <f>VLOOKUP(A714,plasmids!$A$2:$B$910,2)</f>
        <v>pAAV2 AscI+NotI 1/3</v>
      </c>
      <c r="C714" s="2310">
        <v>464.2</v>
      </c>
      <c r="D714" s="1198" t="s">
        <v>2771</v>
      </c>
      <c r="E714" s="2314">
        <v>41982</v>
      </c>
      <c r="F714" s="1198" t="s">
        <v>1549</v>
      </c>
      <c r="G714" s="2312">
        <v>8.0299999999999996E-2</v>
      </c>
      <c r="H714" s="1198" t="s">
        <v>929</v>
      </c>
      <c r="I714" s="1198" t="s">
        <v>3128</v>
      </c>
      <c r="J714" s="2353" t="s">
        <v>4481</v>
      </c>
    </row>
    <row r="715" spans="1:10" ht="12.75" customHeight="1">
      <c r="A715" s="902">
        <v>465</v>
      </c>
      <c r="B715" s="2354" t="str">
        <f>VLOOKUP(A715,plasmids!$A$2:$B$910,2)</f>
        <v>pssAAV-Norrin-GFP</v>
      </c>
      <c r="C715" s="911">
        <v>465.1</v>
      </c>
      <c r="D715" s="903" t="s">
        <v>2765</v>
      </c>
      <c r="E715" s="905" t="s">
        <v>141</v>
      </c>
      <c r="F715" s="903" t="s">
        <v>1701</v>
      </c>
      <c r="G715" s="909">
        <v>5.2110000000000003</v>
      </c>
      <c r="H715" s="903" t="s">
        <v>141</v>
      </c>
      <c r="I715" s="903" t="s">
        <v>141</v>
      </c>
      <c r="J715" s="903" t="s">
        <v>4492</v>
      </c>
    </row>
    <row r="716" spans="1:10" ht="12.75" customHeight="1">
      <c r="A716" s="902">
        <v>465</v>
      </c>
      <c r="B716" s="2354" t="str">
        <f>VLOOKUP(A716,plasmids!$A$2:$B$910,2)</f>
        <v>pssAAV-Norrin-GFP</v>
      </c>
      <c r="C716" s="911">
        <v>465.2</v>
      </c>
      <c r="D716" s="903" t="s">
        <v>2765</v>
      </c>
      <c r="E716" s="2356">
        <v>42018</v>
      </c>
      <c r="F716" s="903" t="s">
        <v>881</v>
      </c>
      <c r="G716" s="909">
        <v>1.748</v>
      </c>
      <c r="H716" s="903" t="s">
        <v>141</v>
      </c>
      <c r="I716" s="903" t="s">
        <v>3128</v>
      </c>
      <c r="J716" s="903" t="s">
        <v>4494</v>
      </c>
    </row>
    <row r="717" spans="1:10" ht="12.75" customHeight="1">
      <c r="A717" s="1224">
        <v>466</v>
      </c>
      <c r="B717" s="1550" t="str">
        <f>VLOOKUP(A717,plasmids!$A$2:$B$910,2)</f>
        <v>PUC57-insertA 18AA</v>
      </c>
      <c r="C717" s="1228">
        <v>466.1</v>
      </c>
      <c r="D717" s="1211" t="s">
        <v>4236</v>
      </c>
      <c r="E717" s="2358"/>
      <c r="F717" s="1211" t="s">
        <v>881</v>
      </c>
      <c r="G717" s="1227">
        <v>0.2</v>
      </c>
      <c r="H717" s="1213"/>
      <c r="I717" s="1211" t="s">
        <v>141</v>
      </c>
      <c r="J717" s="1211" t="s">
        <v>4495</v>
      </c>
    </row>
    <row r="718" spans="1:10" ht="12.75" customHeight="1">
      <c r="A718" s="1224">
        <v>466</v>
      </c>
      <c r="B718" s="1550" t="str">
        <f>VLOOKUP(A718,plasmids!$A$2:$B$910,2)</f>
        <v>PUC57-insertA 18AA</v>
      </c>
      <c r="C718" s="1228">
        <v>466.2</v>
      </c>
      <c r="D718" s="1211" t="s">
        <v>2771</v>
      </c>
      <c r="E718" s="2362"/>
      <c r="F718" s="1211" t="s">
        <v>881</v>
      </c>
      <c r="G718" s="2364">
        <v>9.8199999999999996E-2</v>
      </c>
      <c r="H718" s="1213"/>
      <c r="I718" s="1211" t="s">
        <v>3128</v>
      </c>
      <c r="J718" s="1213"/>
    </row>
    <row r="719" spans="1:10" ht="12.75" customHeight="1">
      <c r="A719" s="1224">
        <v>466</v>
      </c>
      <c r="B719" s="1550" t="str">
        <f>VLOOKUP(A719,plasmids!$A$2:$B$910,2)</f>
        <v>PUC57-insertA 18AA</v>
      </c>
      <c r="C719" s="1228">
        <v>466.3</v>
      </c>
      <c r="D719" s="1211" t="s">
        <v>2771</v>
      </c>
      <c r="E719" s="2362"/>
      <c r="F719" s="1211" t="s">
        <v>4498</v>
      </c>
      <c r="G719" s="2364">
        <v>0.1239</v>
      </c>
      <c r="H719" s="1213"/>
      <c r="I719" s="1213"/>
      <c r="J719" s="1213"/>
    </row>
    <row r="720" spans="1:10" ht="12.75" customHeight="1">
      <c r="A720" s="864">
        <v>467</v>
      </c>
      <c r="B720" s="2368" t="str">
        <f>VLOOKUP(A720,plasmids!$A$2:$B$910,2)</f>
        <v>pAAV-mCAr-18AAhNAChR-eNpHR-YFP</v>
      </c>
      <c r="C720" s="870">
        <v>467.1</v>
      </c>
      <c r="D720" s="865" t="s">
        <v>4236</v>
      </c>
      <c r="E720" s="699"/>
      <c r="F720" s="865" t="s">
        <v>881</v>
      </c>
      <c r="G720" s="697">
        <v>0.2</v>
      </c>
      <c r="H720" s="865" t="s">
        <v>3029</v>
      </c>
      <c r="I720" s="865" t="s">
        <v>141</v>
      </c>
      <c r="J720" s="865" t="s">
        <v>4495</v>
      </c>
    </row>
    <row r="721" spans="1:10" ht="12.75" customHeight="1">
      <c r="A721" s="864">
        <v>467</v>
      </c>
      <c r="B721" s="2368" t="str">
        <f>VLOOKUP(A721,plasmids!$A$2:$B$910,2)</f>
        <v>pAAV-mCAr-18AAhNAChR-eNpHR-YFP</v>
      </c>
      <c r="C721" s="870">
        <v>467.2</v>
      </c>
      <c r="D721" s="865" t="s">
        <v>2765</v>
      </c>
      <c r="E721" s="871">
        <v>41991</v>
      </c>
      <c r="F721" s="865" t="s">
        <v>881</v>
      </c>
      <c r="G721" s="697">
        <v>0.66300000000000003</v>
      </c>
      <c r="H721" s="865" t="s">
        <v>929</v>
      </c>
      <c r="I721" s="865" t="s">
        <v>3128</v>
      </c>
      <c r="J721" s="868"/>
    </row>
    <row r="722" spans="1:10" ht="12.75" customHeight="1">
      <c r="A722" s="1045">
        <v>468</v>
      </c>
      <c r="B722" s="2372" t="str">
        <f>VLOOKUP(A722,plasmids!$A$2:$B$910,2)</f>
        <v>pAAV-mCAr-18AAhNAChR-eNpHR-WPRE</v>
      </c>
      <c r="C722" s="1051">
        <v>468.1</v>
      </c>
      <c r="D722" s="1046" t="s">
        <v>4236</v>
      </c>
      <c r="E722" s="2374"/>
      <c r="F722" s="1046" t="s">
        <v>881</v>
      </c>
      <c r="G722" s="2376">
        <v>0.2</v>
      </c>
      <c r="H722" s="1049"/>
      <c r="I722" s="1046" t="s">
        <v>141</v>
      </c>
      <c r="J722" s="1046" t="s">
        <v>4495</v>
      </c>
    </row>
    <row r="723" spans="1:10" ht="12.75" customHeight="1">
      <c r="A723" s="1045">
        <v>468</v>
      </c>
      <c r="B723" s="2372" t="str">
        <f>VLOOKUP(A723,plasmids!$A$2:$B$910,2)</f>
        <v>pAAV-mCAr-18AAhNAChR-eNpHR-WPRE</v>
      </c>
      <c r="C723" s="1051">
        <v>468.2</v>
      </c>
      <c r="D723" s="1046" t="s">
        <v>2771</v>
      </c>
      <c r="E723" s="2374"/>
      <c r="F723" s="1046" t="s">
        <v>881</v>
      </c>
      <c r="G723" s="2376">
        <v>0.10680000000000001</v>
      </c>
      <c r="H723" s="1049"/>
      <c r="I723" s="1046" t="s">
        <v>3128</v>
      </c>
      <c r="J723" s="1049"/>
    </row>
    <row r="724" spans="1:10" ht="12.75" customHeight="1">
      <c r="A724" s="1045">
        <v>468</v>
      </c>
      <c r="B724" s="2372" t="str">
        <f>VLOOKUP(A724,plasmids!$A$2:$B$910,2)</f>
        <v>pAAV-mCAr-18AAhNAChR-eNpHR-WPRE</v>
      </c>
      <c r="C724" s="1051">
        <v>468.3</v>
      </c>
      <c r="D724" s="1046" t="s">
        <v>2771</v>
      </c>
      <c r="E724" s="2374"/>
      <c r="F724" s="1046" t="s">
        <v>4498</v>
      </c>
      <c r="G724" s="2376">
        <v>0.1215</v>
      </c>
      <c r="H724" s="1049"/>
      <c r="I724" s="1049"/>
      <c r="J724" s="1049"/>
    </row>
    <row r="725" spans="1:10" ht="12.75" customHeight="1">
      <c r="A725" s="1558">
        <v>469</v>
      </c>
      <c r="B725" s="1895" t="str">
        <f>VLOOKUP(A725,plasmids!$A$2:$B$910,2)</f>
        <v>PUC57-insertB 23AA</v>
      </c>
      <c r="C725" s="1320">
        <v>469.1</v>
      </c>
      <c r="D725" s="1096" t="s">
        <v>4236</v>
      </c>
      <c r="E725" s="2382"/>
      <c r="F725" s="1096" t="s">
        <v>881</v>
      </c>
      <c r="G725" s="1560">
        <v>0.2</v>
      </c>
      <c r="H725" s="655"/>
      <c r="I725" s="1096" t="s">
        <v>141</v>
      </c>
      <c r="J725" s="1096" t="s">
        <v>4495</v>
      </c>
    </row>
    <row r="726" spans="1:10" ht="12.75" customHeight="1">
      <c r="A726" s="1558">
        <v>469</v>
      </c>
      <c r="B726" s="1895" t="str">
        <f>VLOOKUP(A726,plasmids!$A$2:$B$910,2)</f>
        <v>PUC57-insertB 23AA</v>
      </c>
      <c r="C726" s="1320">
        <v>469.2</v>
      </c>
      <c r="D726" s="1096" t="s">
        <v>2771</v>
      </c>
      <c r="E726" s="2382"/>
      <c r="F726" s="1096" t="s">
        <v>881</v>
      </c>
      <c r="G726" s="1560">
        <v>0.14810000000000001</v>
      </c>
      <c r="H726" s="655"/>
      <c r="I726" s="1096" t="s">
        <v>3128</v>
      </c>
      <c r="J726" s="655"/>
    </row>
    <row r="727" spans="1:10" ht="12.75" customHeight="1">
      <c r="A727" s="1558">
        <v>469</v>
      </c>
      <c r="B727" s="1895" t="str">
        <f>VLOOKUP(A727,plasmids!$A$2:$B$910,2)</f>
        <v>PUC57-insertB 23AA</v>
      </c>
      <c r="C727" s="1320">
        <v>469.3</v>
      </c>
      <c r="D727" s="1096" t="s">
        <v>2771</v>
      </c>
      <c r="E727" s="2382"/>
      <c r="F727" s="1096" t="s">
        <v>4498</v>
      </c>
      <c r="G727" s="1560">
        <v>0.24160000000000001</v>
      </c>
      <c r="H727" s="655"/>
      <c r="I727" s="655"/>
      <c r="J727" s="655"/>
    </row>
    <row r="728" spans="1:10" ht="12.75" customHeight="1">
      <c r="A728" s="796">
        <v>470</v>
      </c>
      <c r="B728" s="2389" t="str">
        <f>VLOOKUP(A728,plasmids!$A$2:$B$910,2)</f>
        <v>pAAV-mCAr-23AAhNAChR-eNpHR-YFP</v>
      </c>
      <c r="C728" s="806">
        <v>470.1</v>
      </c>
      <c r="D728" s="798" t="s">
        <v>4236</v>
      </c>
      <c r="E728" s="2390"/>
      <c r="F728" s="798" t="s">
        <v>881</v>
      </c>
      <c r="G728" s="804">
        <v>0.2</v>
      </c>
      <c r="H728" s="798" t="s">
        <v>3029</v>
      </c>
      <c r="I728" s="798" t="s">
        <v>141</v>
      </c>
      <c r="J728" s="798" t="s">
        <v>4495</v>
      </c>
    </row>
    <row r="729" spans="1:10" ht="12.75" customHeight="1">
      <c r="A729" s="796">
        <v>470</v>
      </c>
      <c r="B729" s="2389" t="str">
        <f>VLOOKUP(A729,plasmids!$A$2:$B$910,2)</f>
        <v>pAAV-mCAr-23AAhNAChR-eNpHR-YFP</v>
      </c>
      <c r="C729" s="806">
        <v>470.2</v>
      </c>
      <c r="D729" s="798" t="s">
        <v>2765</v>
      </c>
      <c r="E729" s="2391">
        <v>41991</v>
      </c>
      <c r="F729" s="798" t="s">
        <v>881</v>
      </c>
      <c r="G729" s="804">
        <v>0.69259999999999999</v>
      </c>
      <c r="H729" s="798" t="s">
        <v>929</v>
      </c>
      <c r="I729" s="798" t="s">
        <v>3128</v>
      </c>
      <c r="J729" s="802"/>
    </row>
    <row r="730" spans="1:10" ht="12.75" customHeight="1">
      <c r="A730" s="621">
        <v>471</v>
      </c>
      <c r="B730" s="1981" t="str">
        <f>VLOOKUP(A730,plasmids!$A$2:$B$910,2)</f>
        <v>pAAV-mCAr-23AAhNAChR-eNpHR-WPRE</v>
      </c>
      <c r="C730" s="1">
        <v>471.1</v>
      </c>
      <c r="D730" s="50" t="s">
        <v>4236</v>
      </c>
      <c r="E730" s="758"/>
      <c r="F730" s="50" t="s">
        <v>881</v>
      </c>
      <c r="G730" s="754"/>
      <c r="J730" s="50" t="s">
        <v>4495</v>
      </c>
    </row>
    <row r="731" spans="1:10" ht="12.75" customHeight="1">
      <c r="A731" s="1692">
        <v>472</v>
      </c>
      <c r="B731" s="2394" t="str">
        <f>VLOOKUP(A731,plasmids!$A$2:$B$910,2)</f>
        <v>pssAAV-CAG-ChrimsonR-GFP</v>
      </c>
      <c r="C731" s="1702">
        <v>472.1</v>
      </c>
      <c r="D731" s="1091" t="s">
        <v>2771</v>
      </c>
      <c r="E731" s="2395"/>
      <c r="F731" s="1091" t="s">
        <v>881</v>
      </c>
      <c r="G731" s="1699">
        <v>0.12280000000000001</v>
      </c>
      <c r="H731" s="1094"/>
      <c r="I731" s="1094"/>
      <c r="J731" s="1841" t="s">
        <v>4519</v>
      </c>
    </row>
    <row r="732" spans="1:10" ht="12.75" customHeight="1">
      <c r="A732" s="2396">
        <v>472</v>
      </c>
      <c r="B732" s="2397" t="str">
        <f>VLOOKUP(A732,plasmids!$A$2:$B$910,2)</f>
        <v>pssAAV-CAG-ChrimsonR-GFP</v>
      </c>
      <c r="C732" s="2399">
        <v>472.2</v>
      </c>
      <c r="D732" s="2400" t="s">
        <v>2765</v>
      </c>
      <c r="E732" s="2401">
        <v>41997</v>
      </c>
      <c r="F732" s="2400" t="s">
        <v>881</v>
      </c>
      <c r="G732" s="2402">
        <v>0.68620000000000003</v>
      </c>
      <c r="H732" s="2400" t="s">
        <v>929</v>
      </c>
      <c r="I732" s="2400" t="s">
        <v>3128</v>
      </c>
      <c r="J732" s="1841" t="s">
        <v>4520</v>
      </c>
    </row>
    <row r="733" spans="1:10" ht="12.75" customHeight="1">
      <c r="A733" s="2396">
        <v>472</v>
      </c>
      <c r="B733" s="2397" t="str">
        <f>VLOOKUP(A733,plasmids!$A$2:$B$910,2)</f>
        <v>pssAAV-CAG-ChrimsonR-GFP</v>
      </c>
      <c r="C733" s="2399">
        <v>472.3</v>
      </c>
      <c r="D733" s="2400" t="s">
        <v>2765</v>
      </c>
      <c r="E733" s="2401">
        <v>42060</v>
      </c>
      <c r="F733" s="2400" t="s">
        <v>881</v>
      </c>
      <c r="G733" s="2402">
        <v>0.3256</v>
      </c>
      <c r="H733" s="2400" t="s">
        <v>400</v>
      </c>
      <c r="I733" s="2400" t="s">
        <v>3128</v>
      </c>
      <c r="J733" s="1841" t="s">
        <v>4520</v>
      </c>
    </row>
    <row r="734" spans="1:10" ht="12.75" customHeight="1">
      <c r="A734" s="1692">
        <v>472</v>
      </c>
      <c r="B734" s="2394" t="str">
        <f>VLOOKUP(A734,plasmids!$A$2:$B$910,2)</f>
        <v>pssAAV-CAG-ChrimsonR-GFP</v>
      </c>
      <c r="C734" s="1702">
        <v>472.4</v>
      </c>
      <c r="D734" s="1091" t="s">
        <v>2771</v>
      </c>
      <c r="E734" s="1704">
        <v>42200</v>
      </c>
      <c r="F734" s="1091" t="s">
        <v>881</v>
      </c>
      <c r="G734" s="1699">
        <v>0.49009999999999998</v>
      </c>
      <c r="H734" s="1091"/>
      <c r="I734" s="1091" t="s">
        <v>3128</v>
      </c>
      <c r="J734" s="1091" t="s">
        <v>2844</v>
      </c>
    </row>
    <row r="735" spans="1:10" ht="12.75" customHeight="1">
      <c r="A735" s="1692">
        <v>472</v>
      </c>
      <c r="B735" s="2394" t="str">
        <f>VLOOKUP(A735,plasmids!$A$2:$B$910,2)</f>
        <v>pssAAV-CAG-ChrimsonR-GFP</v>
      </c>
      <c r="C735" s="1702" t="s">
        <v>4526</v>
      </c>
      <c r="D735" s="1841" t="s">
        <v>2765</v>
      </c>
      <c r="E735" s="1704">
        <v>42314</v>
      </c>
      <c r="F735" s="1841" t="s">
        <v>3860</v>
      </c>
      <c r="G735" s="2408">
        <v>1.6495</v>
      </c>
      <c r="H735" s="1841" t="s">
        <v>929</v>
      </c>
      <c r="I735" s="1841" t="s">
        <v>141</v>
      </c>
      <c r="J735" s="1841" t="s">
        <v>141</v>
      </c>
    </row>
    <row r="736" spans="1:10" ht="12.75" customHeight="1">
      <c r="A736" s="1692">
        <v>472</v>
      </c>
      <c r="B736" s="2394" t="str">
        <f>VLOOKUP(A736,plasmids!$A$2:$B$910,2)</f>
        <v>pssAAV-CAG-ChrimsonR-GFP</v>
      </c>
      <c r="C736" s="1702" t="s">
        <v>4527</v>
      </c>
      <c r="D736" s="1841" t="s">
        <v>141</v>
      </c>
      <c r="E736" s="1842" t="s">
        <v>141</v>
      </c>
      <c r="F736" s="1841" t="s">
        <v>141</v>
      </c>
      <c r="G736" s="2408" t="s">
        <v>141</v>
      </c>
      <c r="H736" s="1841" t="s">
        <v>141</v>
      </c>
      <c r="I736" s="1841" t="s">
        <v>141</v>
      </c>
      <c r="J736" s="1841" t="s">
        <v>4528</v>
      </c>
    </row>
    <row r="737" spans="1:10" ht="12.75" customHeight="1">
      <c r="A737" s="2412">
        <v>473</v>
      </c>
      <c r="B737" s="2415" t="str">
        <f>VLOOKUP(A737,plasmids!$A$2:$B$910,2)</f>
        <v>pAAV2+NotI</v>
      </c>
      <c r="C737" s="2434">
        <v>473.1</v>
      </c>
      <c r="D737" s="1205" t="s">
        <v>2771</v>
      </c>
      <c r="E737" s="2436">
        <v>41984</v>
      </c>
      <c r="F737" s="1205" t="s">
        <v>1549</v>
      </c>
      <c r="G737" s="2438">
        <v>8.8999999999999996E-2</v>
      </c>
      <c r="H737" s="1205" t="s">
        <v>929</v>
      </c>
      <c r="I737" s="1205" t="s">
        <v>4472</v>
      </c>
      <c r="J737" s="1205" t="s">
        <v>1714</v>
      </c>
    </row>
    <row r="738" spans="1:10" ht="12.75" customHeight="1">
      <c r="A738" s="2440">
        <v>473</v>
      </c>
      <c r="B738" s="2443" t="str">
        <f>VLOOKUP(A738,plasmids!$A$2:$B$910,2)</f>
        <v>pAAV2+NotI</v>
      </c>
      <c r="C738" s="2444">
        <v>473.2</v>
      </c>
      <c r="D738" s="2445" t="s">
        <v>2771</v>
      </c>
      <c r="E738" s="2446">
        <v>41991</v>
      </c>
      <c r="F738" s="2445" t="s">
        <v>1549</v>
      </c>
      <c r="G738" s="2447">
        <v>9.0999999999999998E-2</v>
      </c>
      <c r="H738" s="2445" t="s">
        <v>929</v>
      </c>
      <c r="I738" s="2445" t="s">
        <v>3128</v>
      </c>
      <c r="J738" s="2448" t="s">
        <v>4552</v>
      </c>
    </row>
    <row r="739" spans="1:10" ht="12.75" customHeight="1">
      <c r="A739" s="2412">
        <v>473</v>
      </c>
      <c r="B739" s="2415" t="str">
        <f>VLOOKUP(A739,plasmids!$A$2:$B$910,2)</f>
        <v>pAAV2+NotI</v>
      </c>
      <c r="C739" s="2434">
        <v>473.3</v>
      </c>
      <c r="D739" s="1205" t="s">
        <v>2771</v>
      </c>
      <c r="E739" s="2436">
        <v>42011</v>
      </c>
      <c r="F739" s="1205" t="s">
        <v>1549</v>
      </c>
      <c r="G739" s="2438">
        <v>0.13039999999999999</v>
      </c>
      <c r="H739" s="1205" t="s">
        <v>929</v>
      </c>
      <c r="I739" s="1205" t="s">
        <v>4472</v>
      </c>
      <c r="J739" s="1205" t="s">
        <v>4558</v>
      </c>
    </row>
    <row r="740" spans="1:10" ht="12.75" customHeight="1">
      <c r="A740" s="2412">
        <v>473</v>
      </c>
      <c r="B740" s="2415" t="str">
        <f>VLOOKUP(A740,plasmids!$A$2:$B$910,2)</f>
        <v>pAAV2+NotI</v>
      </c>
      <c r="C740" s="2434">
        <v>473.4</v>
      </c>
      <c r="D740" s="1205" t="s">
        <v>2765</v>
      </c>
      <c r="E740" s="2449" t="s">
        <v>4560</v>
      </c>
      <c r="F740" s="1205" t="s">
        <v>1549</v>
      </c>
      <c r="G740" s="2438" t="s">
        <v>4562</v>
      </c>
      <c r="H740" s="1209" t="s">
        <v>929</v>
      </c>
      <c r="I740" s="1205" t="s">
        <v>3128</v>
      </c>
      <c r="J740" s="1205" t="s">
        <v>4563</v>
      </c>
    </row>
    <row r="741" spans="1:10" ht="12.75" customHeight="1">
      <c r="A741" s="2412">
        <v>473</v>
      </c>
      <c r="B741" s="2415" t="str">
        <f>VLOOKUP(A741,plasmids!$A$2:$B$910,2)</f>
        <v>pAAV2+NotI</v>
      </c>
      <c r="C741" s="2434">
        <v>473.5</v>
      </c>
      <c r="D741" s="1205" t="s">
        <v>2765</v>
      </c>
      <c r="E741" s="2451">
        <v>42404</v>
      </c>
      <c r="F741" s="1209" t="s">
        <v>881</v>
      </c>
      <c r="G741" s="2438" t="s">
        <v>4568</v>
      </c>
      <c r="H741" s="1209" t="s">
        <v>929</v>
      </c>
      <c r="I741" s="1209" t="s">
        <v>3128</v>
      </c>
      <c r="J741" s="1209" t="s">
        <v>2844</v>
      </c>
    </row>
    <row r="742" spans="1:10" ht="12.75" customHeight="1">
      <c r="A742" s="1054">
        <v>474</v>
      </c>
      <c r="B742" s="1955" t="str">
        <f>VLOOKUP(A742,plasmids!$A$2:$B$910,2)</f>
        <v>AAV8 + mutation Bennett</v>
      </c>
      <c r="C742" s="1059">
        <v>474.1</v>
      </c>
      <c r="D742" s="672" t="s">
        <v>4236</v>
      </c>
      <c r="E742" s="1056">
        <v>42009</v>
      </c>
      <c r="F742" s="672" t="s">
        <v>881</v>
      </c>
      <c r="G742" s="1058">
        <v>0.2</v>
      </c>
      <c r="H742" s="1057"/>
      <c r="I742" s="1057"/>
      <c r="J742" s="672" t="s">
        <v>4572</v>
      </c>
    </row>
    <row r="743" spans="1:10" ht="12.75" customHeight="1">
      <c r="A743" s="1054">
        <v>474</v>
      </c>
      <c r="B743" s="1955" t="str">
        <f>VLOOKUP(A743,plasmids!$A$2:$B$910,2)</f>
        <v>AAV8 + mutation Bennett</v>
      </c>
      <c r="C743" s="1059">
        <v>474.2</v>
      </c>
      <c r="D743" s="672" t="s">
        <v>2771</v>
      </c>
      <c r="E743" s="1056">
        <v>42012</v>
      </c>
      <c r="F743" s="672" t="s">
        <v>881</v>
      </c>
      <c r="G743" s="1058">
        <v>0.246</v>
      </c>
      <c r="H743" s="1057"/>
      <c r="I743" s="672" t="s">
        <v>3128</v>
      </c>
      <c r="J743" s="1057"/>
    </row>
    <row r="744" spans="1:10" ht="12.75" customHeight="1">
      <c r="A744" s="2305">
        <v>475</v>
      </c>
      <c r="B744" s="2308" t="str">
        <f>VLOOKUP(A744,plasmids!$A$2:$B$910,2)</f>
        <v>puc57 + AAV8 mut Bennett MluI- KflI</v>
      </c>
      <c r="C744" s="2310">
        <v>475.1</v>
      </c>
      <c r="D744" s="1198" t="s">
        <v>4236</v>
      </c>
      <c r="E744" s="2314">
        <v>42009</v>
      </c>
      <c r="F744" s="1198" t="s">
        <v>881</v>
      </c>
      <c r="G744" s="2312">
        <v>0.2</v>
      </c>
      <c r="H744" s="1202"/>
      <c r="I744" s="1202"/>
      <c r="J744" s="1198" t="s">
        <v>4572</v>
      </c>
    </row>
    <row r="745" spans="1:10" ht="12.75" customHeight="1">
      <c r="A745" s="2305">
        <v>475</v>
      </c>
      <c r="B745" s="2308" t="str">
        <f>VLOOKUP(A745,plasmids!$A$2:$B$910,2)</f>
        <v>puc57 + AAV8 mut Bennett MluI- KflI</v>
      </c>
      <c r="C745" s="2310">
        <v>475.2</v>
      </c>
      <c r="D745" s="1198" t="s">
        <v>2771</v>
      </c>
      <c r="E745" s="2314">
        <v>42012</v>
      </c>
      <c r="F745" s="1198" t="s">
        <v>881</v>
      </c>
      <c r="G745" s="2312">
        <v>5.8200000000000002E-2</v>
      </c>
      <c r="H745" s="1202"/>
      <c r="I745" s="1198" t="s">
        <v>3128</v>
      </c>
      <c r="J745" s="1202"/>
    </row>
    <row r="746" spans="1:10" ht="12.75" customHeight="1">
      <c r="A746" s="1067">
        <v>476</v>
      </c>
      <c r="B746" s="2160" t="str">
        <f>VLOOKUP(A746,plasmids!$A$2:$B$910,2)</f>
        <v>pUC5-eNpHR-2A</v>
      </c>
      <c r="C746" s="1146">
        <v>476.1</v>
      </c>
      <c r="D746" s="79" t="s">
        <v>4236</v>
      </c>
      <c r="E746" s="1069">
        <v>42009</v>
      </c>
      <c r="F746" s="79" t="s">
        <v>881</v>
      </c>
      <c r="G746" s="1075">
        <v>0.2</v>
      </c>
      <c r="H746" s="80"/>
      <c r="I746" s="80"/>
      <c r="J746" s="79" t="s">
        <v>4572</v>
      </c>
    </row>
    <row r="747" spans="1:10" ht="12.75" customHeight="1">
      <c r="A747" s="1067">
        <v>476</v>
      </c>
      <c r="B747" s="2160" t="str">
        <f>VLOOKUP(A747,plasmids!$A$2:$B$910,2)</f>
        <v>pUC5-eNpHR-2A</v>
      </c>
      <c r="C747" s="1146">
        <v>476.2</v>
      </c>
      <c r="D747" s="79" t="s">
        <v>2771</v>
      </c>
      <c r="E747" s="1069">
        <v>42012</v>
      </c>
      <c r="F747" s="79" t="s">
        <v>881</v>
      </c>
      <c r="G747" s="1075">
        <v>0.16500000000000001</v>
      </c>
      <c r="H747" s="80"/>
      <c r="I747" s="79" t="s">
        <v>3128</v>
      </c>
      <c r="J747" s="80"/>
    </row>
    <row r="748" spans="1:10" ht="12.75" customHeight="1">
      <c r="A748" s="621">
        <v>477</v>
      </c>
      <c r="B748" s="1981" t="str">
        <f>VLOOKUP(A748,plasmids!$A$2:$B$910,2)</f>
        <v>pscAAV-CAG-mPlum</v>
      </c>
      <c r="C748" s="1">
        <v>477.1</v>
      </c>
      <c r="D748" s="50" t="s">
        <v>2771</v>
      </c>
      <c r="E748" s="758"/>
      <c r="F748" s="50" t="s">
        <v>881</v>
      </c>
      <c r="G748" s="755">
        <v>0.18609999999999999</v>
      </c>
    </row>
    <row r="749" spans="1:10" ht="12.75" customHeight="1">
      <c r="A749" s="621">
        <v>478</v>
      </c>
      <c r="B749" s="1981" t="str">
        <f>VLOOKUP(A749,plasmids!$A$2:$B$910,2)</f>
        <v>pAAV2-hRO-hChR2 (D156C)-EYFP</v>
      </c>
      <c r="C749" s="1">
        <v>478.1</v>
      </c>
      <c r="D749" s="50" t="s">
        <v>2771</v>
      </c>
      <c r="E749" s="758"/>
      <c r="F749" s="50" t="s">
        <v>881</v>
      </c>
      <c r="G749" s="755">
        <v>0.26790000000000003</v>
      </c>
    </row>
    <row r="750" spans="1:10" ht="12.75" customHeight="1">
      <c r="A750" s="2253">
        <v>479</v>
      </c>
      <c r="B750" s="2256" t="str">
        <f>VLOOKUP(A750,plasmids!$A$2:$B$910,2)</f>
        <v>pssAAV-CAG-ChrimsonR-tdTomato</v>
      </c>
      <c r="C750" s="2257">
        <v>479.1</v>
      </c>
      <c r="D750" s="2259" t="s">
        <v>2771</v>
      </c>
      <c r="E750" s="2455"/>
      <c r="F750" s="2259" t="s">
        <v>881</v>
      </c>
      <c r="G750" s="2456">
        <v>0.10979999999999999</v>
      </c>
      <c r="H750" s="2265"/>
      <c r="I750" s="2259" t="s">
        <v>3128</v>
      </c>
      <c r="J750" s="2265"/>
    </row>
    <row r="751" spans="1:10" ht="12.75" customHeight="1">
      <c r="A751" s="2457">
        <v>479</v>
      </c>
      <c r="B751" s="2459" t="str">
        <f>VLOOKUP(A751,plasmids!$A$2:$B$910,2)</f>
        <v>pssAAV-CAG-ChrimsonR-tdTomato</v>
      </c>
      <c r="C751" s="2460">
        <v>479.2</v>
      </c>
      <c r="D751" s="2461" t="s">
        <v>2765</v>
      </c>
      <c r="E751" s="2462">
        <v>42012</v>
      </c>
      <c r="F751" s="2461" t="s">
        <v>881</v>
      </c>
      <c r="G751" s="2463">
        <v>0.87050000000000005</v>
      </c>
      <c r="H751" s="2461" t="s">
        <v>929</v>
      </c>
      <c r="I751" s="2461" t="s">
        <v>3128</v>
      </c>
      <c r="J751" s="2267" t="s">
        <v>2073</v>
      </c>
    </row>
    <row r="752" spans="1:10" ht="12.75" customHeight="1">
      <c r="A752" s="2457">
        <v>479</v>
      </c>
      <c r="B752" s="2459" t="str">
        <f>VLOOKUP(A752,plasmids!$A$2:$B$910,2)</f>
        <v>pssAAV-CAG-ChrimsonR-tdTomato</v>
      </c>
      <c r="C752" s="2460">
        <v>479.3</v>
      </c>
      <c r="D752" s="2461" t="s">
        <v>2765</v>
      </c>
      <c r="E752" s="2462">
        <v>42118</v>
      </c>
      <c r="F752" s="2461" t="s">
        <v>881</v>
      </c>
      <c r="G752" s="2463">
        <v>0.80220000000000002</v>
      </c>
      <c r="H752" s="2461" t="s">
        <v>929</v>
      </c>
      <c r="I752" s="2461" t="s">
        <v>3128</v>
      </c>
      <c r="J752" s="2464" t="s">
        <v>4578</v>
      </c>
    </row>
    <row r="753" spans="1:13" ht="12.75" customHeight="1">
      <c r="A753" s="2253">
        <v>479</v>
      </c>
      <c r="B753" s="2256" t="str">
        <f>VLOOKUP(A753,plasmids!$A$2:$B$910,2)</f>
        <v>pssAAV-CAG-ChrimsonR-tdTomato</v>
      </c>
      <c r="C753" s="2257">
        <v>479.4</v>
      </c>
      <c r="D753" s="2259" t="s">
        <v>2765</v>
      </c>
      <c r="E753" s="2466">
        <v>42208</v>
      </c>
      <c r="F753" s="2259" t="s">
        <v>881</v>
      </c>
      <c r="G753" s="2456">
        <v>0.54490000000000005</v>
      </c>
      <c r="H753" s="2267" t="s">
        <v>929</v>
      </c>
      <c r="I753" s="2259" t="s">
        <v>3128</v>
      </c>
      <c r="J753" s="2267" t="s">
        <v>2844</v>
      </c>
    </row>
    <row r="754" spans="1:13" ht="12.75" customHeight="1">
      <c r="A754" s="2253">
        <v>479</v>
      </c>
      <c r="B754" s="2256" t="str">
        <f>VLOOKUP(A754,plasmids!$A$2:$B$910,2)</f>
        <v>pssAAV-CAG-ChrimsonR-tdTomato</v>
      </c>
      <c r="C754" s="2257" t="s">
        <v>4585</v>
      </c>
      <c r="D754" s="2267" t="s">
        <v>2765</v>
      </c>
      <c r="E754" s="2466">
        <v>42250</v>
      </c>
      <c r="F754" s="2259" t="s">
        <v>881</v>
      </c>
      <c r="G754" s="2456" t="s">
        <v>4586</v>
      </c>
      <c r="H754" s="2267" t="s">
        <v>929</v>
      </c>
      <c r="I754" s="2259" t="s">
        <v>3128</v>
      </c>
      <c r="J754" s="2267" t="s">
        <v>2844</v>
      </c>
    </row>
    <row r="755" spans="1:13" ht="12.75" customHeight="1">
      <c r="A755" s="2457">
        <v>479</v>
      </c>
      <c r="B755" s="2459" t="str">
        <f>VLOOKUP(A755,plasmids!$A$2:$B$910,2)</f>
        <v>pssAAV-CAG-ChrimsonR-tdTomato</v>
      </c>
      <c r="C755" s="2460" t="s">
        <v>4589</v>
      </c>
      <c r="D755" s="2464" t="s">
        <v>2765</v>
      </c>
      <c r="E755" s="2468" t="s">
        <v>141</v>
      </c>
      <c r="F755" s="2464" t="s">
        <v>881</v>
      </c>
      <c r="G755" s="2463" t="s">
        <v>4590</v>
      </c>
      <c r="H755" s="2464" t="s">
        <v>929</v>
      </c>
      <c r="I755" s="2461" t="s">
        <v>3128</v>
      </c>
      <c r="J755" s="2464" t="s">
        <v>2844</v>
      </c>
      <c r="K755" s="261"/>
      <c r="L755" s="261"/>
      <c r="M755" s="261"/>
    </row>
    <row r="756" spans="1:13" ht="12.75" customHeight="1">
      <c r="A756" s="2253">
        <v>479</v>
      </c>
      <c r="B756" s="2256" t="str">
        <f>VLOOKUP(A756,plasmids!$A$2:$B$910,2)</f>
        <v>pssAAV-CAG-ChrimsonR-tdTomato</v>
      </c>
      <c r="C756" s="2474" t="s">
        <v>4592</v>
      </c>
      <c r="D756" s="2476" t="s">
        <v>2765</v>
      </c>
      <c r="E756" s="2479">
        <v>42565</v>
      </c>
      <c r="F756" s="2476" t="s">
        <v>881</v>
      </c>
      <c r="G756" s="2481" t="s">
        <v>4595</v>
      </c>
      <c r="H756" s="2476" t="s">
        <v>929</v>
      </c>
      <c r="I756" s="2476" t="s">
        <v>3128</v>
      </c>
      <c r="J756" s="2267" t="s">
        <v>2844</v>
      </c>
      <c r="K756" s="261"/>
      <c r="L756" s="261"/>
      <c r="M756" s="261"/>
    </row>
    <row r="757" spans="1:13" ht="12.75" customHeight="1">
      <c r="A757" s="2253">
        <v>479</v>
      </c>
      <c r="B757" s="2256" t="str">
        <f>VLOOKUP(A757,plasmids!$A$2:$B$910,2)</f>
        <v>pssAAV-CAG-ChrimsonR-tdTomato</v>
      </c>
      <c r="C757" s="2474" t="s">
        <v>4597</v>
      </c>
      <c r="D757" s="2476" t="s">
        <v>2765</v>
      </c>
      <c r="E757" s="2484">
        <v>42825</v>
      </c>
      <c r="F757" s="2476" t="s">
        <v>2126</v>
      </c>
      <c r="G757" s="2481"/>
      <c r="H757" s="2476"/>
      <c r="I757" s="2476" t="s">
        <v>3128</v>
      </c>
      <c r="J757" s="2267" t="s">
        <v>2844</v>
      </c>
      <c r="K757" s="261"/>
      <c r="L757" s="261"/>
      <c r="M757" s="261"/>
    </row>
    <row r="758" spans="1:13" ht="12.75" customHeight="1">
      <c r="A758" s="2253">
        <v>479</v>
      </c>
      <c r="B758" s="2256" t="str">
        <f>VLOOKUP(A758,plasmids!$A$2:$B$910,2)</f>
        <v>pssAAV-CAG-ChrimsonR-tdTomato</v>
      </c>
      <c r="C758" s="2474" t="s">
        <v>4604</v>
      </c>
      <c r="D758" s="2476" t="s">
        <v>2765</v>
      </c>
      <c r="E758" s="2484">
        <v>42860</v>
      </c>
      <c r="F758" s="2476" t="s">
        <v>2126</v>
      </c>
      <c r="G758" s="2481" t="s">
        <v>4605</v>
      </c>
      <c r="H758" s="2476"/>
      <c r="I758" s="2476" t="s">
        <v>3128</v>
      </c>
      <c r="J758" s="2267" t="s">
        <v>2844</v>
      </c>
      <c r="K758" s="261"/>
      <c r="L758" s="261"/>
      <c r="M758" s="261"/>
    </row>
    <row r="759" spans="1:13" ht="12.75" customHeight="1">
      <c r="A759" s="2486">
        <v>480</v>
      </c>
      <c r="B759" s="2488" t="str">
        <f>VLOOKUP(A759,plasmids!$A$2:$B$910,2)</f>
        <v>pssAAV-CAG-ChrimsonR</v>
      </c>
      <c r="C759" s="2489">
        <v>480.1</v>
      </c>
      <c r="D759" s="2490" t="s">
        <v>2771</v>
      </c>
      <c r="E759" s="2492"/>
      <c r="F759" s="2490" t="s">
        <v>881</v>
      </c>
      <c r="G759" s="2494">
        <v>0.1694</v>
      </c>
      <c r="H759" s="2495"/>
      <c r="I759" s="2490" t="s">
        <v>3128</v>
      </c>
      <c r="J759" s="2490" t="s">
        <v>2073</v>
      </c>
    </row>
    <row r="760" spans="1:13" ht="12.75" customHeight="1">
      <c r="A760" s="2496">
        <v>480</v>
      </c>
      <c r="B760" s="2497" t="str">
        <f>VLOOKUP(A760,plasmids!$A$2:$B$910,2)</f>
        <v>pssAAV-CAG-ChrimsonR</v>
      </c>
      <c r="C760" s="2498">
        <v>480.2</v>
      </c>
      <c r="D760" s="2499" t="s">
        <v>2765</v>
      </c>
      <c r="E760" s="2500">
        <v>42012</v>
      </c>
      <c r="F760" s="2499" t="s">
        <v>881</v>
      </c>
      <c r="G760" s="2502">
        <v>0.63529999999999998</v>
      </c>
      <c r="H760" s="2499" t="s">
        <v>929</v>
      </c>
      <c r="I760" s="2499" t="s">
        <v>3128</v>
      </c>
      <c r="J760" s="2503" t="s">
        <v>2073</v>
      </c>
    </row>
    <row r="761" spans="1:13" ht="12.75" customHeight="1">
      <c r="A761" s="2504">
        <v>480</v>
      </c>
      <c r="B761" s="2505" t="str">
        <f>VLOOKUP(A761,plasmids!$A$2:$B$910,2)</f>
        <v>pssAAV-CAG-ChrimsonR</v>
      </c>
      <c r="C761" s="2506">
        <v>480.3</v>
      </c>
      <c r="D761" s="2507" t="s">
        <v>2771</v>
      </c>
      <c r="E761" s="2508">
        <v>42090</v>
      </c>
      <c r="F761" s="2507" t="s">
        <v>881</v>
      </c>
      <c r="G761" s="2509">
        <v>0.67789999999999995</v>
      </c>
      <c r="H761" s="2507" t="s">
        <v>85</v>
      </c>
      <c r="I761" s="2507" t="s">
        <v>3128</v>
      </c>
      <c r="J761" s="2507" t="s">
        <v>4630</v>
      </c>
    </row>
    <row r="762" spans="1:13" ht="12.75" customHeight="1">
      <c r="A762" s="2504">
        <v>480</v>
      </c>
      <c r="B762" s="2505" t="str">
        <f>VLOOKUP(A762,plasmids!$A$2:$B$910,2)</f>
        <v>pssAAV-CAG-ChrimsonR</v>
      </c>
      <c r="C762" s="2506">
        <v>480.4</v>
      </c>
      <c r="D762" s="2507" t="s">
        <v>2771</v>
      </c>
      <c r="E762" s="2508">
        <v>42090</v>
      </c>
      <c r="F762" s="2507" t="s">
        <v>881</v>
      </c>
      <c r="G762" s="2509">
        <v>0.81779999999999997</v>
      </c>
      <c r="H762" s="2511"/>
      <c r="I762" s="2507" t="s">
        <v>3128</v>
      </c>
      <c r="J762" s="2507" t="s">
        <v>4634</v>
      </c>
    </row>
    <row r="763" spans="1:13" ht="12.75" customHeight="1">
      <c r="A763" s="2504">
        <v>480</v>
      </c>
      <c r="B763" s="2505" t="str">
        <f>VLOOKUP(A763,plasmids!$A$2:$B$910,2)</f>
        <v>pssAAV-CAG-ChrimsonR</v>
      </c>
      <c r="C763" s="2506">
        <v>480.5</v>
      </c>
      <c r="D763" s="2507" t="s">
        <v>2771</v>
      </c>
      <c r="E763" s="2508">
        <v>42090</v>
      </c>
      <c r="F763" s="2507" t="s">
        <v>881</v>
      </c>
      <c r="G763" s="2509">
        <v>0.86890000000000001</v>
      </c>
      <c r="H763" s="2511"/>
      <c r="I763" s="2507" t="s">
        <v>3128</v>
      </c>
      <c r="J763" s="2507" t="s">
        <v>4634</v>
      </c>
    </row>
    <row r="764" spans="1:13" ht="12.75" customHeight="1">
      <c r="A764" s="2504">
        <v>480</v>
      </c>
      <c r="B764" s="2505" t="str">
        <f>VLOOKUP(A764,plasmids!$A$2:$B$910,2)</f>
        <v>pssAAV-CAG-ChrimsonR</v>
      </c>
      <c r="C764" s="2506">
        <v>480.6</v>
      </c>
      <c r="D764" s="2507" t="s">
        <v>2765</v>
      </c>
      <c r="E764" s="2508">
        <v>42117</v>
      </c>
      <c r="F764" s="2507" t="s">
        <v>881</v>
      </c>
      <c r="G764" s="2509">
        <v>0.44929999999999998</v>
      </c>
      <c r="H764" s="2507" t="s">
        <v>929</v>
      </c>
      <c r="I764" s="2507" t="s">
        <v>3128</v>
      </c>
      <c r="J764" s="2507" t="s">
        <v>2844</v>
      </c>
    </row>
    <row r="765" spans="1:13" ht="12.75" customHeight="1">
      <c r="A765" s="2515">
        <v>481</v>
      </c>
      <c r="B765" s="2518" t="str">
        <f>VLOOKUP(A765,plasmids!$A$2:$B$910,2)</f>
        <v>pssAAV-CAG-tdTomato</v>
      </c>
      <c r="C765" s="2520">
        <v>481.1</v>
      </c>
      <c r="D765" s="2521" t="s">
        <v>2771</v>
      </c>
      <c r="E765" s="2523"/>
      <c r="F765" s="2521" t="s">
        <v>881</v>
      </c>
      <c r="G765" s="2525">
        <v>8.3099999999999993E-2</v>
      </c>
      <c r="H765" s="2527"/>
      <c r="I765" s="2521" t="s">
        <v>3128</v>
      </c>
      <c r="J765" s="2527"/>
    </row>
    <row r="766" spans="1:13" ht="12.75" customHeight="1">
      <c r="A766" s="2515">
        <v>481</v>
      </c>
      <c r="B766" s="2518" t="str">
        <f>VLOOKUP(A766,plasmids!$A$2:$B$910,2)</f>
        <v>pssAAV-CAG-tdTomato</v>
      </c>
      <c r="C766" s="2520">
        <v>481.2</v>
      </c>
      <c r="D766" s="2521" t="s">
        <v>2771</v>
      </c>
      <c r="E766" s="2532">
        <v>42090</v>
      </c>
      <c r="F766" s="2521" t="s">
        <v>881</v>
      </c>
      <c r="G766" s="2525">
        <v>0.70509999999999995</v>
      </c>
      <c r="H766" s="2527"/>
      <c r="I766" s="2521" t="s">
        <v>3128</v>
      </c>
      <c r="J766" s="2521" t="s">
        <v>4664</v>
      </c>
    </row>
    <row r="767" spans="1:13" ht="12.75" customHeight="1">
      <c r="A767" s="2515">
        <v>481</v>
      </c>
      <c r="B767" s="2518" t="str">
        <f>VLOOKUP(A767,plasmids!$A$2:$B$910,2)</f>
        <v>pssAAV-CAG-tdTomato</v>
      </c>
      <c r="C767" s="2520">
        <v>481.3</v>
      </c>
      <c r="D767" s="688" t="s">
        <v>2765</v>
      </c>
      <c r="E767" s="2532">
        <v>42159</v>
      </c>
      <c r="F767" s="2521" t="s">
        <v>881</v>
      </c>
      <c r="G767" s="2525">
        <v>0.34539999999999998</v>
      </c>
      <c r="H767" s="688" t="s">
        <v>929</v>
      </c>
      <c r="I767" s="2521" t="s">
        <v>3128</v>
      </c>
      <c r="J767" s="688" t="s">
        <v>2844</v>
      </c>
    </row>
    <row r="768" spans="1:13" ht="12.75" customHeight="1">
      <c r="A768" s="1459">
        <v>482</v>
      </c>
      <c r="B768" s="1470" t="str">
        <f>VLOOKUP(A768,plasmids!$A$2:$B$910,2)</f>
        <v>pscAAV-CAG-RPE65</v>
      </c>
      <c r="C768" s="1472">
        <v>482.1</v>
      </c>
      <c r="D768" s="1460" t="s">
        <v>2771</v>
      </c>
      <c r="E768" s="2536"/>
      <c r="F768" s="1460" t="s">
        <v>707</v>
      </c>
      <c r="G768" s="2538"/>
      <c r="H768" s="1460" t="s">
        <v>4678</v>
      </c>
      <c r="I768" s="1460" t="s">
        <v>4679</v>
      </c>
      <c r="J768" s="1460" t="s">
        <v>4680</v>
      </c>
    </row>
    <row r="769" spans="1:10" ht="12.75" customHeight="1">
      <c r="A769" s="1459">
        <v>482</v>
      </c>
      <c r="B769" s="1470" t="str">
        <f>VLOOKUP(A769,plasmids!$A$2:$B$910,2)</f>
        <v>pscAAV-CAG-RPE65</v>
      </c>
      <c r="C769" s="1472">
        <v>482.2</v>
      </c>
      <c r="D769" s="1460" t="s">
        <v>2765</v>
      </c>
      <c r="E769" s="2541">
        <v>42012</v>
      </c>
      <c r="F769" s="1460" t="s">
        <v>881</v>
      </c>
      <c r="G769" s="1465">
        <v>1.1319999999999999</v>
      </c>
      <c r="H769" s="1460" t="s">
        <v>4678</v>
      </c>
      <c r="I769" s="1460" t="s">
        <v>4679</v>
      </c>
      <c r="J769" s="1460" t="s">
        <v>2844</v>
      </c>
    </row>
    <row r="770" spans="1:10" ht="12.75" customHeight="1">
      <c r="A770" s="931">
        <v>483</v>
      </c>
      <c r="B770" s="1929" t="str">
        <f>VLOOKUP(A770,plasmids!$A$2:$B$910,2)</f>
        <v>pscAAV-CAG-18AAhNAChR-eNpHR-YFP</v>
      </c>
      <c r="C770" s="1016">
        <v>483.1</v>
      </c>
      <c r="D770" s="231" t="s">
        <v>4236</v>
      </c>
      <c r="E770" s="1115">
        <v>42009</v>
      </c>
      <c r="F770" s="231" t="s">
        <v>881</v>
      </c>
      <c r="G770" s="1014">
        <v>0.2</v>
      </c>
      <c r="H770" s="229"/>
      <c r="I770" s="229"/>
      <c r="J770" s="231" t="s">
        <v>4572</v>
      </c>
    </row>
    <row r="771" spans="1:10" ht="12.75" customHeight="1">
      <c r="A771" s="931">
        <v>483</v>
      </c>
      <c r="B771" s="2546"/>
      <c r="C771" s="1016">
        <v>483.2</v>
      </c>
      <c r="D771" s="231" t="s">
        <v>2771</v>
      </c>
      <c r="E771" s="1143">
        <v>42012</v>
      </c>
      <c r="F771" s="231" t="s">
        <v>881</v>
      </c>
      <c r="G771" s="1014">
        <v>0.13489999999999999</v>
      </c>
      <c r="H771" s="229"/>
      <c r="I771" s="231" t="s">
        <v>3128</v>
      </c>
      <c r="J771" s="229"/>
    </row>
    <row r="772" spans="1:10" ht="12.75" customHeight="1">
      <c r="A772" s="931">
        <v>483</v>
      </c>
      <c r="B772" s="1929" t="str">
        <f>VLOOKUP(A772,plasmids!$A$2:$B$910,2)</f>
        <v>pscAAV-CAG-18AAhNAChR-eNpHR-YFP</v>
      </c>
      <c r="C772" s="1016">
        <v>483.3</v>
      </c>
      <c r="D772" s="228" t="s">
        <v>2765</v>
      </c>
      <c r="E772" s="1115"/>
      <c r="F772" s="228" t="s">
        <v>3860</v>
      </c>
      <c r="G772" s="1014" t="s">
        <v>4692</v>
      </c>
      <c r="H772" s="229"/>
      <c r="I772" s="229"/>
      <c r="J772" s="231" t="s">
        <v>4572</v>
      </c>
    </row>
    <row r="773" spans="1:10" ht="12.75" customHeight="1">
      <c r="A773" s="902">
        <v>484</v>
      </c>
      <c r="B773" s="2354" t="str">
        <f>VLOOKUP(A773,plasmids!$A$2:$B$910,2)</f>
        <v>pscAAV-CAG-18AAhNAChR-eNpHR-WPRE</v>
      </c>
      <c r="C773" s="911">
        <v>484.1</v>
      </c>
      <c r="D773" s="903" t="s">
        <v>4236</v>
      </c>
      <c r="E773" s="915">
        <v>42009</v>
      </c>
      <c r="F773" s="903" t="s">
        <v>881</v>
      </c>
      <c r="G773" s="909">
        <v>0.2</v>
      </c>
      <c r="H773" s="907"/>
      <c r="I773" s="907"/>
      <c r="J773" s="903" t="s">
        <v>4572</v>
      </c>
    </row>
    <row r="774" spans="1:10" ht="12.75" customHeight="1">
      <c r="A774" s="902">
        <v>484</v>
      </c>
      <c r="B774" s="2554"/>
      <c r="C774" s="911">
        <v>484.2</v>
      </c>
      <c r="D774" s="903" t="s">
        <v>2771</v>
      </c>
      <c r="E774" s="2356">
        <v>42012</v>
      </c>
      <c r="F774" s="903" t="s">
        <v>881</v>
      </c>
      <c r="G774" s="909">
        <v>0.23810000000000001</v>
      </c>
      <c r="H774" s="907"/>
      <c r="I774" s="903" t="s">
        <v>3128</v>
      </c>
      <c r="J774" s="907"/>
    </row>
    <row r="775" spans="1:10" ht="12.75" customHeight="1">
      <c r="A775" s="2556">
        <v>485</v>
      </c>
      <c r="B775" s="2561" t="str">
        <f>VLOOKUP(A775,plasmids!$A$2:$B$910,2)</f>
        <v>pscAAV-CAG-23AAhNAChR-eNpHR-YFP</v>
      </c>
      <c r="C775" s="2563">
        <v>485.1</v>
      </c>
      <c r="D775" s="2565" t="s">
        <v>4236</v>
      </c>
      <c r="E775" s="2566">
        <v>42009</v>
      </c>
      <c r="F775" s="2565" t="s">
        <v>881</v>
      </c>
      <c r="G775" s="2569">
        <v>0.2</v>
      </c>
      <c r="H775" s="2571"/>
      <c r="I775" s="2571"/>
      <c r="J775" s="2565" t="s">
        <v>4572</v>
      </c>
    </row>
    <row r="776" spans="1:10" ht="12.75" customHeight="1">
      <c r="A776" s="2556">
        <v>485</v>
      </c>
      <c r="B776" s="2573"/>
      <c r="C776" s="2563">
        <v>485.2</v>
      </c>
      <c r="D776" s="2565" t="s">
        <v>2771</v>
      </c>
      <c r="E776" s="2575">
        <v>42012</v>
      </c>
      <c r="F776" s="2565" t="s">
        <v>881</v>
      </c>
      <c r="G776" s="2569">
        <v>0.19489999999999999</v>
      </c>
      <c r="H776" s="2571"/>
      <c r="I776" s="2565" t="s">
        <v>3128</v>
      </c>
      <c r="J776" s="2571"/>
    </row>
    <row r="777" spans="1:10" ht="12.75" customHeight="1">
      <c r="A777" s="2556">
        <v>485</v>
      </c>
      <c r="B777" s="2561" t="str">
        <f>VLOOKUP(A777,plasmids!$A$2:$B$910,2)</f>
        <v>pscAAV-CAG-23AAhNAChR-eNpHR-YFP</v>
      </c>
      <c r="C777" s="2563">
        <v>485.3</v>
      </c>
      <c r="D777" s="2579" t="s">
        <v>2765</v>
      </c>
      <c r="E777" s="2566"/>
      <c r="F777" s="2579" t="s">
        <v>3860</v>
      </c>
      <c r="G777" s="2569" t="s">
        <v>4722</v>
      </c>
      <c r="H777" s="2571"/>
      <c r="I777" s="2571"/>
      <c r="J777" s="2565"/>
    </row>
    <row r="778" spans="1:10" ht="12.75" customHeight="1">
      <c r="A778" s="1526">
        <v>486</v>
      </c>
      <c r="B778" s="1530" t="str">
        <f>VLOOKUP(A778,plasmids!$A$2:$B$910,2)</f>
        <v>pscAAV-CAG-23AAhNAChR-eNpHR-WPRE</v>
      </c>
      <c r="C778" s="1531">
        <v>486.1</v>
      </c>
      <c r="D778" s="1034" t="s">
        <v>4236</v>
      </c>
      <c r="E778" s="2582">
        <v>42009</v>
      </c>
      <c r="F778" s="1034" t="s">
        <v>881</v>
      </c>
      <c r="G778" s="1532">
        <v>0.2</v>
      </c>
      <c r="H778" s="1033"/>
      <c r="I778" s="1033"/>
      <c r="J778" s="1034" t="s">
        <v>4572</v>
      </c>
    </row>
    <row r="779" spans="1:10" ht="12.75" customHeight="1">
      <c r="A779" s="1526">
        <v>486</v>
      </c>
      <c r="B779" s="2583"/>
      <c r="C779" s="1531">
        <v>486.2</v>
      </c>
      <c r="D779" s="1034" t="s">
        <v>2771</v>
      </c>
      <c r="E779" s="1528">
        <v>42012</v>
      </c>
      <c r="F779" s="1034" t="s">
        <v>881</v>
      </c>
      <c r="G779" s="1532">
        <v>0.26800000000000002</v>
      </c>
      <c r="H779" s="1033"/>
      <c r="I779" s="1034" t="s">
        <v>3128</v>
      </c>
      <c r="J779" s="1033"/>
    </row>
    <row r="780" spans="1:10" ht="12.75" customHeight="1">
      <c r="A780" s="772">
        <v>487</v>
      </c>
      <c r="B780" s="1192" t="str">
        <f>VLOOKUP(A780,plasmids!$A$2:$B$910,2)</f>
        <v>pssAAV-CAG-GFP</v>
      </c>
      <c r="C780" s="1116">
        <v>487.1</v>
      </c>
      <c r="D780" s="773" t="s">
        <v>2771</v>
      </c>
      <c r="E780" s="775">
        <v>42010</v>
      </c>
      <c r="F780" s="773" t="s">
        <v>881</v>
      </c>
      <c r="G780" s="776">
        <v>6.4600000000000005E-2</v>
      </c>
      <c r="H780" s="777"/>
      <c r="I780" s="773" t="s">
        <v>3128</v>
      </c>
      <c r="J780" s="777"/>
    </row>
    <row r="781" spans="1:10" ht="12.75" customHeight="1">
      <c r="A781" s="772">
        <v>487</v>
      </c>
      <c r="B781" s="1192" t="str">
        <f>VLOOKUP(A781,plasmids!$A$2:$B$910,2)</f>
        <v>pssAAV-CAG-GFP</v>
      </c>
      <c r="C781" s="1116">
        <v>487.2</v>
      </c>
      <c r="D781" s="773" t="s">
        <v>2765</v>
      </c>
      <c r="E781" s="775">
        <v>42018</v>
      </c>
      <c r="F781" s="773" t="s">
        <v>881</v>
      </c>
      <c r="G781" s="776" t="s">
        <v>4733</v>
      </c>
      <c r="H781" s="773" t="s">
        <v>929</v>
      </c>
      <c r="I781" s="773" t="s">
        <v>3128</v>
      </c>
      <c r="J781" s="773" t="s">
        <v>2844</v>
      </c>
    </row>
    <row r="782" spans="1:10" ht="12.75" customHeight="1">
      <c r="A782" s="772">
        <v>487</v>
      </c>
      <c r="B782" s="1192" t="str">
        <f>VLOOKUP(A782,plasmids!$A$2:$B$910,2)</f>
        <v>pssAAV-CAG-GFP</v>
      </c>
      <c r="C782" s="1116">
        <v>487.3</v>
      </c>
      <c r="D782" s="773" t="s">
        <v>2765</v>
      </c>
      <c r="E782" s="775">
        <v>42887</v>
      </c>
      <c r="F782" s="982" t="s">
        <v>2397</v>
      </c>
      <c r="G782" s="776">
        <v>1.9</v>
      </c>
      <c r="H782" s="773" t="s">
        <v>929</v>
      </c>
      <c r="I782" s="773"/>
      <c r="J782" s="773"/>
    </row>
    <row r="783" spans="1:10" ht="12.75" customHeight="1">
      <c r="A783" s="621">
        <v>488</v>
      </c>
      <c r="B783" s="1981" t="str">
        <f>VLOOKUP(A783,plasmids!$A$2:$B$910,2)</f>
        <v>pscAAV-CAG-mCitrine</v>
      </c>
      <c r="C783" s="1">
        <v>488.1</v>
      </c>
      <c r="D783" s="50" t="s">
        <v>2771</v>
      </c>
      <c r="E783" s="753">
        <v>42010</v>
      </c>
      <c r="F783" s="50" t="s">
        <v>881</v>
      </c>
      <c r="G783" s="755">
        <v>8.3599999999999994E-2</v>
      </c>
      <c r="I783" s="50" t="s">
        <v>3128</v>
      </c>
    </row>
    <row r="784" spans="1:10" ht="12.75" customHeight="1">
      <c r="A784" s="2588">
        <v>489</v>
      </c>
      <c r="B784" s="2590" t="str">
        <f>VLOOKUP(A784,plasmids!$A$2:$B$910,2)</f>
        <v>pAAV2 AscI+NotI 2/3</v>
      </c>
      <c r="C784" s="2591">
        <v>489.1</v>
      </c>
      <c r="D784" s="2592" t="s">
        <v>2771</v>
      </c>
      <c r="E784" s="2593">
        <v>42012</v>
      </c>
      <c r="F784" s="2592" t="s">
        <v>1549</v>
      </c>
      <c r="G784" s="2594">
        <v>0.1138</v>
      </c>
      <c r="H784" s="2595"/>
      <c r="I784" s="2592" t="s">
        <v>3181</v>
      </c>
      <c r="J784" s="2592" t="s">
        <v>1754</v>
      </c>
    </row>
    <row r="785" spans="1:10" ht="12.75" customHeight="1">
      <c r="A785" s="621">
        <v>490</v>
      </c>
      <c r="B785" s="1981" t="str">
        <f>VLOOKUP(A785,plasmids!$A$2:$B$910,2)</f>
        <v>pCMV-mouse sidekick2</v>
      </c>
      <c r="C785" s="1">
        <v>490.1</v>
      </c>
      <c r="D785" s="50" t="s">
        <v>2771</v>
      </c>
      <c r="E785" s="753">
        <v>42026</v>
      </c>
      <c r="F785" s="50" t="s">
        <v>881</v>
      </c>
      <c r="G785" s="755">
        <v>9.0999999999999998E-2</v>
      </c>
      <c r="H785" s="50" t="s">
        <v>4754</v>
      </c>
      <c r="I785" s="50" t="s">
        <v>141</v>
      </c>
      <c r="J785" s="50" t="s">
        <v>4756</v>
      </c>
    </row>
    <row r="786" spans="1:10" ht="12.75" customHeight="1">
      <c r="A786" s="621">
        <v>491</v>
      </c>
      <c r="B786" s="1981" t="str">
        <f>VLOOKUP(A786,plasmids!$A$2:$B$910,2)</f>
        <v>pCMV-mouse Dscam</v>
      </c>
      <c r="C786" s="1">
        <v>491.1</v>
      </c>
      <c r="D786" s="50" t="s">
        <v>2771</v>
      </c>
      <c r="E786" s="753">
        <v>42026</v>
      </c>
      <c r="F786" s="50" t="s">
        <v>881</v>
      </c>
      <c r="G786" s="755">
        <v>0.16300000000000001</v>
      </c>
      <c r="H786" s="50" t="s">
        <v>4754</v>
      </c>
      <c r="I786" s="50" t="s">
        <v>141</v>
      </c>
      <c r="J786" s="50" t="s">
        <v>4756</v>
      </c>
    </row>
    <row r="787" spans="1:10" ht="12.75" customHeight="1">
      <c r="A787" s="872">
        <v>492</v>
      </c>
      <c r="B787" s="1337" t="str">
        <f>VLOOKUP(A787,plasmids!$A$2:$B$910,2)</f>
        <v>pAAV-double floxed-eNpHR-eYFP</v>
      </c>
      <c r="C787" s="884">
        <v>492.1</v>
      </c>
      <c r="D787" s="873" t="s">
        <v>2771</v>
      </c>
      <c r="E787" s="1332">
        <v>42026</v>
      </c>
      <c r="F787" s="873" t="s">
        <v>881</v>
      </c>
      <c r="G787" s="881">
        <v>0.1278</v>
      </c>
      <c r="H787" s="873" t="s">
        <v>4754</v>
      </c>
      <c r="I787" s="873" t="s">
        <v>141</v>
      </c>
      <c r="J787" s="873" t="s">
        <v>4756</v>
      </c>
    </row>
    <row r="788" spans="1:10" ht="12.75" customHeight="1">
      <c r="A788" s="872">
        <v>492</v>
      </c>
      <c r="B788" s="1337" t="str">
        <f>VLOOKUP(A788,plasmids!$A$2:$B$910,2)</f>
        <v>pAAV-double floxed-eNpHR-eYFP</v>
      </c>
      <c r="C788" s="884">
        <v>492.2</v>
      </c>
      <c r="D788" s="873" t="s">
        <v>2765</v>
      </c>
      <c r="E788" s="1332">
        <v>42054</v>
      </c>
      <c r="F788" s="873" t="s">
        <v>881</v>
      </c>
      <c r="G788" s="881">
        <v>1.6551</v>
      </c>
      <c r="H788" s="873" t="s">
        <v>400</v>
      </c>
      <c r="I788" s="873" t="s">
        <v>3128</v>
      </c>
      <c r="J788" s="873" t="s">
        <v>2844</v>
      </c>
    </row>
    <row r="789" spans="1:10" ht="12.75" customHeight="1">
      <c r="A789" s="2598">
        <v>492</v>
      </c>
      <c r="B789" s="1337" t="str">
        <f>VLOOKUP(A789,plasmids!$A$2:$B$910,2)</f>
        <v>pAAV-double floxed-eNpHR-eYFP</v>
      </c>
      <c r="C789" s="884">
        <v>492.3</v>
      </c>
      <c r="D789" s="873" t="s">
        <v>2765</v>
      </c>
      <c r="E789" s="1332">
        <v>42193</v>
      </c>
      <c r="F789" s="873" t="s">
        <v>881</v>
      </c>
      <c r="G789" s="881">
        <v>1.0632999999999999</v>
      </c>
      <c r="H789" s="886" t="s">
        <v>929</v>
      </c>
      <c r="I789" s="873" t="s">
        <v>3128</v>
      </c>
      <c r="J789" s="873" t="s">
        <v>2844</v>
      </c>
    </row>
    <row r="790" spans="1:10" ht="12.75" customHeight="1">
      <c r="A790" s="864">
        <v>493</v>
      </c>
      <c r="B790" s="2368" t="str">
        <f>VLOOKUP(A790,plasmids!$A$2:$B$910,2)</f>
        <v>pAAV1+NotI</v>
      </c>
      <c r="C790" s="870">
        <v>493.1</v>
      </c>
      <c r="D790" s="865" t="s">
        <v>2771</v>
      </c>
      <c r="E790" s="2599">
        <v>42019</v>
      </c>
      <c r="F790" s="865" t="s">
        <v>1549</v>
      </c>
      <c r="G790" s="2600"/>
      <c r="H790" s="868"/>
      <c r="I790" s="865" t="s">
        <v>3128</v>
      </c>
      <c r="J790" s="865" t="s">
        <v>4770</v>
      </c>
    </row>
    <row r="791" spans="1:10" ht="12.75" customHeight="1">
      <c r="A791" s="864">
        <v>493</v>
      </c>
      <c r="B791" s="2368" t="str">
        <f>VLOOKUP(A791,plasmids!$A$2:$B$910,2)</f>
        <v>pAAV1+NotI</v>
      </c>
      <c r="C791" s="870">
        <v>493.2</v>
      </c>
      <c r="D791" s="865" t="s">
        <v>2771</v>
      </c>
      <c r="E791" s="2599">
        <v>42066</v>
      </c>
      <c r="F791" s="865" t="s">
        <v>1549</v>
      </c>
      <c r="G791" s="2600"/>
      <c r="H791" s="868"/>
      <c r="I791" s="865" t="s">
        <v>3128</v>
      </c>
      <c r="J791" s="868"/>
    </row>
    <row r="792" spans="1:10" ht="12.75" customHeight="1">
      <c r="A792" s="1224">
        <v>494</v>
      </c>
      <c r="B792" s="1550" t="str">
        <f>VLOOKUP(A792,plasmids!$A$2:$B$910,2)</f>
        <v>pAAV5+NotI</v>
      </c>
      <c r="C792" s="1228">
        <v>494.1</v>
      </c>
      <c r="D792" s="1211" t="s">
        <v>2771</v>
      </c>
      <c r="E792" s="2358"/>
      <c r="F792" s="1211" t="s">
        <v>1549</v>
      </c>
      <c r="G792" s="1552"/>
      <c r="H792" s="1214" t="s">
        <v>929</v>
      </c>
      <c r="I792" s="1211" t="s">
        <v>3181</v>
      </c>
      <c r="J792" s="1211" t="s">
        <v>4770</v>
      </c>
    </row>
    <row r="793" spans="1:10" ht="12.75" customHeight="1">
      <c r="A793" s="1224">
        <v>494</v>
      </c>
      <c r="B793" s="1550" t="str">
        <f>VLOOKUP(A793,plasmids!$A$2:$B$910,2)</f>
        <v>pAAV5+NotI</v>
      </c>
      <c r="C793" s="1228">
        <v>494.2</v>
      </c>
      <c r="D793" s="1211" t="s">
        <v>2771</v>
      </c>
      <c r="E793" s="1226">
        <v>42066</v>
      </c>
      <c r="F793" s="1211" t="s">
        <v>1549</v>
      </c>
      <c r="G793" s="1552"/>
      <c r="H793" s="1214" t="s">
        <v>929</v>
      </c>
      <c r="I793" s="1211" t="s">
        <v>3128</v>
      </c>
      <c r="J793" s="1213"/>
    </row>
    <row r="794" spans="1:10" ht="12.75" customHeight="1">
      <c r="A794" s="1018">
        <v>495</v>
      </c>
      <c r="B794" s="2601" t="str">
        <f>VLOOKUP(A794,plasmids!$A$2:$B$910,2)</f>
        <v>pAAV6+NotI</v>
      </c>
      <c r="C794" s="1031">
        <v>495.1</v>
      </c>
      <c r="D794" s="1019" t="s">
        <v>2771</v>
      </c>
      <c r="E794" s="1554">
        <v>42034</v>
      </c>
      <c r="F794" s="1019" t="s">
        <v>1549</v>
      </c>
      <c r="G794" s="1030">
        <v>7.4099999999999999E-2</v>
      </c>
      <c r="H794" s="1029"/>
      <c r="I794" s="1019" t="s">
        <v>3128</v>
      </c>
      <c r="J794" s="1019" t="s">
        <v>4770</v>
      </c>
    </row>
    <row r="795" spans="1:10" ht="12.75" customHeight="1">
      <c r="A795" s="1018">
        <v>495</v>
      </c>
      <c r="B795" s="2601" t="str">
        <f>VLOOKUP(A795,plasmids!$A$2:$B$910,2)</f>
        <v>pAAV6+NotI</v>
      </c>
      <c r="C795" s="1031">
        <v>495.2</v>
      </c>
      <c r="D795" s="1019" t="s">
        <v>2771</v>
      </c>
      <c r="E795" s="1554">
        <v>42066</v>
      </c>
      <c r="F795" s="1019" t="s">
        <v>1549</v>
      </c>
      <c r="G795" s="1030">
        <v>0.12720000000000001</v>
      </c>
      <c r="H795" s="1029"/>
      <c r="I795" s="1019" t="s">
        <v>3128</v>
      </c>
      <c r="J795" s="1029"/>
    </row>
    <row r="796" spans="1:10" ht="12.75" customHeight="1">
      <c r="A796" s="1521">
        <v>496</v>
      </c>
      <c r="B796" s="1925" t="str">
        <f>VLOOKUP(A796,plasmids!$A$2:$B$910,2)</f>
        <v>pAAV8+NotI</v>
      </c>
      <c r="C796" s="1926">
        <v>496.1</v>
      </c>
      <c r="D796" s="1270" t="s">
        <v>2771</v>
      </c>
      <c r="E796" s="1523">
        <v>42034</v>
      </c>
      <c r="F796" s="1270" t="s">
        <v>1549</v>
      </c>
      <c r="G796" s="1524">
        <v>6.3100000000000003E-2</v>
      </c>
      <c r="H796" s="2603" t="s">
        <v>929</v>
      </c>
      <c r="I796" s="1270" t="s">
        <v>3128</v>
      </c>
      <c r="J796" s="1270" t="s">
        <v>4770</v>
      </c>
    </row>
    <row r="797" spans="1:10" ht="12.75" customHeight="1">
      <c r="A797" s="1521">
        <v>496</v>
      </c>
      <c r="B797" s="1925" t="str">
        <f>VLOOKUP(A797,plasmids!$A$2:$B$910,2)</f>
        <v>pAAV8+NotI</v>
      </c>
      <c r="C797" s="1926">
        <v>496.2</v>
      </c>
      <c r="D797" s="1270" t="s">
        <v>2771</v>
      </c>
      <c r="E797" s="1523">
        <v>42066</v>
      </c>
      <c r="F797" s="1270" t="s">
        <v>1549</v>
      </c>
      <c r="G797" s="2604"/>
      <c r="H797" s="2603" t="s">
        <v>929</v>
      </c>
      <c r="I797" s="1270" t="s">
        <v>3128</v>
      </c>
      <c r="J797" s="1274"/>
    </row>
    <row r="798" spans="1:10" ht="12.75" customHeight="1">
      <c r="A798" s="2605">
        <v>497</v>
      </c>
      <c r="B798" s="2606" t="str">
        <f>VLOOKUP(A798,plasmids!$A$2:$B$910,2)</f>
        <v>pAAV9hu14+NotI</v>
      </c>
      <c r="C798" s="2607">
        <v>497.1</v>
      </c>
      <c r="D798" s="2608" t="s">
        <v>2771</v>
      </c>
      <c r="E798" s="2609">
        <v>42034</v>
      </c>
      <c r="F798" s="2608" t="s">
        <v>1549</v>
      </c>
      <c r="G798" s="2610">
        <v>0.09</v>
      </c>
      <c r="H798" s="2611" t="s">
        <v>929</v>
      </c>
      <c r="I798" s="2608" t="s">
        <v>3128</v>
      </c>
      <c r="J798" s="2608" t="s">
        <v>4770</v>
      </c>
    </row>
    <row r="799" spans="1:10" ht="12.75" customHeight="1">
      <c r="A799" s="2605">
        <v>497</v>
      </c>
      <c r="B799" s="2606" t="str">
        <f>VLOOKUP(A799,plasmids!$A$2:$B$910,2)</f>
        <v>pAAV9hu14+NotI</v>
      </c>
      <c r="C799" s="2607">
        <v>479.2</v>
      </c>
      <c r="D799" s="2608" t="s">
        <v>2771</v>
      </c>
      <c r="E799" s="2609">
        <v>42066</v>
      </c>
      <c r="F799" s="2608" t="s">
        <v>1549</v>
      </c>
      <c r="G799" s="2612"/>
      <c r="H799" s="2611" t="s">
        <v>929</v>
      </c>
      <c r="I799" s="2608" t="s">
        <v>3128</v>
      </c>
      <c r="J799" s="2613"/>
    </row>
    <row r="800" spans="1:10" ht="12.75" customHeight="1">
      <c r="A800" s="2614">
        <v>498</v>
      </c>
      <c r="B800" s="2615" t="str">
        <f>VLOOKUP(A800,plasmids!$A$2:$B$910,2)</f>
        <v>pAAVrh10+NotI</v>
      </c>
      <c r="C800" s="2616">
        <v>498.1</v>
      </c>
      <c r="D800" s="2617" t="s">
        <v>2771</v>
      </c>
      <c r="E800" s="2618">
        <v>42034</v>
      </c>
      <c r="F800" s="2617" t="s">
        <v>1549</v>
      </c>
      <c r="G800" s="2620">
        <v>0.1106</v>
      </c>
      <c r="H800" s="2621"/>
      <c r="I800" s="2617" t="s">
        <v>3128</v>
      </c>
      <c r="J800" s="2617" t="s">
        <v>4770</v>
      </c>
    </row>
    <row r="801" spans="1:10" ht="12.75" customHeight="1">
      <c r="A801" s="2614">
        <v>498</v>
      </c>
      <c r="B801" s="2615" t="str">
        <f>VLOOKUP(A801,plasmids!$A$2:$B$910,2)</f>
        <v>pAAVrh10+NotI</v>
      </c>
      <c r="C801" s="2616">
        <v>498.2</v>
      </c>
      <c r="D801" s="2617" t="s">
        <v>2771</v>
      </c>
      <c r="E801" s="2618">
        <v>42066</v>
      </c>
      <c r="F801" s="2617" t="s">
        <v>1549</v>
      </c>
      <c r="G801" s="2622"/>
      <c r="H801" s="2621"/>
      <c r="I801" s="2617" t="s">
        <v>3128</v>
      </c>
      <c r="J801" s="2621"/>
    </row>
    <row r="802" spans="1:10" ht="12.75" customHeight="1">
      <c r="A802" s="2623">
        <v>499</v>
      </c>
      <c r="B802" s="2624" t="str">
        <f>VLOOKUP(A802,plasmids!$A$2:$B$910,2)</f>
        <v>pAAV2 AscI+NotI</v>
      </c>
      <c r="C802" s="2625">
        <v>499.1</v>
      </c>
      <c r="D802" s="2626" t="s">
        <v>2771</v>
      </c>
      <c r="E802" s="2627">
        <v>42027</v>
      </c>
      <c r="F802" s="2626" t="s">
        <v>1549</v>
      </c>
      <c r="G802" s="2628">
        <v>0.12770000000000001</v>
      </c>
      <c r="H802" s="2626" t="s">
        <v>400</v>
      </c>
      <c r="I802" s="2626" t="s">
        <v>3181</v>
      </c>
      <c r="J802" s="2626" t="s">
        <v>1785</v>
      </c>
    </row>
    <row r="803" spans="1:10" ht="12.75" customHeight="1">
      <c r="A803" s="2623">
        <v>499</v>
      </c>
      <c r="B803" s="2624" t="str">
        <f>VLOOKUP(A803,plasmids!$A$2:$B$910,2)</f>
        <v>pAAV2 AscI+NotI</v>
      </c>
      <c r="C803" s="2625">
        <v>499.2</v>
      </c>
      <c r="D803" s="2626" t="s">
        <v>2771</v>
      </c>
      <c r="E803" s="2627">
        <v>42066</v>
      </c>
      <c r="F803" s="2626" t="s">
        <v>1549</v>
      </c>
      <c r="G803" s="2628">
        <v>8.9099999999999999E-2</v>
      </c>
      <c r="H803" s="2629"/>
      <c r="I803" s="2626" t="s">
        <v>3128</v>
      </c>
      <c r="J803" s="2626" t="s">
        <v>1785</v>
      </c>
    </row>
    <row r="804" spans="1:10" ht="12.75" customHeight="1">
      <c r="A804" s="921">
        <v>500</v>
      </c>
      <c r="B804" s="2115" t="str">
        <f>VLOOKUP(A804,plasmids!$A$2:$B$910,2)</f>
        <v>pssAAV-mCAR-GIRK1-GFP</v>
      </c>
      <c r="C804" s="928">
        <v>500.1</v>
      </c>
      <c r="D804" s="659" t="s">
        <v>2771</v>
      </c>
      <c r="E804" s="2631"/>
      <c r="F804" s="659" t="s">
        <v>881</v>
      </c>
      <c r="G804" s="927">
        <v>0.19700000000000001</v>
      </c>
      <c r="H804" s="926"/>
      <c r="I804" s="659" t="s">
        <v>3128</v>
      </c>
      <c r="J804" s="926"/>
    </row>
    <row r="805" spans="1:10" ht="12.75" customHeight="1">
      <c r="A805" s="921">
        <v>500</v>
      </c>
      <c r="B805" s="2115" t="str">
        <f>VLOOKUP(A805,plasmids!$A$2:$B$910,2)</f>
        <v>pssAAV-mCAR-GIRK1-GFP</v>
      </c>
      <c r="C805" s="928">
        <v>500.2</v>
      </c>
      <c r="D805" s="659" t="s">
        <v>2765</v>
      </c>
      <c r="E805" s="924">
        <v>42060</v>
      </c>
      <c r="F805" s="659" t="s">
        <v>881</v>
      </c>
      <c r="G805" s="927">
        <v>1.4501999999999999</v>
      </c>
      <c r="H805" s="659" t="s">
        <v>400</v>
      </c>
      <c r="I805" s="659" t="s">
        <v>4820</v>
      </c>
      <c r="J805" s="659" t="s">
        <v>3875</v>
      </c>
    </row>
    <row r="806" spans="1:10" ht="12.75" customHeight="1">
      <c r="A806" s="1254">
        <v>501</v>
      </c>
      <c r="B806" s="1931" t="str">
        <f>VLOOKUP(A806,plasmids!$A$2:$B$910,2)</f>
        <v>pssAAV-mCAR-GIRK2-GFP</v>
      </c>
      <c r="C806" s="1260">
        <v>501.1</v>
      </c>
      <c r="D806" s="960" t="s">
        <v>2771</v>
      </c>
      <c r="E806" s="1536"/>
      <c r="F806" s="960" t="s">
        <v>881</v>
      </c>
      <c r="G806" s="1261">
        <v>0.13650000000000001</v>
      </c>
      <c r="H806" s="963"/>
      <c r="I806" s="960" t="s">
        <v>3128</v>
      </c>
      <c r="J806" s="963"/>
    </row>
    <row r="807" spans="1:10" ht="12.75" customHeight="1">
      <c r="A807" s="1254">
        <v>501</v>
      </c>
      <c r="B807" s="1931" t="str">
        <f>VLOOKUP(A807,plasmids!$A$2:$B$910,2)</f>
        <v>pssAAV-mCAR-GIRK2-GFP</v>
      </c>
      <c r="C807" s="1260">
        <v>501.2</v>
      </c>
      <c r="D807" s="960" t="s">
        <v>2765</v>
      </c>
      <c r="E807" s="1256">
        <v>42060</v>
      </c>
      <c r="F807" s="960" t="s">
        <v>881</v>
      </c>
      <c r="G807" s="1261">
        <v>1.1937</v>
      </c>
      <c r="H807" s="960" t="s">
        <v>400</v>
      </c>
      <c r="I807" s="960" t="s">
        <v>4820</v>
      </c>
      <c r="J807" s="960" t="s">
        <v>3875</v>
      </c>
    </row>
    <row r="808" spans="1:10" ht="12.75" customHeight="1">
      <c r="A808" s="621">
        <v>502</v>
      </c>
      <c r="B808" s="1981" t="str">
        <f>VLOOKUP(A808,plasmids!$A$2:$B$910,2)</f>
        <v>pssAAV-mCAR-GIRK2-tdTomato</v>
      </c>
      <c r="C808" s="1">
        <v>502.1</v>
      </c>
      <c r="D808" s="50" t="s">
        <v>2771</v>
      </c>
      <c r="E808" s="758"/>
      <c r="F808" s="50" t="s">
        <v>881</v>
      </c>
      <c r="G808" s="755">
        <v>7.1800000000000003E-2</v>
      </c>
      <c r="I808" s="50" t="s">
        <v>3128</v>
      </c>
    </row>
    <row r="809" spans="1:10" ht="12.75" customHeight="1">
      <c r="A809" s="621">
        <v>503</v>
      </c>
      <c r="B809" s="1981" t="str">
        <f>VLOOKUP(A809,plasmids!$A$2:$B$910,2)</f>
        <v>5'UTR COX10 MTS COX10 ND4 FLAG 3'UTR COX10_pAAV-MCS</v>
      </c>
      <c r="C809" s="757"/>
      <c r="E809" s="758"/>
      <c r="G809" s="754"/>
    </row>
    <row r="810" spans="1:10" ht="12.75" customHeight="1">
      <c r="A810" s="621">
        <v>504</v>
      </c>
      <c r="B810" s="1981" t="str">
        <f>VLOOKUP(A810,plasmids!$A$2:$B$910,2)</f>
        <v>MTS-COX10-ND4-FLAG 3'UTR COX10_pAAV-MCS</v>
      </c>
      <c r="C810" s="757"/>
      <c r="E810" s="758"/>
      <c r="G810" s="754"/>
    </row>
    <row r="811" spans="1:10" ht="12.75" customHeight="1">
      <c r="A811" s="621">
        <v>505</v>
      </c>
      <c r="B811" s="1981" t="str">
        <f>VLOOKUP(A811,plasmids!$A$2:$B$910,2)</f>
        <v>MTS COX10 ND4 FLAG 3'UTR COX10</v>
      </c>
      <c r="C811" s="757"/>
      <c r="E811" s="758"/>
      <c r="G811" s="754"/>
    </row>
    <row r="812" spans="1:10" ht="12.75" customHeight="1">
      <c r="A812" s="621">
        <v>506</v>
      </c>
      <c r="B812" s="1981" t="str">
        <f>VLOOKUP(A812,plasmids!$A$2:$B$910,2)</f>
        <v>5'UTR COX10-MTS COX10-ND4-FLAG_pAAV-MCS</v>
      </c>
      <c r="C812" s="757"/>
      <c r="E812" s="758"/>
      <c r="G812" s="754"/>
    </row>
    <row r="813" spans="1:10" ht="12.75" customHeight="1">
      <c r="A813" s="621">
        <v>507</v>
      </c>
      <c r="B813" s="1981" t="str">
        <f>VLOOKUP(A813,plasmids!$A$2:$B$910,2)</f>
        <v>5'UTR COX10-MTS COX10-Mutant ND4*-HA1-3'UTR</v>
      </c>
      <c r="C813" s="757"/>
      <c r="E813" s="758"/>
      <c r="G813" s="754"/>
    </row>
    <row r="814" spans="1:10" ht="12.75" customHeight="1">
      <c r="A814" s="796">
        <v>508</v>
      </c>
      <c r="B814" s="2389" t="str">
        <f>VLOOKUP(A814,plasmids!$A$2:$B$910,2)</f>
        <v>pssAAV-mCar-eNpHR-TAG-2A-Clm</v>
      </c>
      <c r="C814" s="806">
        <v>508.1</v>
      </c>
      <c r="D814" s="798" t="s">
        <v>2771</v>
      </c>
      <c r="E814" s="2390"/>
      <c r="F814" s="798" t="s">
        <v>881</v>
      </c>
      <c r="G814" s="804">
        <v>0.1208</v>
      </c>
      <c r="H814" s="798" t="s">
        <v>3029</v>
      </c>
      <c r="I814" s="798" t="s">
        <v>3128</v>
      </c>
      <c r="J814" s="802"/>
    </row>
    <row r="815" spans="1:10" ht="12.75" customHeight="1">
      <c r="A815" s="796">
        <v>508</v>
      </c>
      <c r="B815" s="2389" t="str">
        <f>VLOOKUP(A815,plasmids!$A$2:$B$910,2)</f>
        <v>pssAAV-mCar-eNpHR-TAG-2A-Clm</v>
      </c>
      <c r="C815" s="806">
        <v>508.2</v>
      </c>
      <c r="D815" s="798" t="s">
        <v>2765</v>
      </c>
      <c r="E815" s="2391">
        <v>42068</v>
      </c>
      <c r="F815" s="798" t="s">
        <v>881</v>
      </c>
      <c r="G815" s="804">
        <v>1.1276999999999999</v>
      </c>
      <c r="H815" s="798" t="s">
        <v>929</v>
      </c>
      <c r="I815" s="798" t="s">
        <v>3128</v>
      </c>
      <c r="J815" s="798" t="s">
        <v>4829</v>
      </c>
    </row>
    <row r="816" spans="1:10" ht="12.75" customHeight="1">
      <c r="A816" s="796">
        <v>508</v>
      </c>
      <c r="B816" s="2389" t="str">
        <f>VLOOKUP(A816,plasmids!$A$2:$B$910,2)</f>
        <v>pssAAV-mCar-eNpHR-TAG-2A-Clm</v>
      </c>
      <c r="C816" s="806">
        <v>508.3</v>
      </c>
      <c r="D816" s="798" t="s">
        <v>2765</v>
      </c>
      <c r="E816" s="2391">
        <v>42956</v>
      </c>
      <c r="F816" s="808" t="s">
        <v>95</v>
      </c>
      <c r="G816" s="804" t="s">
        <v>4830</v>
      </c>
      <c r="H816" s="798"/>
      <c r="I816" s="798" t="s">
        <v>3128</v>
      </c>
      <c r="J816" s="808" t="s">
        <v>4831</v>
      </c>
    </row>
    <row r="817" spans="1:10" ht="12.75" customHeight="1">
      <c r="A817" s="621">
        <v>509</v>
      </c>
      <c r="B817" s="1981" t="str">
        <f>VLOOKUP(A817,plasmids!$A$2:$B$910,2)</f>
        <v>pscAAV-CAG-NpHR-GFP</v>
      </c>
      <c r="C817" s="1">
        <v>509.1</v>
      </c>
      <c r="D817" s="50" t="s">
        <v>2771</v>
      </c>
      <c r="E817" s="758"/>
      <c r="F817" s="50" t="s">
        <v>881</v>
      </c>
      <c r="G817" s="755">
        <v>0.38</v>
      </c>
      <c r="I817" s="50" t="s">
        <v>3128</v>
      </c>
    </row>
    <row r="818" spans="1:10" ht="12.75" customHeight="1">
      <c r="A818" s="621">
        <v>509</v>
      </c>
      <c r="B818" s="1981" t="str">
        <f>VLOOKUP(A818,plasmids!$A$2:$B$910,2)</f>
        <v>pscAAV-CAG-NpHR-GFP</v>
      </c>
      <c r="C818" s="1">
        <v>509.2</v>
      </c>
      <c r="D818" s="54" t="s">
        <v>2765</v>
      </c>
      <c r="E818" s="758"/>
      <c r="F818" s="54" t="s">
        <v>3860</v>
      </c>
      <c r="G818" s="755" t="s">
        <v>4832</v>
      </c>
      <c r="H818" s="54" t="s">
        <v>929</v>
      </c>
      <c r="I818" s="50"/>
    </row>
    <row r="819" spans="1:10" ht="12.75" customHeight="1">
      <c r="A819" s="921">
        <v>510</v>
      </c>
      <c r="B819" s="2115" t="str">
        <f>VLOOKUP(A819,plasmids!$A$2:$B$910,2)</f>
        <v>pscAAV-CAG-JAWS-KGC-GFP-ER2</v>
      </c>
      <c r="C819" s="928">
        <v>510.1</v>
      </c>
      <c r="D819" s="659" t="s">
        <v>2771</v>
      </c>
      <c r="E819" s="924">
        <v>42034</v>
      </c>
      <c r="F819" s="659" t="s">
        <v>881</v>
      </c>
      <c r="G819" s="927">
        <v>0.2233</v>
      </c>
      <c r="H819" s="659" t="s">
        <v>3029</v>
      </c>
      <c r="I819" s="659" t="s">
        <v>3128</v>
      </c>
      <c r="J819" s="926"/>
    </row>
    <row r="820" spans="1:10" ht="12.75" customHeight="1">
      <c r="A820" s="921">
        <v>510</v>
      </c>
      <c r="B820" s="2115" t="str">
        <f>VLOOKUP(A820,plasmids!$A$2:$B$910,2)</f>
        <v>pscAAV-CAG-JAWS-KGC-GFP-ER2</v>
      </c>
      <c r="C820" s="928">
        <v>510.2</v>
      </c>
      <c r="D820" s="659" t="s">
        <v>2765</v>
      </c>
      <c r="E820" s="924">
        <v>42082</v>
      </c>
      <c r="F820" s="659" t="s">
        <v>881</v>
      </c>
      <c r="G820" s="927">
        <v>1.1195999999999999</v>
      </c>
      <c r="H820" s="659" t="s">
        <v>929</v>
      </c>
      <c r="I820" s="659" t="s">
        <v>3128</v>
      </c>
      <c r="J820" s="659" t="s">
        <v>4833</v>
      </c>
    </row>
    <row r="821" spans="1:10" ht="12.75" customHeight="1">
      <c r="A821" s="621">
        <v>511</v>
      </c>
      <c r="B821" s="1981" t="str">
        <f>VLOOKUP(A821,plasmids!$A$2:$B$910,2)</f>
        <v>pAAV-CMV,CBA,synITR,short-hRdCVF1-exon-1-ORF</v>
      </c>
      <c r="C821" s="1">
        <v>511.1</v>
      </c>
      <c r="D821" s="50" t="s">
        <v>2765</v>
      </c>
      <c r="E821" s="759" t="s">
        <v>141</v>
      </c>
      <c r="F821" s="50" t="s">
        <v>2225</v>
      </c>
      <c r="G821" s="755">
        <v>1</v>
      </c>
      <c r="H821" s="50" t="s">
        <v>141</v>
      </c>
      <c r="I821" s="50" t="s">
        <v>141</v>
      </c>
    </row>
    <row r="822" spans="1:10" ht="12.75" customHeight="1">
      <c r="A822" s="621">
        <v>512</v>
      </c>
      <c r="B822" s="1981" t="str">
        <f>VLOOKUP(A822,plasmids!$A$2:$B$910,2)</f>
        <v>pAAV-CMV,CBA,synITR,short-hRdCVF1-exon-1-region</v>
      </c>
      <c r="C822" s="1">
        <v>512.1</v>
      </c>
      <c r="D822" s="50" t="s">
        <v>2765</v>
      </c>
      <c r="E822" s="759" t="s">
        <v>141</v>
      </c>
      <c r="F822" s="50" t="s">
        <v>2225</v>
      </c>
      <c r="G822" s="755">
        <v>1</v>
      </c>
      <c r="H822" s="50" t="s">
        <v>141</v>
      </c>
      <c r="I822" s="50" t="s">
        <v>141</v>
      </c>
    </row>
    <row r="823" spans="1:10" ht="12.75" customHeight="1">
      <c r="A823" s="1539">
        <v>513</v>
      </c>
      <c r="B823" s="2290" t="str">
        <f>VLOOKUP(A823,plasmids!$A$2:$B$910,2)</f>
        <v>pscAAV-CAG-hChR2(sans mut)-YFP</v>
      </c>
      <c r="C823" s="1569">
        <v>513.1</v>
      </c>
      <c r="D823" s="172" t="s">
        <v>2771</v>
      </c>
      <c r="E823" s="2640"/>
      <c r="F823" s="172" t="s">
        <v>158</v>
      </c>
      <c r="G823" s="1542"/>
      <c r="H823" s="174"/>
      <c r="I823" s="174"/>
      <c r="J823" s="174"/>
    </row>
    <row r="824" spans="1:10" ht="12.75" customHeight="1">
      <c r="A824" s="1539">
        <v>513</v>
      </c>
      <c r="B824" s="2290" t="str">
        <f>VLOOKUP(A824,plasmids!$A$2:$B$910,2)</f>
        <v>pscAAV-CAG-hChR2(sans mut)-YFP</v>
      </c>
      <c r="C824" s="1569">
        <v>513.20000000000005</v>
      </c>
      <c r="D824" s="172" t="s">
        <v>2765</v>
      </c>
      <c r="E824" s="2642">
        <v>42159</v>
      </c>
      <c r="F824" s="172" t="s">
        <v>881</v>
      </c>
      <c r="G824" s="1568">
        <v>0.68469999999999998</v>
      </c>
      <c r="H824" s="172" t="s">
        <v>929</v>
      </c>
      <c r="I824" s="174"/>
      <c r="J824" s="172" t="s">
        <v>2844</v>
      </c>
    </row>
    <row r="825" spans="1:10" ht="12.75" customHeight="1">
      <c r="A825" s="1692">
        <v>514</v>
      </c>
      <c r="B825" s="2394" t="str">
        <f>VLOOKUP(A825,plasmids!$A$2:$B$910,2)</f>
        <v xml:space="preserve">pscAAV-CAG-Chronos-GFP </v>
      </c>
      <c r="C825" s="1702" t="s">
        <v>4835</v>
      </c>
      <c r="D825" s="1094"/>
      <c r="E825" s="2395"/>
      <c r="F825" s="1094"/>
      <c r="G825" s="1706"/>
      <c r="H825" s="1094"/>
      <c r="I825" s="1094"/>
      <c r="J825" s="1094"/>
    </row>
    <row r="826" spans="1:10" ht="12.75" customHeight="1">
      <c r="A826" s="1692">
        <v>514</v>
      </c>
      <c r="B826" s="2394" t="str">
        <f>VLOOKUP(A826,plasmids!$A$2:$B$910,2)</f>
        <v xml:space="preserve">pscAAV-CAG-Chronos-GFP </v>
      </c>
      <c r="C826" s="1702" t="s">
        <v>4836</v>
      </c>
      <c r="D826" s="1841" t="s">
        <v>2765</v>
      </c>
      <c r="E826" s="2395"/>
      <c r="F826" s="1841" t="s">
        <v>158</v>
      </c>
      <c r="G826" s="1699" t="s">
        <v>4837</v>
      </c>
      <c r="H826" s="1094"/>
      <c r="I826" s="1094"/>
      <c r="J826" s="1094"/>
    </row>
    <row r="827" spans="1:10" ht="12.75" customHeight="1">
      <c r="A827" s="1692">
        <v>514</v>
      </c>
      <c r="B827" s="2394" t="str">
        <f>VLOOKUP(A827,plasmids!$A$2:$B$910,2)</f>
        <v xml:space="preserve">pscAAV-CAG-Chronos-GFP </v>
      </c>
      <c r="C827" s="1702" t="s">
        <v>4838</v>
      </c>
      <c r="D827" s="1841" t="s">
        <v>2765</v>
      </c>
      <c r="E827" s="2644">
        <v>42860</v>
      </c>
      <c r="F827" s="1841" t="s">
        <v>2126</v>
      </c>
      <c r="G827" s="1699" t="s">
        <v>4839</v>
      </c>
      <c r="H827" s="1094"/>
      <c r="I827" s="1094"/>
      <c r="J827" s="1094"/>
    </row>
    <row r="828" spans="1:10" ht="12.75" customHeight="1">
      <c r="A828" s="851">
        <v>515</v>
      </c>
      <c r="B828" s="1896" t="str">
        <f>VLOOKUP(A828,plasmids!$A$2:$B$910,2)</f>
        <v>pssAAV-CAG-eNpHR-TAG-2A-Clm</v>
      </c>
      <c r="C828" s="862">
        <v>515.1</v>
      </c>
      <c r="D828" s="857" t="s">
        <v>2771</v>
      </c>
      <c r="E828" s="2645"/>
      <c r="F828" s="857" t="s">
        <v>881</v>
      </c>
      <c r="G828" s="860">
        <v>0.18959999999999999</v>
      </c>
      <c r="H828" s="859"/>
      <c r="I828" s="857" t="s">
        <v>3128</v>
      </c>
      <c r="J828" s="859"/>
    </row>
    <row r="829" spans="1:10" ht="12.75" customHeight="1">
      <c r="A829" s="851">
        <v>515</v>
      </c>
      <c r="B829" s="1896" t="str">
        <f>VLOOKUP(A829,plasmids!$A$2:$B$910,2)</f>
        <v>pssAAV-CAG-eNpHR-TAG-2A-Clm</v>
      </c>
      <c r="C829" s="862">
        <v>515.20000000000005</v>
      </c>
      <c r="D829" s="857" t="s">
        <v>2765</v>
      </c>
      <c r="E829" s="1035">
        <v>42089</v>
      </c>
      <c r="F829" s="857" t="s">
        <v>881</v>
      </c>
      <c r="G829" s="2177">
        <v>1.2386999999999999</v>
      </c>
      <c r="H829" s="857" t="s">
        <v>929</v>
      </c>
      <c r="I829" s="857" t="s">
        <v>3128</v>
      </c>
      <c r="J829" s="853" t="s">
        <v>4842</v>
      </c>
    </row>
    <row r="830" spans="1:10" ht="12.75" customHeight="1">
      <c r="A830" s="1067">
        <v>516</v>
      </c>
      <c r="B830" s="2160" t="str">
        <f>VLOOKUP(A830,plasmids!$A$2:$B$910,2)</f>
        <v>pXR8 (Y447F Y733F T494V)</v>
      </c>
      <c r="C830" s="1146">
        <v>516.1</v>
      </c>
      <c r="D830" s="79" t="s">
        <v>2771</v>
      </c>
      <c r="E830" s="1074"/>
      <c r="F830" s="79" t="s">
        <v>881</v>
      </c>
      <c r="G830" s="1075">
        <v>0.31790000000000002</v>
      </c>
      <c r="H830" s="80"/>
      <c r="I830" s="79" t="s">
        <v>3181</v>
      </c>
      <c r="J830" s="80"/>
    </row>
    <row r="831" spans="1:10" ht="12.75" customHeight="1">
      <c r="A831" s="1067">
        <v>516</v>
      </c>
      <c r="B831" s="2160" t="str">
        <f>VLOOKUP(A831,plasmids!$A$2:$B$910,2)</f>
        <v>pXR8 (Y447F Y733F T494V)</v>
      </c>
      <c r="C831" s="1146">
        <v>516.20000000000005</v>
      </c>
      <c r="D831" s="79" t="s">
        <v>2765</v>
      </c>
      <c r="E831" s="1069">
        <v>42082</v>
      </c>
      <c r="F831" s="79" t="s">
        <v>881</v>
      </c>
      <c r="G831" s="1075">
        <v>1.4560999999999999</v>
      </c>
      <c r="H831" s="80"/>
      <c r="I831" s="79" t="s">
        <v>3128</v>
      </c>
      <c r="J831" s="79" t="s">
        <v>4843</v>
      </c>
    </row>
    <row r="832" spans="1:10" ht="12.75" customHeight="1">
      <c r="A832" s="2305">
        <v>517</v>
      </c>
      <c r="B832" s="2308" t="str">
        <f>VLOOKUP(A832,plasmids!$A$2:$B$910,2)</f>
        <v>pscAAV-1xGrm6-GCamp6s-pA</v>
      </c>
      <c r="C832" s="2310">
        <v>517.1</v>
      </c>
      <c r="D832" s="1198" t="s">
        <v>2771</v>
      </c>
      <c r="E832" s="2311"/>
      <c r="F832" s="1198" t="s">
        <v>881</v>
      </c>
      <c r="G832" s="2312">
        <v>0.18540000000000001</v>
      </c>
      <c r="H832" s="1198" t="s">
        <v>929</v>
      </c>
      <c r="I832" s="1198" t="s">
        <v>3128</v>
      </c>
      <c r="J832" s="1202"/>
    </row>
    <row r="833" spans="1:10" ht="12.75" customHeight="1">
      <c r="A833" s="2305">
        <v>517</v>
      </c>
      <c r="B833" s="2308" t="str">
        <f>VLOOKUP(A833,plasmids!$A$2:$B$910,2)</f>
        <v>pscAAV-1xGrm6-GCamp6s-pA</v>
      </c>
      <c r="C833" s="2310">
        <v>517.20000000000005</v>
      </c>
      <c r="D833" s="1198" t="s">
        <v>2765</v>
      </c>
      <c r="E833" s="2314">
        <v>42118</v>
      </c>
      <c r="F833" s="1198" t="s">
        <v>881</v>
      </c>
      <c r="G833" s="2312">
        <v>1.0926</v>
      </c>
      <c r="H833" s="1198" t="s">
        <v>929</v>
      </c>
      <c r="I833" s="1198" t="s">
        <v>3128</v>
      </c>
      <c r="J833" s="1198" t="s">
        <v>2844</v>
      </c>
    </row>
    <row r="834" spans="1:10" ht="12.75" customHeight="1">
      <c r="A834" s="621">
        <v>518</v>
      </c>
      <c r="B834" s="1981" t="str">
        <f>VLOOKUP(A834,plasmids!$A$2:$B$910,2)</f>
        <v>pssAAV-SNCG-GCamp6s</v>
      </c>
      <c r="C834" s="1">
        <v>518.1</v>
      </c>
      <c r="D834" s="50" t="s">
        <v>2771</v>
      </c>
      <c r="E834" s="758"/>
      <c r="F834" s="50" t="s">
        <v>881</v>
      </c>
      <c r="G834" s="755">
        <v>0.17710000000000001</v>
      </c>
      <c r="H834" s="50" t="s">
        <v>929</v>
      </c>
      <c r="I834" s="50" t="s">
        <v>3128</v>
      </c>
    </row>
    <row r="835" spans="1:10" ht="12.75" customHeight="1">
      <c r="A835" s="621">
        <v>519</v>
      </c>
      <c r="B835" s="1981" t="str">
        <f>VLOOKUP(A835,plasmids!$A$2:$B$910,2)</f>
        <v>CAG-DP71a</v>
      </c>
      <c r="C835" s="1">
        <v>519.1</v>
      </c>
      <c r="D835" s="50" t="s">
        <v>2765</v>
      </c>
      <c r="E835" s="759" t="s">
        <v>141</v>
      </c>
      <c r="F835" s="50" t="s">
        <v>1838</v>
      </c>
      <c r="G835" s="755">
        <v>4.4800000000000004</v>
      </c>
    </row>
    <row r="836" spans="1:10" ht="12.75" customHeight="1">
      <c r="A836" s="621">
        <v>520</v>
      </c>
      <c r="B836" s="1981" t="str">
        <f>VLOOKUP(A836,plasmids!$A$2:$B$910,2)</f>
        <v>CAG-Dp71b</v>
      </c>
      <c r="C836" s="1">
        <v>520.1</v>
      </c>
      <c r="D836" s="50" t="s">
        <v>2765</v>
      </c>
      <c r="E836" s="759" t="s">
        <v>141</v>
      </c>
      <c r="F836" s="50" t="s">
        <v>1838</v>
      </c>
      <c r="G836" s="755">
        <v>6.17</v>
      </c>
    </row>
    <row r="837" spans="1:10" ht="12.75" customHeight="1">
      <c r="A837" s="621">
        <v>521</v>
      </c>
      <c r="B837" s="1981" t="str">
        <f>VLOOKUP(A837,plasmids!$A$2:$B$910,2)</f>
        <v>CAG-Dp71ab</v>
      </c>
      <c r="C837" s="1">
        <v>521.1</v>
      </c>
      <c r="D837" s="50" t="s">
        <v>2765</v>
      </c>
      <c r="E837" s="759" t="s">
        <v>141</v>
      </c>
      <c r="F837" s="50" t="s">
        <v>1838</v>
      </c>
      <c r="G837" s="755">
        <v>0.81499999999999995</v>
      </c>
    </row>
    <row r="838" spans="1:10" ht="12.75" customHeight="1">
      <c r="A838" s="621">
        <v>522</v>
      </c>
      <c r="B838" s="1981" t="str">
        <f>VLOOKUP(A838,plasmids!$A$2:$B$910,2)</f>
        <v>CAG-Dp71</v>
      </c>
      <c r="C838" s="1">
        <v>522.1</v>
      </c>
      <c r="D838" s="50" t="s">
        <v>2765</v>
      </c>
      <c r="E838" s="759" t="s">
        <v>141</v>
      </c>
      <c r="F838" s="50" t="s">
        <v>1838</v>
      </c>
      <c r="G838" s="755">
        <v>2.06</v>
      </c>
    </row>
    <row r="839" spans="1:10" ht="12.75" customHeight="1">
      <c r="A839" s="621">
        <v>523</v>
      </c>
      <c r="B839" s="1981" t="str">
        <f>VLOOKUP(A839,plasmids!$A$2:$B$910,2)</f>
        <v>CAG-Dp40</v>
      </c>
      <c r="C839" s="1">
        <v>523.1</v>
      </c>
      <c r="D839" s="50" t="s">
        <v>2765</v>
      </c>
      <c r="E839" s="759" t="s">
        <v>141</v>
      </c>
      <c r="F839" s="50" t="s">
        <v>1838</v>
      </c>
      <c r="G839" s="755">
        <v>1.1000000000000001</v>
      </c>
    </row>
    <row r="840" spans="1:10" ht="12.75" customHeight="1">
      <c r="A840" s="621">
        <v>524</v>
      </c>
      <c r="B840" s="1981" t="str">
        <f>VLOOKUP(A840,plasmids!$A$2:$B$910,2)</f>
        <v>pscAAV-CAG-SwitchR-TS-YFP</v>
      </c>
      <c r="C840" s="1">
        <v>524.1</v>
      </c>
      <c r="D840" s="50" t="s">
        <v>2765</v>
      </c>
      <c r="E840" s="753">
        <v>42089</v>
      </c>
      <c r="F840" s="50" t="s">
        <v>881</v>
      </c>
      <c r="G840" s="755">
        <v>1.3588</v>
      </c>
      <c r="H840" s="50" t="s">
        <v>929</v>
      </c>
      <c r="I840" s="50" t="s">
        <v>3128</v>
      </c>
      <c r="J840" s="50" t="s">
        <v>4844</v>
      </c>
    </row>
    <row r="841" spans="1:10" ht="12.75" customHeight="1">
      <c r="A841" s="2658">
        <v>525</v>
      </c>
      <c r="B841" s="2660" t="str">
        <f>VLOOKUP(A841,plasmids!$A$2:$B$910,2)</f>
        <v>pAAV2-EP-Librairie-Gib</v>
      </c>
      <c r="C841" s="2661">
        <v>525.1</v>
      </c>
      <c r="D841" s="2662" t="s">
        <v>2765</v>
      </c>
      <c r="E841" s="2663">
        <v>42096</v>
      </c>
      <c r="F841" s="2662" t="s">
        <v>1549</v>
      </c>
      <c r="G841" s="2664">
        <v>0.29799999999999999</v>
      </c>
      <c r="H841" s="2665"/>
      <c r="I841" s="2662" t="s">
        <v>4845</v>
      </c>
      <c r="J841" s="2665"/>
    </row>
    <row r="842" spans="1:10" ht="12.75" customHeight="1">
      <c r="A842" s="2658">
        <v>526</v>
      </c>
      <c r="B842" s="2660" t="str">
        <f>VLOOKUP(A842,plasmids!$A$2:$B$910,2)</f>
        <v>pAAV2-7mers-Librairie</v>
      </c>
      <c r="C842" s="2661">
        <v>526.1</v>
      </c>
      <c r="D842" s="2662" t="s">
        <v>2765</v>
      </c>
      <c r="E842" s="2666">
        <v>42108</v>
      </c>
      <c r="F842" s="2662" t="s">
        <v>1549</v>
      </c>
      <c r="G842" s="2668">
        <v>0.31740000000000002</v>
      </c>
      <c r="H842" s="2665"/>
      <c r="I842" s="2670" t="s">
        <v>4845</v>
      </c>
      <c r="J842" s="2665"/>
    </row>
    <row r="843" spans="1:10" ht="12.75" customHeight="1">
      <c r="A843" s="2658">
        <v>527</v>
      </c>
      <c r="B843" s="2660" t="str">
        <f>VLOOKUP(A843,plasmids!$A$2:$B$910,2)</f>
        <v>pAAV-Shuffling-Librairie</v>
      </c>
      <c r="C843" s="2661">
        <v>527.1</v>
      </c>
      <c r="D843" s="2662" t="s">
        <v>2765</v>
      </c>
      <c r="E843" s="2663">
        <v>42096</v>
      </c>
      <c r="F843" s="2662" t="s">
        <v>1549</v>
      </c>
      <c r="G843" s="2668">
        <v>0.308</v>
      </c>
      <c r="H843" s="2665"/>
      <c r="I843" s="2662" t="s">
        <v>4845</v>
      </c>
      <c r="J843" s="2665"/>
    </row>
    <row r="844" spans="1:10" ht="12.75" customHeight="1">
      <c r="A844" s="621">
        <v>528</v>
      </c>
      <c r="B844" s="1981" t="str">
        <f>VLOOKUP(A844,plasmids!$A$2:$B$910,2)</f>
        <v>pssAAV-CAG**-GFP_x000D_</v>
      </c>
      <c r="C844" s="757"/>
      <c r="D844" s="50" t="s">
        <v>2771</v>
      </c>
      <c r="E844" s="758"/>
      <c r="F844" s="50" t="s">
        <v>881</v>
      </c>
      <c r="G844" s="755">
        <v>0.45689999999999997</v>
      </c>
      <c r="I844" s="50" t="s">
        <v>4848</v>
      </c>
    </row>
    <row r="845" spans="1:10" ht="12.75" customHeight="1">
      <c r="A845" s="621">
        <v>529</v>
      </c>
      <c r="B845" s="1981" t="str">
        <f>VLOOKUP(A845,plasmids!$A$2:$B$910,2)</f>
        <v>pssAAV-CAG*-GFP_x000D_</v>
      </c>
      <c r="C845" s="757"/>
      <c r="D845" s="50" t="s">
        <v>2771</v>
      </c>
      <c r="E845" s="758"/>
      <c r="F845" s="50" t="s">
        <v>881</v>
      </c>
      <c r="G845" s="755">
        <v>0.37580000000000002</v>
      </c>
      <c r="I845" s="50" t="s">
        <v>4848</v>
      </c>
    </row>
    <row r="846" spans="1:10" ht="12.75" customHeight="1">
      <c r="A846" s="621">
        <v>530</v>
      </c>
      <c r="B846" s="1981" t="str">
        <f>VLOOKUP(A846,plasmids!$A$2:$B$910,2)</f>
        <v>pssAAV-1xGRm6-LWO-GFP</v>
      </c>
      <c r="C846" s="757"/>
      <c r="D846" s="50" t="s">
        <v>2771</v>
      </c>
      <c r="E846" s="758"/>
      <c r="F846" s="50" t="s">
        <v>881</v>
      </c>
      <c r="G846" s="755">
        <v>0.58689999999999998</v>
      </c>
      <c r="I846" s="50" t="s">
        <v>3128</v>
      </c>
    </row>
    <row r="847" spans="1:10" ht="12.75" customHeight="1">
      <c r="A847" s="621">
        <v>531</v>
      </c>
      <c r="B847" s="1981" t="str">
        <f>VLOOKUP(A847,plasmids!$A$2:$B$910,2)</f>
        <v>pssAAV-1xGRm6-SWO-dtTomato</v>
      </c>
      <c r="C847" s="757"/>
      <c r="D847" s="50" t="s">
        <v>2771</v>
      </c>
      <c r="E847" s="758"/>
      <c r="F847" s="50" t="s">
        <v>881</v>
      </c>
      <c r="G847" s="755">
        <v>0.91369999999999996</v>
      </c>
      <c r="I847" s="50" t="s">
        <v>3128</v>
      </c>
    </row>
    <row r="848" spans="1:10" ht="12.75" customHeight="1">
      <c r="A848" s="1539">
        <v>532</v>
      </c>
      <c r="B848" s="170" t="s">
        <v>1867</v>
      </c>
      <c r="C848" s="1569">
        <v>532.1</v>
      </c>
      <c r="D848" s="170" t="s">
        <v>2771</v>
      </c>
      <c r="E848" s="2640"/>
      <c r="F848" s="170" t="s">
        <v>881</v>
      </c>
      <c r="G848" s="1568">
        <v>0.77100000000000002</v>
      </c>
      <c r="H848" s="170" t="s">
        <v>929</v>
      </c>
      <c r="I848" s="170" t="s">
        <v>3128</v>
      </c>
      <c r="J848" s="174"/>
    </row>
    <row r="849" spans="1:10" ht="12.75" customHeight="1">
      <c r="A849" s="1539">
        <v>532</v>
      </c>
      <c r="B849" s="170" t="s">
        <v>1867</v>
      </c>
      <c r="C849" s="1569">
        <v>532.20000000000005</v>
      </c>
      <c r="D849" s="170" t="s">
        <v>2765</v>
      </c>
      <c r="E849" s="1541">
        <v>42117</v>
      </c>
      <c r="F849" s="170" t="s">
        <v>881</v>
      </c>
      <c r="G849" s="1568">
        <v>1.2289000000000001</v>
      </c>
      <c r="H849" s="170" t="s">
        <v>929</v>
      </c>
      <c r="I849" s="170" t="s">
        <v>3128</v>
      </c>
      <c r="J849" s="170" t="s">
        <v>3875</v>
      </c>
    </row>
    <row r="850" spans="1:10" ht="12.75" customHeight="1">
      <c r="A850" s="1224">
        <v>533</v>
      </c>
      <c r="B850" s="2685" t="str">
        <f>VLOOKUP(A850,plasmids!$A$2:$B$910,2)</f>
        <v>pscAAV-SNCG-GCAmp6s-pA</v>
      </c>
      <c r="C850" s="2686">
        <v>533.1</v>
      </c>
      <c r="D850" s="2687" t="s">
        <v>2771</v>
      </c>
      <c r="E850" s="2688"/>
      <c r="F850" s="2687" t="s">
        <v>881</v>
      </c>
      <c r="G850" s="2689"/>
      <c r="H850" s="2687" t="s">
        <v>929</v>
      </c>
      <c r="I850" s="2687" t="s">
        <v>3128</v>
      </c>
      <c r="J850" s="1213"/>
    </row>
    <row r="851" spans="1:10" ht="12.75" customHeight="1">
      <c r="A851" s="1224">
        <v>533</v>
      </c>
      <c r="B851" s="1550" t="str">
        <f>VLOOKUP(A851,plasmids!$A$2:$B$910,2)</f>
        <v>pscAAV-SNCG-GCAmp6s-pA</v>
      </c>
      <c r="C851" s="1228">
        <v>533.20000000000005</v>
      </c>
      <c r="D851" s="1211" t="s">
        <v>2765</v>
      </c>
      <c r="E851" s="1226">
        <v>42117</v>
      </c>
      <c r="F851" s="1211" t="s">
        <v>881</v>
      </c>
      <c r="G851" s="1227">
        <v>1.4988999999999999</v>
      </c>
      <c r="H851" s="1211" t="s">
        <v>929</v>
      </c>
      <c r="I851" s="1211" t="s">
        <v>3128</v>
      </c>
      <c r="J851" s="1211" t="s">
        <v>2844</v>
      </c>
    </row>
    <row r="852" spans="1:10" ht="12.75" customHeight="1">
      <c r="A852" s="872">
        <v>534</v>
      </c>
      <c r="B852" s="1337" t="str">
        <f>VLOOKUP(A852,plasmids!$A$2:$B$910,2)</f>
        <v>pssAAV-CAG-ReachR-2A-GCAmp6s</v>
      </c>
      <c r="C852" s="884" t="s">
        <v>4850</v>
      </c>
      <c r="D852" s="873" t="s">
        <v>2771</v>
      </c>
      <c r="E852" s="1720"/>
      <c r="F852" s="879"/>
      <c r="G852" s="881">
        <v>0.46910000000000002</v>
      </c>
      <c r="H852" s="879"/>
      <c r="I852" s="879"/>
      <c r="J852" s="879"/>
    </row>
    <row r="853" spans="1:10" ht="12.75" customHeight="1">
      <c r="A853" s="872">
        <v>534</v>
      </c>
      <c r="B853" s="1337" t="str">
        <f>VLOOKUP(A853,plasmids!$A$2:$B$910,2)</f>
        <v>pssAAV-CAG-ReachR-2A-GCAmp6s</v>
      </c>
      <c r="C853" s="884" t="s">
        <v>4851</v>
      </c>
      <c r="D853" s="886" t="s">
        <v>2952</v>
      </c>
      <c r="E853" s="2693">
        <v>42342</v>
      </c>
      <c r="F853" s="886" t="s">
        <v>881</v>
      </c>
      <c r="G853" s="2694">
        <v>1.4852000000000001</v>
      </c>
      <c r="H853" s="886" t="s">
        <v>929</v>
      </c>
      <c r="I853" s="879"/>
      <c r="J853" s="886" t="s">
        <v>4852</v>
      </c>
    </row>
    <row r="854" spans="1:10" ht="12.75" customHeight="1">
      <c r="A854" s="902">
        <v>535</v>
      </c>
      <c r="B854" s="2354" t="str">
        <f>VLOOKUP(A854,plasmids!$A$2:$B$910,2)</f>
        <v>pssAAV-CAG-ChR2(H134R)-GFP</v>
      </c>
      <c r="C854" s="911" t="s">
        <v>4853</v>
      </c>
      <c r="D854" s="913" t="s">
        <v>2771</v>
      </c>
      <c r="E854" s="2696"/>
      <c r="F854" s="913" t="s">
        <v>158</v>
      </c>
      <c r="G854" s="2697"/>
      <c r="H854" s="907"/>
      <c r="I854" s="907"/>
      <c r="J854" s="907"/>
    </row>
    <row r="855" spans="1:10" ht="12.75" customHeight="1">
      <c r="A855" s="2698">
        <v>535</v>
      </c>
      <c r="B855" s="2700" t="str">
        <f>VLOOKUP(A855,plasmids!$A$2:$B$910,2)</f>
        <v>pssAAV-CAG-ChR2(H134R)-GFP</v>
      </c>
      <c r="C855" s="2701" t="s">
        <v>4855</v>
      </c>
      <c r="D855" s="2702" t="s">
        <v>2765</v>
      </c>
      <c r="E855" s="2703"/>
      <c r="F855" s="2702" t="s">
        <v>3860</v>
      </c>
      <c r="G855" s="2705">
        <v>0</v>
      </c>
      <c r="H855" s="2706"/>
      <c r="I855" s="2706"/>
      <c r="J855" s="913" t="s">
        <v>3513</v>
      </c>
    </row>
    <row r="856" spans="1:10" ht="12.75" customHeight="1">
      <c r="A856" s="2707">
        <v>535</v>
      </c>
      <c r="B856" s="2354" t="str">
        <f>VLOOKUP(A856,plasmids!$A$2:$B$910,2)</f>
        <v>pssAAV-CAG-ChR2(H134R)-GFP</v>
      </c>
      <c r="C856" s="911" t="s">
        <v>4857</v>
      </c>
      <c r="D856" s="913" t="s">
        <v>2771</v>
      </c>
      <c r="E856" s="915">
        <v>42349</v>
      </c>
      <c r="F856" s="913" t="s">
        <v>881</v>
      </c>
      <c r="G856" s="909" t="s">
        <v>4858</v>
      </c>
      <c r="H856" s="913" t="s">
        <v>929</v>
      </c>
      <c r="I856" s="907"/>
      <c r="J856" s="913"/>
    </row>
    <row r="857" spans="1:10" ht="12.75" customHeight="1">
      <c r="A857" s="2707">
        <v>535</v>
      </c>
      <c r="B857" s="2354" t="str">
        <f>VLOOKUP(A857,plasmids!$A$2:$B$910,2)</f>
        <v>pssAAV-CAG-ChR2(H134R)-GFP</v>
      </c>
      <c r="C857" s="911" t="s">
        <v>4859</v>
      </c>
      <c r="D857" s="913" t="s">
        <v>2765</v>
      </c>
      <c r="E857" s="915"/>
      <c r="F857" s="913" t="s">
        <v>3860</v>
      </c>
      <c r="G857" s="909" t="s">
        <v>4860</v>
      </c>
      <c r="H857" s="913" t="s">
        <v>929</v>
      </c>
      <c r="I857" s="907"/>
      <c r="J857" s="913"/>
    </row>
    <row r="858" spans="1:10" ht="12.75" customHeight="1">
      <c r="A858" s="1692">
        <v>536</v>
      </c>
      <c r="B858" s="2394" t="str">
        <f>VLOOKUP(A858,plasmids!$A$2:$B$910,2)</f>
        <v>pssAAV-CAG-ArchT-GFP</v>
      </c>
      <c r="C858" s="1702" t="s">
        <v>4861</v>
      </c>
      <c r="D858" s="1841" t="s">
        <v>2771</v>
      </c>
      <c r="E858" s="1842" t="s">
        <v>141</v>
      </c>
      <c r="F858" s="1841" t="s">
        <v>158</v>
      </c>
      <c r="G858" s="1706"/>
      <c r="H858" s="1841" t="s">
        <v>141</v>
      </c>
      <c r="I858" s="1841" t="s">
        <v>141</v>
      </c>
      <c r="J858" s="1094"/>
    </row>
    <row r="859" spans="1:10" ht="12.75" customHeight="1">
      <c r="A859" s="1692">
        <v>536</v>
      </c>
      <c r="B859" s="2394" t="str">
        <f>VLOOKUP(A859,plasmids!$A$2:$B$910,2)</f>
        <v>pssAAV-CAG-ArchT-GFP</v>
      </c>
      <c r="C859" s="1702" t="s">
        <v>4862</v>
      </c>
      <c r="D859" s="1841" t="s">
        <v>2765</v>
      </c>
      <c r="E859" s="2708">
        <v>42314</v>
      </c>
      <c r="F859" s="1841" t="s">
        <v>3860</v>
      </c>
      <c r="G859" s="1699">
        <v>0.92249999999999999</v>
      </c>
      <c r="H859" s="1841" t="s">
        <v>929</v>
      </c>
      <c r="I859" s="1841" t="s">
        <v>141</v>
      </c>
      <c r="J859" s="1841" t="s">
        <v>141</v>
      </c>
    </row>
    <row r="860" spans="1:10" ht="12.75" customHeight="1">
      <c r="A860" s="1692">
        <v>536</v>
      </c>
      <c r="B860" s="2394" t="str">
        <f>VLOOKUP(A860,plasmids!$A$2:$B$910,2)</f>
        <v>pssAAV-CAG-ArchT-GFP</v>
      </c>
      <c r="C860" s="1702" t="s">
        <v>4865</v>
      </c>
      <c r="D860" s="1841" t="s">
        <v>2765</v>
      </c>
      <c r="E860" s="2708"/>
      <c r="F860" s="1841" t="s">
        <v>158</v>
      </c>
      <c r="G860" s="1699" t="s">
        <v>4866</v>
      </c>
      <c r="H860" s="1841"/>
      <c r="I860" s="1841"/>
      <c r="J860" s="1841"/>
    </row>
    <row r="861" spans="1:10" ht="12.75" customHeight="1">
      <c r="A861" s="1054">
        <v>537</v>
      </c>
      <c r="B861" s="1955" t="str">
        <f>VLOOKUP(A861,plasmids!$A$2:$B$910,2)</f>
        <v>pssAAV-CAG-MAC-GFP</v>
      </c>
      <c r="C861" s="1059" t="s">
        <v>4897</v>
      </c>
      <c r="D861" s="1057"/>
      <c r="E861" s="2717"/>
      <c r="F861" s="1057"/>
      <c r="G861" s="2722"/>
      <c r="H861" s="1057"/>
      <c r="I861" s="1057"/>
      <c r="J861" s="1057"/>
    </row>
    <row r="862" spans="1:10" ht="12.75" customHeight="1">
      <c r="A862" s="1054">
        <v>537</v>
      </c>
      <c r="B862" s="1955" t="str">
        <f>VLOOKUP(A862,plasmids!$A$2:$B$910,2)</f>
        <v>pssAAV-CAG-MAC-GFP</v>
      </c>
      <c r="C862" s="1059" t="s">
        <v>4945</v>
      </c>
      <c r="D862" s="701" t="s">
        <v>2765</v>
      </c>
      <c r="E862" s="2717"/>
      <c r="F862" s="701" t="s">
        <v>158</v>
      </c>
      <c r="G862" s="1058" t="s">
        <v>4946</v>
      </c>
      <c r="H862" s="1057"/>
      <c r="I862" s="1057"/>
      <c r="J862" s="1057"/>
    </row>
    <row r="863" spans="1:10" ht="12.75" customHeight="1">
      <c r="A863" s="1054">
        <v>537</v>
      </c>
      <c r="B863" s="1955" t="str">
        <f>VLOOKUP(A863,plasmids!$A$2:$B$910,2)</f>
        <v>pssAAV-CAG-MAC-GFP</v>
      </c>
      <c r="C863" s="1059" t="s">
        <v>4947</v>
      </c>
      <c r="D863" s="701" t="s">
        <v>2765</v>
      </c>
      <c r="E863" s="2717"/>
      <c r="F863" s="701" t="s">
        <v>3860</v>
      </c>
      <c r="G863" s="1058" t="s">
        <v>4948</v>
      </c>
      <c r="H863" s="701" t="s">
        <v>929</v>
      </c>
      <c r="I863" s="1057"/>
      <c r="J863" s="1057"/>
    </row>
    <row r="864" spans="1:10" ht="12.75" customHeight="1">
      <c r="A864" s="821">
        <v>538</v>
      </c>
      <c r="B864" s="2294" t="str">
        <f>VLOOKUP(A864,plasmids!$A$2:$B$910,2)</f>
        <v>pscAAV-CAG-Lwo-GFP</v>
      </c>
      <c r="C864" s="833" t="s">
        <v>4949</v>
      </c>
      <c r="D864" s="835" t="s">
        <v>2771</v>
      </c>
      <c r="E864" s="2730" t="s">
        <v>141</v>
      </c>
      <c r="F864" s="835" t="s">
        <v>158</v>
      </c>
      <c r="G864" s="2731"/>
      <c r="H864" s="829"/>
      <c r="I864" s="829"/>
      <c r="J864" s="829"/>
    </row>
    <row r="865" spans="1:10" ht="12.75" customHeight="1">
      <c r="A865" s="2733">
        <v>538</v>
      </c>
      <c r="B865" s="2736" t="str">
        <f>VLOOKUP(A865,plasmids!$A$2:$B$910,2)</f>
        <v>pscAAV-CAG-Lwo-GFP</v>
      </c>
      <c r="C865" s="2737" t="s">
        <v>4950</v>
      </c>
      <c r="D865" s="2740" t="s">
        <v>2765</v>
      </c>
      <c r="E865" s="2741" t="s">
        <v>141</v>
      </c>
      <c r="F865" s="2740" t="s">
        <v>158</v>
      </c>
      <c r="G865" s="2743" t="s">
        <v>4951</v>
      </c>
      <c r="H865" s="2740" t="s">
        <v>141</v>
      </c>
      <c r="I865" s="2740" t="s">
        <v>141</v>
      </c>
      <c r="J865" s="835" t="s">
        <v>4952</v>
      </c>
    </row>
    <row r="866" spans="1:10" ht="12.75" customHeight="1">
      <c r="A866" s="821">
        <v>538</v>
      </c>
      <c r="B866" s="2294" t="str">
        <f>VLOOKUP(A866,plasmids!$A$2:$B$910,2)</f>
        <v>pscAAV-CAG-Lwo-GFP</v>
      </c>
      <c r="C866" s="833" t="s">
        <v>4953</v>
      </c>
      <c r="D866" s="835" t="s">
        <v>2765</v>
      </c>
      <c r="E866" s="2730" t="s">
        <v>141</v>
      </c>
      <c r="F866" s="835" t="s">
        <v>158</v>
      </c>
      <c r="G866" s="2731"/>
      <c r="H866" s="829"/>
      <c r="I866" s="829"/>
      <c r="J866" s="829"/>
    </row>
    <row r="867" spans="1:10" ht="12.75" customHeight="1">
      <c r="A867" s="821">
        <v>538</v>
      </c>
      <c r="B867" s="2294" t="str">
        <f>VLOOKUP(A867,plasmids!$A$2:$B$910,2)</f>
        <v>pscAAV-CAG-Lwo-GFP</v>
      </c>
      <c r="C867" s="833" t="s">
        <v>4954</v>
      </c>
      <c r="D867" s="835" t="s">
        <v>2765</v>
      </c>
      <c r="E867" s="836">
        <v>42341</v>
      </c>
      <c r="F867" s="835" t="s">
        <v>4955</v>
      </c>
      <c r="G867" s="831" t="s">
        <v>4956</v>
      </c>
      <c r="H867" s="835" t="s">
        <v>929</v>
      </c>
      <c r="I867" s="829"/>
      <c r="J867" s="835" t="s">
        <v>4957</v>
      </c>
    </row>
    <row r="868" spans="1:10" ht="12.75" customHeight="1">
      <c r="A868" s="821">
        <v>538</v>
      </c>
      <c r="B868" s="2294" t="str">
        <f>VLOOKUP(A868,plasmids!$A$2:$B$910,2)</f>
        <v>pscAAV-CAG-Lwo-GFP</v>
      </c>
      <c r="C868" s="833" t="s">
        <v>4958</v>
      </c>
      <c r="D868" s="835" t="s">
        <v>2765</v>
      </c>
      <c r="E868" s="836">
        <v>42768</v>
      </c>
      <c r="F868" s="835" t="s">
        <v>2126</v>
      </c>
      <c r="G868" s="831" t="s">
        <v>4959</v>
      </c>
      <c r="H868" s="835"/>
      <c r="I868" s="829"/>
      <c r="J868" s="835" t="s">
        <v>2844</v>
      </c>
    </row>
    <row r="869" spans="1:10" ht="12.75" customHeight="1">
      <c r="A869" s="2658">
        <v>539</v>
      </c>
      <c r="B869" s="2744" t="str">
        <f>VLOOKUP(A869,plasmids!$A$2:$B$910,2)</f>
        <v>pAAV-Shuffling-LibrairieB</v>
      </c>
      <c r="C869" s="2661">
        <v>539.1</v>
      </c>
      <c r="D869" s="2745" t="s">
        <v>2765</v>
      </c>
      <c r="E869" s="2666">
        <v>42108</v>
      </c>
      <c r="F869" s="2745" t="s">
        <v>1549</v>
      </c>
      <c r="G869" s="2668">
        <v>0.91369999999999996</v>
      </c>
      <c r="H869" s="2746"/>
      <c r="I869" s="2745" t="s">
        <v>4845</v>
      </c>
      <c r="J869" s="2746"/>
    </row>
    <row r="870" spans="1:10" ht="12.75" customHeight="1">
      <c r="A870" s="621">
        <v>540</v>
      </c>
      <c r="B870" s="1981" t="str">
        <f>VLOOKUP(A870,plasmids!$A$2:$B$910,2)</f>
        <v>pscAAV-CAG-hChR2(D156C)-eGFP</v>
      </c>
      <c r="C870" s="1">
        <v>540.1</v>
      </c>
      <c r="D870" s="50" t="s">
        <v>2771</v>
      </c>
      <c r="E870" s="758"/>
      <c r="G870" s="755">
        <v>0.58979999999999999</v>
      </c>
    </row>
    <row r="871" spans="1:10" ht="12.75" customHeight="1">
      <c r="A871" s="621">
        <v>540</v>
      </c>
      <c r="B871" s="1981" t="str">
        <f>VLOOKUP(A871,plasmids!$A$2:$B$910,2)</f>
        <v>pscAAV-CAG-hChR2(D156C)-eGFP</v>
      </c>
      <c r="C871" s="1">
        <v>540.20000000000005</v>
      </c>
      <c r="D871" s="54" t="s">
        <v>2821</v>
      </c>
      <c r="E871" s="758"/>
      <c r="F871" s="54" t="s">
        <v>3860</v>
      </c>
      <c r="G871" s="755" t="s">
        <v>4960</v>
      </c>
      <c r="H871" s="54" t="s">
        <v>929</v>
      </c>
    </row>
    <row r="872" spans="1:10" ht="12.75" customHeight="1">
      <c r="A872" s="1106">
        <v>541</v>
      </c>
      <c r="B872" s="2747" t="str">
        <f>VLOOKUP(A872,plasmids!$A$2:$B$910,2)</f>
        <v>pscAAV-CAG-SWO-GFP</v>
      </c>
      <c r="C872" s="1113">
        <v>541.1</v>
      </c>
      <c r="D872" s="1110" t="s">
        <v>2771</v>
      </c>
      <c r="E872" s="2748"/>
      <c r="F872" s="1110" t="s">
        <v>158</v>
      </c>
      <c r="G872" s="1111" t="s">
        <v>4961</v>
      </c>
      <c r="H872" s="1112"/>
      <c r="I872" s="1112"/>
      <c r="J872" s="1112"/>
    </row>
    <row r="873" spans="1:10" ht="12.75" customHeight="1">
      <c r="A873" s="1106">
        <v>541</v>
      </c>
      <c r="B873" s="2747" t="str">
        <f>VLOOKUP(A873,plasmids!$A$2:$B$910,2)</f>
        <v>pscAAV-CAG-SWO-GFP</v>
      </c>
      <c r="C873" s="1113" t="s">
        <v>4962</v>
      </c>
      <c r="D873" s="1110" t="s">
        <v>2765</v>
      </c>
      <c r="E873" s="2748"/>
      <c r="F873" s="1110" t="s">
        <v>158</v>
      </c>
      <c r="G873" s="1111" t="s">
        <v>4963</v>
      </c>
      <c r="H873" s="1112"/>
      <c r="I873" s="1112"/>
      <c r="J873" s="1112"/>
    </row>
    <row r="874" spans="1:10" ht="12.75" customHeight="1">
      <c r="A874" s="2749">
        <v>541</v>
      </c>
      <c r="B874" s="2747" t="str">
        <f>VLOOKUP(A874,plasmids!$A$2:$B$910,2)</f>
        <v>pscAAV-CAG-SWO-GFP</v>
      </c>
      <c r="C874" s="1113">
        <v>541.20000000000005</v>
      </c>
      <c r="D874" s="1110" t="s">
        <v>2765</v>
      </c>
      <c r="E874" s="1114">
        <v>42172</v>
      </c>
      <c r="F874" s="1110" t="s">
        <v>881</v>
      </c>
      <c r="G874" s="2750">
        <v>1.0627</v>
      </c>
      <c r="H874" s="1110" t="s">
        <v>400</v>
      </c>
      <c r="I874" s="1110" t="s">
        <v>3128</v>
      </c>
      <c r="J874" s="1112"/>
    </row>
    <row r="875" spans="1:10" ht="12.75" customHeight="1">
      <c r="A875" s="621">
        <v>542</v>
      </c>
      <c r="B875" s="1981" t="str">
        <f>VLOOKUP(A875,plasmids!$A$2:$B$910,2)</f>
        <v>Alain cMyc</v>
      </c>
      <c r="C875" s="757"/>
      <c r="E875" s="758"/>
      <c r="G875" s="755"/>
    </row>
    <row r="876" spans="1:10" ht="12.75" customHeight="1">
      <c r="A876" s="621">
        <v>543</v>
      </c>
      <c r="B876" s="1981" t="str">
        <f>VLOOKUP(A876,plasmids!$A$2:$B$910,2)</f>
        <v>Alain cntf</v>
      </c>
      <c r="C876" s="757"/>
      <c r="E876" s="758"/>
      <c r="G876" s="755"/>
    </row>
    <row r="877" spans="1:10" ht="12.75" customHeight="1">
      <c r="A877" s="2253">
        <v>545</v>
      </c>
      <c r="B877" s="2256" t="str">
        <f>VLOOKUP(A877,plasmids!$A$2:$B$910,2)</f>
        <v>pscAAV-CAG-hChR2(H134R)-GFP</v>
      </c>
      <c r="C877" s="2257">
        <v>545.1</v>
      </c>
      <c r="D877" s="2259" t="s">
        <v>2771</v>
      </c>
      <c r="E877" s="2266">
        <v>42124</v>
      </c>
      <c r="F877" s="2259" t="s">
        <v>4964</v>
      </c>
      <c r="G877" s="2265"/>
      <c r="H877" s="2265"/>
      <c r="I877" s="2259" t="s">
        <v>3128</v>
      </c>
      <c r="J877" s="2265"/>
    </row>
    <row r="878" spans="1:10" ht="12.75" customHeight="1">
      <c r="A878" s="2253">
        <v>545</v>
      </c>
      <c r="B878" s="2256" t="str">
        <f>VLOOKUP(A878,plasmids!$A$2:$B$910,2)</f>
        <v>pscAAV-CAG-hChR2(H134R)-GFP</v>
      </c>
      <c r="C878" s="2257" t="s">
        <v>4965</v>
      </c>
      <c r="D878" s="2267" t="s">
        <v>2765</v>
      </c>
      <c r="E878" s="2266"/>
      <c r="F878" s="2267" t="s">
        <v>158</v>
      </c>
      <c r="G878" s="2261" t="s">
        <v>4966</v>
      </c>
      <c r="H878" s="2265"/>
      <c r="I878" s="2259"/>
      <c r="J878" s="2265"/>
    </row>
    <row r="879" spans="1:10" ht="12.75" customHeight="1">
      <c r="A879" s="2253">
        <v>545</v>
      </c>
      <c r="B879" s="2256" t="str">
        <f>VLOOKUP(A879,plasmids!$A$2:$B$910,2)</f>
        <v>pscAAV-CAG-hChR2(H134R)-GFP</v>
      </c>
      <c r="C879" s="2257" t="s">
        <v>4967</v>
      </c>
      <c r="D879" s="2267" t="s">
        <v>2765</v>
      </c>
      <c r="E879" s="2266">
        <v>42341</v>
      </c>
      <c r="F879" s="2267" t="s">
        <v>4955</v>
      </c>
      <c r="G879" s="2261">
        <v>0.89580000000000004</v>
      </c>
      <c r="H879" s="2267" t="s">
        <v>929</v>
      </c>
      <c r="I879" s="2259"/>
      <c r="J879" s="2267" t="s">
        <v>4968</v>
      </c>
    </row>
    <row r="880" spans="1:10" ht="12.75" customHeight="1">
      <c r="A880" s="2751">
        <v>545</v>
      </c>
      <c r="B880" s="2256" t="str">
        <f>VLOOKUP(A880,plasmids!$A$2:$B$910,2)</f>
        <v>pscAAV-CAG-hChR2(H134R)-GFP</v>
      </c>
      <c r="C880" s="2257" t="s">
        <v>4969</v>
      </c>
      <c r="D880" s="2267" t="s">
        <v>2771</v>
      </c>
      <c r="E880" s="2266"/>
      <c r="F880" s="2267" t="s">
        <v>881</v>
      </c>
      <c r="G880" s="2261" t="s">
        <v>4970</v>
      </c>
      <c r="H880" s="2267" t="s">
        <v>929</v>
      </c>
      <c r="I880" s="2259"/>
      <c r="J880" s="2267" t="s">
        <v>3175</v>
      </c>
    </row>
    <row r="881" spans="1:10" ht="12.75" customHeight="1">
      <c r="A881" s="2515">
        <v>546</v>
      </c>
      <c r="B881" s="2518" t="str">
        <f>VLOOKUP(A881,plasmids!$A$2:$B$910,2)</f>
        <v>pscAAV-CAG-hCatch(H134R)-GFP</v>
      </c>
      <c r="C881" s="2520">
        <v>546.1</v>
      </c>
      <c r="D881" s="2521" t="s">
        <v>2771</v>
      </c>
      <c r="E881" s="2532">
        <v>42124</v>
      </c>
      <c r="F881" s="2521" t="s">
        <v>872</v>
      </c>
      <c r="G881" s="2525"/>
      <c r="H881" s="2527"/>
      <c r="I881" s="2521" t="s">
        <v>3128</v>
      </c>
      <c r="J881" s="2527"/>
    </row>
    <row r="882" spans="1:10" ht="12.75" customHeight="1">
      <c r="A882" s="2515">
        <v>546</v>
      </c>
      <c r="B882" s="2518" t="str">
        <f>VLOOKUP(A882,plasmids!$A$2:$B$910,2)</f>
        <v>pscAAV-CAG-hCatch(H134R)-GFP</v>
      </c>
      <c r="C882" s="2752" t="s">
        <v>4971</v>
      </c>
      <c r="D882" s="2753" t="s">
        <v>2765</v>
      </c>
      <c r="E882" s="2754"/>
      <c r="F882" s="2753" t="s">
        <v>158</v>
      </c>
      <c r="G882" s="2755" t="s">
        <v>4972</v>
      </c>
      <c r="H882" s="2756"/>
      <c r="I882" s="2757"/>
      <c r="J882" s="688"/>
    </row>
    <row r="883" spans="1:10" ht="12.75" customHeight="1">
      <c r="A883" s="2758">
        <v>546</v>
      </c>
      <c r="B883" s="2759" t="str">
        <f>VLOOKUP(A883,plasmids!$A$2:$B$910,2)</f>
        <v>pscAAV-CAG-hCatch(H134R)-GFP</v>
      </c>
      <c r="C883" s="2760" t="s">
        <v>4973</v>
      </c>
      <c r="D883" s="2761" t="s">
        <v>2765</v>
      </c>
      <c r="E883" s="2754">
        <v>42341</v>
      </c>
      <c r="F883" s="2761" t="s">
        <v>4955</v>
      </c>
      <c r="G883" s="2763">
        <v>0.98170000000000002</v>
      </c>
      <c r="H883" s="2756" t="s">
        <v>4975</v>
      </c>
      <c r="I883" s="2757"/>
      <c r="J883" s="688" t="s">
        <v>4976</v>
      </c>
    </row>
    <row r="884" spans="1:10" ht="12.75" customHeight="1">
      <c r="A884" s="2765">
        <v>546</v>
      </c>
      <c r="B884" s="2518" t="str">
        <f>VLOOKUP(A884,plasmids!$A$2:$B$910,2)</f>
        <v>pscAAV-CAG-hCatch(H134R)-GFP</v>
      </c>
      <c r="C884" s="2520" t="s">
        <v>4977</v>
      </c>
      <c r="D884" s="688" t="s">
        <v>2771</v>
      </c>
      <c r="E884" s="692" t="s">
        <v>4978</v>
      </c>
      <c r="F884" s="688" t="s">
        <v>881</v>
      </c>
      <c r="G884" s="2525" t="s">
        <v>4979</v>
      </c>
      <c r="H884" s="688" t="s">
        <v>929</v>
      </c>
      <c r="I884" s="2521"/>
      <c r="J884" s="688" t="s">
        <v>3235</v>
      </c>
    </row>
    <row r="885" spans="1:10" ht="12.75" customHeight="1">
      <c r="A885" s="2765">
        <v>546</v>
      </c>
      <c r="B885" s="2518" t="str">
        <f>VLOOKUP(A885,plasmids!$A$2:$B$910,2)</f>
        <v>pscAAV-CAG-hCatch(H134R)-GFP</v>
      </c>
      <c r="C885" s="2520" t="s">
        <v>4980</v>
      </c>
      <c r="D885" s="688" t="s">
        <v>2765</v>
      </c>
      <c r="E885" s="692"/>
      <c r="F885" s="688" t="s">
        <v>3860</v>
      </c>
      <c r="G885" s="2525" t="s">
        <v>4981</v>
      </c>
      <c r="H885" s="688" t="s">
        <v>929</v>
      </c>
      <c r="I885" s="2521"/>
      <c r="J885" s="688"/>
    </row>
    <row r="886" spans="1:10" ht="12.75" customHeight="1">
      <c r="A886" s="2305">
        <v>547</v>
      </c>
      <c r="B886" s="2308" t="str">
        <f>VLOOKUP(A886,plasmids!$A$2:$B$910,2)</f>
        <v>pscAAV-CAG-hCatch-GFP</v>
      </c>
      <c r="C886" s="2310">
        <v>547.1</v>
      </c>
      <c r="D886" s="1198" t="s">
        <v>2771</v>
      </c>
      <c r="E886" s="2314">
        <v>42124</v>
      </c>
      <c r="F886" s="1198" t="s">
        <v>872</v>
      </c>
      <c r="G886" s="2312"/>
      <c r="H886" s="1202"/>
      <c r="I886" s="1198" t="s">
        <v>3128</v>
      </c>
      <c r="J886" s="1202"/>
    </row>
    <row r="887" spans="1:10" ht="12.75" customHeight="1">
      <c r="A887" s="2305">
        <v>547</v>
      </c>
      <c r="B887" s="2308" t="str">
        <f>VLOOKUP(A887,plasmids!$A$2:$B$910,2)</f>
        <v>pscAAV-CAG-hCatch-GFP</v>
      </c>
      <c r="C887" s="2310">
        <v>547.20000000000005</v>
      </c>
      <c r="D887" s="2353" t="s">
        <v>2765</v>
      </c>
      <c r="E887" s="2314"/>
      <c r="F887" s="2353" t="s">
        <v>3860</v>
      </c>
      <c r="G887" s="2312" t="s">
        <v>4982</v>
      </c>
      <c r="H887" s="2353" t="s">
        <v>929</v>
      </c>
      <c r="I887" s="1198"/>
      <c r="J887" s="1202"/>
    </row>
    <row r="888" spans="1:10" ht="12.75" customHeight="1">
      <c r="A888" s="621">
        <v>548</v>
      </c>
      <c r="B888" s="1981" t="str">
        <f>VLOOKUP(A888,plasmids!$A$2:$B$910,2)</f>
        <v>pAAV-CMV-hOPN4-mCherry</v>
      </c>
      <c r="C888" s="1">
        <v>548.1</v>
      </c>
      <c r="D888" s="50" t="s">
        <v>4983</v>
      </c>
      <c r="E888" s="758"/>
      <c r="G888" s="755">
        <v>2.5</v>
      </c>
    </row>
    <row r="889" spans="1:10" ht="12.75" customHeight="1">
      <c r="A889" s="621">
        <v>549</v>
      </c>
      <c r="B889" s="1981" t="str">
        <f>VLOOKUP(A889,plasmids!$A$2:$B$910,2)</f>
        <v>pAAV-MCS-OPN4L-eGFP</v>
      </c>
      <c r="C889" s="1">
        <v>549.1</v>
      </c>
      <c r="D889" s="50" t="s">
        <v>4983</v>
      </c>
      <c r="E889" s="758"/>
      <c r="G889" s="755">
        <v>3.78</v>
      </c>
    </row>
    <row r="890" spans="1:10" ht="12.75" customHeight="1">
      <c r="A890" s="621">
        <v>550</v>
      </c>
      <c r="B890" s="1981" t="str">
        <f>VLOOKUP(A890,plasmids!$A$2:$B$910,2)</f>
        <v>pAAV-EF1alpha-OPN4L-eGFP (DIO?)</v>
      </c>
      <c r="C890" s="1">
        <v>550.1</v>
      </c>
      <c r="D890" s="50" t="s">
        <v>4983</v>
      </c>
      <c r="E890" s="758"/>
      <c r="G890" s="755">
        <v>4.47</v>
      </c>
    </row>
    <row r="891" spans="1:10" ht="12.75" customHeight="1">
      <c r="A891" s="621">
        <v>551</v>
      </c>
      <c r="B891" s="1981" t="str">
        <f>VLOOKUP(A891,plasmids!$A$2:$B$910,2)</f>
        <v>pssAAV-CMV-hCatCH (D156C)-GFP</v>
      </c>
      <c r="C891" s="757"/>
      <c r="D891" s="50" t="s">
        <v>2771</v>
      </c>
      <c r="E891" s="758"/>
      <c r="G891" s="755">
        <v>0.33700000000000002</v>
      </c>
    </row>
    <row r="892" spans="1:10" ht="12.75" customHeight="1">
      <c r="A892" s="1692">
        <v>552</v>
      </c>
      <c r="B892" s="2394" t="str">
        <f>VLOOKUP(A892,plasmids!$A$2:$B$910,2)</f>
        <v>pscAAV-CAG-Chronos-bghpolyA</v>
      </c>
      <c r="C892" s="1702">
        <v>552.1</v>
      </c>
      <c r="D892" s="1091" t="s">
        <v>2771</v>
      </c>
      <c r="E892" s="2395"/>
      <c r="F892" s="1841" t="s">
        <v>881</v>
      </c>
      <c r="G892" s="1699">
        <v>0.3206</v>
      </c>
      <c r="H892" s="1094"/>
      <c r="I892" s="1091" t="s">
        <v>3128</v>
      </c>
      <c r="J892" s="1094"/>
    </row>
    <row r="893" spans="1:10" ht="12.75" customHeight="1">
      <c r="A893" s="1692">
        <v>552</v>
      </c>
      <c r="B893" s="2394" t="str">
        <f>VLOOKUP(A893,plasmids!$A$2:$B$910,2)</f>
        <v>pscAAV-CAG-Chronos-bghpolyA</v>
      </c>
      <c r="C893" s="1702">
        <v>552.20000000000005</v>
      </c>
      <c r="D893" s="1841" t="s">
        <v>2765</v>
      </c>
      <c r="E893" s="2708">
        <v>42172</v>
      </c>
      <c r="F893" s="1841" t="s">
        <v>881</v>
      </c>
      <c r="G893" s="1699">
        <v>0.57369999999999999</v>
      </c>
      <c r="H893" s="1841" t="s">
        <v>400</v>
      </c>
      <c r="I893" s="1091" t="s">
        <v>3128</v>
      </c>
      <c r="J893" s="1094"/>
    </row>
    <row r="894" spans="1:10" ht="12.75" customHeight="1">
      <c r="A894" s="796">
        <v>553</v>
      </c>
      <c r="B894" s="2389" t="str">
        <f>VLOOKUP(A894,plasmids!$A$2:$B$910,2)</f>
        <v>pTR-CAG-GFP-2A-ChrimsonR</v>
      </c>
      <c r="C894" s="806">
        <v>553.1</v>
      </c>
      <c r="D894" s="798" t="s">
        <v>2771</v>
      </c>
      <c r="E894" s="2390"/>
      <c r="F894" s="808" t="s">
        <v>881</v>
      </c>
      <c r="G894" s="804">
        <v>0.45979999999999999</v>
      </c>
      <c r="H894" s="802"/>
      <c r="I894" s="802"/>
      <c r="J894" s="802"/>
    </row>
    <row r="895" spans="1:10" ht="12.75" customHeight="1">
      <c r="A895" s="796">
        <v>553</v>
      </c>
      <c r="B895" s="2389" t="str">
        <f>VLOOKUP(A895,plasmids!$A$2:$B$910,2)</f>
        <v>pTR-CAG-GFP-2A-ChrimsonR</v>
      </c>
      <c r="C895" s="806">
        <v>553.20000000000005</v>
      </c>
      <c r="D895" s="808" t="s">
        <v>2771</v>
      </c>
      <c r="E895" s="810">
        <v>42193</v>
      </c>
      <c r="F895" s="808" t="s">
        <v>881</v>
      </c>
      <c r="G895" s="804">
        <v>0.66300000000000003</v>
      </c>
      <c r="H895" s="808" t="s">
        <v>400</v>
      </c>
      <c r="I895" s="802"/>
      <c r="J895" s="808" t="s">
        <v>4984</v>
      </c>
    </row>
    <row r="896" spans="1:10" ht="12.75" customHeight="1">
      <c r="A896" s="796">
        <v>553</v>
      </c>
      <c r="B896" s="2389" t="str">
        <f>VLOOKUP(A896,plasmids!$A$2:$B$910,2)</f>
        <v>pTR-CAG-GFP-2A-ChrimsonR</v>
      </c>
      <c r="C896" s="806" t="s">
        <v>4985</v>
      </c>
      <c r="D896" s="808" t="s">
        <v>2771</v>
      </c>
      <c r="E896" s="810">
        <v>42271</v>
      </c>
      <c r="F896" s="808" t="s">
        <v>881</v>
      </c>
      <c r="G896" s="804" t="s">
        <v>4986</v>
      </c>
      <c r="H896" s="808" t="s">
        <v>400</v>
      </c>
      <c r="I896" s="802"/>
      <c r="J896" s="808" t="s">
        <v>4987</v>
      </c>
    </row>
    <row r="897" spans="1:13" ht="12.75" customHeight="1">
      <c r="A897" s="1195">
        <v>554</v>
      </c>
      <c r="B897" s="1938" t="str">
        <f>VLOOKUP(A897,plasmids!$A$2:$B$910,2)</f>
        <v>pLenti-hBO-ReachR-Citrine</v>
      </c>
      <c r="C897" s="1204">
        <v>554.1</v>
      </c>
      <c r="D897" s="625" t="s">
        <v>2771</v>
      </c>
      <c r="E897" s="1730"/>
      <c r="F897" s="647"/>
      <c r="G897" s="1199">
        <v>0.56540000000000001</v>
      </c>
      <c r="H897" s="647"/>
      <c r="I897" s="647"/>
      <c r="J897" s="647"/>
    </row>
    <row r="898" spans="1:13" ht="12.75" customHeight="1">
      <c r="A898" s="1195">
        <v>554</v>
      </c>
      <c r="B898" s="1938" t="str">
        <f>VLOOKUP(A898,plasmids!$A$2:$B$910,2)</f>
        <v>pLenti-hBO-ReachR-Citrine</v>
      </c>
      <c r="C898" s="1204">
        <v>554.20000000000005</v>
      </c>
      <c r="D898" s="1457" t="s">
        <v>2765</v>
      </c>
      <c r="E898" s="1206">
        <v>42193</v>
      </c>
      <c r="F898" s="1457" t="s">
        <v>881</v>
      </c>
      <c r="G898" s="1199">
        <v>2.0829</v>
      </c>
      <c r="H898" s="1457" t="s">
        <v>3384</v>
      </c>
      <c r="I898" s="647"/>
      <c r="J898" s="1457" t="s">
        <v>2844</v>
      </c>
    </row>
    <row r="899" spans="1:13" ht="12.75" customHeight="1">
      <c r="A899" s="1195">
        <v>554</v>
      </c>
      <c r="B899" s="1938" t="str">
        <f>VLOOKUP(A899,plasmids!$A$2:$B$910,2)</f>
        <v>pLenti-hBO-ReachR-Citrine</v>
      </c>
      <c r="C899" s="1204" t="s">
        <v>4989</v>
      </c>
      <c r="D899" s="1457" t="s">
        <v>2952</v>
      </c>
      <c r="E899" s="1206">
        <v>42342</v>
      </c>
      <c r="F899" s="1457" t="s">
        <v>881</v>
      </c>
      <c r="G899" s="1199">
        <v>1.1701999999999999</v>
      </c>
      <c r="H899" s="1457" t="s">
        <v>929</v>
      </c>
      <c r="I899" s="647"/>
      <c r="J899" s="1457" t="s">
        <v>4852</v>
      </c>
    </row>
    <row r="900" spans="1:13" ht="12.75" customHeight="1">
      <c r="A900" s="921">
        <v>555</v>
      </c>
      <c r="B900" s="2115" t="str">
        <f>VLOOKUP(A900,plasmids!$A$2:$B$910,2)</f>
        <v>pAAV6+AscI</v>
      </c>
      <c r="C900" s="928">
        <v>555.1</v>
      </c>
      <c r="D900" s="659" t="s">
        <v>2771</v>
      </c>
      <c r="E900" s="924">
        <v>42145</v>
      </c>
      <c r="F900" s="659" t="s">
        <v>1549</v>
      </c>
      <c r="G900" s="2783"/>
      <c r="H900" s="929" t="s">
        <v>929</v>
      </c>
      <c r="I900" s="659" t="s">
        <v>4990</v>
      </c>
      <c r="J900" s="926"/>
    </row>
    <row r="901" spans="1:13" ht="12.75" customHeight="1">
      <c r="A901" s="921">
        <v>555</v>
      </c>
      <c r="B901" s="2115" t="str">
        <f>VLOOKUP(A901,plasmids!$A$2:$B$910,2)</f>
        <v>pAAV6+AscI</v>
      </c>
      <c r="C901" s="928">
        <v>555.20000000000005</v>
      </c>
      <c r="D901" s="659" t="s">
        <v>2771</v>
      </c>
      <c r="E901" s="2784">
        <v>42159</v>
      </c>
      <c r="F901" s="659" t="s">
        <v>1549</v>
      </c>
      <c r="G901" s="927" t="s">
        <v>4992</v>
      </c>
      <c r="H901" s="929" t="s">
        <v>929</v>
      </c>
      <c r="I901" s="659" t="s">
        <v>4993</v>
      </c>
      <c r="J901" s="929" t="s">
        <v>4994</v>
      </c>
    </row>
    <row r="902" spans="1:13" ht="12.75" customHeight="1">
      <c r="A902" s="1526">
        <v>556</v>
      </c>
      <c r="B902" s="1530" t="str">
        <f>VLOOKUP(A902,plasmids!$A$2:$B$910,2)</f>
        <v>pssAAV-CMV-hCatch-WPRE</v>
      </c>
      <c r="C902" s="1531">
        <v>556.1</v>
      </c>
      <c r="D902" s="1034" t="s">
        <v>2771</v>
      </c>
      <c r="E902" s="2786"/>
      <c r="F902" s="1034" t="s">
        <v>881</v>
      </c>
      <c r="G902" s="1529"/>
      <c r="H902" s="1034" t="s">
        <v>141</v>
      </c>
      <c r="I902" s="1034" t="s">
        <v>3181</v>
      </c>
      <c r="J902" s="1034" t="s">
        <v>4995</v>
      </c>
    </row>
    <row r="903" spans="1:13" ht="12.75" customHeight="1">
      <c r="A903" s="1526">
        <v>556</v>
      </c>
      <c r="B903" s="1530" t="str">
        <f>VLOOKUP(A903,plasmids!$A$2:$B$910,2)</f>
        <v>pssAAV-CMV-hCatch-WPRE</v>
      </c>
      <c r="C903" s="1531">
        <v>556.20000000000005</v>
      </c>
      <c r="D903" s="1034" t="s">
        <v>2821</v>
      </c>
      <c r="E903" s="1528">
        <v>42152</v>
      </c>
      <c r="F903" s="1034" t="s">
        <v>881</v>
      </c>
      <c r="G903" s="1532">
        <v>0.89629999999999999</v>
      </c>
      <c r="H903" s="1034" t="s">
        <v>929</v>
      </c>
      <c r="I903" s="1034" t="s">
        <v>4993</v>
      </c>
      <c r="J903" s="1034" t="s">
        <v>4996</v>
      </c>
    </row>
    <row r="904" spans="1:13" ht="12.75" customHeight="1">
      <c r="A904" s="1526">
        <v>556</v>
      </c>
      <c r="B904" s="1530" t="str">
        <f>VLOOKUP(A904,plasmids!$A$2:$B$910,2)</f>
        <v>pssAAV-CMV-hCatch-WPRE</v>
      </c>
      <c r="C904" s="1531" t="s">
        <v>4997</v>
      </c>
      <c r="D904" s="2787" t="s">
        <v>2771</v>
      </c>
      <c r="E904" s="1528"/>
      <c r="F904" s="1034" t="s">
        <v>881</v>
      </c>
      <c r="G904" s="1532" t="s">
        <v>4998</v>
      </c>
      <c r="H904" s="1034"/>
      <c r="I904" s="1034" t="s">
        <v>4993</v>
      </c>
      <c r="J904" s="1034" t="s">
        <v>4996</v>
      </c>
    </row>
    <row r="905" spans="1:13" ht="12.75" customHeight="1">
      <c r="A905" s="1036">
        <v>557</v>
      </c>
      <c r="B905" s="2217" t="str">
        <f>VLOOKUP(A905,plasmids!$A$2:$B$910,2)</f>
        <v>pssAAV-hSyn-ChR2(H134R)-GFP</v>
      </c>
      <c r="C905" s="1043">
        <v>557.1</v>
      </c>
      <c r="D905" s="1545" t="s">
        <v>2771</v>
      </c>
      <c r="E905" s="2219"/>
      <c r="F905" s="1545" t="s">
        <v>881</v>
      </c>
      <c r="G905" s="1042" t="s">
        <v>3492</v>
      </c>
      <c r="H905" s="1041"/>
      <c r="I905" s="1545" t="s">
        <v>3128</v>
      </c>
      <c r="J905" s="1041"/>
    </row>
    <row r="906" spans="1:13" ht="12.75" customHeight="1">
      <c r="A906" s="1036">
        <v>557</v>
      </c>
      <c r="B906" s="2217" t="str">
        <f>VLOOKUP(A906,plasmids!$A$2:$B$910,2)</f>
        <v>pssAAV-hSyn-ChR2(H134R)-GFP</v>
      </c>
      <c r="C906" s="1043">
        <v>557.20000000000005</v>
      </c>
      <c r="D906" s="1545" t="s">
        <v>2765</v>
      </c>
      <c r="E906" s="1044">
        <v>42159</v>
      </c>
      <c r="F906" s="1545" t="s">
        <v>881</v>
      </c>
      <c r="G906" s="1042">
        <v>0.995</v>
      </c>
      <c r="H906" s="1545" t="s">
        <v>929</v>
      </c>
      <c r="I906" s="1545" t="s">
        <v>3128</v>
      </c>
      <c r="J906" s="1545" t="s">
        <v>2844</v>
      </c>
    </row>
    <row r="907" spans="1:13" ht="12.75" customHeight="1">
      <c r="A907" s="821">
        <v>558</v>
      </c>
      <c r="B907" s="2294" t="str">
        <f>VLOOKUP(A907,plasmids!$A$2:$B$910,2)</f>
        <v>pAAV-shNogoA-CMV-GFP</v>
      </c>
      <c r="C907" s="833">
        <v>558.1</v>
      </c>
      <c r="D907" s="835" t="s">
        <v>2765</v>
      </c>
      <c r="E907" s="836">
        <v>42186</v>
      </c>
      <c r="F907" s="835" t="s">
        <v>881</v>
      </c>
      <c r="G907" s="831">
        <v>0.70860000000000001</v>
      </c>
      <c r="H907" s="835" t="s">
        <v>3384</v>
      </c>
      <c r="I907" s="835" t="s">
        <v>3128</v>
      </c>
      <c r="J907" s="835" t="s">
        <v>4999</v>
      </c>
      <c r="K907" s="829"/>
      <c r="L907" s="829"/>
      <c r="M907" s="829"/>
    </row>
    <row r="908" spans="1:13" ht="12.75" customHeight="1">
      <c r="A908" s="821">
        <v>558</v>
      </c>
      <c r="B908" s="2294" t="str">
        <f>VLOOKUP(A908,plasmids!$A$2:$B$910,2)</f>
        <v>pAAV-shNogoA-CMV-GFP</v>
      </c>
      <c r="C908" s="833" t="s">
        <v>5000</v>
      </c>
      <c r="D908" s="835" t="s">
        <v>2771</v>
      </c>
      <c r="E908" s="836"/>
      <c r="F908" s="835" t="s">
        <v>881</v>
      </c>
      <c r="G908" s="831" t="s">
        <v>5001</v>
      </c>
      <c r="H908" s="835"/>
      <c r="I908" s="835"/>
      <c r="J908" s="835"/>
      <c r="K908" s="829"/>
      <c r="L908" s="829"/>
      <c r="M908" s="829"/>
    </row>
    <row r="909" spans="1:13" ht="12.75" customHeight="1">
      <c r="A909" s="621">
        <v>559</v>
      </c>
      <c r="B909" s="1981" t="str">
        <f>VLOOKUP(A909,plasmids!$A$2:$B$910,2)</f>
        <v>pssAAV-SNCG-hChR2(H134R)-WPRE</v>
      </c>
      <c r="C909" s="1" t="s">
        <v>5003</v>
      </c>
      <c r="D909" s="54" t="s">
        <v>2771</v>
      </c>
      <c r="E909" s="758"/>
      <c r="F909" s="54" t="s">
        <v>881</v>
      </c>
      <c r="G909" s="755" t="s">
        <v>5004</v>
      </c>
    </row>
    <row r="910" spans="1:13" ht="12.75" customHeight="1">
      <c r="A910" s="1845">
        <v>560</v>
      </c>
      <c r="B910" s="1846" t="str">
        <f>VLOOKUP(A910,plasmids!$A$2:$B$910,2)</f>
        <v>pssAAV-hSyn-ReachR-WPRE</v>
      </c>
      <c r="C910" s="1847">
        <v>560.1</v>
      </c>
      <c r="D910" s="1887" t="s">
        <v>2771</v>
      </c>
      <c r="E910" s="2788"/>
      <c r="F910" s="1887" t="s">
        <v>881</v>
      </c>
      <c r="G910" s="1849">
        <v>0.27760000000000001</v>
      </c>
      <c r="H910" s="1887" t="s">
        <v>929</v>
      </c>
      <c r="I910" s="1887" t="s">
        <v>3181</v>
      </c>
      <c r="J910" s="1339"/>
    </row>
    <row r="911" spans="1:13" ht="12.75" customHeight="1">
      <c r="A911" s="1845">
        <v>560</v>
      </c>
      <c r="B911" s="1846" t="str">
        <f>VLOOKUP(A911,plasmids!$A$2:$B$910,2)</f>
        <v>pssAAV-hSyn-ReachR-WPRE</v>
      </c>
      <c r="C911" s="1847" t="s">
        <v>5006</v>
      </c>
      <c r="D911" s="1887" t="s">
        <v>2765</v>
      </c>
      <c r="E911" s="2788">
        <v>42236</v>
      </c>
      <c r="F911" s="1887" t="s">
        <v>881</v>
      </c>
      <c r="G911" s="1849" t="s">
        <v>5007</v>
      </c>
      <c r="H911" s="1887" t="s">
        <v>929</v>
      </c>
      <c r="I911" s="1887" t="s">
        <v>3128</v>
      </c>
      <c r="J911" s="1887" t="s">
        <v>4833</v>
      </c>
    </row>
    <row r="912" spans="1:13" ht="12.75" customHeight="1">
      <c r="A912" s="1497">
        <v>561</v>
      </c>
      <c r="B912" s="2155" t="str">
        <f>VLOOKUP(A912,plasmids!$A$2:$B$910,2)</f>
        <v>pssAAV-CMV-hChR2(H134R)-WPRE</v>
      </c>
      <c r="C912" s="1503">
        <v>561.1</v>
      </c>
      <c r="D912" s="1505" t="s">
        <v>2771</v>
      </c>
      <c r="E912" s="2790"/>
      <c r="F912" s="1505" t="s">
        <v>881</v>
      </c>
      <c r="G912" s="1502">
        <v>0.24579999999999999</v>
      </c>
      <c r="H912" s="1505" t="s">
        <v>929</v>
      </c>
      <c r="I912" s="1505" t="s">
        <v>3128</v>
      </c>
      <c r="J912" s="2157"/>
    </row>
    <row r="913" spans="1:10" ht="12.75" customHeight="1">
      <c r="A913" s="1497">
        <v>561</v>
      </c>
      <c r="B913" s="2155" t="str">
        <f>VLOOKUP(A913,plasmids!$A$2:$B$910,2)</f>
        <v>pssAAV-CMV-hChR2(H134R)-WPRE</v>
      </c>
      <c r="C913" s="1503" t="s">
        <v>5009</v>
      </c>
      <c r="D913" s="1505" t="s">
        <v>2765</v>
      </c>
      <c r="E913" s="2790">
        <v>42242</v>
      </c>
      <c r="F913" s="1505" t="s">
        <v>881</v>
      </c>
      <c r="G913" s="1502" t="s">
        <v>5010</v>
      </c>
      <c r="H913" s="1505"/>
      <c r="I913" s="1505" t="s">
        <v>3128</v>
      </c>
      <c r="J913" s="1505" t="s">
        <v>5011</v>
      </c>
    </row>
    <row r="914" spans="1:10" ht="12.75" customHeight="1">
      <c r="A914" s="1497">
        <v>561</v>
      </c>
      <c r="B914" s="2155" t="str">
        <f>VLOOKUP(A914,plasmids!$A$2:$B$910,2)</f>
        <v>pssAAV-CMV-hChR2(H134R)-WPRE</v>
      </c>
      <c r="C914" s="1503" t="s">
        <v>5012</v>
      </c>
      <c r="D914" s="1505" t="s">
        <v>2765</v>
      </c>
      <c r="E914" s="2790">
        <v>42242</v>
      </c>
      <c r="F914" s="1505" t="s">
        <v>881</v>
      </c>
      <c r="G914" s="1502"/>
      <c r="H914" s="1505"/>
      <c r="I914" s="1505" t="s">
        <v>3128</v>
      </c>
      <c r="J914" s="1505" t="s">
        <v>5013</v>
      </c>
    </row>
    <row r="915" spans="1:10" ht="12.75" customHeight="1">
      <c r="A915" s="821">
        <v>562</v>
      </c>
      <c r="B915" s="2294" t="str">
        <f>VLOOKUP(A915,plasmids!$A$2:$B$910,2)</f>
        <v>pssAAV-mCar-hCatch-GFP</v>
      </c>
      <c r="C915" s="833">
        <v>562.1</v>
      </c>
      <c r="D915" s="835" t="s">
        <v>2771</v>
      </c>
      <c r="E915" s="836"/>
      <c r="F915" s="835" t="s">
        <v>881</v>
      </c>
      <c r="G915" s="831">
        <v>0.33169999999999999</v>
      </c>
      <c r="H915" s="835" t="s">
        <v>929</v>
      </c>
      <c r="I915" s="835" t="s">
        <v>3128</v>
      </c>
      <c r="J915" s="829"/>
    </row>
    <row r="916" spans="1:10" ht="12.75" customHeight="1">
      <c r="A916" s="821">
        <v>562</v>
      </c>
      <c r="B916" s="2294" t="str">
        <f>VLOOKUP(A916,plasmids!$A$2:$B$910,2)</f>
        <v>pssAAV-mCar-hCatch-GFP</v>
      </c>
      <c r="C916" s="833" t="s">
        <v>5014</v>
      </c>
      <c r="D916" s="835" t="s">
        <v>2765</v>
      </c>
      <c r="E916" s="836">
        <v>42236</v>
      </c>
      <c r="F916" s="835" t="s">
        <v>881</v>
      </c>
      <c r="G916" s="831" t="s">
        <v>5015</v>
      </c>
      <c r="H916" s="835" t="s">
        <v>929</v>
      </c>
      <c r="I916" s="835" t="s">
        <v>3128</v>
      </c>
      <c r="J916" s="835" t="s">
        <v>2844</v>
      </c>
    </row>
    <row r="917" spans="1:10" ht="12.75" customHeight="1">
      <c r="A917" s="2316">
        <v>563</v>
      </c>
      <c r="B917" s="2319" t="str">
        <f>VLOOKUP(A917,plasmids!$A$2:$B$910,2)</f>
        <v>pUC57-pR2,1</v>
      </c>
      <c r="C917" s="2322">
        <v>563.20000000000005</v>
      </c>
      <c r="D917" s="2795" t="s">
        <v>2771</v>
      </c>
      <c r="E917" s="2797">
        <v>42200</v>
      </c>
      <c r="F917" s="2795" t="s">
        <v>881</v>
      </c>
      <c r="G917" s="2329">
        <v>0.25740000000000002</v>
      </c>
      <c r="H917" s="2331"/>
      <c r="I917" s="2795" t="s">
        <v>3128</v>
      </c>
      <c r="J917" s="2331"/>
    </row>
    <row r="918" spans="1:10" ht="12.75" customHeight="1">
      <c r="A918" s="2316">
        <v>563</v>
      </c>
      <c r="B918" s="2319" t="str">
        <f>VLOOKUP(A918,plasmids!$A$2:$B$910,2)</f>
        <v>pUC57-pR2,1</v>
      </c>
      <c r="C918" s="2322">
        <v>563.1</v>
      </c>
      <c r="D918" s="2795" t="s">
        <v>4236</v>
      </c>
      <c r="E918" s="2797">
        <v>42198</v>
      </c>
      <c r="F918" s="2795" t="s">
        <v>881</v>
      </c>
      <c r="G918" s="2329">
        <v>0.2</v>
      </c>
      <c r="H918" s="2331"/>
      <c r="I918" s="2795"/>
      <c r="J918" s="2331"/>
    </row>
    <row r="919" spans="1:10" ht="12.75" customHeight="1">
      <c r="A919" s="796">
        <v>564</v>
      </c>
      <c r="B919" s="2389" t="str">
        <f>VLOOKUP(A919,plasmids!$A$2:$B$910,2)</f>
        <v>pssAAV-pR2,1-GFP</v>
      </c>
      <c r="C919" s="806">
        <v>564.20000000000005</v>
      </c>
      <c r="D919" s="808" t="s">
        <v>2771</v>
      </c>
      <c r="E919" s="810">
        <v>42200</v>
      </c>
      <c r="F919" s="808" t="s">
        <v>881</v>
      </c>
      <c r="G919" s="804">
        <v>0.28239999999999998</v>
      </c>
      <c r="H919" s="802"/>
      <c r="I919" s="808" t="s">
        <v>3128</v>
      </c>
      <c r="J919" s="802"/>
    </row>
    <row r="920" spans="1:10" ht="12.75" customHeight="1">
      <c r="A920" s="796">
        <v>564</v>
      </c>
      <c r="B920" s="2389" t="str">
        <f>VLOOKUP(A920,plasmids!$A$2:$B$910,2)</f>
        <v>pssAAV-pR2,1-GFP</v>
      </c>
      <c r="C920" s="806">
        <v>564.1</v>
      </c>
      <c r="D920" s="808" t="s">
        <v>4236</v>
      </c>
      <c r="E920" s="810">
        <v>42198</v>
      </c>
      <c r="F920" s="808" t="s">
        <v>881</v>
      </c>
      <c r="G920" s="804">
        <v>0.2</v>
      </c>
      <c r="H920" s="802"/>
      <c r="I920" s="808" t="s">
        <v>141</v>
      </c>
      <c r="J920" s="802"/>
    </row>
    <row r="921" spans="1:10" ht="12.75" customHeight="1">
      <c r="A921" s="796">
        <v>564</v>
      </c>
      <c r="B921" s="2389" t="str">
        <f>VLOOKUP(A921,plasmids!$A$2:$B$910,2)</f>
        <v>pssAAV-pR2,1-GFP</v>
      </c>
      <c r="C921" s="806">
        <v>564.29999999999995</v>
      </c>
      <c r="D921" s="808" t="s">
        <v>2765</v>
      </c>
      <c r="E921" s="810">
        <v>42207</v>
      </c>
      <c r="F921" s="808" t="s">
        <v>881</v>
      </c>
      <c r="G921" s="804">
        <v>0.84570000000000001</v>
      </c>
      <c r="H921" s="808" t="s">
        <v>929</v>
      </c>
      <c r="I921" s="808" t="s">
        <v>3128</v>
      </c>
      <c r="J921" s="808" t="s">
        <v>2844</v>
      </c>
    </row>
    <row r="922" spans="1:10" ht="12.75" customHeight="1">
      <c r="A922" s="779">
        <v>565</v>
      </c>
      <c r="B922" s="2802" t="str">
        <f>VLOOKUP(A922,plasmids!$A$2:$B$910,2)</f>
        <v>pUC57-pR1.7</v>
      </c>
      <c r="C922" s="791">
        <v>565.20000000000005</v>
      </c>
      <c r="D922" s="785" t="s">
        <v>2771</v>
      </c>
      <c r="E922" s="793">
        <v>42200</v>
      </c>
      <c r="F922" s="785" t="s">
        <v>881</v>
      </c>
      <c r="G922" s="787">
        <v>0.26700000000000002</v>
      </c>
      <c r="H922" s="789"/>
      <c r="I922" s="785" t="s">
        <v>3128</v>
      </c>
      <c r="J922" s="789"/>
    </row>
    <row r="923" spans="1:10" ht="12.75" customHeight="1">
      <c r="A923" s="779">
        <v>565</v>
      </c>
      <c r="B923" s="2802" t="str">
        <f>VLOOKUP(A923,plasmids!$A$2:$B$910,2)</f>
        <v>pUC57-pR1.7</v>
      </c>
      <c r="C923" s="791">
        <v>565.1</v>
      </c>
      <c r="D923" s="785" t="s">
        <v>4236</v>
      </c>
      <c r="E923" s="793">
        <v>42198</v>
      </c>
      <c r="F923" s="785" t="s">
        <v>881</v>
      </c>
      <c r="G923" s="787">
        <v>0.2</v>
      </c>
      <c r="H923" s="789"/>
      <c r="I923" s="785"/>
      <c r="J923" s="789"/>
    </row>
    <row r="924" spans="1:10" ht="12.75" customHeight="1">
      <c r="A924" s="2316">
        <v>566</v>
      </c>
      <c r="B924" s="2319" t="str">
        <f>VLOOKUP(A924,plasmids!$A$2:$B$910,2)</f>
        <v>pssAAV-pR1.7-GFP</v>
      </c>
      <c r="C924" s="2322">
        <v>566.20000000000005</v>
      </c>
      <c r="D924" s="2795" t="s">
        <v>2771</v>
      </c>
      <c r="E924" s="2797">
        <v>42200</v>
      </c>
      <c r="F924" s="2795" t="s">
        <v>881</v>
      </c>
      <c r="G924" s="2329">
        <v>0.26529999999999998</v>
      </c>
      <c r="H924" s="2331"/>
      <c r="I924" s="2795" t="s">
        <v>3128</v>
      </c>
      <c r="J924" s="2331"/>
    </row>
    <row r="925" spans="1:10" ht="12.75" customHeight="1">
      <c r="A925" s="2316">
        <v>566</v>
      </c>
      <c r="B925" s="2319" t="str">
        <f>VLOOKUP(A925,plasmids!$A$2:$B$910,2)</f>
        <v>pssAAV-pR1.7-GFP</v>
      </c>
      <c r="C925" s="2322">
        <v>566.1</v>
      </c>
      <c r="D925" s="2795" t="s">
        <v>4236</v>
      </c>
      <c r="E925" s="2797">
        <v>42198</v>
      </c>
      <c r="F925" s="2795" t="s">
        <v>881</v>
      </c>
      <c r="G925" s="2329">
        <v>0.2</v>
      </c>
      <c r="H925" s="2331"/>
      <c r="I925" s="2795"/>
      <c r="J925" s="2331"/>
    </row>
    <row r="926" spans="1:10" ht="12.75" customHeight="1">
      <c r="A926" s="2316">
        <v>566</v>
      </c>
      <c r="B926" s="2319" t="str">
        <f>VLOOKUP(A926,plasmids!$A$2:$B$910,2)</f>
        <v>pssAAV-pR1.7-GFP</v>
      </c>
      <c r="C926" s="2322">
        <v>566.29999999999995</v>
      </c>
      <c r="D926" s="2795" t="s">
        <v>2765</v>
      </c>
      <c r="E926" s="2797">
        <v>42207</v>
      </c>
      <c r="F926" s="2795" t="s">
        <v>881</v>
      </c>
      <c r="G926" s="2806" t="s">
        <v>4722</v>
      </c>
      <c r="H926" s="2795" t="s">
        <v>929</v>
      </c>
      <c r="I926" s="2795" t="s">
        <v>3128</v>
      </c>
      <c r="J926" s="2795" t="s">
        <v>2844</v>
      </c>
    </row>
    <row r="927" spans="1:10" ht="12.75" customHeight="1">
      <c r="A927" s="2316">
        <v>566</v>
      </c>
      <c r="B927" s="2319" t="str">
        <f>VLOOKUP(A927,plasmids!$A$2:$B$910,2)</f>
        <v>pssAAV-pR1.7-GFP</v>
      </c>
      <c r="C927" s="2322" t="s">
        <v>5018</v>
      </c>
      <c r="D927" s="2795" t="s">
        <v>2765</v>
      </c>
      <c r="E927" s="2797">
        <v>42516</v>
      </c>
      <c r="F927" s="2795" t="s">
        <v>881</v>
      </c>
      <c r="G927" s="2806" t="s">
        <v>5019</v>
      </c>
      <c r="H927" s="2795" t="s">
        <v>400</v>
      </c>
      <c r="I927" s="2795" t="s">
        <v>3128</v>
      </c>
      <c r="J927" s="2795" t="s">
        <v>2844</v>
      </c>
    </row>
    <row r="928" spans="1:10" ht="12.75" customHeight="1">
      <c r="A928" s="2316">
        <v>566</v>
      </c>
      <c r="B928" s="2319" t="str">
        <f>VLOOKUP(A928,plasmids!$A$2:$B$910,2)</f>
        <v>pssAAV-pR1.7-GFP</v>
      </c>
      <c r="C928" s="2322">
        <v>566.5</v>
      </c>
      <c r="D928" s="2795" t="s">
        <v>2765</v>
      </c>
      <c r="E928" s="2797">
        <v>42825</v>
      </c>
      <c r="F928" s="2795" t="s">
        <v>2126</v>
      </c>
      <c r="G928" s="2806"/>
      <c r="H928" s="2795"/>
      <c r="I928" s="2795" t="s">
        <v>3128</v>
      </c>
      <c r="J928" s="2795" t="s">
        <v>2844</v>
      </c>
    </row>
    <row r="929" spans="1:10" ht="12.75" customHeight="1">
      <c r="A929" s="2504">
        <v>567</v>
      </c>
      <c r="B929" s="2505" t="str">
        <f>VLOOKUP(A929,plasmids!$A$2:$B$910,2)</f>
        <v>pUC57-IRBP/GNAT2</v>
      </c>
      <c r="C929" s="2506">
        <v>567.20000000000005</v>
      </c>
      <c r="D929" s="2503" t="s">
        <v>2771</v>
      </c>
      <c r="E929" s="2508">
        <v>42200</v>
      </c>
      <c r="F929" s="2503" t="s">
        <v>881</v>
      </c>
      <c r="G929" s="2813">
        <v>0.37840000000000001</v>
      </c>
      <c r="H929" s="2511"/>
      <c r="I929" s="2503" t="s">
        <v>3128</v>
      </c>
      <c r="J929" s="2511"/>
    </row>
    <row r="930" spans="1:10" ht="12.75" customHeight="1">
      <c r="A930" s="2504">
        <v>567</v>
      </c>
      <c r="B930" s="2505" t="str">
        <f>VLOOKUP(A930,plasmids!$A$2:$B$910,2)</f>
        <v>pUC57-IRBP/GNAT2</v>
      </c>
      <c r="C930" s="2506">
        <v>567.1</v>
      </c>
      <c r="D930" s="2503" t="s">
        <v>4236</v>
      </c>
      <c r="E930" s="2508">
        <v>42198</v>
      </c>
      <c r="F930" s="2503" t="s">
        <v>881</v>
      </c>
      <c r="G930" s="2813">
        <v>0.2</v>
      </c>
      <c r="H930" s="2511"/>
      <c r="I930" s="2503"/>
      <c r="J930" s="2511"/>
    </row>
    <row r="931" spans="1:10" ht="12.75" customHeight="1">
      <c r="A931" s="2817">
        <v>568</v>
      </c>
      <c r="B931" s="2820" t="str">
        <f>VLOOKUP(A931,plasmids!$A$2:$B$910,2)</f>
        <v>pssAAV-IRBP/GNAT2-GFP</v>
      </c>
      <c r="C931" s="2822">
        <v>568.20000000000005</v>
      </c>
      <c r="D931" s="2824" t="s">
        <v>2771</v>
      </c>
      <c r="E931" s="2826">
        <v>42200</v>
      </c>
      <c r="F931" s="2824" t="s">
        <v>881</v>
      </c>
      <c r="G931" s="2827">
        <v>0.63329999999999997</v>
      </c>
      <c r="H931" s="2828"/>
      <c r="I931" s="2824" t="s">
        <v>3128</v>
      </c>
      <c r="J931" s="2828"/>
    </row>
    <row r="932" spans="1:10" ht="12.75" customHeight="1">
      <c r="A932" s="2817">
        <v>568</v>
      </c>
      <c r="B932" s="2820" t="str">
        <f>VLOOKUP(A932,plasmids!$A$2:$B$910,2)</f>
        <v>pssAAV-IRBP/GNAT2-GFP</v>
      </c>
      <c r="C932" s="2822">
        <v>568.1</v>
      </c>
      <c r="D932" s="2824" t="s">
        <v>4236</v>
      </c>
      <c r="E932" s="2826">
        <v>42198</v>
      </c>
      <c r="F932" s="2824" t="s">
        <v>881</v>
      </c>
      <c r="G932" s="2827">
        <v>0.2</v>
      </c>
      <c r="H932" s="2828"/>
      <c r="I932" s="2824"/>
      <c r="J932" s="2828"/>
    </row>
    <row r="933" spans="1:10" ht="12.75" customHeight="1">
      <c r="A933" s="2817">
        <v>568</v>
      </c>
      <c r="B933" s="2820" t="str">
        <f>VLOOKUP(A933,plasmids!$A$2:$B$910,2)</f>
        <v>pssAAV-IRBP/GNAT2-GFP</v>
      </c>
      <c r="C933" s="2822">
        <v>568.29999999999995</v>
      </c>
      <c r="D933" s="2824" t="s">
        <v>2765</v>
      </c>
      <c r="E933" s="2826">
        <v>42207</v>
      </c>
      <c r="F933" s="2824" t="s">
        <v>881</v>
      </c>
      <c r="G933" s="2829">
        <v>1.0438000000000001</v>
      </c>
      <c r="H933" s="2824" t="s">
        <v>929</v>
      </c>
      <c r="I933" s="2824" t="s">
        <v>3128</v>
      </c>
      <c r="J933" s="2824" t="s">
        <v>2844</v>
      </c>
    </row>
    <row r="934" spans="1:10" ht="12.75" customHeight="1">
      <c r="A934" s="2515">
        <v>569</v>
      </c>
      <c r="B934" s="2518" t="str">
        <f>VLOOKUP(A934,plasmids!$A$2:$B$910,2)</f>
        <v>pUC57-CAPsh873</v>
      </c>
      <c r="C934" s="2520">
        <v>569.20000000000005</v>
      </c>
      <c r="D934" s="688" t="s">
        <v>2771</v>
      </c>
      <c r="E934" s="2830">
        <v>42200</v>
      </c>
      <c r="F934" s="688" t="s">
        <v>881</v>
      </c>
      <c r="G934" s="2525">
        <v>0.42659999999999998</v>
      </c>
      <c r="H934" s="2527"/>
      <c r="I934" s="688" t="s">
        <v>3128</v>
      </c>
      <c r="J934" s="2527"/>
    </row>
    <row r="935" spans="1:10" ht="12.75" customHeight="1">
      <c r="A935" s="2515">
        <v>569</v>
      </c>
      <c r="B935" s="2518" t="str">
        <f>VLOOKUP(A935,plasmids!$A$2:$B$910,2)</f>
        <v>pUC57-CAPsh873</v>
      </c>
      <c r="C935" s="2520">
        <v>569.1</v>
      </c>
      <c r="D935" s="688" t="s">
        <v>4236</v>
      </c>
      <c r="E935" s="2830">
        <v>42198</v>
      </c>
      <c r="F935" s="688" t="s">
        <v>881</v>
      </c>
      <c r="G935" s="2525">
        <v>0.2</v>
      </c>
      <c r="H935" s="2527"/>
      <c r="I935" s="688"/>
      <c r="J935" s="2527"/>
    </row>
    <row r="936" spans="1:10" ht="12.75" customHeight="1">
      <c r="A936" s="1045">
        <v>570</v>
      </c>
      <c r="B936" s="2372" t="str">
        <f>VLOOKUP(A936,plasmids!$A$2:$B$910,2)</f>
        <v>puc19-CAPsh</v>
      </c>
      <c r="C936" s="1051">
        <v>570.20000000000005</v>
      </c>
      <c r="D936" s="1052" t="s">
        <v>2771</v>
      </c>
      <c r="E936" s="1053">
        <v>42200</v>
      </c>
      <c r="F936" s="1052" t="s">
        <v>881</v>
      </c>
      <c r="G936" s="1050">
        <v>0.22620000000000001</v>
      </c>
      <c r="H936" s="1049"/>
      <c r="I936" s="1052" t="s">
        <v>3128</v>
      </c>
      <c r="J936" s="1049"/>
    </row>
    <row r="937" spans="1:10" ht="12.75" customHeight="1">
      <c r="A937" s="1045">
        <v>570</v>
      </c>
      <c r="B937" s="2372" t="str">
        <f>VLOOKUP(A937,plasmids!$A$2:$B$910,2)</f>
        <v>puc19-CAPsh</v>
      </c>
      <c r="C937" s="1051">
        <v>570.1</v>
      </c>
      <c r="D937" s="1052" t="s">
        <v>4236</v>
      </c>
      <c r="E937" s="1053">
        <v>42198</v>
      </c>
      <c r="F937" s="1052" t="s">
        <v>881</v>
      </c>
      <c r="G937" s="1050">
        <v>0.2</v>
      </c>
      <c r="H937" s="1049"/>
      <c r="I937" s="1052"/>
      <c r="J937" s="1049"/>
    </row>
    <row r="938" spans="1:10" ht="12.75" customHeight="1">
      <c r="A938" s="1230">
        <v>571</v>
      </c>
      <c r="B938" s="2185" t="str">
        <f>VLOOKUP(A938,plasmids!$A$2:$B$910,2)</f>
        <v>pssAAV-CAG-ChrimsonR-FLAG</v>
      </c>
      <c r="C938" s="1236" t="s">
        <v>5024</v>
      </c>
      <c r="D938" s="1237" t="s">
        <v>2771</v>
      </c>
      <c r="E938" s="2831"/>
      <c r="F938" s="1237" t="s">
        <v>881</v>
      </c>
      <c r="G938" s="2832"/>
      <c r="H938" s="1234"/>
      <c r="I938" s="1234"/>
      <c r="J938" s="1234"/>
    </row>
    <row r="939" spans="1:10" ht="12.75" customHeight="1">
      <c r="A939" s="2834">
        <v>571</v>
      </c>
      <c r="B939" s="2836" t="str">
        <f>VLOOKUP(A939,plasmids!$A$2:$B$910,2)</f>
        <v>pssAAV-CAG-ChrimsonR-FLAG</v>
      </c>
      <c r="C939" s="2838" t="s">
        <v>5027</v>
      </c>
      <c r="D939" s="2839" t="s">
        <v>2771</v>
      </c>
      <c r="E939" s="2840">
        <v>42236</v>
      </c>
      <c r="F939" s="2839" t="s">
        <v>881</v>
      </c>
      <c r="G939" s="2842" t="s">
        <v>5028</v>
      </c>
      <c r="H939" s="2844"/>
      <c r="I939" s="2844"/>
      <c r="J939" s="1237" t="s">
        <v>2073</v>
      </c>
    </row>
    <row r="940" spans="1:10" ht="12.75" customHeight="1">
      <c r="A940" s="1230">
        <v>571</v>
      </c>
      <c r="B940" s="2185" t="str">
        <f>VLOOKUP(A940,plasmids!$A$2:$B$910,2)</f>
        <v>pssAAV-CAG-ChrimsonR-FLAG</v>
      </c>
      <c r="C940" s="1236" t="s">
        <v>5030</v>
      </c>
      <c r="D940" s="1237" t="s">
        <v>2765</v>
      </c>
      <c r="E940" s="2845">
        <v>42250</v>
      </c>
      <c r="F940" s="1237" t="s">
        <v>881</v>
      </c>
      <c r="G940" s="1235" t="s">
        <v>5031</v>
      </c>
      <c r="H940" s="1234"/>
      <c r="I940" s="1234"/>
      <c r="J940" s="1234"/>
    </row>
    <row r="941" spans="1:10" ht="12.75" customHeight="1">
      <c r="A941" s="621">
        <v>572</v>
      </c>
      <c r="B941" s="1981" t="str">
        <f>VLOOKUP(A941,plasmids!$A$2:$B$910,2)</f>
        <v>pAAV-Lin-AchR</v>
      </c>
      <c r="C941" s="1" t="s">
        <v>5032</v>
      </c>
      <c r="D941" s="54" t="s">
        <v>2765</v>
      </c>
      <c r="E941" s="658" t="s">
        <v>141</v>
      </c>
      <c r="F941" s="54" t="s">
        <v>5033</v>
      </c>
      <c r="G941" s="482">
        <v>1.2</v>
      </c>
      <c r="J941" s="54" t="s">
        <v>5035</v>
      </c>
    </row>
    <row r="942" spans="1:10" ht="12.75" customHeight="1">
      <c r="A942" s="1845">
        <v>573</v>
      </c>
      <c r="B942" s="1846" t="str">
        <f>VLOOKUP(A942,plasmids!$A$2:$B$910,2)</f>
        <v>pssAAV-SNCG-ChrimsonR-tdTomato</v>
      </c>
      <c r="C942" s="1847" t="s">
        <v>5036</v>
      </c>
      <c r="D942" s="1887" t="s">
        <v>2771</v>
      </c>
      <c r="E942" s="2846"/>
      <c r="F942" s="1887" t="s">
        <v>881</v>
      </c>
      <c r="G942" s="1849" t="s">
        <v>5037</v>
      </c>
      <c r="H942" s="1339"/>
      <c r="I942" s="1887" t="s">
        <v>3128</v>
      </c>
      <c r="J942" s="1339"/>
    </row>
    <row r="943" spans="1:10" ht="12.75" customHeight="1">
      <c r="A943" s="1845">
        <v>573</v>
      </c>
      <c r="B943" s="1846" t="str">
        <f>VLOOKUP(A943,plasmids!$A$2:$B$910,2)</f>
        <v>pssAAV-SNCG-ChrimsonR-tdTomato</v>
      </c>
      <c r="C943" s="1847" t="s">
        <v>5038</v>
      </c>
      <c r="D943" s="1887" t="s">
        <v>2765</v>
      </c>
      <c r="E943" s="2788">
        <v>42250</v>
      </c>
      <c r="F943" s="1887" t="s">
        <v>881</v>
      </c>
      <c r="G943" s="1849">
        <v>1.0249999999999999</v>
      </c>
      <c r="H943" s="1339"/>
      <c r="I943" s="1887"/>
      <c r="J943" s="1339"/>
    </row>
    <row r="944" spans="1:10" ht="12.75" customHeight="1">
      <c r="A944" s="2412">
        <v>574</v>
      </c>
      <c r="B944" s="2415" t="str">
        <f>VLOOKUP(A944,plasmids!$A$2:$B$910,2)</f>
        <v>ShH19</v>
      </c>
      <c r="C944" s="2434" t="s">
        <v>5039</v>
      </c>
      <c r="D944" s="1209" t="s">
        <v>2771</v>
      </c>
      <c r="E944" s="2847"/>
      <c r="F944" s="1209" t="s">
        <v>881</v>
      </c>
      <c r="G944" s="2438" t="s">
        <v>5041</v>
      </c>
      <c r="H944" s="1208"/>
      <c r="I944" s="1209" t="s">
        <v>3181</v>
      </c>
      <c r="J944" s="1208"/>
    </row>
    <row r="945" spans="1:13" ht="12.75" customHeight="1">
      <c r="A945" s="2412">
        <v>574</v>
      </c>
      <c r="B945" s="2415" t="str">
        <f>VLOOKUP(A945,plasmids!$A$2:$B$910,2)</f>
        <v>ShH19</v>
      </c>
      <c r="C945" s="2434" t="s">
        <v>5042</v>
      </c>
      <c r="D945" s="1209" t="s">
        <v>2765</v>
      </c>
      <c r="E945" s="2451">
        <v>42250</v>
      </c>
      <c r="F945" s="1209" t="s">
        <v>881</v>
      </c>
      <c r="G945" s="2438"/>
      <c r="H945" s="1208"/>
      <c r="I945" s="1209"/>
      <c r="J945" s="1208"/>
    </row>
    <row r="946" spans="1:13" ht="12.75" customHeight="1">
      <c r="A946" s="1195">
        <v>575</v>
      </c>
      <c r="B946" s="1938" t="str">
        <f>VLOOKUP(A946,plasmids!$A$2:$B$910,2)</f>
        <v>pssAAV-CAG-ChrimsonR-FLAG-tdTomato-hghpa</v>
      </c>
      <c r="C946" s="1204" t="s">
        <v>5043</v>
      </c>
      <c r="D946" s="1457" t="s">
        <v>2771</v>
      </c>
      <c r="E946" s="1730"/>
      <c r="F946" s="1457" t="s">
        <v>881</v>
      </c>
      <c r="G946" s="1199" t="s">
        <v>5044</v>
      </c>
      <c r="H946" s="647"/>
      <c r="I946" s="1457" t="s">
        <v>3128</v>
      </c>
      <c r="J946" s="647"/>
    </row>
    <row r="947" spans="1:13" ht="12.75" customHeight="1">
      <c r="A947" s="1195">
        <v>575</v>
      </c>
      <c r="B947" s="1938" t="str">
        <f>VLOOKUP(A947,plasmids!$A$2:$B$910,2)</f>
        <v>pssAAV-CAG-ChrimsonR-FLAG-tdTomato-hghpa</v>
      </c>
      <c r="C947" s="1204" t="s">
        <v>5045</v>
      </c>
      <c r="D947" s="1457" t="s">
        <v>2765</v>
      </c>
      <c r="E947" s="1206">
        <v>42299</v>
      </c>
      <c r="F947" s="1457" t="s">
        <v>881</v>
      </c>
      <c r="G947" s="1199">
        <v>0.39579999999999999</v>
      </c>
      <c r="H947" s="1457" t="s">
        <v>400</v>
      </c>
      <c r="I947" s="1457" t="s">
        <v>3128</v>
      </c>
      <c r="J947" s="1457" t="s">
        <v>2844</v>
      </c>
    </row>
    <row r="948" spans="1:13" ht="12.75" customHeight="1">
      <c r="A948" s="621">
        <v>576</v>
      </c>
      <c r="B948" s="1981" t="str">
        <f>VLOOKUP(A948,plasmids!$A$2:$B$910,2)</f>
        <v>pssAAV-mCar-ReachR</v>
      </c>
      <c r="C948" s="1" t="s">
        <v>5046</v>
      </c>
      <c r="D948" s="54" t="s">
        <v>2771</v>
      </c>
      <c r="E948" s="758"/>
      <c r="F948" s="54" t="s">
        <v>881</v>
      </c>
      <c r="G948" s="755" t="s">
        <v>5047</v>
      </c>
      <c r="I948" s="54" t="s">
        <v>3128</v>
      </c>
    </row>
    <row r="949" spans="1:13" ht="12.75" customHeight="1">
      <c r="A949" s="621">
        <v>577</v>
      </c>
      <c r="B949" s="1981" t="str">
        <f>VLOOKUP(A949,plasmids!$A$2:$B$910,2)</f>
        <v>pLenti-hSyn-ReachR</v>
      </c>
      <c r="C949" s="1" t="s">
        <v>5049</v>
      </c>
      <c r="D949" s="54" t="s">
        <v>2771</v>
      </c>
      <c r="E949" s="758"/>
      <c r="F949" s="54" t="s">
        <v>881</v>
      </c>
      <c r="G949" s="755" t="s">
        <v>5050</v>
      </c>
      <c r="I949" s="54" t="s">
        <v>3128</v>
      </c>
    </row>
    <row r="950" spans="1:13" ht="12.75" customHeight="1">
      <c r="A950" s="931">
        <v>578</v>
      </c>
      <c r="B950" s="1929" t="str">
        <f>VLOOKUP(A950,plasmids!$A$2:$B$910,2)</f>
        <v>pssAAV-spacer-CMV-hCatch-WPRE</v>
      </c>
      <c r="C950" s="1016" t="s">
        <v>5051</v>
      </c>
      <c r="D950" s="228" t="s">
        <v>2771</v>
      </c>
      <c r="E950" s="1144"/>
      <c r="F950" s="228" t="s">
        <v>881</v>
      </c>
      <c r="G950" s="1014" t="s">
        <v>5052</v>
      </c>
      <c r="H950" s="229"/>
      <c r="I950" s="228" t="s">
        <v>3128</v>
      </c>
      <c r="J950" s="229"/>
    </row>
    <row r="951" spans="1:13" ht="12.75" customHeight="1">
      <c r="A951" s="931">
        <v>578</v>
      </c>
      <c r="B951" s="1929" t="str">
        <f>VLOOKUP(A951,plasmids!$A$2:$B$910,2)</f>
        <v>pssAAV-spacer-CMV-hCatch-WPRE</v>
      </c>
      <c r="C951" s="1016" t="s">
        <v>5053</v>
      </c>
      <c r="D951" s="228" t="s">
        <v>2765</v>
      </c>
      <c r="E951" s="1115">
        <v>42299</v>
      </c>
      <c r="F951" s="228" t="s">
        <v>881</v>
      </c>
      <c r="G951" s="1014">
        <v>0.90349999999999997</v>
      </c>
      <c r="H951" s="228" t="s">
        <v>400</v>
      </c>
      <c r="I951" s="228" t="s">
        <v>3128</v>
      </c>
      <c r="J951" s="228" t="s">
        <v>2844</v>
      </c>
    </row>
    <row r="952" spans="1:13" ht="12.75" customHeight="1">
      <c r="A952" s="1773">
        <v>579</v>
      </c>
      <c r="B952" s="1777" t="str">
        <f>VLOOKUP(A952,plasmids!$A$2:$B$910,2)</f>
        <v>pAAV-CMV-SWO-mcherry (flex?)</v>
      </c>
      <c r="C952" s="1778" t="s">
        <v>5054</v>
      </c>
      <c r="D952" s="2853" t="s">
        <v>2765</v>
      </c>
      <c r="E952" s="2855">
        <v>42306</v>
      </c>
      <c r="F952" s="2853" t="s">
        <v>881</v>
      </c>
      <c r="G952" s="1782" t="s">
        <v>5055</v>
      </c>
      <c r="H952" s="2853" t="s">
        <v>400</v>
      </c>
      <c r="I952" s="2853" t="s">
        <v>3128</v>
      </c>
      <c r="J952" s="2853" t="s">
        <v>5056</v>
      </c>
    </row>
    <row r="953" spans="1:13" ht="12.75" customHeight="1">
      <c r="A953" s="1773">
        <v>579</v>
      </c>
      <c r="B953" s="1777" t="str">
        <f>VLOOKUP(A953,plasmids!$A$2:$B$910,2)</f>
        <v>pAAV-CMV-SWO-mcherry (flex?)</v>
      </c>
      <c r="C953" s="1778" t="s">
        <v>5057</v>
      </c>
      <c r="D953" s="2853" t="s">
        <v>2771</v>
      </c>
      <c r="E953" s="2855"/>
      <c r="F953" s="2853" t="s">
        <v>881</v>
      </c>
      <c r="G953" s="1782">
        <v>0.1026</v>
      </c>
      <c r="H953" s="2853"/>
      <c r="I953" s="2853"/>
      <c r="J953" s="2853"/>
    </row>
    <row r="954" spans="1:13" ht="12.75" customHeight="1">
      <c r="A954" s="1692">
        <v>580</v>
      </c>
      <c r="B954" s="2394" t="str">
        <f>VLOOKUP(A954,plasmids!$A$2:$B$910,2)</f>
        <v>pAAV-CMV-DIO-vSWO-mCherry</v>
      </c>
      <c r="C954" s="1702" t="s">
        <v>5058</v>
      </c>
      <c r="D954" s="1841" t="s">
        <v>2765</v>
      </c>
      <c r="E954" s="2708">
        <v>42306</v>
      </c>
      <c r="F954" s="1841" t="s">
        <v>881</v>
      </c>
      <c r="G954" s="1699" t="s">
        <v>5059</v>
      </c>
      <c r="H954" s="1841" t="s">
        <v>400</v>
      </c>
      <c r="I954" s="1841" t="s">
        <v>3128</v>
      </c>
      <c r="J954" s="1841" t="s">
        <v>5056</v>
      </c>
    </row>
    <row r="955" spans="1:13" ht="12.75" customHeight="1">
      <c r="A955" s="1692">
        <v>580</v>
      </c>
      <c r="B955" s="2394" t="str">
        <f>VLOOKUP(A955,plasmids!$A$2:$B$910,2)</f>
        <v>pAAV-CMV-DIO-vSWO-mCherry</v>
      </c>
      <c r="C955" s="1702" t="s">
        <v>5060</v>
      </c>
      <c r="D955" s="1841" t="s">
        <v>2771</v>
      </c>
      <c r="E955" s="2708"/>
      <c r="F955" s="1841" t="s">
        <v>881</v>
      </c>
      <c r="G955" s="1699">
        <v>8.7499999999999994E-2</v>
      </c>
      <c r="H955" s="1841"/>
      <c r="I955" s="1841"/>
      <c r="J955" s="1841"/>
    </row>
    <row r="956" spans="1:13" ht="12.75" customHeight="1">
      <c r="A956" s="2658">
        <v>581</v>
      </c>
      <c r="B956" s="2862" t="s">
        <v>1975</v>
      </c>
      <c r="C956" s="2661" t="s">
        <v>5061</v>
      </c>
      <c r="D956" s="2670" t="s">
        <v>2765</v>
      </c>
      <c r="E956" s="2666">
        <v>42326</v>
      </c>
      <c r="F956" s="2670" t="s">
        <v>1549</v>
      </c>
      <c r="G956" s="2668" t="s">
        <v>5062</v>
      </c>
      <c r="H956" s="2670" t="s">
        <v>3833</v>
      </c>
      <c r="I956" s="2670" t="s">
        <v>4845</v>
      </c>
      <c r="J956" s="2665"/>
    </row>
    <row r="957" spans="1:13" ht="12.75" customHeight="1">
      <c r="A957" s="621">
        <v>582</v>
      </c>
      <c r="B957" s="1981" t="str">
        <f>VLOOKUP(A957,plasmids!$A$2:$B$910,2)</f>
        <v>pGP-CMV-NES-jRGEC01a</v>
      </c>
      <c r="C957" s="1" t="s">
        <v>5063</v>
      </c>
      <c r="D957" s="54" t="s">
        <v>2771</v>
      </c>
      <c r="E957" s="1032">
        <v>42335</v>
      </c>
      <c r="F957" s="54" t="s">
        <v>881</v>
      </c>
      <c r="G957" s="755" t="s">
        <v>5064</v>
      </c>
      <c r="I957" s="54" t="s">
        <v>141</v>
      </c>
      <c r="J957" s="54" t="s">
        <v>5066</v>
      </c>
    </row>
    <row r="958" spans="1:13" ht="12.75" customHeight="1">
      <c r="A958" s="621">
        <v>583</v>
      </c>
      <c r="B958" s="1981" t="str">
        <f>VLOOKUP(A958,plasmids!$A$2:$B$910,2)</f>
        <v>pAAV-SYN-ChR2(H134R)-EYFP-KV2,1</v>
      </c>
      <c r="C958" s="757"/>
      <c r="E958" s="758"/>
      <c r="G958" s="755" t="s">
        <v>5067</v>
      </c>
    </row>
    <row r="959" spans="1:13" ht="12.75" customHeight="1">
      <c r="A959" s="931">
        <v>584</v>
      </c>
      <c r="B959" s="1929" t="str">
        <f>VLOOKUP(A959,plasmids!$A$2:$B$910,2)</f>
        <v>pAAV-CMV-RdCVFs-bghpA-CMV-RdCVFL-bghpA</v>
      </c>
      <c r="C959" s="1016" t="s">
        <v>5068</v>
      </c>
      <c r="D959" s="229"/>
      <c r="E959" s="1144"/>
      <c r="F959" s="228" t="s">
        <v>1987</v>
      </c>
      <c r="G959" s="1014">
        <v>1</v>
      </c>
      <c r="H959" s="229"/>
      <c r="I959" s="229"/>
      <c r="J959" s="228" t="s">
        <v>5069</v>
      </c>
      <c r="K959" s="229"/>
      <c r="L959" s="229"/>
      <c r="M959" s="229"/>
    </row>
    <row r="960" spans="1:13" ht="12.75" customHeight="1">
      <c r="A960" s="931">
        <v>584</v>
      </c>
      <c r="B960" s="1929" t="str">
        <f>VLOOKUP(A960,plasmids!$A$2:$B$910,2)</f>
        <v>pAAV-CMV-RdCVFs-bghpA-CMV-RdCVFL-bghpA</v>
      </c>
      <c r="C960" s="1016" t="s">
        <v>5070</v>
      </c>
      <c r="D960" s="228" t="s">
        <v>2771</v>
      </c>
      <c r="E960" s="1115">
        <v>42524</v>
      </c>
      <c r="F960" s="228" t="s">
        <v>881</v>
      </c>
      <c r="G960" s="1014" t="s">
        <v>5071</v>
      </c>
      <c r="H960" s="228" t="s">
        <v>5072</v>
      </c>
      <c r="I960" s="228" t="s">
        <v>3181</v>
      </c>
      <c r="J960" s="228" t="s">
        <v>3875</v>
      </c>
      <c r="K960" s="229"/>
      <c r="L960" s="229"/>
      <c r="M960" s="229"/>
    </row>
    <row r="961" spans="1:13" ht="12.75" customHeight="1">
      <c r="A961" s="902">
        <v>585</v>
      </c>
      <c r="B961" s="2354" t="str">
        <f>VLOOKUP(A961,plasmids!$A$2:$B$910,2)</f>
        <v>pAAV-CMV-hRdCVFs-bghpA-CMV-hRdCVFs-bghpA</v>
      </c>
      <c r="C961" s="911" t="s">
        <v>5074</v>
      </c>
      <c r="D961" s="907"/>
      <c r="E961" s="2696"/>
      <c r="F961" s="913" t="s">
        <v>1987</v>
      </c>
      <c r="G961" s="909">
        <v>1</v>
      </c>
      <c r="H961" s="907"/>
      <c r="I961" s="907"/>
      <c r="J961" s="913" t="s">
        <v>5075</v>
      </c>
      <c r="K961" s="907"/>
      <c r="L961" s="907"/>
      <c r="M961" s="907"/>
    </row>
    <row r="962" spans="1:13" ht="12.75" customHeight="1">
      <c r="A962" s="902">
        <v>585</v>
      </c>
      <c r="B962" s="2354" t="str">
        <f>VLOOKUP(A962,plasmids!$A$2:$B$910,2)</f>
        <v>pAAV-CMV-hRdCVFs-bghpA-CMV-hRdCVFs-bghpA</v>
      </c>
      <c r="C962" s="911" t="s">
        <v>5076</v>
      </c>
      <c r="D962" s="913" t="s">
        <v>2771</v>
      </c>
      <c r="E962" s="915">
        <v>42524</v>
      </c>
      <c r="F962" s="913" t="s">
        <v>881</v>
      </c>
      <c r="G962" s="909" t="s">
        <v>5077</v>
      </c>
      <c r="H962" s="913" t="s">
        <v>3833</v>
      </c>
      <c r="I962" s="913" t="s">
        <v>3181</v>
      </c>
      <c r="J962" s="913" t="s">
        <v>3875</v>
      </c>
      <c r="K962" s="907"/>
      <c r="L962" s="907"/>
      <c r="M962" s="907"/>
    </row>
    <row r="963" spans="1:13" ht="12.75" customHeight="1">
      <c r="A963" s="621">
        <v>586</v>
      </c>
      <c r="B963" s="1981" t="str">
        <f>VLOOKUP(A963,plasmids!$A$2:$B$910,2)</f>
        <v>pssAAV-CAG-flex-ReachR-Citrine</v>
      </c>
      <c r="C963" s="757"/>
      <c r="D963" s="54" t="s">
        <v>2771</v>
      </c>
      <c r="E963" s="758"/>
      <c r="F963" s="54" t="s">
        <v>881</v>
      </c>
      <c r="G963" s="755" t="s">
        <v>5078</v>
      </c>
    </row>
    <row r="964" spans="1:13" ht="12.75" customHeight="1">
      <c r="A964" s="621">
        <v>587</v>
      </c>
      <c r="B964" s="1981" t="str">
        <f>VLOOKUP(A964,plasmids!$A$2:$B$910,2)</f>
        <v>pssAAV-CAG-GFP</v>
      </c>
      <c r="C964" s="757"/>
      <c r="D964" s="54" t="s">
        <v>2771</v>
      </c>
      <c r="E964" s="758"/>
      <c r="F964" s="54" t="s">
        <v>881</v>
      </c>
      <c r="G964" s="755" t="s">
        <v>5079</v>
      </c>
    </row>
    <row r="965" spans="1:13" ht="12.75" customHeight="1">
      <c r="A965" s="2048">
        <v>588</v>
      </c>
      <c r="B965" s="2050" t="str">
        <f>VLOOKUP(A965,plasmids!$A$2:$B$910,2)</f>
        <v>pscAAV-hRho-GFP</v>
      </c>
      <c r="C965" s="2051" t="s">
        <v>5080</v>
      </c>
      <c r="D965" s="2865" t="s">
        <v>2771</v>
      </c>
      <c r="E965" s="2866"/>
      <c r="F965" s="2865" t="s">
        <v>881</v>
      </c>
      <c r="G965" s="2056" t="s">
        <v>5081</v>
      </c>
      <c r="H965" s="2057"/>
      <c r="I965" s="2865" t="s">
        <v>3128</v>
      </c>
      <c r="J965" s="2057"/>
    </row>
    <row r="966" spans="1:13" ht="12.75" customHeight="1">
      <c r="A966" s="2048">
        <v>588</v>
      </c>
      <c r="B966" s="2050" t="str">
        <f>VLOOKUP(A966,plasmids!$A$2:$B$910,2)</f>
        <v>pscAAV-hRho-GFP</v>
      </c>
      <c r="C966" s="2051" t="s">
        <v>5082</v>
      </c>
      <c r="D966" s="2865" t="s">
        <v>2765</v>
      </c>
      <c r="E966" s="2867">
        <v>42382</v>
      </c>
      <c r="F966" s="2865" t="s">
        <v>881</v>
      </c>
      <c r="G966" s="2056" t="s">
        <v>5083</v>
      </c>
      <c r="H966" s="2057"/>
      <c r="I966" s="2865" t="s">
        <v>3128</v>
      </c>
      <c r="J966" s="2057"/>
    </row>
    <row r="967" spans="1:13" ht="12.75" customHeight="1">
      <c r="A967" s="621">
        <v>589</v>
      </c>
      <c r="B967" s="1981" t="str">
        <f>VLOOKUP(A967,plasmids!$A$2:$B$910,2)</f>
        <v xml:space="preserve">pscAAV-CAG-GFP-2A-mRdCVF2 </v>
      </c>
      <c r="C967" s="1" t="s">
        <v>5084</v>
      </c>
      <c r="E967" s="758"/>
      <c r="F967" s="54" t="s">
        <v>2225</v>
      </c>
      <c r="G967" s="755">
        <v>1</v>
      </c>
      <c r="H967" s="54" t="s">
        <v>141</v>
      </c>
      <c r="J967" s="54" t="s">
        <v>5085</v>
      </c>
    </row>
    <row r="968" spans="1:13" ht="12.75" customHeight="1">
      <c r="A968" s="621">
        <v>590</v>
      </c>
      <c r="B968" s="1981" t="str">
        <f>VLOOKUP(A968,plasmids!$A$2:$B$910,2)</f>
        <v xml:space="preserve">pscAAV-CAG-GFP-2A-mRdCVF2L </v>
      </c>
      <c r="C968" s="1" t="s">
        <v>5086</v>
      </c>
      <c r="E968" s="758"/>
      <c r="F968" s="54" t="s">
        <v>2225</v>
      </c>
      <c r="G968" s="755">
        <v>1</v>
      </c>
      <c r="H968" s="54" t="s">
        <v>141</v>
      </c>
      <c r="J968" s="54" t="s">
        <v>5085</v>
      </c>
    </row>
    <row r="969" spans="1:13" ht="12.75" customHeight="1">
      <c r="A969" s="621">
        <v>591</v>
      </c>
      <c r="B969" s="1981" t="str">
        <f>VLOOKUP(A969,plasmids!$A$2:$B$910,2)</f>
        <v>pAAV-Ef1a-DIO-vMo-eGFP-CT2A</v>
      </c>
      <c r="C969" s="757"/>
      <c r="E969" s="758"/>
      <c r="G969" s="754"/>
    </row>
    <row r="970" spans="1:13" ht="12.75" customHeight="1">
      <c r="A970" s="621">
        <v>592</v>
      </c>
      <c r="B970" s="1981" t="str">
        <f>VLOOKUP(A970,plasmids!$A$2:$B$910,2)</f>
        <v>pAAV-Ef1a-DIO-vMo-eGFP-CT2C</v>
      </c>
      <c r="C970" s="757"/>
      <c r="E970" s="758"/>
      <c r="G970" s="754"/>
    </row>
    <row r="971" spans="1:13" ht="12.75" customHeight="1">
      <c r="A971" s="621">
        <v>593</v>
      </c>
      <c r="B971" s="1981" t="str">
        <f>VLOOKUP(A971,plasmids!$A$2:$B$910,2)</f>
        <v>pAAV-CMV-vMo-eGFP-CT2A</v>
      </c>
      <c r="C971" s="757"/>
      <c r="E971" s="758"/>
      <c r="G971" s="754"/>
    </row>
    <row r="972" spans="1:13" ht="12.75" customHeight="1">
      <c r="A972" s="1224">
        <v>594</v>
      </c>
      <c r="B972" s="1550" t="str">
        <f>VLOOKUP(A972,plasmids!$A$2:$B$910,2)</f>
        <v>pscAAV-flox-CAG-hCatCh-YFP</v>
      </c>
      <c r="C972" s="1228" t="s">
        <v>5087</v>
      </c>
      <c r="D972" s="1214" t="s">
        <v>2771</v>
      </c>
      <c r="E972" s="2358"/>
      <c r="F972" s="1214" t="s">
        <v>881</v>
      </c>
      <c r="G972" s="2868" t="s">
        <v>5088</v>
      </c>
      <c r="H972" s="1213"/>
      <c r="I972" s="1214" t="s">
        <v>3128</v>
      </c>
      <c r="J972" s="1213"/>
    </row>
    <row r="973" spans="1:13" ht="12.75" customHeight="1">
      <c r="A973" s="1224">
        <v>594</v>
      </c>
      <c r="B973" s="1550" t="str">
        <f>VLOOKUP(A973,plasmids!$A$2:$B$910,2)</f>
        <v>pscAAV-flox-CAG-hCatCh-YFP</v>
      </c>
      <c r="C973" s="1228" t="s">
        <v>5089</v>
      </c>
      <c r="D973" s="1214" t="s">
        <v>2765</v>
      </c>
      <c r="E973" s="2870">
        <v>42382</v>
      </c>
      <c r="F973" s="1214" t="s">
        <v>881</v>
      </c>
      <c r="G973" s="1227" t="s">
        <v>5090</v>
      </c>
      <c r="H973" s="1213"/>
      <c r="I973" s="1214" t="s">
        <v>3128</v>
      </c>
      <c r="J973" s="1213"/>
    </row>
    <row r="974" spans="1:13" ht="12.75" customHeight="1">
      <c r="A974" s="1036">
        <v>595</v>
      </c>
      <c r="B974" s="2217" t="str">
        <f>VLOOKUP(A974,plasmids!$A$2:$B$910,2)</f>
        <v>pssAAV-SNCG-JRGECO1a</v>
      </c>
      <c r="C974" s="1043" t="s">
        <v>5091</v>
      </c>
      <c r="D974" s="1545" t="s">
        <v>2771</v>
      </c>
      <c r="E974" s="2219"/>
      <c r="F974" s="1545" t="s">
        <v>881</v>
      </c>
      <c r="G974" s="1156"/>
      <c r="H974" s="1041"/>
      <c r="I974" s="1545" t="s">
        <v>3128</v>
      </c>
      <c r="J974" s="1041"/>
    </row>
    <row r="975" spans="1:13" ht="12.75" customHeight="1">
      <c r="A975" s="1036">
        <v>595</v>
      </c>
      <c r="B975" s="2217" t="str">
        <f>VLOOKUP(A975,plasmids!$A$2:$B$910,2)</f>
        <v>pssAAV-SNCG-JRGECO1a</v>
      </c>
      <c r="C975" s="1043" t="s">
        <v>5092</v>
      </c>
      <c r="D975" s="1545" t="s">
        <v>2765</v>
      </c>
      <c r="E975" s="1044">
        <v>42389</v>
      </c>
      <c r="F975" s="1545" t="s">
        <v>881</v>
      </c>
      <c r="G975" s="1042" t="s">
        <v>5093</v>
      </c>
      <c r="H975" s="1545" t="s">
        <v>929</v>
      </c>
      <c r="I975" s="1545" t="s">
        <v>3128</v>
      </c>
      <c r="J975" s="1041"/>
    </row>
    <row r="976" spans="1:13" ht="12.75" customHeight="1">
      <c r="A976" s="1067">
        <v>596</v>
      </c>
      <c r="B976" s="2160" t="str">
        <f>VLOOKUP(A976,plasmids!$A$2:$B$910,2)</f>
        <v>pssAAV-pR1.7-Jaws-GFP</v>
      </c>
      <c r="C976" s="1146" t="s">
        <v>5094</v>
      </c>
      <c r="D976" s="1148" t="s">
        <v>2771</v>
      </c>
      <c r="E976" s="1507">
        <v>42427</v>
      </c>
      <c r="F976" s="1148" t="s">
        <v>881</v>
      </c>
      <c r="G976" s="1075" t="s">
        <v>5095</v>
      </c>
      <c r="H976" s="80"/>
      <c r="I976" s="1148" t="s">
        <v>3128</v>
      </c>
      <c r="J976" s="1148" t="s">
        <v>5096</v>
      </c>
    </row>
    <row r="977" spans="1:10" ht="12.75" customHeight="1">
      <c r="A977" s="2871">
        <v>596</v>
      </c>
      <c r="B977" s="2160" t="str">
        <f>VLOOKUP(A977,plasmids!$A$2:$B$910,2)</f>
        <v>pssAAV-pR1.7-Jaws-GFP</v>
      </c>
      <c r="C977" s="1146" t="s">
        <v>5097</v>
      </c>
      <c r="D977" s="1148" t="s">
        <v>2765</v>
      </c>
      <c r="E977" s="1507">
        <v>42404</v>
      </c>
      <c r="F977" s="1148" t="s">
        <v>881</v>
      </c>
      <c r="G977" s="1075" t="s">
        <v>5098</v>
      </c>
      <c r="H977" s="1148" t="s">
        <v>929</v>
      </c>
      <c r="I977" s="1148" t="s">
        <v>3128</v>
      </c>
      <c r="J977" s="80"/>
    </row>
    <row r="978" spans="1:10" ht="12.75" customHeight="1">
      <c r="A978" s="2871">
        <v>596</v>
      </c>
      <c r="B978" s="2160" t="str">
        <f>VLOOKUP(A978,plasmids!$A$2:$B$910,2)</f>
        <v>pssAAV-pR1.7-Jaws-GFP</v>
      </c>
      <c r="C978" s="1146" t="s">
        <v>5099</v>
      </c>
      <c r="D978" s="1148" t="s">
        <v>2765</v>
      </c>
      <c r="E978" s="1507">
        <v>42678</v>
      </c>
      <c r="F978" s="1148" t="s">
        <v>2126</v>
      </c>
      <c r="G978" s="1075" t="s">
        <v>5100</v>
      </c>
      <c r="H978" s="1148"/>
      <c r="I978" s="1148" t="s">
        <v>3128</v>
      </c>
      <c r="J978" s="80"/>
    </row>
    <row r="979" spans="1:10" ht="12.75" customHeight="1">
      <c r="A979" s="2871">
        <v>596</v>
      </c>
      <c r="B979" s="2160" t="str">
        <f>VLOOKUP(A979,plasmids!$A$2:$B$910,2)</f>
        <v>pssAAV-pR1.7-Jaws-GFP</v>
      </c>
      <c r="C979" s="1146" t="s">
        <v>5101</v>
      </c>
      <c r="D979" s="1148" t="s">
        <v>2765</v>
      </c>
      <c r="E979" s="1507">
        <v>42692</v>
      </c>
      <c r="F979" s="1148" t="s">
        <v>2126</v>
      </c>
      <c r="G979" s="1075" t="s">
        <v>5102</v>
      </c>
      <c r="H979" s="1148"/>
      <c r="I979" s="1148" t="s">
        <v>3128</v>
      </c>
      <c r="J979" s="80"/>
    </row>
    <row r="980" spans="1:10" ht="12.75" customHeight="1">
      <c r="A980" s="2871">
        <v>596</v>
      </c>
      <c r="B980" s="2160" t="str">
        <f>VLOOKUP(A980,plasmids!$A$2:$B$910,2)</f>
        <v>pssAAV-pR1.7-Jaws-GFP</v>
      </c>
      <c r="C980" s="1146" t="s">
        <v>5103</v>
      </c>
      <c r="D980" s="1148" t="s">
        <v>2765</v>
      </c>
      <c r="E980" s="1507">
        <v>42760</v>
      </c>
      <c r="F980" s="1148" t="s">
        <v>2126</v>
      </c>
      <c r="G980" s="1075"/>
      <c r="H980" s="1148"/>
      <c r="I980" s="1148" t="s">
        <v>3128</v>
      </c>
      <c r="J980" s="80"/>
    </row>
    <row r="981" spans="1:10" ht="12.75" customHeight="1">
      <c r="A981" s="621">
        <v>597</v>
      </c>
      <c r="B981" s="1981" t="str">
        <f>VLOOKUP(A981,plasmids!$A$2:$B$910,2)</f>
        <v>pssAAV-SNCG-mRdCVFs</v>
      </c>
      <c r="C981" s="641" t="s">
        <v>5104</v>
      </c>
      <c r="D981" s="54" t="s">
        <v>2771</v>
      </c>
      <c r="F981" s="54" t="s">
        <v>881</v>
      </c>
      <c r="G981" s="755" t="s">
        <v>5105</v>
      </c>
      <c r="I981" s="54" t="s">
        <v>3128</v>
      </c>
      <c r="J981" s="54" t="s">
        <v>5106</v>
      </c>
    </row>
    <row r="982" spans="1:10" ht="12.75" customHeight="1">
      <c r="A982" s="889">
        <v>598</v>
      </c>
      <c r="B982" s="1181" t="str">
        <f>VLOOKUP(A982,plasmids!$A$2:$B$910,2)</f>
        <v>pAAV-Syn-CoChR-GFP</v>
      </c>
      <c r="C982" s="1182" t="s">
        <v>5107</v>
      </c>
      <c r="D982" s="575" t="s">
        <v>5108</v>
      </c>
      <c r="E982" s="2882" t="s">
        <v>141</v>
      </c>
      <c r="F982" s="575" t="s">
        <v>141</v>
      </c>
      <c r="G982" s="1726"/>
      <c r="H982" s="2884" t="s">
        <v>5109</v>
      </c>
      <c r="I982" s="575" t="s">
        <v>141</v>
      </c>
      <c r="J982" s="575" t="s">
        <v>5110</v>
      </c>
    </row>
    <row r="983" spans="1:10" ht="12.75" customHeight="1">
      <c r="A983" s="2886">
        <v>599</v>
      </c>
      <c r="B983" s="2888" t="str">
        <f>VLOOKUP(A983,plasmids!$A$2:$B$910,2)</f>
        <v>pAAV2 7mA</v>
      </c>
      <c r="C983" s="2890" t="s">
        <v>5111</v>
      </c>
      <c r="D983" s="2892" t="s">
        <v>2771</v>
      </c>
      <c r="E983" s="2893">
        <v>42411</v>
      </c>
      <c r="F983" s="2892" t="s">
        <v>1549</v>
      </c>
      <c r="G983" s="2895" t="s">
        <v>5112</v>
      </c>
      <c r="H983" s="2892" t="s">
        <v>5113</v>
      </c>
      <c r="I983" s="2892" t="s">
        <v>3128</v>
      </c>
      <c r="J983" s="2892" t="s">
        <v>5114</v>
      </c>
    </row>
    <row r="984" spans="1:10" ht="12.75" customHeight="1">
      <c r="A984" s="2886">
        <v>599</v>
      </c>
      <c r="B984" s="2888" t="str">
        <f>VLOOKUP(A984,plasmids!$A$2:$B$910,2)</f>
        <v>pAAV2 7mA</v>
      </c>
      <c r="C984" s="2890" t="s">
        <v>5115</v>
      </c>
      <c r="D984" s="2892" t="s">
        <v>2765</v>
      </c>
      <c r="E984" s="2893">
        <v>42417</v>
      </c>
      <c r="F984" s="2892" t="s">
        <v>1549</v>
      </c>
      <c r="G984" s="2896" t="s">
        <v>5116</v>
      </c>
      <c r="H984" s="2892" t="s">
        <v>5113</v>
      </c>
      <c r="I984" s="2892" t="s">
        <v>3128</v>
      </c>
      <c r="J984" s="2892" t="s">
        <v>2844</v>
      </c>
    </row>
    <row r="985" spans="1:10" ht="12.75" customHeight="1">
      <c r="A985" s="2886">
        <v>600</v>
      </c>
      <c r="B985" s="2888" t="str">
        <f>VLOOKUP(A985,plasmids!$A$2:$B$910,2)</f>
        <v>pAAV2 7mB</v>
      </c>
      <c r="C985" s="2890" t="s">
        <v>5111</v>
      </c>
      <c r="D985" s="2892" t="s">
        <v>2771</v>
      </c>
      <c r="E985" s="2893">
        <v>42411</v>
      </c>
      <c r="F985" s="2892" t="s">
        <v>1549</v>
      </c>
      <c r="G985" s="2895" t="s">
        <v>5117</v>
      </c>
      <c r="H985" s="2892" t="s">
        <v>5113</v>
      </c>
      <c r="I985" s="2892" t="s">
        <v>3128</v>
      </c>
      <c r="J985" s="2892" t="s">
        <v>5118</v>
      </c>
    </row>
    <row r="986" spans="1:10" ht="12.75" customHeight="1">
      <c r="A986" s="2886">
        <v>600</v>
      </c>
      <c r="B986" s="2888" t="str">
        <f>VLOOKUP(A986,plasmids!$A$2:$B$910,2)</f>
        <v>pAAV2 7mB</v>
      </c>
      <c r="C986" s="2890" t="s">
        <v>5115</v>
      </c>
      <c r="D986" s="2892" t="s">
        <v>2765</v>
      </c>
      <c r="E986" s="2893">
        <v>42417</v>
      </c>
      <c r="F986" s="2892" t="s">
        <v>1549</v>
      </c>
      <c r="G986" s="2896" t="s">
        <v>5119</v>
      </c>
      <c r="H986" s="2892" t="s">
        <v>5113</v>
      </c>
      <c r="I986" s="2892" t="s">
        <v>3128</v>
      </c>
      <c r="J986" s="2892" t="s">
        <v>2844</v>
      </c>
    </row>
    <row r="987" spans="1:10" ht="12.75" customHeight="1">
      <c r="A987" s="2658">
        <v>601</v>
      </c>
      <c r="B987" s="2660" t="str">
        <f>VLOOKUP(A987,plasmids!$A$2:$B$910,2)</f>
        <v>pAAV2 Lib-Tr-II LGN</v>
      </c>
      <c r="C987" s="2661" t="s">
        <v>5120</v>
      </c>
      <c r="D987" s="2670" t="s">
        <v>2771</v>
      </c>
      <c r="E987" s="2666">
        <v>42412</v>
      </c>
      <c r="F987" s="2670" t="s">
        <v>1549</v>
      </c>
      <c r="G987" s="2668" t="s">
        <v>5121</v>
      </c>
      <c r="H987" s="2670" t="s">
        <v>929</v>
      </c>
      <c r="I987" s="2670" t="s">
        <v>4845</v>
      </c>
      <c r="J987" s="2670" t="s">
        <v>5122</v>
      </c>
    </row>
    <row r="988" spans="1:10" ht="12.75" customHeight="1">
      <c r="A988" s="2658">
        <v>602</v>
      </c>
      <c r="B988" s="2660" t="str">
        <f>VLOOKUP(A988,plasmids!$A$2:$B$910,2)</f>
        <v>pAAV2 Lib-Tr-II Cx</v>
      </c>
      <c r="C988" s="2661" t="s">
        <v>5124</v>
      </c>
      <c r="D988" s="2670" t="s">
        <v>2771</v>
      </c>
      <c r="E988" s="2666">
        <v>42412</v>
      </c>
      <c r="F988" s="2670" t="s">
        <v>1549</v>
      </c>
      <c r="G988" s="2668" t="s">
        <v>5125</v>
      </c>
      <c r="H988" s="2670" t="s">
        <v>929</v>
      </c>
      <c r="I988" s="2670" t="s">
        <v>4845</v>
      </c>
      <c r="J988" s="2670" t="s">
        <v>5126</v>
      </c>
    </row>
    <row r="989" spans="1:10" ht="12.75" customHeight="1">
      <c r="A989" s="2897">
        <v>603</v>
      </c>
      <c r="B989" s="2898" t="str">
        <f>VLOOKUP(A989,plasmids!$A$2:$B$910,2)</f>
        <v>pAAV2 Lib-RH-I</v>
      </c>
      <c r="C989" s="2899" t="s">
        <v>5127</v>
      </c>
      <c r="D989" s="2900" t="s">
        <v>2771</v>
      </c>
      <c r="E989" s="2901">
        <v>42412</v>
      </c>
      <c r="F989" s="2900" t="s">
        <v>1549</v>
      </c>
      <c r="G989" s="2902" t="s">
        <v>5128</v>
      </c>
      <c r="H989" s="2900" t="s">
        <v>929</v>
      </c>
      <c r="I989" s="2900" t="s">
        <v>4845</v>
      </c>
      <c r="J989" s="2900" t="s">
        <v>5129</v>
      </c>
    </row>
    <row r="990" spans="1:10" ht="12.75" customHeight="1">
      <c r="A990" s="1538">
        <v>604</v>
      </c>
      <c r="B990" s="1981" t="str">
        <f>VLOOKUP(A990,plasmids!$A$2:$B$910,2)</f>
        <v>pssAAV-flox-CAG-SWO-GFP</v>
      </c>
      <c r="C990" s="1"/>
      <c r="D990" s="54" t="s">
        <v>2771</v>
      </c>
      <c r="E990" s="1032"/>
      <c r="F990" s="54" t="s">
        <v>881</v>
      </c>
      <c r="G990" s="755" t="s">
        <v>5130</v>
      </c>
      <c r="H990" s="54"/>
      <c r="I990" s="54"/>
      <c r="J990" s="54"/>
    </row>
    <row r="991" spans="1:10" ht="12.75" customHeight="1">
      <c r="A991" s="821">
        <v>605</v>
      </c>
      <c r="B991" s="2294" t="str">
        <f>VLOOKUP(A991,plasmids!$A$2:$B$910,2)</f>
        <v>pscAAV-1xgrm6-ReachR-GFP</v>
      </c>
      <c r="C991" s="833" t="s">
        <v>5131</v>
      </c>
      <c r="D991" s="835" t="s">
        <v>2771</v>
      </c>
      <c r="E991" s="836"/>
      <c r="F991" s="835" t="s">
        <v>881</v>
      </c>
      <c r="G991" s="831"/>
      <c r="H991" s="835"/>
      <c r="I991" s="835"/>
      <c r="J991" s="835"/>
    </row>
    <row r="992" spans="1:10" ht="12.75" customHeight="1">
      <c r="A992" s="821">
        <v>605</v>
      </c>
      <c r="B992" s="2294" t="str">
        <f>VLOOKUP(A992,plasmids!$A$2:$B$910,2)</f>
        <v>pscAAV-1xgrm6-ReachR-GFP</v>
      </c>
      <c r="C992" s="833" t="s">
        <v>5132</v>
      </c>
      <c r="D992" s="835" t="s">
        <v>2765</v>
      </c>
      <c r="E992" s="836">
        <v>42515</v>
      </c>
      <c r="F992" s="835" t="s">
        <v>2126</v>
      </c>
      <c r="G992" s="831"/>
      <c r="H992" s="835"/>
      <c r="I992" s="835"/>
      <c r="J992" s="835"/>
    </row>
    <row r="993" spans="1:10" ht="12.75" customHeight="1">
      <c r="A993" s="1538">
        <v>606</v>
      </c>
      <c r="B993" s="1981" t="str">
        <f>VLOOKUP(A993,plasmids!$A$2:$B$910,2)</f>
        <v>pscAAV-1xgrm6-Chr2(H134R)-eYFP-Kv2.1</v>
      </c>
      <c r="C993" s="1"/>
      <c r="D993" s="54"/>
      <c r="E993" s="1032"/>
      <c r="F993" s="54"/>
      <c r="G993" s="755"/>
      <c r="H993" s="54"/>
      <c r="I993" s="54"/>
      <c r="J993" s="54"/>
    </row>
    <row r="994" spans="1:10" ht="12.75" customHeight="1">
      <c r="A994" s="1692">
        <v>607</v>
      </c>
      <c r="B994" s="2394" t="str">
        <f>VLOOKUP(A994,plasmids!$A$2:$B$910,2)</f>
        <v>pAAV2-7merK</v>
      </c>
      <c r="C994" s="1702" t="s">
        <v>5133</v>
      </c>
      <c r="D994" s="1841" t="s">
        <v>2771</v>
      </c>
      <c r="E994" s="2708"/>
      <c r="F994" s="1841" t="s">
        <v>881</v>
      </c>
      <c r="G994" s="1699"/>
      <c r="H994" s="1841" t="s">
        <v>5134</v>
      </c>
      <c r="I994" s="1841" t="s">
        <v>5135</v>
      </c>
      <c r="J994" s="1841"/>
    </row>
    <row r="995" spans="1:10" ht="12.75" customHeight="1">
      <c r="A995" s="1692">
        <v>607</v>
      </c>
      <c r="B995" s="2394" t="str">
        <f>VLOOKUP(A995,plasmids!$A$2:$B$910,2)</f>
        <v>pAAV2-7merK</v>
      </c>
      <c r="C995" s="1702" t="s">
        <v>5136</v>
      </c>
      <c r="D995" s="1841" t="s">
        <v>3342</v>
      </c>
      <c r="E995" s="2708">
        <v>42432</v>
      </c>
      <c r="F995" s="1841" t="s">
        <v>881</v>
      </c>
      <c r="G995" s="1699" t="s">
        <v>5137</v>
      </c>
      <c r="H995" s="1841" t="s">
        <v>5134</v>
      </c>
      <c r="I995" s="1841" t="s">
        <v>3128</v>
      </c>
      <c r="J995" s="1841"/>
    </row>
    <row r="996" spans="1:10" ht="12.75" customHeight="1">
      <c r="A996" s="2749">
        <v>608</v>
      </c>
      <c r="B996" s="2747" t="str">
        <f>VLOOKUP(A996,plasmids!$A$2:$B$910,2)</f>
        <v>pAAV2-7merT</v>
      </c>
      <c r="C996" s="1113" t="s">
        <v>5138</v>
      </c>
      <c r="D996" s="1110" t="s">
        <v>2771</v>
      </c>
      <c r="E996" s="1114"/>
      <c r="F996" s="1110" t="s">
        <v>881</v>
      </c>
      <c r="G996" s="1111"/>
      <c r="H996" s="1110" t="s">
        <v>5134</v>
      </c>
      <c r="I996" s="1110" t="s">
        <v>3181</v>
      </c>
      <c r="J996" s="1110"/>
    </row>
    <row r="997" spans="1:10" ht="12.75" customHeight="1">
      <c r="A997" s="2749">
        <v>608</v>
      </c>
      <c r="B997" s="2747" t="str">
        <f>VLOOKUP(A997,plasmids!$A$2:$B$910,2)</f>
        <v>pAAV2-7merT</v>
      </c>
      <c r="C997" s="1113" t="s">
        <v>5140</v>
      </c>
      <c r="D997" s="1110" t="s">
        <v>3342</v>
      </c>
      <c r="E997" s="1114">
        <v>42432</v>
      </c>
      <c r="F997" s="1110" t="s">
        <v>881</v>
      </c>
      <c r="G997" s="1111" t="s">
        <v>5142</v>
      </c>
      <c r="H997" s="1110" t="s">
        <v>5134</v>
      </c>
      <c r="I997" s="1110" t="s">
        <v>3128</v>
      </c>
      <c r="J997" s="1110"/>
    </row>
    <row r="998" spans="1:10" ht="12.75" customHeight="1">
      <c r="A998" s="2907">
        <v>609</v>
      </c>
      <c r="B998" s="2415" t="str">
        <f>VLOOKUP(A998,plasmids!$A$2:$B$910,2)</f>
        <v>pXR9+NotI</v>
      </c>
      <c r="C998" s="2434" t="s">
        <v>5143</v>
      </c>
      <c r="D998" s="1209" t="s">
        <v>2771</v>
      </c>
      <c r="E998" s="2451">
        <v>42433</v>
      </c>
      <c r="F998" s="1209" t="s">
        <v>1549</v>
      </c>
      <c r="G998" s="2438" t="s">
        <v>5144</v>
      </c>
      <c r="H998" s="1209" t="s">
        <v>5145</v>
      </c>
      <c r="I998" s="1209" t="s">
        <v>3181</v>
      </c>
      <c r="J998" s="1209" t="s">
        <v>5146</v>
      </c>
    </row>
    <row r="999" spans="1:10" ht="12.75" customHeight="1">
      <c r="A999" s="2907">
        <v>609</v>
      </c>
      <c r="B999" s="2415" t="str">
        <f>VLOOKUP(A999,plasmids!$A$2:$B$910,2)</f>
        <v>pXR9+NotI</v>
      </c>
      <c r="C999" s="2434" t="s">
        <v>5143</v>
      </c>
      <c r="D999" s="1209" t="s">
        <v>2765</v>
      </c>
      <c r="E999" s="2451">
        <v>42440</v>
      </c>
      <c r="F999" s="1209" t="s">
        <v>2070</v>
      </c>
      <c r="G999" s="2438"/>
      <c r="H999" s="1209" t="s">
        <v>5145</v>
      </c>
      <c r="I999" s="1209" t="s">
        <v>3128</v>
      </c>
      <c r="J999" s="1209"/>
    </row>
    <row r="1000" spans="1:10" ht="12.75" customHeight="1">
      <c r="A1000" s="2908">
        <v>610</v>
      </c>
      <c r="B1000" s="2217" t="str">
        <f>VLOOKUP(A1000,plasmids!$A$2:$B$910,2)</f>
        <v>pAAV2/5(M569A,Y585A,L587A)</v>
      </c>
      <c r="C1000" s="1043" t="s">
        <v>5147</v>
      </c>
      <c r="D1000" s="1545" t="s">
        <v>2771</v>
      </c>
      <c r="E1000" s="2219"/>
      <c r="F1000" s="1545" t="s">
        <v>881</v>
      </c>
      <c r="G1000" s="1156"/>
      <c r="H1000" s="1041"/>
      <c r="I1000" s="1041"/>
      <c r="J1000" s="1041"/>
    </row>
    <row r="1001" spans="1:10" ht="12.75" customHeight="1">
      <c r="A1001" s="2908">
        <v>610</v>
      </c>
      <c r="B1001" s="2217" t="str">
        <f>VLOOKUP(A1001,plasmids!$A$2:$B$910,2)</f>
        <v>pAAV2/5(M569A,Y585A,L587A)</v>
      </c>
      <c r="C1001" s="1043" t="s">
        <v>5148</v>
      </c>
      <c r="D1001" s="1545" t="s">
        <v>3342</v>
      </c>
      <c r="E1001" s="1044">
        <v>42440</v>
      </c>
      <c r="F1001" s="1545" t="s">
        <v>881</v>
      </c>
      <c r="G1001" s="2909">
        <v>1.2546999999999999</v>
      </c>
      <c r="H1001" s="1041"/>
      <c r="I1001" s="1041"/>
      <c r="J1001" s="1041"/>
    </row>
    <row r="1002" spans="1:10" ht="12.75" customHeight="1">
      <c r="A1002" s="1264">
        <v>611</v>
      </c>
      <c r="B1002" s="1931" t="str">
        <f>VLOOKUP(A1002,plasmids!$A$2:$B$910,2)</f>
        <v>pAAV2/5-7m8 (M569A,Y595A,L597A)</v>
      </c>
      <c r="C1002" s="1260" t="s">
        <v>5149</v>
      </c>
      <c r="D1002" s="968" t="s">
        <v>2771</v>
      </c>
      <c r="E1002" s="1536"/>
      <c r="F1002" s="968" t="s">
        <v>881</v>
      </c>
      <c r="G1002" s="1258"/>
      <c r="H1002" s="963"/>
      <c r="I1002" s="963"/>
      <c r="J1002" s="963"/>
    </row>
    <row r="1003" spans="1:10" ht="12.75" customHeight="1">
      <c r="A1003" s="1264">
        <v>611</v>
      </c>
      <c r="B1003" s="1931" t="str">
        <f>VLOOKUP(A1003,plasmids!$A$2:$B$910,2)</f>
        <v>pAAV2/5-7m8 (M569A,Y595A,L597A)</v>
      </c>
      <c r="C1003" s="1260" t="s">
        <v>5151</v>
      </c>
      <c r="D1003" s="968" t="s">
        <v>2765</v>
      </c>
      <c r="E1003" s="2911">
        <v>42440</v>
      </c>
      <c r="F1003" s="968" t="s">
        <v>881</v>
      </c>
      <c r="G1003" s="1261">
        <v>0.71284999999999998</v>
      </c>
      <c r="H1003" s="963"/>
      <c r="I1003" s="963"/>
      <c r="J1003" s="963"/>
    </row>
    <row r="1004" spans="1:10" ht="12.75" customHeight="1">
      <c r="A1004" s="1319">
        <v>612</v>
      </c>
      <c r="B1004" s="1895" t="str">
        <f>VLOOKUP(A1004,plasmids!$A$2:$B$910,2)</f>
        <v>pAAV2/2 (R475A, R484A,K532A)</v>
      </c>
      <c r="C1004" s="1320" t="s">
        <v>5152</v>
      </c>
      <c r="D1004" s="653" t="s">
        <v>2771</v>
      </c>
      <c r="E1004" s="2382"/>
      <c r="F1004" s="653" t="s">
        <v>881</v>
      </c>
      <c r="G1004" s="2913"/>
      <c r="H1004" s="655"/>
      <c r="I1004" s="655"/>
      <c r="J1004" s="655"/>
    </row>
    <row r="1005" spans="1:10" ht="12.75" customHeight="1">
      <c r="A1005" s="1319">
        <v>612</v>
      </c>
      <c r="B1005" s="1895" t="str">
        <f>VLOOKUP(A1005,plasmids!$A$2:$B$910,2)</f>
        <v>pAAV2/2 (R475A, R484A,K532A)</v>
      </c>
      <c r="C1005" s="1320" t="s">
        <v>5153</v>
      </c>
      <c r="D1005" s="653" t="s">
        <v>2765</v>
      </c>
      <c r="E1005" s="2169">
        <v>42440</v>
      </c>
      <c r="F1005" s="653" t="s">
        <v>881</v>
      </c>
      <c r="G1005" s="1560">
        <v>0.4778</v>
      </c>
      <c r="H1005" s="655"/>
      <c r="I1005" s="655"/>
      <c r="J1005" s="655"/>
    </row>
    <row r="1006" spans="1:10" ht="12.75" customHeight="1">
      <c r="A1006" s="2751">
        <v>613</v>
      </c>
      <c r="B1006" s="2256" t="str">
        <f>VLOOKUP(A1006,plasmids!$A$2:$B$910,2)</f>
        <v>pAAV2/2-7m8 (R475A, R484A,K532A)</v>
      </c>
      <c r="C1006" s="2257" t="s">
        <v>5154</v>
      </c>
      <c r="D1006" s="2267" t="s">
        <v>2771</v>
      </c>
      <c r="E1006" s="2916"/>
      <c r="F1006" s="2267" t="s">
        <v>881</v>
      </c>
      <c r="G1006" s="2917"/>
      <c r="H1006" s="2265"/>
      <c r="I1006" s="2265"/>
      <c r="J1006" s="2265"/>
    </row>
    <row r="1007" spans="1:10" ht="12.75" customHeight="1">
      <c r="A1007" s="2751">
        <v>613</v>
      </c>
      <c r="B1007" s="2256" t="str">
        <f>VLOOKUP(A1007,plasmids!$A$2:$B$910,2)</f>
        <v>pAAV2/2-7m8 (R475A, R484A,K532A)</v>
      </c>
      <c r="C1007" s="2257" t="s">
        <v>5156</v>
      </c>
      <c r="D1007" s="2267" t="s">
        <v>2765</v>
      </c>
      <c r="E1007" s="2920">
        <v>42440</v>
      </c>
      <c r="F1007" s="2267" t="s">
        <v>881</v>
      </c>
      <c r="G1007" s="2261">
        <v>1.6245000000000001</v>
      </c>
      <c r="H1007" s="2265"/>
      <c r="I1007" s="2265"/>
      <c r="J1007" s="2265"/>
    </row>
    <row r="1008" spans="1:10" ht="12.75" customHeight="1">
      <c r="A1008" s="1538">
        <v>614</v>
      </c>
      <c r="B1008" s="1981" t="str">
        <f>VLOOKUP(A1008,plasmids!$A$2:$B$910,2)</f>
        <v>pAAV2/9 (N470A,D271A,N272A,Y446A,W503A)</v>
      </c>
      <c r="C1008" s="757"/>
      <c r="E1008" s="758"/>
      <c r="G1008" s="754"/>
    </row>
    <row r="1009" spans="1:10" ht="12.75" customHeight="1">
      <c r="A1009" s="1229">
        <v>615</v>
      </c>
      <c r="B1009" s="1550" t="str">
        <f>VLOOKUP(A1009,plasmids!$A$2:$B$910,2)</f>
        <v>pAAV2/9 (D271A,N272A)</v>
      </c>
      <c r="C1009" s="1228" t="s">
        <v>5158</v>
      </c>
      <c r="D1009" s="1214" t="s">
        <v>2771</v>
      </c>
      <c r="E1009" s="2358"/>
      <c r="F1009" s="1214" t="s">
        <v>881</v>
      </c>
      <c r="G1009" s="1552"/>
      <c r="H1009" s="1213"/>
      <c r="I1009" s="1213"/>
      <c r="J1009" s="1213"/>
    </row>
    <row r="1010" spans="1:10" ht="12.75" customHeight="1">
      <c r="A1010" s="1229">
        <v>615</v>
      </c>
      <c r="B1010" s="1550" t="str">
        <f>VLOOKUP(A1010,plasmids!$A$2:$B$910,2)</f>
        <v>pAAV2/9 (D271A,N272A)</v>
      </c>
      <c r="C1010" s="1228" t="s">
        <v>5159</v>
      </c>
      <c r="D1010" s="1214" t="s">
        <v>2765</v>
      </c>
      <c r="E1010" s="2926">
        <v>42440</v>
      </c>
      <c r="F1010" s="1214" t="s">
        <v>881</v>
      </c>
      <c r="G1010" s="1227">
        <v>1.0623</v>
      </c>
      <c r="H1010" s="1213"/>
      <c r="I1010" s="1213"/>
      <c r="J1010" s="1213"/>
    </row>
    <row r="1011" spans="1:10" ht="12.75" customHeight="1">
      <c r="A1011" s="1567">
        <v>616</v>
      </c>
      <c r="B1011" s="1938" t="str">
        <f>VLOOKUP(A1011,plasmids!$A$2:$B$910,2)</f>
        <v>pAAV2/9-7m8 (D271A,N272A)</v>
      </c>
      <c r="C1011" s="1204" t="s">
        <v>5158</v>
      </c>
      <c r="D1011" s="1457" t="s">
        <v>2771</v>
      </c>
      <c r="E1011" s="1730"/>
      <c r="F1011" s="1457" t="s">
        <v>881</v>
      </c>
      <c r="G1011" s="1203"/>
      <c r="H1011" s="647"/>
      <c r="I1011" s="647"/>
      <c r="J1011" s="647"/>
    </row>
    <row r="1012" spans="1:10" ht="12.75" customHeight="1">
      <c r="A1012" s="1567">
        <v>616</v>
      </c>
      <c r="B1012" s="1938" t="str">
        <f>VLOOKUP(A1012,plasmids!$A$2:$B$910,2)</f>
        <v>pAAV2/9-7m8 (D271A,N272A)</v>
      </c>
      <c r="C1012" s="1204" t="s">
        <v>5159</v>
      </c>
      <c r="D1012" s="1457" t="s">
        <v>2765</v>
      </c>
      <c r="E1012" s="1951">
        <v>42440</v>
      </c>
      <c r="F1012" s="1457" t="s">
        <v>881</v>
      </c>
      <c r="G1012" s="1199">
        <v>1.1521999999999999</v>
      </c>
      <c r="H1012" s="647"/>
      <c r="I1012" s="647"/>
      <c r="J1012" s="647"/>
    </row>
    <row r="1013" spans="1:10" ht="12.75" customHeight="1">
      <c r="A1013" s="1538">
        <v>617</v>
      </c>
      <c r="B1013" s="1981" t="str">
        <f>VLOOKUP(A1013,plasmids!$A$2:$B$910,2)</f>
        <v>pAAV-1xGrm6-Lrit3-STOP-GFP</v>
      </c>
      <c r="C1013" s="1" t="s">
        <v>5160</v>
      </c>
      <c r="D1013" s="54" t="s">
        <v>141</v>
      </c>
      <c r="E1013" s="658" t="s">
        <v>141</v>
      </c>
      <c r="F1013" s="54" t="s">
        <v>5161</v>
      </c>
      <c r="G1013" s="755">
        <v>1</v>
      </c>
      <c r="H1013" s="54" t="s">
        <v>141</v>
      </c>
      <c r="I1013" s="54" t="s">
        <v>141</v>
      </c>
    </row>
    <row r="1014" spans="1:10" ht="12.75" customHeight="1">
      <c r="A1014" s="1538">
        <v>618</v>
      </c>
      <c r="B1014" s="1981" t="str">
        <f>VLOOKUP(A1014,plasmids!$A$2:$B$910,2)</f>
        <v>pAAV-1xGrm6-Lrit3-GFP</v>
      </c>
      <c r="C1014" s="1" t="s">
        <v>5162</v>
      </c>
      <c r="D1014" s="54" t="s">
        <v>141</v>
      </c>
      <c r="E1014" s="658" t="s">
        <v>141</v>
      </c>
      <c r="F1014" s="54" t="s">
        <v>5161</v>
      </c>
      <c r="G1014" s="755">
        <v>1</v>
      </c>
      <c r="H1014" s="54" t="s">
        <v>141</v>
      </c>
      <c r="I1014" s="54" t="s">
        <v>141</v>
      </c>
    </row>
    <row r="1015" spans="1:10" ht="12.75" customHeight="1">
      <c r="A1015" s="1538">
        <v>619</v>
      </c>
      <c r="B1015" s="1981" t="str">
        <f>VLOOKUP(A1015,plasmids!$A$2:$B$910,2)</f>
        <v xml:space="preserve">pscAAV-CAG-RdCVFs </v>
      </c>
      <c r="C1015" s="757"/>
      <c r="E1015" s="758"/>
      <c r="G1015" s="754"/>
    </row>
    <row r="1016" spans="1:10" ht="12.75" customHeight="1">
      <c r="A1016" s="1538">
        <v>620</v>
      </c>
      <c r="B1016" s="1981" t="str">
        <f>VLOOKUP(A1016,plasmids!$A$2:$B$910,2)</f>
        <v>AAV2.1.CMV.eGFP</v>
      </c>
      <c r="C1016" s="1" t="s">
        <v>5163</v>
      </c>
      <c r="D1016" s="54" t="s">
        <v>141</v>
      </c>
      <c r="E1016" s="658" t="s">
        <v>141</v>
      </c>
      <c r="F1016" s="54" t="s">
        <v>2225</v>
      </c>
      <c r="G1016" s="755">
        <v>1.1000000000000001</v>
      </c>
      <c r="H1016" s="54" t="s">
        <v>929</v>
      </c>
      <c r="J1016" s="54" t="s">
        <v>5164</v>
      </c>
    </row>
    <row r="1017" spans="1:10" ht="12.75" customHeight="1">
      <c r="A1017" s="2932">
        <v>621</v>
      </c>
      <c r="B1017" s="2898" t="str">
        <f>VLOOKUP(A1017,plasmids!$A$2:$B$910,2)</f>
        <v>pAAV2 Lib-RM-I</v>
      </c>
      <c r="C1017" s="2899" t="s">
        <v>5165</v>
      </c>
      <c r="D1017" s="2900" t="s">
        <v>2771</v>
      </c>
      <c r="E1017" s="2901">
        <v>42453</v>
      </c>
      <c r="F1017" s="2900" t="s">
        <v>1549</v>
      </c>
      <c r="G1017" s="2902" t="s">
        <v>5166</v>
      </c>
      <c r="H1017" s="2935"/>
      <c r="I1017" s="2900" t="s">
        <v>4845</v>
      </c>
      <c r="J1017" s="2900" t="s">
        <v>5167</v>
      </c>
    </row>
    <row r="1018" spans="1:10" ht="12.75" customHeight="1">
      <c r="A1018" s="1538">
        <v>622</v>
      </c>
      <c r="B1018" s="1981" t="str">
        <f>VLOOKUP(A1018,plasmids!$A$2:$B$910,2)</f>
        <v>pAnc80L65</v>
      </c>
      <c r="C1018" s="1" t="s">
        <v>5168</v>
      </c>
      <c r="D1018" s="54" t="s">
        <v>2765</v>
      </c>
      <c r="E1018" s="1032">
        <v>42453</v>
      </c>
      <c r="F1018" s="54" t="s">
        <v>2063</v>
      </c>
      <c r="G1018" s="755">
        <v>1.6</v>
      </c>
      <c r="H1018" s="54" t="s">
        <v>141</v>
      </c>
      <c r="I1018" s="54" t="s">
        <v>141</v>
      </c>
      <c r="J1018" s="54" t="s">
        <v>2064</v>
      </c>
    </row>
    <row r="1019" spans="1:10" ht="12.75" customHeight="1">
      <c r="A1019" s="1538">
        <v>623</v>
      </c>
      <c r="B1019" s="1981" t="str">
        <f>VLOOKUP(A1019,plasmids!$A$2:$B$910,2)</f>
        <v>p1045/SANS</v>
      </c>
      <c r="C1019" s="1" t="s">
        <v>5169</v>
      </c>
      <c r="D1019" s="54" t="s">
        <v>2765</v>
      </c>
      <c r="E1019" s="1032">
        <v>42453</v>
      </c>
      <c r="F1019" s="54" t="s">
        <v>2063</v>
      </c>
      <c r="G1019" s="755">
        <v>2.4</v>
      </c>
      <c r="H1019" s="54" t="s">
        <v>141</v>
      </c>
      <c r="I1019" s="54" t="s">
        <v>141</v>
      </c>
      <c r="J1019" s="54" t="s">
        <v>2064</v>
      </c>
    </row>
    <row r="1020" spans="1:10" ht="12.75" customHeight="1">
      <c r="A1020" s="1538">
        <v>624</v>
      </c>
      <c r="B1020" s="1981" t="str">
        <f>VLOOKUP(A1020,plasmids!$A$2:$B$910,2)</f>
        <v>pAAV-Ef1a-DIO-bpac</v>
      </c>
      <c r="C1020" s="1" t="s">
        <v>5170</v>
      </c>
      <c r="D1020" s="54" t="s">
        <v>141</v>
      </c>
      <c r="E1020" s="658" t="s">
        <v>141</v>
      </c>
      <c r="F1020" s="54" t="s">
        <v>141</v>
      </c>
      <c r="G1020" s="755">
        <v>2.6</v>
      </c>
      <c r="H1020" s="54" t="s">
        <v>141</v>
      </c>
      <c r="I1020" s="54" t="s">
        <v>141</v>
      </c>
      <c r="J1020" s="54" t="s">
        <v>5171</v>
      </c>
    </row>
    <row r="1021" spans="1:10" ht="12.75" customHeight="1">
      <c r="A1021" s="1538">
        <v>625</v>
      </c>
      <c r="B1021" s="1981" t="str">
        <f>VLOOKUP(A1021,plasmids!$A$2:$B$910,2)</f>
        <v>pAAV-Ef1a-DIO-Momo-eGFP-mGluR1ct</v>
      </c>
      <c r="C1021" s="1" t="s">
        <v>5172</v>
      </c>
      <c r="D1021" s="54" t="s">
        <v>141</v>
      </c>
      <c r="E1021" s="658" t="s">
        <v>141</v>
      </c>
      <c r="F1021" s="54" t="s">
        <v>141</v>
      </c>
      <c r="G1021" s="755">
        <v>5.4</v>
      </c>
      <c r="H1021" s="54" t="s">
        <v>141</v>
      </c>
      <c r="I1021" s="54" t="s">
        <v>141</v>
      </c>
      <c r="J1021" s="54" t="s">
        <v>5171</v>
      </c>
    </row>
    <row r="1022" spans="1:10" ht="12.75" customHeight="1">
      <c r="A1022" s="1538">
        <v>626</v>
      </c>
      <c r="B1022" s="1981" t="str">
        <f>VLOOKUP(A1022,plasmids!$A$2:$B$910,2)</f>
        <v>pAAV-CMV-Momo-eGFP-mGluR1ct</v>
      </c>
      <c r="C1022" s="1" t="s">
        <v>5173</v>
      </c>
      <c r="D1022" s="54" t="s">
        <v>141</v>
      </c>
      <c r="E1022" s="658" t="s">
        <v>141</v>
      </c>
      <c r="F1022" s="54" t="s">
        <v>141</v>
      </c>
      <c r="G1022" s="755">
        <v>1.9</v>
      </c>
      <c r="H1022" s="54" t="s">
        <v>141</v>
      </c>
      <c r="I1022" s="54" t="s">
        <v>141</v>
      </c>
      <c r="J1022" s="54" t="s">
        <v>5171</v>
      </c>
    </row>
    <row r="1023" spans="1:10" ht="12.75" customHeight="1">
      <c r="A1023" s="1264">
        <v>627</v>
      </c>
      <c r="B1023" s="1931" t="str">
        <f>VLOOKUP(A1023,plasmids!$A$2:$B$910,2)</f>
        <v>pAAV5+NotI+HindIII</v>
      </c>
      <c r="C1023" s="1260" t="s">
        <v>5174</v>
      </c>
      <c r="D1023" s="968" t="s">
        <v>2771</v>
      </c>
      <c r="E1023" s="1293">
        <v>42460</v>
      </c>
      <c r="F1023" s="968" t="s">
        <v>2070</v>
      </c>
      <c r="G1023" s="1261">
        <v>8.4599999999999995E-2</v>
      </c>
      <c r="H1023" s="968" t="s">
        <v>929</v>
      </c>
      <c r="I1023" s="968" t="s">
        <v>3181</v>
      </c>
      <c r="J1023" s="2940" t="s">
        <v>2071</v>
      </c>
    </row>
    <row r="1024" spans="1:10" ht="12.75" customHeight="1">
      <c r="A1024" s="1264">
        <v>627</v>
      </c>
      <c r="B1024" s="1931" t="str">
        <f>VLOOKUP(A1024,plasmids!$A$2:$B$910,2)</f>
        <v>pAAV5+NotI+HindIII</v>
      </c>
      <c r="C1024" s="1260" t="s">
        <v>5176</v>
      </c>
      <c r="D1024" s="968" t="s">
        <v>2771</v>
      </c>
      <c r="E1024" s="1293">
        <v>42473</v>
      </c>
      <c r="F1024" s="968" t="s">
        <v>2070</v>
      </c>
      <c r="G1024" s="1261">
        <v>0.3216</v>
      </c>
      <c r="H1024" s="968" t="s">
        <v>929</v>
      </c>
      <c r="I1024" s="968" t="s">
        <v>3128</v>
      </c>
      <c r="J1024" s="968" t="s">
        <v>5177</v>
      </c>
    </row>
    <row r="1025" spans="1:11" ht="12.75" customHeight="1">
      <c r="A1025" s="2908">
        <v>628</v>
      </c>
      <c r="B1025" s="2217" t="str">
        <f>VLOOKUP(A1025,plasmids!$A$2:$B$910,2)</f>
        <v>pAAV8+NotI+HindIII</v>
      </c>
      <c r="C1025" s="1043" t="s">
        <v>5178</v>
      </c>
      <c r="D1025" s="1545" t="s">
        <v>2771</v>
      </c>
      <c r="E1025" s="1044">
        <v>42460</v>
      </c>
      <c r="F1025" s="1545" t="s">
        <v>2070</v>
      </c>
      <c r="G1025" s="1042">
        <v>0.12039999999999999</v>
      </c>
      <c r="H1025" s="1545" t="s">
        <v>929</v>
      </c>
      <c r="I1025" s="1545" t="s">
        <v>3181</v>
      </c>
      <c r="J1025" s="2941" t="s">
        <v>2079</v>
      </c>
    </row>
    <row r="1026" spans="1:11" ht="12.75" customHeight="1">
      <c r="A1026" s="2908">
        <v>628</v>
      </c>
      <c r="B1026" s="2217" t="str">
        <f>VLOOKUP(A1026,plasmids!$A$2:$B$910,2)</f>
        <v>pAAV8+NotI+HindIII</v>
      </c>
      <c r="C1026" s="1043" t="s">
        <v>5179</v>
      </c>
      <c r="D1026" s="1545" t="s">
        <v>2771</v>
      </c>
      <c r="E1026" s="1044">
        <v>42473</v>
      </c>
      <c r="F1026" s="1545" t="s">
        <v>2070</v>
      </c>
      <c r="G1026" s="1042">
        <v>0.27189999999999998</v>
      </c>
      <c r="H1026" s="1545" t="s">
        <v>929</v>
      </c>
      <c r="I1026" s="1545" t="s">
        <v>3128</v>
      </c>
      <c r="J1026" s="1545" t="s">
        <v>5177</v>
      </c>
    </row>
    <row r="1027" spans="1:11" ht="12.75" customHeight="1">
      <c r="A1027" s="2942">
        <v>629</v>
      </c>
      <c r="B1027" s="2943" t="str">
        <f>VLOOKUP(A1027,plasmids!$A$2:$B$910,2)</f>
        <v>pAAV9hu14+NotI+HindIII</v>
      </c>
      <c r="C1027" s="2944" t="s">
        <v>5180</v>
      </c>
      <c r="D1027" s="2945" t="s">
        <v>2771</v>
      </c>
      <c r="E1027" s="2946">
        <v>42460</v>
      </c>
      <c r="F1027" s="2945" t="s">
        <v>2070</v>
      </c>
      <c r="G1027" s="2947">
        <v>4.0500000000000001E-2</v>
      </c>
      <c r="H1027" s="2948" t="s">
        <v>929</v>
      </c>
      <c r="I1027" s="2945" t="s">
        <v>3181</v>
      </c>
      <c r="J1027" s="2949" t="s">
        <v>2081</v>
      </c>
    </row>
    <row r="1028" spans="1:11" ht="12.75" customHeight="1">
      <c r="A1028" s="2950">
        <v>629</v>
      </c>
      <c r="B1028" s="2308" t="str">
        <f>VLOOKUP(A1028,plasmids!$A$2:$B$910,2)</f>
        <v>pAAV9hu14+NotI+HindIII</v>
      </c>
      <c r="C1028" s="2310" t="s">
        <v>5181</v>
      </c>
      <c r="D1028" s="2353" t="s">
        <v>2771</v>
      </c>
      <c r="E1028" s="2951">
        <v>42473</v>
      </c>
      <c r="F1028" s="2353" t="s">
        <v>2070</v>
      </c>
      <c r="G1028" s="2312">
        <v>0.432</v>
      </c>
      <c r="H1028" s="2353" t="s">
        <v>929</v>
      </c>
      <c r="I1028" s="2353" t="s">
        <v>3128</v>
      </c>
      <c r="J1028" s="2353" t="s">
        <v>5177</v>
      </c>
    </row>
    <row r="1029" spans="1:11">
      <c r="A1029" s="1538">
        <v>630</v>
      </c>
      <c r="B1029" s="1981" t="str">
        <f>VLOOKUP(A1029,plasmids!$A$2:$B$910,2)</f>
        <v>pssAAV-U6-sh454-MfUSH1C-CMV-GFP_x000D_</v>
      </c>
      <c r="C1029" s="1" t="s">
        <v>5182</v>
      </c>
      <c r="E1029" s="758"/>
      <c r="F1029" s="54" t="s">
        <v>3433</v>
      </c>
      <c r="G1029" s="2952" t="s">
        <v>5183</v>
      </c>
      <c r="J1029" s="54" t="s">
        <v>3436</v>
      </c>
      <c r="K1029" s="516"/>
    </row>
    <row r="1030" spans="1:11">
      <c r="A1030" s="1538"/>
      <c r="B1030" s="1981"/>
      <c r="C1030" s="1" t="s">
        <v>5186</v>
      </c>
      <c r="D1030" s="54" t="s">
        <v>474</v>
      </c>
      <c r="E1030" s="2953">
        <v>42576</v>
      </c>
      <c r="F1030" s="54" t="s">
        <v>3433</v>
      </c>
      <c r="G1030" s="2952">
        <v>1686</v>
      </c>
      <c r="J1030" s="54"/>
      <c r="K1030" s="516"/>
    </row>
    <row r="1031" spans="1:11">
      <c r="A1031" s="1538">
        <v>631</v>
      </c>
      <c r="B1031" s="1981" t="str">
        <f>VLOOKUP(A1031,plasmids!$A$2:$B$910,2)</f>
        <v>pssAAV-U6-sh1082-MfUSH1C-CMV-GFP</v>
      </c>
      <c r="C1031" s="1" t="s">
        <v>5187</v>
      </c>
      <c r="E1031" s="758"/>
      <c r="F1031" s="54" t="s">
        <v>3433</v>
      </c>
      <c r="G1031" s="2952" t="s">
        <v>5188</v>
      </c>
      <c r="J1031" s="54" t="s">
        <v>3436</v>
      </c>
      <c r="K1031" s="516"/>
    </row>
    <row r="1032" spans="1:11">
      <c r="A1032" s="1538"/>
      <c r="B1032" s="1981"/>
      <c r="C1032" s="1" t="s">
        <v>5189</v>
      </c>
      <c r="D1032" s="54" t="s">
        <v>474</v>
      </c>
      <c r="E1032" s="2953">
        <v>42576</v>
      </c>
      <c r="F1032" s="54"/>
      <c r="G1032" s="2952">
        <v>1762</v>
      </c>
      <c r="J1032" s="54"/>
      <c r="K1032" s="516"/>
    </row>
    <row r="1033" spans="1:11">
      <c r="A1033" s="1538">
        <v>632</v>
      </c>
      <c r="B1033" s="1981" t="str">
        <f>VLOOKUP(A1033,plasmids!$A$2:$B$910,2)</f>
        <v>pssAAV-U6-shLife7-MfHsUSH1C-CMV-GFP</v>
      </c>
      <c r="C1033" s="1" t="s">
        <v>5191</v>
      </c>
      <c r="E1033" s="758"/>
      <c r="F1033" s="54" t="s">
        <v>3433</v>
      </c>
      <c r="G1033" s="2952" t="s">
        <v>5192</v>
      </c>
      <c r="J1033" s="54" t="s">
        <v>3436</v>
      </c>
      <c r="K1033" s="516"/>
    </row>
    <row r="1034" spans="1:11">
      <c r="A1034" s="1538"/>
      <c r="B1034" s="1981"/>
      <c r="C1034" s="1" t="s">
        <v>5193</v>
      </c>
      <c r="D1034" s="54" t="s">
        <v>474</v>
      </c>
      <c r="E1034" s="2953">
        <v>42576</v>
      </c>
      <c r="F1034" s="54" t="s">
        <v>3433</v>
      </c>
      <c r="G1034" s="2952">
        <v>1894</v>
      </c>
      <c r="J1034" s="54"/>
    </row>
    <row r="1035" spans="1:11">
      <c r="A1035" s="1538">
        <v>633</v>
      </c>
      <c r="B1035" s="1981" t="str">
        <f>VLOOKUP(A1035,plasmids!$A$2:$B$910,2)</f>
        <v>pssAAV-U6-shLife10-MfHsUSH1C-CMV-GFP</v>
      </c>
      <c r="C1035" s="1" t="s">
        <v>5194</v>
      </c>
      <c r="E1035" s="758"/>
      <c r="F1035" s="54" t="s">
        <v>3433</v>
      </c>
      <c r="G1035" s="2952" t="s">
        <v>5195</v>
      </c>
      <c r="J1035" s="54" t="s">
        <v>3436</v>
      </c>
    </row>
    <row r="1036" spans="1:11">
      <c r="A1036" s="1538"/>
      <c r="B1036" s="1981"/>
      <c r="C1036" s="1" t="s">
        <v>5196</v>
      </c>
      <c r="D1036" s="54" t="s">
        <v>474</v>
      </c>
      <c r="E1036" s="2953">
        <v>42576</v>
      </c>
      <c r="F1036" s="54" t="s">
        <v>3433</v>
      </c>
      <c r="G1036" s="2952">
        <v>1485</v>
      </c>
      <c r="J1036" s="54"/>
    </row>
    <row r="1037" spans="1:11">
      <c r="A1037" s="1538">
        <v>634</v>
      </c>
      <c r="B1037" s="1981" t="str">
        <f>VLOOKUP(A1037,plasmids!$A$2:$B$910,2)</f>
        <v>pssAAV-U6-shLife10scr-MfHsUSH1C-CMV-GFP</v>
      </c>
      <c r="C1037" s="1" t="s">
        <v>5197</v>
      </c>
      <c r="E1037" s="758"/>
      <c r="F1037" s="54" t="s">
        <v>3433</v>
      </c>
      <c r="G1037" s="2952" t="s">
        <v>5198</v>
      </c>
      <c r="J1037" s="54" t="s">
        <v>3436</v>
      </c>
    </row>
    <row r="1038" spans="1:11" ht="12.75" customHeight="1">
      <c r="A1038" s="1538"/>
      <c r="B1038" s="1981"/>
      <c r="C1038" s="1" t="s">
        <v>5199</v>
      </c>
      <c r="D1038" s="54" t="s">
        <v>474</v>
      </c>
      <c r="E1038" s="2954">
        <v>42576</v>
      </c>
      <c r="F1038" s="54" t="s">
        <v>3433</v>
      </c>
      <c r="G1038" s="54">
        <v>1572</v>
      </c>
    </row>
    <row r="1039" spans="1:11" ht="12.75" customHeight="1">
      <c r="A1039" s="1538">
        <v>635</v>
      </c>
      <c r="B1039" s="1981" t="str">
        <f>VLOOKUP(A1039,plasmids!$A$2:$B$910,2)</f>
        <v>pAAV-SV40-GRM6-MBD</v>
      </c>
      <c r="C1039" s="1"/>
    </row>
    <row r="1040" spans="1:11" ht="12.75" customHeight="1">
      <c r="A1040" s="1319">
        <v>636</v>
      </c>
      <c r="B1040" s="1895" t="str">
        <f>VLOOKUP(A1040,plasmids!$A$2:$B$910,2)</f>
        <v>pssAAV-CAG-Chronos-FLAG</v>
      </c>
      <c r="C1040" s="1320" t="s">
        <v>5201</v>
      </c>
      <c r="D1040" s="653" t="s">
        <v>2771</v>
      </c>
      <c r="E1040" s="2955">
        <v>42480</v>
      </c>
      <c r="F1040" s="653" t="s">
        <v>881</v>
      </c>
      <c r="G1040" s="653" t="s">
        <v>5202</v>
      </c>
      <c r="H1040" s="655"/>
      <c r="I1040" s="653" t="s">
        <v>3128</v>
      </c>
      <c r="J1040" s="653" t="s">
        <v>2092</v>
      </c>
    </row>
    <row r="1041" spans="1:10" ht="12.75" customHeight="1">
      <c r="A1041" s="1319">
        <v>636</v>
      </c>
      <c r="B1041" s="1895" t="str">
        <f>VLOOKUP(A1041,plasmids!$A$2:$B$910,2)</f>
        <v>pssAAV-CAG-Chronos-FLAG</v>
      </c>
      <c r="C1041" s="1320" t="s">
        <v>5203</v>
      </c>
      <c r="D1041" s="653" t="s">
        <v>2771</v>
      </c>
      <c r="E1041" s="2955">
        <v>42487</v>
      </c>
      <c r="F1041" s="653" t="s">
        <v>881</v>
      </c>
      <c r="G1041" s="653" t="s">
        <v>5204</v>
      </c>
      <c r="H1041" s="653" t="s">
        <v>929</v>
      </c>
      <c r="I1041" s="653" t="s">
        <v>3128</v>
      </c>
      <c r="J1041" s="653" t="s">
        <v>5205</v>
      </c>
    </row>
    <row r="1042" spans="1:10" ht="12.75" customHeight="1">
      <c r="A1042" s="1319">
        <v>636</v>
      </c>
      <c r="B1042" s="1895" t="str">
        <f>VLOOKUP(A1042,plasmids!$A$2:$B$910,2)</f>
        <v>pssAAV-CAG-Chronos-FLAG</v>
      </c>
      <c r="C1042" s="1320" t="s">
        <v>5206</v>
      </c>
      <c r="D1042" s="653" t="s">
        <v>2765</v>
      </c>
      <c r="E1042" s="2955">
        <v>42488</v>
      </c>
      <c r="F1042" s="653" t="s">
        <v>881</v>
      </c>
      <c r="G1042" s="653" t="s">
        <v>5207</v>
      </c>
      <c r="H1042" s="653" t="s">
        <v>5208</v>
      </c>
      <c r="I1042" s="653" t="s">
        <v>3128</v>
      </c>
      <c r="J1042" s="653"/>
    </row>
    <row r="1043" spans="1:10" ht="12.75" customHeight="1">
      <c r="A1043" s="2956">
        <v>636</v>
      </c>
      <c r="B1043" s="2958" t="str">
        <f>VLOOKUP(A1043,plasmids!$A$2:$B$910,2)</f>
        <v>pssAAV-CAG-Chronos-FLAG</v>
      </c>
      <c r="C1043" s="2960" t="s">
        <v>5210</v>
      </c>
      <c r="D1043" s="2962" t="s">
        <v>3342</v>
      </c>
      <c r="E1043" s="2963">
        <v>42502</v>
      </c>
      <c r="F1043" s="2962" t="s">
        <v>881</v>
      </c>
      <c r="G1043" s="2962">
        <v>0.14349999999999999</v>
      </c>
      <c r="H1043" s="2962" t="s">
        <v>929</v>
      </c>
      <c r="I1043" s="2962" t="s">
        <v>3128</v>
      </c>
      <c r="J1043" s="653" t="s">
        <v>5211</v>
      </c>
    </row>
    <row r="1044" spans="1:10" ht="12.75" customHeight="1">
      <c r="A1044" s="2964">
        <v>637</v>
      </c>
      <c r="B1044" s="2319" t="str">
        <f>VLOOKUP(A1044,plasmids!$A$2:$B$910,2)</f>
        <v>pssAAV-CAG-tdTomato-2A-Chronos</v>
      </c>
      <c r="C1044" s="2322" t="s">
        <v>5212</v>
      </c>
      <c r="D1044" s="2795" t="s">
        <v>2771</v>
      </c>
      <c r="E1044" s="2967">
        <v>42475</v>
      </c>
      <c r="F1044" s="2795" t="s">
        <v>881</v>
      </c>
      <c r="G1044" s="2795" t="s">
        <v>5213</v>
      </c>
      <c r="H1044" s="2331"/>
      <c r="I1044" s="2795" t="s">
        <v>3181</v>
      </c>
      <c r="J1044" s="2795" t="s">
        <v>2093</v>
      </c>
    </row>
    <row r="1045" spans="1:10" ht="12.75" customHeight="1">
      <c r="A1045" s="2964">
        <v>637</v>
      </c>
      <c r="B1045" s="2319" t="str">
        <f>VLOOKUP(A1045,plasmids!$A$2:$B$910,2)</f>
        <v>pssAAV-CAG-tdTomato-2A-Chronos</v>
      </c>
      <c r="C1045" s="2322" t="s">
        <v>5214</v>
      </c>
      <c r="D1045" s="2795" t="s">
        <v>2771</v>
      </c>
      <c r="E1045" s="2967">
        <v>42487</v>
      </c>
      <c r="F1045" s="2795" t="s">
        <v>881</v>
      </c>
      <c r="G1045" s="2795" t="s">
        <v>5215</v>
      </c>
      <c r="H1045" s="2795" t="s">
        <v>929</v>
      </c>
      <c r="I1045" s="2795" t="s">
        <v>3181</v>
      </c>
      <c r="J1045" s="2795" t="s">
        <v>5205</v>
      </c>
    </row>
    <row r="1046" spans="1:10" ht="12.75" customHeight="1">
      <c r="A1046" s="2964">
        <v>637</v>
      </c>
      <c r="B1046" s="2319" t="str">
        <f>VLOOKUP(A1046,plasmids!$A$2:$B$910,2)</f>
        <v>pssAAV-CAG-tdTomato-2A-Chronos</v>
      </c>
      <c r="C1046" s="2322" t="s">
        <v>5216</v>
      </c>
      <c r="D1046" s="2795" t="s">
        <v>2765</v>
      </c>
      <c r="E1046" s="2967">
        <v>42488</v>
      </c>
      <c r="F1046" s="2795" t="s">
        <v>881</v>
      </c>
      <c r="G1046" s="2795">
        <v>1.1802999999999999</v>
      </c>
      <c r="H1046" s="2795" t="s">
        <v>5208</v>
      </c>
      <c r="I1046" s="2795" t="s">
        <v>3181</v>
      </c>
      <c r="J1046" s="2795"/>
    </row>
    <row r="1047" spans="1:10" ht="12.75" customHeight="1">
      <c r="A1047" s="2970">
        <v>638</v>
      </c>
      <c r="B1047" s="2021" t="str">
        <f>VLOOKUP(A1047,plasmids!$A$2:$B$910,2)</f>
        <v>pssAAV-CAG-tdTomato-2A-CoChR</v>
      </c>
      <c r="C1047" s="2023" t="s">
        <v>5217</v>
      </c>
      <c r="D1047" s="2245" t="s">
        <v>2771</v>
      </c>
      <c r="E1047" s="2972">
        <v>42475</v>
      </c>
      <c r="F1047" s="2245" t="s">
        <v>881</v>
      </c>
      <c r="G1047" s="2032" t="s">
        <v>5218</v>
      </c>
      <c r="H1047" s="2241"/>
      <c r="I1047" s="2245" t="s">
        <v>3181</v>
      </c>
      <c r="J1047" s="2245" t="s">
        <v>2094</v>
      </c>
    </row>
    <row r="1048" spans="1:10" ht="12.75" customHeight="1">
      <c r="A1048" s="2970">
        <v>638</v>
      </c>
      <c r="B1048" s="2021" t="str">
        <f>VLOOKUP(A1048,plasmids!$A$2:$B$910,2)</f>
        <v>pssAAV-CAG-tdTomato-2A-CoChR</v>
      </c>
      <c r="C1048" s="2023" t="s">
        <v>5219</v>
      </c>
      <c r="D1048" s="2245" t="s">
        <v>2771</v>
      </c>
      <c r="E1048" s="2972">
        <v>42487</v>
      </c>
      <c r="F1048" s="2245" t="s">
        <v>881</v>
      </c>
      <c r="G1048" s="2032" t="s">
        <v>5220</v>
      </c>
      <c r="H1048" s="2245" t="s">
        <v>929</v>
      </c>
      <c r="I1048" s="2245" t="s">
        <v>3181</v>
      </c>
      <c r="J1048" s="2245" t="s">
        <v>5205</v>
      </c>
    </row>
    <row r="1049" spans="1:10" ht="12.75" customHeight="1">
      <c r="A1049" s="2970">
        <v>638</v>
      </c>
      <c r="B1049" s="2021" t="str">
        <f>VLOOKUP(A1049,plasmids!$A$2:$B$910,2)</f>
        <v>pssAAV-CAG-tdTomato-2A-CoChR</v>
      </c>
      <c r="C1049" s="2023" t="s">
        <v>5221</v>
      </c>
      <c r="D1049" s="2245" t="s">
        <v>2765</v>
      </c>
      <c r="E1049" s="2972">
        <v>42488</v>
      </c>
      <c r="F1049" s="2245" t="s">
        <v>881</v>
      </c>
      <c r="G1049" s="2032">
        <v>1.0528999999999999</v>
      </c>
      <c r="H1049" s="2245" t="s">
        <v>5208</v>
      </c>
      <c r="I1049" s="2245" t="s">
        <v>3181</v>
      </c>
      <c r="J1049" s="2245"/>
    </row>
    <row r="1050" spans="1:10" ht="12.75" customHeight="1">
      <c r="A1050" s="1264">
        <v>639</v>
      </c>
      <c r="B1050" s="1931" t="str">
        <f>VLOOKUP(A1050,plasmids!$A$2:$B$910,2)</f>
        <v>pAAV5+NotI-SansRep2</v>
      </c>
      <c r="C1050" s="1260" t="s">
        <v>5222</v>
      </c>
      <c r="D1050" s="968" t="s">
        <v>2771</v>
      </c>
      <c r="E1050" s="1293">
        <v>42479</v>
      </c>
      <c r="F1050" s="968" t="s">
        <v>2070</v>
      </c>
      <c r="G1050" s="1261">
        <v>0.1668</v>
      </c>
      <c r="H1050" s="968" t="s">
        <v>929</v>
      </c>
      <c r="I1050" s="968" t="s">
        <v>3181</v>
      </c>
      <c r="J1050" s="968" t="s">
        <v>5223</v>
      </c>
    </row>
    <row r="1051" spans="1:10" ht="12.75" customHeight="1">
      <c r="A1051" s="2908">
        <v>640</v>
      </c>
      <c r="B1051" s="2217" t="str">
        <f>VLOOKUP(A1051,plasmids!$A$2:$B$910,2)</f>
        <v>pAAV8+NotI-SansRep2</v>
      </c>
      <c r="C1051" s="1043" t="s">
        <v>5224</v>
      </c>
      <c r="D1051" s="1545" t="s">
        <v>2771</v>
      </c>
      <c r="E1051" s="1044">
        <v>42479</v>
      </c>
      <c r="F1051" s="1545" t="s">
        <v>2070</v>
      </c>
      <c r="G1051" s="1042">
        <v>0.14699999999999999</v>
      </c>
      <c r="H1051" s="1545" t="s">
        <v>929</v>
      </c>
      <c r="I1051" s="1545" t="s">
        <v>3181</v>
      </c>
      <c r="J1051" s="1545" t="s">
        <v>5225</v>
      </c>
    </row>
    <row r="1052" spans="1:10" ht="12.75" customHeight="1">
      <c r="A1052" s="2950">
        <v>641</v>
      </c>
      <c r="B1052" s="2308" t="str">
        <f>VLOOKUP(A1052,plasmids!$A$2:$B$910,2)</f>
        <v>pAAV9hu14+NotI-SansRep2</v>
      </c>
      <c r="C1052" s="2310" t="s">
        <v>5226</v>
      </c>
      <c r="D1052" s="2353" t="s">
        <v>2787</v>
      </c>
      <c r="E1052" s="2951">
        <v>42479</v>
      </c>
      <c r="F1052" s="2353" t="s">
        <v>2070</v>
      </c>
      <c r="G1052" s="2312">
        <v>0.15010000000000001</v>
      </c>
      <c r="H1052" s="2353" t="s">
        <v>929</v>
      </c>
      <c r="I1052" s="2353" t="s">
        <v>3181</v>
      </c>
      <c r="J1052" s="2353" t="s">
        <v>5227</v>
      </c>
    </row>
    <row r="1053" spans="1:10" ht="12.75" customHeight="1">
      <c r="A1053" s="2907">
        <v>642</v>
      </c>
      <c r="B1053" s="2415" t="str">
        <f>VLOOKUP(A1053,plasmids!$A$2:$B$910,2)</f>
        <v>pXR9 NotI Unique</v>
      </c>
      <c r="C1053" s="2434" t="s">
        <v>5228</v>
      </c>
      <c r="D1053" s="1209" t="s">
        <v>2771</v>
      </c>
      <c r="E1053" s="2847"/>
      <c r="F1053" s="1209" t="s">
        <v>2070</v>
      </c>
      <c r="G1053" s="2982"/>
      <c r="H1053" s="1209" t="s">
        <v>5145</v>
      </c>
      <c r="I1053" s="1209" t="s">
        <v>3181</v>
      </c>
      <c r="J1053" s="1209" t="s">
        <v>2102</v>
      </c>
    </row>
    <row r="1054" spans="1:10" ht="12.75" customHeight="1">
      <c r="A1054" s="2907">
        <v>642</v>
      </c>
      <c r="B1054" s="2415" t="str">
        <f>VLOOKUP(A1054,plasmids!$A$2:$B$910,2)</f>
        <v>pXR9 NotI Unique</v>
      </c>
      <c r="C1054" s="2434" t="s">
        <v>5230</v>
      </c>
      <c r="D1054" s="1209" t="s">
        <v>2765</v>
      </c>
      <c r="E1054" s="2451">
        <v>42500</v>
      </c>
      <c r="F1054" s="1209" t="s">
        <v>1549</v>
      </c>
      <c r="G1054" s="2438"/>
      <c r="H1054" s="1209" t="s">
        <v>5145</v>
      </c>
      <c r="I1054" s="1209" t="s">
        <v>3128</v>
      </c>
      <c r="J1054" s="1209" t="s">
        <v>5231</v>
      </c>
    </row>
    <row r="1055" spans="1:10" ht="12.75" customHeight="1">
      <c r="A1055" s="1538">
        <v>643</v>
      </c>
      <c r="B1055" s="1981" t="str">
        <f>VLOOKUP(A1055,plasmids!$A$2:$B$910,2)</f>
        <v>pssAAV-4xGRM6-TVA-2A-RabbiesG</v>
      </c>
      <c r="C1055" s="1" t="s">
        <v>5232</v>
      </c>
      <c r="D1055" s="54" t="s">
        <v>2771</v>
      </c>
      <c r="E1055" s="758"/>
      <c r="G1055" s="755" t="s">
        <v>5233</v>
      </c>
    </row>
    <row r="1056" spans="1:10" ht="12.75" customHeight="1">
      <c r="A1056" s="1264">
        <v>644</v>
      </c>
      <c r="B1056" s="1931" t="str">
        <f>VLOOKUP(A1056,plasmids!$A$2:$B$910,2)</f>
        <v>pAAV5+NotI-SansRep2-SupprNruI</v>
      </c>
      <c r="C1056" s="1260" t="s">
        <v>5234</v>
      </c>
      <c r="D1056" s="968" t="s">
        <v>2771</v>
      </c>
      <c r="E1056" s="1293">
        <v>42501</v>
      </c>
      <c r="F1056" s="968" t="s">
        <v>2070</v>
      </c>
      <c r="G1056" s="1261" t="s">
        <v>5235</v>
      </c>
      <c r="H1056" s="968" t="s">
        <v>5236</v>
      </c>
      <c r="I1056" s="968" t="s">
        <v>3181</v>
      </c>
      <c r="J1056" s="968" t="s">
        <v>5237</v>
      </c>
    </row>
    <row r="1057" spans="1:10" ht="12.75" customHeight="1">
      <c r="A1057" s="1264">
        <v>644</v>
      </c>
      <c r="B1057" s="1931" t="str">
        <f>VLOOKUP(A1057,plasmids!$A$2:$B$910,2)</f>
        <v>pAAV5+NotI-SansRep2-SupprNruI</v>
      </c>
      <c r="C1057" s="1260" t="s">
        <v>5238</v>
      </c>
      <c r="D1057" s="968" t="s">
        <v>5239</v>
      </c>
      <c r="E1057" s="1293">
        <v>42510</v>
      </c>
      <c r="F1057" s="968" t="s">
        <v>2070</v>
      </c>
      <c r="G1057" s="1261">
        <v>0.29360000000000003</v>
      </c>
      <c r="H1057" s="968" t="s">
        <v>5236</v>
      </c>
      <c r="I1057" s="968" t="s">
        <v>3128</v>
      </c>
      <c r="J1057" s="968" t="s">
        <v>5177</v>
      </c>
    </row>
    <row r="1058" spans="1:10" ht="12.75" customHeight="1">
      <c r="A1058" s="2908">
        <v>645</v>
      </c>
      <c r="B1058" s="2217" t="str">
        <f>VLOOKUP(A1058,plasmids!$A$2:$B$910,2)</f>
        <v>pAAV8+NotI-SansRep2-SupprNruI</v>
      </c>
      <c r="C1058" s="1043" t="s">
        <v>5240</v>
      </c>
      <c r="D1058" s="1545" t="s">
        <v>2771</v>
      </c>
      <c r="E1058" s="1044">
        <v>42501</v>
      </c>
      <c r="F1058" s="1545" t="s">
        <v>2070</v>
      </c>
      <c r="G1058" s="1042" t="s">
        <v>5241</v>
      </c>
      <c r="H1058" s="1545" t="s">
        <v>929</v>
      </c>
      <c r="I1058" s="1545" t="s">
        <v>3181</v>
      </c>
      <c r="J1058" s="1545" t="s">
        <v>5242</v>
      </c>
    </row>
    <row r="1059" spans="1:10" ht="12.75" customHeight="1">
      <c r="A1059" s="2908">
        <v>645</v>
      </c>
      <c r="B1059" s="2217" t="str">
        <f>VLOOKUP(A1059,plasmids!$A$2:$B$910,2)</f>
        <v>pAAV8+NotI-SansRep2-SupprNruI</v>
      </c>
      <c r="C1059" s="1043" t="s">
        <v>5243</v>
      </c>
      <c r="D1059" s="1545" t="s">
        <v>5239</v>
      </c>
      <c r="E1059" s="1044">
        <v>42510</v>
      </c>
      <c r="F1059" s="1545" t="s">
        <v>2070</v>
      </c>
      <c r="G1059" s="1042">
        <v>0.29570000000000002</v>
      </c>
      <c r="H1059" s="1545" t="s">
        <v>929</v>
      </c>
      <c r="I1059" s="1545" t="s">
        <v>3128</v>
      </c>
      <c r="J1059" s="1545" t="s">
        <v>5177</v>
      </c>
    </row>
    <row r="1060" spans="1:10" ht="12.75" customHeight="1">
      <c r="A1060" s="2908">
        <v>645</v>
      </c>
      <c r="B1060" s="2217" t="str">
        <f>VLOOKUP(A1060,plasmids!$A$2:$B$910,2)</f>
        <v>pAAV8+NotI-SansRep2-SupprNruI</v>
      </c>
      <c r="C1060" s="1043" t="s">
        <v>5244</v>
      </c>
      <c r="D1060" s="1545" t="s">
        <v>5239</v>
      </c>
      <c r="E1060" s="1044">
        <v>42573</v>
      </c>
      <c r="F1060" s="1545" t="s">
        <v>2070</v>
      </c>
      <c r="G1060" s="1042">
        <v>0.38690000000000002</v>
      </c>
      <c r="H1060" s="1545"/>
      <c r="I1060" s="1545" t="s">
        <v>3128</v>
      </c>
      <c r="J1060" s="1545"/>
    </row>
    <row r="1061" spans="1:10" ht="12.75" customHeight="1">
      <c r="A1061" s="2950">
        <v>646</v>
      </c>
      <c r="B1061" s="2308" t="str">
        <f>VLOOKUP(A1061,plasmids!$A$2:$B$910,2)</f>
        <v>pAAV9hu14+NotI-SansRep2-SupprNruI</v>
      </c>
      <c r="C1061" s="2310" t="s">
        <v>5245</v>
      </c>
      <c r="D1061" s="2353" t="s">
        <v>2771</v>
      </c>
      <c r="E1061" s="2951">
        <v>42501</v>
      </c>
      <c r="F1061" s="2353" t="s">
        <v>2070</v>
      </c>
      <c r="G1061" s="2312" t="s">
        <v>5246</v>
      </c>
      <c r="H1061" s="2353" t="s">
        <v>929</v>
      </c>
      <c r="I1061" s="2353" t="s">
        <v>3181</v>
      </c>
      <c r="J1061" s="2353" t="s">
        <v>5247</v>
      </c>
    </row>
    <row r="1062" spans="1:10" ht="12.75" customHeight="1">
      <c r="A1062" s="2950">
        <v>646</v>
      </c>
      <c r="B1062" s="2308" t="str">
        <f>VLOOKUP(A1062,plasmids!$A$2:$B$910,2)</f>
        <v>pAAV9hu14+NotI-SansRep2-SupprNruI</v>
      </c>
      <c r="C1062" s="2310" t="s">
        <v>5248</v>
      </c>
      <c r="D1062" s="2353" t="s">
        <v>5239</v>
      </c>
      <c r="E1062" s="2951">
        <v>42510</v>
      </c>
      <c r="F1062" s="2353" t="s">
        <v>2070</v>
      </c>
      <c r="G1062" s="2312">
        <v>0.3634</v>
      </c>
      <c r="H1062" s="2353" t="s">
        <v>929</v>
      </c>
      <c r="I1062" s="2353" t="s">
        <v>3128</v>
      </c>
      <c r="J1062" s="2353" t="s">
        <v>5177</v>
      </c>
    </row>
    <row r="1063" spans="1:10" ht="12.75" customHeight="1">
      <c r="A1063" s="1538">
        <v>647</v>
      </c>
      <c r="B1063" s="1981" t="str">
        <f>VLOOKUP(A1063,plasmids!$A$2:$B$910,2)</f>
        <v>pAAV-syn-DIO ReaChR-FLAG-kv-P2A-H2B-mRuby2</v>
      </c>
      <c r="C1063" s="1" t="s">
        <v>5249</v>
      </c>
      <c r="D1063" s="54" t="s">
        <v>2771</v>
      </c>
      <c r="E1063" s="1032">
        <v>42524</v>
      </c>
      <c r="F1063" s="54" t="s">
        <v>881</v>
      </c>
      <c r="G1063" s="755" t="s">
        <v>5250</v>
      </c>
      <c r="H1063" s="54" t="s">
        <v>5072</v>
      </c>
      <c r="I1063" s="54" t="s">
        <v>3181</v>
      </c>
      <c r="J1063" s="54" t="s">
        <v>5251</v>
      </c>
    </row>
    <row r="1064" spans="1:10" ht="12.75" customHeight="1">
      <c r="A1064" s="1538">
        <v>648</v>
      </c>
      <c r="B1064" s="1981" t="str">
        <f>VLOOKUP(A1064,plasmids!$A$2:$B$910,2)</f>
        <v>pAAV-EF1-DIO-YFP</v>
      </c>
      <c r="C1064" s="757"/>
      <c r="E1064" s="758"/>
      <c r="G1064" s="754"/>
    </row>
    <row r="1065" spans="1:10" ht="12.75" customHeight="1">
      <c r="A1065" s="2985">
        <v>649</v>
      </c>
      <c r="B1065" s="2986" t="s">
        <v>2117</v>
      </c>
      <c r="C1065" s="2987" t="s">
        <v>5252</v>
      </c>
      <c r="D1065" s="2986" t="s">
        <v>2771</v>
      </c>
      <c r="E1065" s="2988"/>
      <c r="F1065" s="2986" t="s">
        <v>881</v>
      </c>
      <c r="G1065" s="2989" t="s">
        <v>5253</v>
      </c>
      <c r="H1065" s="2990"/>
      <c r="I1065" s="2986" t="s">
        <v>3181</v>
      </c>
      <c r="J1065" s="2990"/>
    </row>
    <row r="1066" spans="1:10" ht="12.75" customHeight="1">
      <c r="A1066" s="2985">
        <v>649</v>
      </c>
      <c r="B1066" s="2986" t="s">
        <v>2117</v>
      </c>
      <c r="C1066" s="2987" t="s">
        <v>5254</v>
      </c>
      <c r="D1066" s="2986" t="s">
        <v>2765</v>
      </c>
      <c r="E1066" s="2991">
        <v>42516</v>
      </c>
      <c r="F1066" s="2986" t="s">
        <v>881</v>
      </c>
      <c r="G1066" s="2989" t="s">
        <v>5255</v>
      </c>
      <c r="H1066" s="2986" t="s">
        <v>400</v>
      </c>
      <c r="I1066" s="2986" t="s">
        <v>3128</v>
      </c>
      <c r="J1066" s="2986" t="s">
        <v>5256</v>
      </c>
    </row>
    <row r="1067" spans="1:10" ht="12.75" customHeight="1">
      <c r="A1067" s="1264">
        <v>650</v>
      </c>
      <c r="B1067" s="2992" t="s">
        <v>2119</v>
      </c>
      <c r="C1067" s="1260" t="s">
        <v>5257</v>
      </c>
      <c r="D1067" s="968" t="s">
        <v>2771</v>
      </c>
      <c r="E1067" s="1293">
        <v>42509</v>
      </c>
      <c r="F1067" s="968" t="s">
        <v>2070</v>
      </c>
      <c r="G1067" s="1261">
        <v>3.9399999999999998E-2</v>
      </c>
      <c r="H1067" s="968" t="s">
        <v>5236</v>
      </c>
      <c r="I1067" s="968" t="s">
        <v>3181</v>
      </c>
      <c r="J1067" s="968" t="s">
        <v>5258</v>
      </c>
    </row>
    <row r="1068" spans="1:10" ht="12.75" customHeight="1">
      <c r="A1068" s="1264">
        <v>650</v>
      </c>
      <c r="B1068" s="2992" t="s">
        <v>2119</v>
      </c>
      <c r="C1068" s="1260" t="s">
        <v>5259</v>
      </c>
      <c r="D1068" s="968" t="s">
        <v>5239</v>
      </c>
      <c r="E1068" s="1293">
        <v>42517</v>
      </c>
      <c r="F1068" s="968" t="s">
        <v>2070</v>
      </c>
      <c r="G1068" s="1261">
        <v>0.16070000000000001</v>
      </c>
      <c r="H1068" s="968" t="s">
        <v>5236</v>
      </c>
      <c r="I1068" s="968" t="s">
        <v>3128</v>
      </c>
      <c r="J1068" s="968"/>
    </row>
    <row r="1069" spans="1:10" ht="12.75" customHeight="1">
      <c r="A1069" s="1264">
        <v>650</v>
      </c>
      <c r="B1069" s="2992" t="s">
        <v>2119</v>
      </c>
      <c r="C1069" s="1260" t="s">
        <v>5260</v>
      </c>
      <c r="D1069" s="968" t="s">
        <v>2771</v>
      </c>
      <c r="E1069" s="1293">
        <v>42537</v>
      </c>
      <c r="F1069" s="968" t="s">
        <v>2070</v>
      </c>
      <c r="G1069" s="1261">
        <v>0.1236</v>
      </c>
      <c r="H1069" s="968" t="s">
        <v>929</v>
      </c>
      <c r="I1069" s="968" t="s">
        <v>3128</v>
      </c>
      <c r="J1069" s="968" t="s">
        <v>5261</v>
      </c>
    </row>
    <row r="1070" spans="1:10" ht="12.75" customHeight="1">
      <c r="A1070" s="1264">
        <v>650</v>
      </c>
      <c r="B1070" s="2992" t="s">
        <v>2119</v>
      </c>
      <c r="C1070" s="1260" t="s">
        <v>5262</v>
      </c>
      <c r="D1070" s="968" t="s">
        <v>5239</v>
      </c>
      <c r="E1070" s="1293">
        <v>42544</v>
      </c>
      <c r="F1070" s="968" t="s">
        <v>2070</v>
      </c>
      <c r="G1070" s="1261">
        <v>0.55010000000000003</v>
      </c>
      <c r="H1070" s="968" t="s">
        <v>929</v>
      </c>
      <c r="I1070" s="968" t="s">
        <v>3128</v>
      </c>
      <c r="J1070" s="968"/>
    </row>
    <row r="1071" spans="1:10" ht="12.75" customHeight="1">
      <c r="A1071" s="2908">
        <v>651</v>
      </c>
      <c r="B1071" s="2993" t="s">
        <v>2121</v>
      </c>
      <c r="C1071" s="1043" t="s">
        <v>5263</v>
      </c>
      <c r="D1071" s="1545" t="s">
        <v>2771</v>
      </c>
      <c r="E1071" s="1044">
        <v>42509</v>
      </c>
      <c r="F1071" s="1545" t="s">
        <v>2070</v>
      </c>
      <c r="G1071" s="1042">
        <v>4.3900000000000002E-2</v>
      </c>
      <c r="H1071" s="1545" t="s">
        <v>929</v>
      </c>
      <c r="I1071" s="1545" t="s">
        <v>3181</v>
      </c>
      <c r="J1071" s="1545" t="s">
        <v>2122</v>
      </c>
    </row>
    <row r="1072" spans="1:10" ht="12.75" customHeight="1">
      <c r="A1072" s="2908">
        <v>651</v>
      </c>
      <c r="B1072" s="2993" t="s">
        <v>2121</v>
      </c>
      <c r="C1072" s="1043" t="s">
        <v>5264</v>
      </c>
      <c r="D1072" s="1545" t="s">
        <v>5239</v>
      </c>
      <c r="E1072" s="1044">
        <v>42517</v>
      </c>
      <c r="F1072" s="1545" t="s">
        <v>2070</v>
      </c>
      <c r="G1072" s="1042">
        <v>0.1474</v>
      </c>
      <c r="H1072" s="1545"/>
      <c r="I1072" s="1545" t="s">
        <v>3128</v>
      </c>
      <c r="J1072" s="1041"/>
    </row>
    <row r="1073" spans="1:13" ht="12.75" customHeight="1">
      <c r="A1073" s="2908">
        <v>651</v>
      </c>
      <c r="B1073" s="2993" t="s">
        <v>2121</v>
      </c>
      <c r="C1073" s="1043" t="s">
        <v>5265</v>
      </c>
      <c r="D1073" s="1545" t="s">
        <v>5239</v>
      </c>
      <c r="E1073" s="1044">
        <v>42577</v>
      </c>
      <c r="F1073" s="1545" t="s">
        <v>2070</v>
      </c>
      <c r="G1073" s="1042">
        <v>0.16109999999999999</v>
      </c>
      <c r="H1073" s="1545"/>
      <c r="I1073" s="1545" t="s">
        <v>3128</v>
      </c>
      <c r="J1073" s="1041"/>
    </row>
    <row r="1074" spans="1:13" ht="12.75" customHeight="1">
      <c r="A1074" s="2950">
        <v>652</v>
      </c>
      <c r="B1074" s="2994" t="s">
        <v>2123</v>
      </c>
      <c r="C1074" s="2310" t="s">
        <v>5266</v>
      </c>
      <c r="D1074" s="2353" t="s">
        <v>2771</v>
      </c>
      <c r="E1074" s="2951">
        <v>42517</v>
      </c>
      <c r="F1074" s="2353" t="s">
        <v>2070</v>
      </c>
      <c r="G1074" s="2312">
        <v>9.7299999999999998E-2</v>
      </c>
      <c r="H1074" s="2353" t="s">
        <v>929</v>
      </c>
      <c r="I1074" s="2353" t="s">
        <v>3181</v>
      </c>
      <c r="J1074" s="2353" t="s">
        <v>5267</v>
      </c>
    </row>
    <row r="1075" spans="1:13" ht="12.75" customHeight="1">
      <c r="A1075" s="2950">
        <v>652</v>
      </c>
      <c r="B1075" s="2994" t="s">
        <v>2123</v>
      </c>
      <c r="C1075" s="2310" t="s">
        <v>5268</v>
      </c>
      <c r="D1075" s="2353" t="s">
        <v>5239</v>
      </c>
      <c r="E1075" s="2995">
        <v>42552</v>
      </c>
      <c r="F1075" s="2353" t="s">
        <v>2070</v>
      </c>
      <c r="G1075" s="2312">
        <v>0.26679999999999998</v>
      </c>
      <c r="H1075" s="1202"/>
      <c r="I1075" s="2353" t="s">
        <v>3128</v>
      </c>
      <c r="J1075" s="1202"/>
    </row>
    <row r="1076" spans="1:13" ht="12.75" customHeight="1">
      <c r="A1076" s="1538">
        <v>653</v>
      </c>
      <c r="B1076" s="1981" t="str">
        <f>VLOOKUP(A1076,plasmids!$A$2:$B$910,2)</f>
        <v>pssAAV-CAG-Chronos</v>
      </c>
      <c r="C1076" s="1" t="s">
        <v>5269</v>
      </c>
      <c r="D1076" s="54" t="s">
        <v>2771</v>
      </c>
      <c r="E1076" s="1032">
        <v>42517</v>
      </c>
      <c r="F1076" s="54" t="s">
        <v>2126</v>
      </c>
      <c r="G1076" s="755" t="s">
        <v>5270</v>
      </c>
      <c r="H1076" s="54" t="s">
        <v>929</v>
      </c>
      <c r="I1076" s="54" t="s">
        <v>3128</v>
      </c>
      <c r="J1076" s="54" t="s">
        <v>5271</v>
      </c>
    </row>
    <row r="1077" spans="1:13" ht="12.75" customHeight="1">
      <c r="A1077" s="2996">
        <v>654</v>
      </c>
      <c r="B1077" s="2079" t="str">
        <f>VLOOKUP(A1077,plasmids!$A$2:$B$910,2)</f>
        <v>AAV2.1.CMV.eGFP V2 J Bennet</v>
      </c>
      <c r="C1077" s="2081" t="s">
        <v>5272</v>
      </c>
      <c r="D1077" s="2997" t="s">
        <v>2765</v>
      </c>
      <c r="E1077" s="2998" t="s">
        <v>141</v>
      </c>
      <c r="F1077" s="2997" t="s">
        <v>2225</v>
      </c>
      <c r="G1077" s="2099">
        <v>1</v>
      </c>
      <c r="H1077" s="1268"/>
      <c r="I1077" s="1268"/>
      <c r="J1077" s="2997" t="s">
        <v>5273</v>
      </c>
    </row>
    <row r="1078" spans="1:13" ht="12.75" customHeight="1">
      <c r="A1078" s="1538">
        <v>655</v>
      </c>
      <c r="B1078" s="1981" t="str">
        <f>VLOOKUP(A1078,plasmids!$A$2:$B$910,2)</f>
        <v>pscAAV-EF1-miR1813_96_183_Cluster C_ EGFP-WPRE</v>
      </c>
      <c r="C1078" s="1" t="s">
        <v>5274</v>
      </c>
      <c r="D1078" s="54" t="s">
        <v>2765</v>
      </c>
      <c r="E1078" s="658" t="s">
        <v>141</v>
      </c>
      <c r="F1078" s="54" t="s">
        <v>5275</v>
      </c>
      <c r="G1078" s="755">
        <v>0.55000000000000004</v>
      </c>
      <c r="H1078" s="54" t="s">
        <v>400</v>
      </c>
      <c r="I1078" s="54" t="s">
        <v>5276</v>
      </c>
      <c r="J1078" s="54" t="s">
        <v>5277</v>
      </c>
    </row>
    <row r="1079" spans="1:13" ht="12.75" customHeight="1">
      <c r="A1079" s="2999">
        <v>656</v>
      </c>
      <c r="B1079" s="2294" t="str">
        <f>VLOOKUP(A1079,plasmids!$A$2:$B$910,2)</f>
        <v>pcDNA3,1-CMV-Chrimson-SM/YF-YFP BL455T</v>
      </c>
      <c r="C1079" s="833" t="s">
        <v>5278</v>
      </c>
      <c r="D1079" s="835" t="s">
        <v>2771</v>
      </c>
      <c r="E1079" s="3000">
        <v>42522</v>
      </c>
      <c r="F1079" s="835" t="s">
        <v>141</v>
      </c>
      <c r="G1079" s="831" t="s">
        <v>5279</v>
      </c>
      <c r="H1079" s="829"/>
      <c r="I1079" s="829"/>
      <c r="J1079" s="829"/>
    </row>
    <row r="1080" spans="1:13" ht="12.75" customHeight="1">
      <c r="A1080" s="1538">
        <v>657</v>
      </c>
      <c r="B1080" s="1981" t="str">
        <f>VLOOKUP(A1080,plasmids!$A$2:$B$910,2)</f>
        <v>pcDNA3,1-CMV-ChrimsonR-SM/YF/KR-YFP BL456T</v>
      </c>
      <c r="C1080" s="1" t="s">
        <v>5280</v>
      </c>
      <c r="D1080" s="54" t="s">
        <v>2771</v>
      </c>
      <c r="E1080" s="1553">
        <v>42522</v>
      </c>
      <c r="F1080" s="54" t="s">
        <v>141</v>
      </c>
      <c r="G1080" s="755" t="s">
        <v>5282</v>
      </c>
    </row>
    <row r="1081" spans="1:13" ht="12.75" customHeight="1">
      <c r="A1081" s="1567">
        <v>658</v>
      </c>
      <c r="B1081" s="1938" t="str">
        <f>VLOOKUP(A1081,plasmids!$A$2:$B$910,2)</f>
        <v>7m8-444.740</v>
      </c>
      <c r="C1081" s="3001"/>
      <c r="D1081" s="647"/>
      <c r="E1081" s="1730"/>
      <c r="F1081" s="647"/>
      <c r="G1081" s="1203"/>
      <c r="H1081" s="647"/>
      <c r="I1081" s="647"/>
      <c r="J1081" s="647"/>
      <c r="K1081" s="647"/>
      <c r="L1081" s="647"/>
      <c r="M1081" s="647"/>
    </row>
    <row r="1082" spans="1:13" ht="12.75" customHeight="1">
      <c r="A1082" s="1538">
        <v>659</v>
      </c>
      <c r="B1082" s="1981" t="str">
        <f>VLOOKUP(A1082,plasmids!$A$2:$B$910,2)</f>
        <v>7m8-T491V</v>
      </c>
      <c r="C1082" s="757"/>
      <c r="E1082" s="758"/>
      <c r="G1082" s="754"/>
    </row>
    <row r="1083" spans="1:13" ht="12.75" customHeight="1">
      <c r="A1083" s="3002">
        <v>660</v>
      </c>
      <c r="B1083" s="1530" t="str">
        <f>VLOOKUP(A1083,plasmids!$A$2:$B$910,2)</f>
        <v>7m8-Y444F-T491V</v>
      </c>
      <c r="C1083" s="3003"/>
      <c r="D1083" s="1033"/>
      <c r="E1083" s="2786"/>
      <c r="F1083" s="1033"/>
      <c r="G1083" s="1529"/>
      <c r="H1083" s="1033"/>
      <c r="I1083" s="1033"/>
      <c r="J1083" s="1033"/>
      <c r="K1083" s="1033"/>
      <c r="L1083" s="1033"/>
      <c r="M1083" s="1033"/>
    </row>
    <row r="1084" spans="1:13" ht="12.75" customHeight="1">
      <c r="A1084" s="1538">
        <v>661</v>
      </c>
      <c r="B1084" s="1981" t="str">
        <f>VLOOKUP(A1084,plasmids!$A$2:$B$910,2)</f>
        <v>7m8-S662V</v>
      </c>
      <c r="C1084" s="757"/>
      <c r="E1084" s="758"/>
      <c r="G1084" s="754"/>
    </row>
    <row r="1085" spans="1:13" ht="12.75" customHeight="1">
      <c r="A1085" s="3004">
        <v>662</v>
      </c>
      <c r="B1085" s="1955" t="str">
        <f>VLOOKUP(A1085,plasmids!$A$2:$B$910,2)</f>
        <v>7m8-T491V-Y730F</v>
      </c>
      <c r="C1085" s="3005"/>
      <c r="D1085" s="1057"/>
      <c r="E1085" s="2717"/>
      <c r="F1085" s="1057"/>
      <c r="G1085" s="2722"/>
      <c r="H1085" s="1057"/>
      <c r="I1085" s="1057"/>
      <c r="J1085" s="1057"/>
      <c r="K1085" s="1057"/>
      <c r="L1085" s="1057"/>
      <c r="M1085" s="1057"/>
    </row>
    <row r="1086" spans="1:13" ht="12.75" customHeight="1">
      <c r="A1086" s="1538">
        <v>663</v>
      </c>
      <c r="B1086" s="1981" t="str">
        <f>VLOOKUP(A1086,plasmids!$A$2:$B$910,2)</f>
        <v>pLenti-hRO-GFP</v>
      </c>
      <c r="C1086" s="1" t="s">
        <v>5285</v>
      </c>
      <c r="D1086" s="54" t="s">
        <v>2771</v>
      </c>
      <c r="E1086" s="1553">
        <v>42528</v>
      </c>
      <c r="F1086" s="54" t="s">
        <v>5286</v>
      </c>
      <c r="G1086" s="755" t="s">
        <v>5287</v>
      </c>
      <c r="I1086" s="54" t="s">
        <v>5288</v>
      </c>
      <c r="J1086" s="54" t="s">
        <v>5289</v>
      </c>
    </row>
    <row r="1087" spans="1:13" ht="12.75" customHeight="1">
      <c r="A1087" s="3006">
        <v>664</v>
      </c>
      <c r="B1087" s="2660" t="str">
        <f>VLOOKUP(A1087,plasmids!$A$2:$B$910,2)</f>
        <v>pAV2 Lib-Tr-III LGN</v>
      </c>
      <c r="C1087" s="2661" t="s">
        <v>5290</v>
      </c>
      <c r="D1087" s="2670" t="s">
        <v>5291</v>
      </c>
      <c r="E1087" s="3007">
        <v>42528</v>
      </c>
      <c r="F1087" s="2670" t="s">
        <v>1549</v>
      </c>
      <c r="G1087" s="2668" t="s">
        <v>5292</v>
      </c>
      <c r="H1087" s="2670" t="s">
        <v>929</v>
      </c>
      <c r="I1087" s="2670" t="s">
        <v>4845</v>
      </c>
      <c r="J1087" s="2665"/>
    </row>
    <row r="1088" spans="1:13" ht="12.75" customHeight="1">
      <c r="A1088" s="3006">
        <v>665</v>
      </c>
      <c r="B1088" s="2660" t="str">
        <f>VLOOKUP(A1088,plasmids!$A$2:$B$910,2)</f>
        <v>pAV2 Lib-Tr-III Cx</v>
      </c>
      <c r="C1088" s="2661" t="s">
        <v>5293</v>
      </c>
      <c r="D1088" s="2670" t="s">
        <v>5291</v>
      </c>
      <c r="E1088" s="3007">
        <v>42528</v>
      </c>
      <c r="F1088" s="2670" t="s">
        <v>1549</v>
      </c>
      <c r="G1088" s="2668" t="s">
        <v>5294</v>
      </c>
      <c r="H1088" s="2670" t="s">
        <v>929</v>
      </c>
      <c r="I1088" s="2670" t="s">
        <v>4845</v>
      </c>
      <c r="J1088" s="2665"/>
    </row>
    <row r="1089" spans="1:13" ht="12.75" customHeight="1">
      <c r="A1089" s="2985">
        <v>666</v>
      </c>
      <c r="B1089" s="3008" t="str">
        <f>VLOOKUP(A1089,plasmids!$A$2:$B$910,2)</f>
        <v>pssAAV-1xgrm6*-tdT-2a-CochR</v>
      </c>
      <c r="C1089" s="2987" t="s">
        <v>5295</v>
      </c>
      <c r="D1089" s="2986" t="s">
        <v>2771</v>
      </c>
      <c r="E1089" s="3009">
        <v>42557</v>
      </c>
      <c r="F1089" s="2986" t="s">
        <v>2126</v>
      </c>
      <c r="G1089" s="2989" t="s">
        <v>5296</v>
      </c>
      <c r="H1089" s="2986" t="s">
        <v>400</v>
      </c>
      <c r="I1089" s="2986" t="s">
        <v>3128</v>
      </c>
      <c r="J1089" s="2986" t="s">
        <v>2149</v>
      </c>
      <c r="K1089" s="2990"/>
      <c r="L1089" s="2990"/>
      <c r="M1089" s="2990"/>
    </row>
    <row r="1090" spans="1:13" ht="12.75" customHeight="1">
      <c r="A1090" s="2985">
        <v>666</v>
      </c>
      <c r="B1090" s="3008" t="str">
        <f>VLOOKUP(A1090,plasmids!$A$2:$B$910,2)</f>
        <v>pssAAV-1xgrm6*-tdT-2a-CochR</v>
      </c>
      <c r="C1090" s="2987" t="s">
        <v>5297</v>
      </c>
      <c r="D1090" s="2986" t="s">
        <v>2765</v>
      </c>
      <c r="E1090" s="3009">
        <v>42564</v>
      </c>
      <c r="F1090" s="2986" t="s">
        <v>881</v>
      </c>
      <c r="G1090" s="2989" t="s">
        <v>5298</v>
      </c>
      <c r="H1090" s="2986" t="s">
        <v>400</v>
      </c>
      <c r="I1090" s="2986" t="s">
        <v>3128</v>
      </c>
      <c r="J1090" s="2986" t="s">
        <v>4833</v>
      </c>
      <c r="K1090" s="2990"/>
      <c r="L1090" s="2990"/>
      <c r="M1090" s="2990"/>
    </row>
    <row r="1091" spans="1:13" ht="12.75" customHeight="1">
      <c r="A1091" s="3012">
        <v>667</v>
      </c>
      <c r="B1091" s="2888" t="str">
        <f>VLOOKUP(A1091,plasmids!$A$2:$B$910,2)</f>
        <v>pAV2-7mAbis</v>
      </c>
      <c r="C1091" s="2890" t="s">
        <v>5299</v>
      </c>
      <c r="D1091" s="2892" t="s">
        <v>2771</v>
      </c>
      <c r="E1091" s="2893">
        <v>42522</v>
      </c>
      <c r="F1091" s="2892" t="s">
        <v>1549</v>
      </c>
      <c r="G1091" s="2895" t="s">
        <v>5300</v>
      </c>
      <c r="H1091" s="2892" t="s">
        <v>5301</v>
      </c>
      <c r="I1091" s="2892" t="s">
        <v>3128</v>
      </c>
      <c r="J1091" s="2892" t="s">
        <v>5302</v>
      </c>
    </row>
    <row r="1092" spans="1:13" ht="12.75" customHeight="1">
      <c r="A1092" s="3012">
        <v>667</v>
      </c>
      <c r="B1092" s="2888" t="str">
        <f>VLOOKUP(A1092,plasmids!$A$2:$B$910,2)</f>
        <v>pAV2-7mAbis</v>
      </c>
      <c r="C1092" s="2890" t="s">
        <v>5303</v>
      </c>
      <c r="D1092" s="2892" t="s">
        <v>2765</v>
      </c>
      <c r="E1092" s="3014">
        <v>42531</v>
      </c>
      <c r="F1092" s="2892" t="s">
        <v>1549</v>
      </c>
      <c r="G1092" s="3015"/>
      <c r="H1092" s="2892" t="s">
        <v>5301</v>
      </c>
      <c r="I1092" s="2892" t="s">
        <v>3128</v>
      </c>
      <c r="J1092" s="2892" t="s">
        <v>5304</v>
      </c>
    </row>
    <row r="1093" spans="1:13" ht="12.75" customHeight="1">
      <c r="A1093" s="3016">
        <v>668</v>
      </c>
      <c r="B1093" s="3018" t="str">
        <f>VLOOKUP(A1093,plasmids!$A$2:$B$910,2)</f>
        <v>pAV2-7mBbis</v>
      </c>
      <c r="C1093" s="3019" t="s">
        <v>5305</v>
      </c>
      <c r="D1093" s="3020" t="s">
        <v>2771</v>
      </c>
      <c r="E1093" s="3021">
        <v>42522</v>
      </c>
      <c r="F1093" s="3020" t="s">
        <v>1549</v>
      </c>
      <c r="G1093" s="3023" t="s">
        <v>5306</v>
      </c>
      <c r="H1093" s="3020" t="s">
        <v>5301</v>
      </c>
      <c r="I1093" s="3020" t="s">
        <v>3128</v>
      </c>
      <c r="J1093" s="3020" t="s">
        <v>5307</v>
      </c>
    </row>
    <row r="1094" spans="1:13" ht="12.75" customHeight="1">
      <c r="A1094" s="3016">
        <v>668</v>
      </c>
      <c r="B1094" s="3018" t="str">
        <f>VLOOKUP(A1094,plasmids!$A$2:$B$910,2)</f>
        <v>pAV2-7mBbis</v>
      </c>
      <c r="C1094" s="3019" t="s">
        <v>5308</v>
      </c>
      <c r="D1094" s="3020" t="s">
        <v>2765</v>
      </c>
      <c r="E1094" s="3025">
        <v>42531</v>
      </c>
      <c r="F1094" s="3020" t="s">
        <v>1549</v>
      </c>
      <c r="G1094" s="3027"/>
      <c r="H1094" s="3020" t="s">
        <v>5301</v>
      </c>
      <c r="I1094" s="3020" t="s">
        <v>3128</v>
      </c>
      <c r="J1094" s="3020" t="s">
        <v>5309</v>
      </c>
    </row>
    <row r="1095" spans="1:13" ht="12.75" customHeight="1">
      <c r="A1095" s="3016">
        <v>668</v>
      </c>
      <c r="B1095" s="3018" t="str">
        <f>VLOOKUP(A1095,plasmids!$A$2:$B$910,2)</f>
        <v>pAV2-7mBbis</v>
      </c>
      <c r="C1095" s="3019" t="s">
        <v>5310</v>
      </c>
      <c r="D1095" s="3020" t="s">
        <v>2765</v>
      </c>
      <c r="E1095" s="3025">
        <v>42536</v>
      </c>
      <c r="F1095" s="3020" t="s">
        <v>1549</v>
      </c>
      <c r="G1095" s="3027"/>
      <c r="H1095" s="3020" t="s">
        <v>5301</v>
      </c>
      <c r="I1095" s="3020" t="s">
        <v>3128</v>
      </c>
      <c r="J1095" s="3020" t="s">
        <v>5309</v>
      </c>
    </row>
    <row r="1096" spans="1:13" ht="12.75" customHeight="1">
      <c r="A1096" s="3030">
        <v>669</v>
      </c>
      <c r="B1096" s="3032" t="str">
        <f>VLOOKUP(A1096,plasmids!$A$2:$B$910,2)</f>
        <v>pAV2-7mC</v>
      </c>
      <c r="C1096" s="3033" t="s">
        <v>5311</v>
      </c>
      <c r="D1096" s="3035" t="s">
        <v>2771</v>
      </c>
      <c r="E1096" s="3037">
        <v>42522</v>
      </c>
      <c r="F1096" s="3035" t="s">
        <v>1549</v>
      </c>
      <c r="G1096" s="3039" t="s">
        <v>5312</v>
      </c>
      <c r="H1096" s="3035" t="s">
        <v>5301</v>
      </c>
      <c r="I1096" s="3035" t="s">
        <v>3128</v>
      </c>
      <c r="J1096" s="3035" t="s">
        <v>5313</v>
      </c>
    </row>
    <row r="1097" spans="1:13" ht="12.75" customHeight="1">
      <c r="A1097" s="3030">
        <v>669</v>
      </c>
      <c r="B1097" s="3032" t="str">
        <f>VLOOKUP(A1097,plasmids!$A$2:$B$910,2)</f>
        <v>pAV2-7mC</v>
      </c>
      <c r="C1097" s="3033" t="s">
        <v>5314</v>
      </c>
      <c r="D1097" s="3035" t="s">
        <v>2765</v>
      </c>
      <c r="E1097" s="3041">
        <v>42531</v>
      </c>
      <c r="F1097" s="3035" t="s">
        <v>1549</v>
      </c>
      <c r="G1097" s="3043"/>
      <c r="H1097" s="3035" t="s">
        <v>5301</v>
      </c>
      <c r="I1097" s="3035" t="s">
        <v>3128</v>
      </c>
      <c r="J1097" s="3035" t="s">
        <v>5315</v>
      </c>
    </row>
    <row r="1098" spans="1:13" ht="12.75" customHeight="1">
      <c r="A1098" s="3045">
        <v>670</v>
      </c>
      <c r="B1098" s="3048" t="str">
        <f>VLOOKUP(A1098,plasmids!$A$2:$B$910,2)</f>
        <v>pAV2-7mD</v>
      </c>
      <c r="C1098" s="3049" t="s">
        <v>5316</v>
      </c>
      <c r="D1098" s="3051" t="s">
        <v>2771</v>
      </c>
      <c r="E1098" s="3053">
        <v>42522</v>
      </c>
      <c r="F1098" s="3051" t="s">
        <v>1549</v>
      </c>
      <c r="G1098" s="3054" t="s">
        <v>5317</v>
      </c>
      <c r="H1098" s="3051" t="s">
        <v>5301</v>
      </c>
      <c r="I1098" s="3051" t="s">
        <v>3128</v>
      </c>
      <c r="J1098" s="3051" t="s">
        <v>5318</v>
      </c>
    </row>
    <row r="1099" spans="1:13" ht="12.75" customHeight="1">
      <c r="A1099" s="3045">
        <v>670</v>
      </c>
      <c r="B1099" s="3048" t="str">
        <f>VLOOKUP(A1099,plasmids!$A$2:$B$910,2)</f>
        <v>pAV2-7mD</v>
      </c>
      <c r="C1099" s="3049" t="s">
        <v>5320</v>
      </c>
      <c r="D1099" s="3051" t="s">
        <v>2765</v>
      </c>
      <c r="E1099" s="3057">
        <v>42531</v>
      </c>
      <c r="F1099" s="3051" t="s">
        <v>1549</v>
      </c>
      <c r="G1099" s="3059"/>
      <c r="H1099" s="3051" t="s">
        <v>5301</v>
      </c>
      <c r="I1099" s="3051" t="s">
        <v>3128</v>
      </c>
      <c r="J1099" s="3051" t="s">
        <v>5321</v>
      </c>
    </row>
    <row r="1100" spans="1:13" ht="12.75" customHeight="1">
      <c r="A1100" s="3045">
        <v>670</v>
      </c>
      <c r="B1100" s="3048" t="str">
        <f>VLOOKUP(A1100,plasmids!$A$2:$B$910,2)</f>
        <v>pAV2-7mD</v>
      </c>
      <c r="C1100" s="3049" t="s">
        <v>5322</v>
      </c>
      <c r="D1100" s="3051" t="s">
        <v>2765</v>
      </c>
      <c r="E1100" s="3057">
        <v>42536</v>
      </c>
      <c r="F1100" s="3051" t="s">
        <v>1549</v>
      </c>
      <c r="G1100" s="3059"/>
      <c r="H1100" s="3051" t="s">
        <v>5301</v>
      </c>
      <c r="I1100" s="3051" t="s">
        <v>3128</v>
      </c>
      <c r="J1100" s="3051" t="s">
        <v>5321</v>
      </c>
    </row>
    <row r="1101" spans="1:13" ht="12.75" customHeight="1">
      <c r="A1101" s="1538">
        <v>671</v>
      </c>
      <c r="B1101" s="1981" t="str">
        <f>VLOOKUP(A1101,plasmids!$A$2:$B$910,2)</f>
        <v>pssAAV-smCBA-mCherry-IRES-Cre-Wpre</v>
      </c>
      <c r="C1101" s="1" t="s">
        <v>5323</v>
      </c>
      <c r="D1101" s="54" t="s">
        <v>2771</v>
      </c>
      <c r="E1101" s="1553">
        <v>42543</v>
      </c>
      <c r="F1101" s="54" t="s">
        <v>2126</v>
      </c>
      <c r="G1101" s="755" t="s">
        <v>5324</v>
      </c>
      <c r="I1101" s="54" t="s">
        <v>3128</v>
      </c>
      <c r="J1101" s="54" t="s">
        <v>5325</v>
      </c>
    </row>
    <row r="1102" spans="1:13" ht="12.75" customHeight="1">
      <c r="A1102" s="1538">
        <v>672</v>
      </c>
      <c r="B1102" s="1981" t="str">
        <f>VLOOKUP(A1102,plasmids!$A$2:$B$910,2)</f>
        <v>pLenti-hBO-tdTomato</v>
      </c>
      <c r="C1102" s="1" t="s">
        <v>5326</v>
      </c>
      <c r="D1102" s="54" t="s">
        <v>2771</v>
      </c>
      <c r="E1102" s="1553">
        <v>42530</v>
      </c>
      <c r="F1102" s="54" t="s">
        <v>2126</v>
      </c>
      <c r="G1102" s="755" t="s">
        <v>5327</v>
      </c>
      <c r="H1102" s="54" t="s">
        <v>929</v>
      </c>
      <c r="I1102" s="54" t="s">
        <v>3128</v>
      </c>
      <c r="J1102" s="54" t="s">
        <v>5328</v>
      </c>
    </row>
    <row r="1103" spans="1:13" ht="12.75" customHeight="1">
      <c r="A1103" s="1538">
        <v>673</v>
      </c>
      <c r="B1103" s="1981" t="str">
        <f>VLOOKUP(A1103,plasmids!$A$2:$B$910,2)</f>
        <v>pssAAV-CMV-STOP-GFP</v>
      </c>
      <c r="C1103" s="1" t="s">
        <v>5330</v>
      </c>
      <c r="D1103" s="54" t="s">
        <v>2771</v>
      </c>
      <c r="E1103" s="3061">
        <v>42538</v>
      </c>
      <c r="F1103" s="54" t="s">
        <v>3433</v>
      </c>
      <c r="G1103" s="755" t="s">
        <v>5331</v>
      </c>
      <c r="H1103" s="54" t="s">
        <v>141</v>
      </c>
    </row>
    <row r="1104" spans="1:13" ht="12.75" customHeight="1">
      <c r="A1104" s="1538">
        <v>673</v>
      </c>
      <c r="B1104" s="1981" t="str">
        <f>VLOOKUP(A1104,plasmids!$A$2:$B$910,2)</f>
        <v>pssAAV-CMV-STOP-GFP</v>
      </c>
      <c r="C1104" s="1" t="s">
        <v>5332</v>
      </c>
      <c r="D1104" s="54" t="s">
        <v>2765</v>
      </c>
      <c r="E1104" s="3061">
        <v>42578</v>
      </c>
      <c r="F1104" s="54" t="s">
        <v>3433</v>
      </c>
      <c r="G1104" s="755">
        <v>1761</v>
      </c>
      <c r="H1104" s="54" t="s">
        <v>141</v>
      </c>
    </row>
    <row r="1105" spans="1:13" ht="12.75" customHeight="1">
      <c r="A1105" s="1538">
        <v>673</v>
      </c>
      <c r="B1105" s="1981" t="str">
        <f>VLOOKUP(A1105,plasmids!$A$2:$B$910,2)</f>
        <v>pssAAV-CMV-STOP-GFP</v>
      </c>
      <c r="C1105" s="1" t="s">
        <v>5334</v>
      </c>
      <c r="D1105" s="54" t="s">
        <v>2765</v>
      </c>
      <c r="E1105" s="3061">
        <v>42614</v>
      </c>
      <c r="F1105" s="54" t="s">
        <v>3433</v>
      </c>
      <c r="G1105" s="755">
        <v>860</v>
      </c>
      <c r="H1105" s="54" t="s">
        <v>141</v>
      </c>
      <c r="J1105" s="54" t="s">
        <v>5335</v>
      </c>
    </row>
    <row r="1106" spans="1:13" ht="12.75" customHeight="1">
      <c r="A1106" s="1538">
        <v>674</v>
      </c>
      <c r="B1106" s="1981" t="str">
        <f>VLOOKUP(A1106,plasmids!$A$2:$B$910,2)</f>
        <v>pssAAV-U6-sh1082-MfUSH1C-CMV-STOP-GFP</v>
      </c>
      <c r="C1106" s="1" t="s">
        <v>5336</v>
      </c>
      <c r="D1106" s="54" t="s">
        <v>2771</v>
      </c>
      <c r="E1106" s="3061">
        <v>42538</v>
      </c>
      <c r="F1106" s="54" t="s">
        <v>3433</v>
      </c>
      <c r="G1106" s="755" t="s">
        <v>5337</v>
      </c>
      <c r="H1106" s="54" t="s">
        <v>5338</v>
      </c>
    </row>
    <row r="1107" spans="1:13" ht="12.75" customHeight="1">
      <c r="A1107" s="1538">
        <v>674</v>
      </c>
      <c r="B1107" s="1981" t="str">
        <f>VLOOKUP(A1107,plasmids!$A$2:$B$910,2)</f>
        <v>pssAAV-U6-sh1082-MfUSH1C-CMV-STOP-GFP</v>
      </c>
      <c r="C1107" s="1" t="s">
        <v>5341</v>
      </c>
      <c r="D1107" s="54" t="s">
        <v>2765</v>
      </c>
      <c r="E1107" s="3061">
        <v>42576</v>
      </c>
      <c r="F1107" s="54" t="s">
        <v>3433</v>
      </c>
      <c r="G1107" s="755">
        <v>1819</v>
      </c>
      <c r="H1107" s="54" t="s">
        <v>5338</v>
      </c>
    </row>
    <row r="1108" spans="1:13" ht="12.75" customHeight="1">
      <c r="A1108" s="1538">
        <v>674</v>
      </c>
      <c r="B1108" s="1981" t="str">
        <f>VLOOKUP(A1108,plasmids!$A$2:$B$910,2)</f>
        <v>pssAAV-U6-sh1082-MfUSH1C-CMV-STOP-GFP</v>
      </c>
      <c r="C1108" s="1" t="s">
        <v>5342</v>
      </c>
      <c r="D1108" s="54" t="s">
        <v>2777</v>
      </c>
      <c r="E1108" s="3061">
        <v>42640</v>
      </c>
      <c r="F1108" s="54" t="s">
        <v>3433</v>
      </c>
      <c r="G1108" s="755">
        <v>2685</v>
      </c>
      <c r="H1108" s="54" t="s">
        <v>929</v>
      </c>
    </row>
    <row r="1109" spans="1:13" ht="12.75" customHeight="1">
      <c r="A1109" s="1538">
        <v>675</v>
      </c>
      <c r="B1109" s="1981" t="str">
        <f>VLOOKUP(A1109,plasmids!$A$2:$B$910,2)</f>
        <v>pssAAV-U6-shLife10-MfHsUSH1C-CMV-STOP-GFP</v>
      </c>
      <c r="C1109" s="1" t="s">
        <v>5343</v>
      </c>
      <c r="D1109" s="54" t="s">
        <v>2771</v>
      </c>
      <c r="E1109" s="3061">
        <v>42538</v>
      </c>
      <c r="F1109" s="54" t="s">
        <v>3433</v>
      </c>
      <c r="G1109" s="755" t="s">
        <v>5344</v>
      </c>
      <c r="H1109" s="54" t="s">
        <v>5338</v>
      </c>
    </row>
    <row r="1110" spans="1:13" ht="12.75" customHeight="1">
      <c r="A1110" s="1538">
        <v>675</v>
      </c>
      <c r="B1110" s="1981" t="str">
        <f>VLOOKUP(A1110,plasmids!$A$2:$B$910,2)</f>
        <v>pssAAV-U6-shLife10-MfHsUSH1C-CMV-STOP-GFP</v>
      </c>
      <c r="C1110" s="1" t="s">
        <v>5346</v>
      </c>
      <c r="D1110" s="54" t="s">
        <v>2765</v>
      </c>
      <c r="E1110" s="3061">
        <v>42576</v>
      </c>
      <c r="F1110" s="54" t="s">
        <v>3433</v>
      </c>
      <c r="G1110" s="755">
        <v>1732</v>
      </c>
      <c r="H1110" s="54" t="s">
        <v>5338</v>
      </c>
    </row>
    <row r="1111" spans="1:13" ht="12.75" customHeight="1">
      <c r="A1111" s="1538">
        <v>675</v>
      </c>
      <c r="B1111" s="1981" t="str">
        <f>VLOOKUP(A1111,plasmids!$A$2:$B$910,2)</f>
        <v>pssAAV-U6-shLife10-MfHsUSH1C-CMV-STOP-GFP</v>
      </c>
      <c r="C1111" s="1" t="s">
        <v>5347</v>
      </c>
      <c r="D1111" s="54" t="s">
        <v>2765</v>
      </c>
      <c r="E1111" s="1553">
        <v>42640</v>
      </c>
      <c r="F1111" s="54" t="s">
        <v>3433</v>
      </c>
      <c r="G1111" s="755">
        <v>1491</v>
      </c>
      <c r="H1111" s="54" t="s">
        <v>929</v>
      </c>
      <c r="I1111" s="54"/>
      <c r="J1111" s="54"/>
    </row>
    <row r="1112" spans="1:13" ht="12.75" customHeight="1">
      <c r="A1112" s="1538">
        <v>676</v>
      </c>
      <c r="B1112" s="1981" t="str">
        <f>VLOOKUP(A1112,plasmids!$A$2:$B$910,2)</f>
        <v>pssAAV-pr1.7-sv40sasd-FLAG-Jaws-KGC-ER2-hghpA</v>
      </c>
      <c r="C1112" s="1" t="s">
        <v>5348</v>
      </c>
      <c r="D1112" s="54" t="s">
        <v>2771</v>
      </c>
      <c r="E1112" s="758"/>
      <c r="F1112" s="54" t="s">
        <v>881</v>
      </c>
      <c r="G1112" s="754"/>
      <c r="I1112" s="54"/>
      <c r="J1112" s="54" t="s">
        <v>5349</v>
      </c>
    </row>
    <row r="1113" spans="1:13" ht="12.75" customHeight="1">
      <c r="A1113" s="1538">
        <v>677</v>
      </c>
      <c r="B1113" s="1981" t="str">
        <f>VLOOKUP(A1113,plasmids!$A$2:$B$910,2)</f>
        <v>pssAAV-CAG-mRPE65-hghpA</v>
      </c>
      <c r="C1113" s="1" t="s">
        <v>5350</v>
      </c>
      <c r="D1113" s="54" t="s">
        <v>2771</v>
      </c>
      <c r="E1113" s="758"/>
      <c r="F1113" s="54" t="s">
        <v>881</v>
      </c>
      <c r="G1113" s="754"/>
      <c r="J1113" s="54" t="s">
        <v>2165</v>
      </c>
    </row>
    <row r="1114" spans="1:13" ht="12.75" customHeight="1">
      <c r="A1114" s="1567">
        <v>678</v>
      </c>
      <c r="B1114" s="1938" t="str">
        <f>VLOOKUP(A1114,plasmids!$A$2:$B$910,2)</f>
        <v>pUC57-In4sIn3-200En-mGluR500P</v>
      </c>
      <c r="C1114" s="3062" t="s">
        <v>5351</v>
      </c>
      <c r="D1114" s="1457" t="s">
        <v>5352</v>
      </c>
      <c r="E1114" s="647"/>
      <c r="F1114" s="1457" t="s">
        <v>2126</v>
      </c>
      <c r="G1114" s="1457" t="s">
        <v>5353</v>
      </c>
      <c r="H1114" s="647"/>
      <c r="I1114" s="647"/>
      <c r="J1114" s="647"/>
      <c r="K1114" s="647"/>
      <c r="L1114" s="647"/>
      <c r="M1114" s="647"/>
    </row>
    <row r="1115" spans="1:13" ht="12.75" customHeight="1">
      <c r="A1115" s="1567">
        <v>678</v>
      </c>
      <c r="B1115" s="1938" t="str">
        <f>VLOOKUP(A1115,plasmids!$A$2:$B$910,2)</f>
        <v>pUC57-In4sIn3-200En-mGluR500P</v>
      </c>
      <c r="C1115" s="1204" t="s">
        <v>5354</v>
      </c>
      <c r="D1115" s="1457" t="s">
        <v>2771</v>
      </c>
      <c r="E1115" s="1730"/>
      <c r="F1115" s="1457" t="s">
        <v>2126</v>
      </c>
      <c r="G1115" s="1199" t="s">
        <v>5355</v>
      </c>
      <c r="H1115" s="647"/>
      <c r="I1115" s="1457" t="s">
        <v>3128</v>
      </c>
      <c r="J1115" s="1457" t="s">
        <v>3875</v>
      </c>
      <c r="K1115" s="647"/>
      <c r="L1115" s="647"/>
      <c r="M1115" s="647"/>
    </row>
    <row r="1116" spans="1:13" ht="12.75" customHeight="1">
      <c r="A1116" s="1229">
        <v>679</v>
      </c>
      <c r="B1116" s="1550" t="str">
        <f>VLOOKUP(A1116,plasmids!$A$2:$B$910,2)</f>
        <v>pUC57-200En-mGluR500P</v>
      </c>
      <c r="C1116" s="1228" t="s">
        <v>5356</v>
      </c>
      <c r="D1116" s="1214" t="s">
        <v>5352</v>
      </c>
      <c r="E1116" s="2358"/>
      <c r="F1116" s="1214" t="s">
        <v>2126</v>
      </c>
      <c r="G1116" s="1227" t="s">
        <v>5353</v>
      </c>
      <c r="H1116" s="1213"/>
      <c r="I1116" s="1213"/>
      <c r="J1116" s="1213"/>
      <c r="K1116" s="1213"/>
      <c r="L1116" s="1213"/>
      <c r="M1116" s="1213"/>
    </row>
    <row r="1117" spans="1:13" ht="12.75" customHeight="1">
      <c r="A1117" s="1229">
        <v>679</v>
      </c>
      <c r="B1117" s="1550" t="str">
        <f>VLOOKUP(A1117,plasmids!$A$2:$B$910,2)</f>
        <v>pUC57-200En-mGluR500P</v>
      </c>
      <c r="C1117" s="1228" t="s">
        <v>5358</v>
      </c>
      <c r="D1117" s="1214" t="s">
        <v>2771</v>
      </c>
      <c r="E1117" s="3063"/>
      <c r="F1117" s="1214" t="s">
        <v>2126</v>
      </c>
      <c r="G1117" s="1227" t="s">
        <v>5359</v>
      </c>
      <c r="H1117" s="1213"/>
      <c r="I1117" s="1214" t="s">
        <v>5360</v>
      </c>
      <c r="J1117" s="1214" t="s">
        <v>3875</v>
      </c>
      <c r="K1117" s="1213"/>
      <c r="L1117" s="1213"/>
      <c r="M1117" s="1213"/>
    </row>
    <row r="1118" spans="1:13" ht="12.75" customHeight="1">
      <c r="A1118" s="1538">
        <v>680</v>
      </c>
      <c r="B1118" s="1981" t="str">
        <f>VLOOKUP(A1118,plasmids!$A$2:$B$910,2)</f>
        <v>pLenti-mCAR-switchR-YFP</v>
      </c>
      <c r="C1118" s="1" t="s">
        <v>5361</v>
      </c>
      <c r="D1118" s="54" t="s">
        <v>2771</v>
      </c>
      <c r="E1118" s="1553">
        <v>42550</v>
      </c>
      <c r="F1118" s="54" t="s">
        <v>5286</v>
      </c>
      <c r="G1118" s="754"/>
      <c r="I1118" s="54" t="s">
        <v>5360</v>
      </c>
      <c r="J1118" s="54" t="s">
        <v>2171</v>
      </c>
    </row>
    <row r="1119" spans="1:13" ht="12.75" customHeight="1">
      <c r="A1119" s="1518">
        <v>681</v>
      </c>
      <c r="B1119" s="1929" t="str">
        <f>VLOOKUP(A1119,plasmids!$A$2:$B$910,2)</f>
        <v>pssAAV-1xgrm6-CoChR-GFP</v>
      </c>
      <c r="C1119" s="1016" t="s">
        <v>5362</v>
      </c>
      <c r="D1119" s="228" t="s">
        <v>2771</v>
      </c>
      <c r="E1119" s="1519">
        <v>42557</v>
      </c>
      <c r="F1119" s="228" t="s">
        <v>2126</v>
      </c>
      <c r="G1119" s="1014" t="s">
        <v>5363</v>
      </c>
      <c r="H1119" s="228" t="s">
        <v>400</v>
      </c>
      <c r="I1119" s="228" t="s">
        <v>3181</v>
      </c>
      <c r="J1119" s="228" t="s">
        <v>5364</v>
      </c>
      <c r="K1119" s="229"/>
      <c r="L1119" s="229"/>
      <c r="M1119" s="229"/>
    </row>
    <row r="1120" spans="1:13" ht="12.75" customHeight="1">
      <c r="A1120" s="1518">
        <v>681</v>
      </c>
      <c r="B1120" s="1929" t="str">
        <f>VLOOKUP(A1120,plasmids!$A$2:$B$910,2)</f>
        <v>pssAAV-1xgrm6-CoChR-GFP</v>
      </c>
      <c r="C1120" s="1016" t="s">
        <v>5365</v>
      </c>
      <c r="D1120" s="228" t="s">
        <v>2765</v>
      </c>
      <c r="E1120" s="1519">
        <v>42564</v>
      </c>
      <c r="F1120" s="228" t="s">
        <v>881</v>
      </c>
      <c r="G1120" s="1014" t="s">
        <v>5366</v>
      </c>
      <c r="H1120" s="228" t="s">
        <v>400</v>
      </c>
      <c r="I1120" s="228" t="s">
        <v>5360</v>
      </c>
      <c r="J1120" s="228" t="s">
        <v>4833</v>
      </c>
      <c r="K1120" s="229"/>
      <c r="L1120" s="229"/>
      <c r="M1120" s="229"/>
    </row>
    <row r="1121" spans="1:13" ht="12.75" customHeight="1">
      <c r="A1121" s="2707">
        <v>682</v>
      </c>
      <c r="B1121" s="2354" t="str">
        <f>VLOOKUP(A1121,plasmids!$A$2:$B$910,2)</f>
        <v>pssAAV-1xgrm6*-CochR-GFP</v>
      </c>
      <c r="C1121" s="911" t="s">
        <v>5367</v>
      </c>
      <c r="D1121" s="913" t="s">
        <v>2771</v>
      </c>
      <c r="E1121" s="3064">
        <v>42557</v>
      </c>
      <c r="F1121" s="913" t="s">
        <v>2126</v>
      </c>
      <c r="G1121" s="909" t="s">
        <v>5368</v>
      </c>
      <c r="H1121" s="913" t="s">
        <v>400</v>
      </c>
      <c r="I1121" s="913" t="s">
        <v>5360</v>
      </c>
      <c r="J1121" s="913" t="s">
        <v>5369</v>
      </c>
      <c r="K1121" s="907"/>
      <c r="L1121" s="907"/>
      <c r="M1121" s="907"/>
    </row>
    <row r="1122" spans="1:13" ht="12.75" customHeight="1">
      <c r="A1122" s="2707">
        <v>682</v>
      </c>
      <c r="B1122" s="2354" t="str">
        <f>VLOOKUP(A1122,plasmids!$A$2:$B$910,2)</f>
        <v>pssAAV-1xgrm6*-CochR-GFP</v>
      </c>
      <c r="C1122" s="911" t="s">
        <v>5371</v>
      </c>
      <c r="D1122" s="913" t="s">
        <v>2765</v>
      </c>
      <c r="E1122" s="3064">
        <v>42564</v>
      </c>
      <c r="F1122" s="913" t="s">
        <v>881</v>
      </c>
      <c r="G1122" s="909" t="s">
        <v>5105</v>
      </c>
      <c r="H1122" s="913" t="s">
        <v>400</v>
      </c>
      <c r="I1122" s="913" t="s">
        <v>5360</v>
      </c>
      <c r="J1122" s="913" t="s">
        <v>4833</v>
      </c>
      <c r="K1122" s="907"/>
      <c r="L1122" s="907"/>
      <c r="M1122" s="907"/>
    </row>
    <row r="1123" spans="1:13" ht="12.75" customHeight="1">
      <c r="A1123" s="1538">
        <v>683</v>
      </c>
      <c r="B1123" s="1981" t="str">
        <f>VLOOKUP(A1123,plasmids!$A$2:$B$910,2)</f>
        <v xml:space="preserve">pAAV-CMV-B-GECO1.0 </v>
      </c>
      <c r="C1123" s="1" t="s">
        <v>5372</v>
      </c>
      <c r="D1123" s="54" t="s">
        <v>2771</v>
      </c>
      <c r="E1123" s="758"/>
      <c r="F1123" s="54" t="s">
        <v>2126</v>
      </c>
      <c r="G1123" s="754"/>
      <c r="J1123" s="54" t="s">
        <v>5373</v>
      </c>
    </row>
    <row r="1124" spans="1:13" ht="12.75" customHeight="1">
      <c r="A1124" s="2908">
        <v>684</v>
      </c>
      <c r="B1124" s="2217" t="str">
        <f>VLOOKUP(A1124,plasmids!$A$2:$B$910,2)</f>
        <v>pssAAV-1xgrm6*-ReachR-GFP</v>
      </c>
      <c r="C1124" s="1043" t="s">
        <v>5374</v>
      </c>
      <c r="D1124" s="1545" t="s">
        <v>2771</v>
      </c>
      <c r="E1124" s="3066" t="s">
        <v>141</v>
      </c>
      <c r="F1124" s="1545" t="s">
        <v>141</v>
      </c>
      <c r="G1124" s="1042" t="s">
        <v>141</v>
      </c>
      <c r="H1124" s="1041"/>
      <c r="I1124" s="1041"/>
      <c r="J1124" s="1041"/>
      <c r="K1124" s="1041"/>
      <c r="L1124" s="1041"/>
      <c r="M1124" s="1041"/>
    </row>
    <row r="1125" spans="1:13" ht="12.75" customHeight="1">
      <c r="A1125" s="2908">
        <v>684</v>
      </c>
      <c r="B1125" s="2217" t="str">
        <f>VLOOKUP(A1125,plasmids!$A$2:$B$910,2)</f>
        <v>pssAAV-1xgrm6*-ReachR-GFP</v>
      </c>
      <c r="C1125" s="1043" t="s">
        <v>5376</v>
      </c>
      <c r="D1125" s="1545" t="s">
        <v>2765</v>
      </c>
      <c r="E1125" s="3069">
        <v>42594</v>
      </c>
      <c r="F1125" s="1545" t="s">
        <v>881</v>
      </c>
      <c r="G1125" s="1042" t="s">
        <v>5377</v>
      </c>
      <c r="H1125" s="1545" t="s">
        <v>929</v>
      </c>
      <c r="I1125" s="1545" t="s">
        <v>3128</v>
      </c>
      <c r="J1125" s="1545" t="s">
        <v>3875</v>
      </c>
      <c r="K1125" s="1041"/>
      <c r="L1125" s="1041"/>
      <c r="M1125" s="1041"/>
    </row>
    <row r="1126" spans="1:13" ht="12.75" customHeight="1">
      <c r="A1126" s="1538">
        <v>685</v>
      </c>
      <c r="B1126" s="1981" t="str">
        <f>VLOOKUP(A1126,plasmids!$A$2:$B$910,2)</f>
        <v>pssAAV-U6-shLife7-MfUSH1C-CMV-***-GFP</v>
      </c>
      <c r="C1126" s="1" t="s">
        <v>5378</v>
      </c>
      <c r="D1126" s="54" t="s">
        <v>474</v>
      </c>
      <c r="E1126" s="2953">
        <v>42576</v>
      </c>
      <c r="F1126" s="54" t="s">
        <v>5379</v>
      </c>
      <c r="G1126" s="755">
        <v>2001</v>
      </c>
      <c r="H1126" s="54" t="s">
        <v>5380</v>
      </c>
    </row>
    <row r="1127" spans="1:13" ht="12.75" customHeight="1">
      <c r="A1127" s="1538"/>
      <c r="B1127" s="1981"/>
      <c r="C1127" s="1" t="s">
        <v>5381</v>
      </c>
      <c r="D1127" s="54" t="s">
        <v>474</v>
      </c>
      <c r="E1127" s="2953">
        <v>42640</v>
      </c>
      <c r="F1127" s="54" t="s">
        <v>5379</v>
      </c>
      <c r="G1127" s="755">
        <v>2089</v>
      </c>
      <c r="H1127" s="54" t="s">
        <v>929</v>
      </c>
    </row>
    <row r="1128" spans="1:13" ht="12.75" customHeight="1">
      <c r="A1128" s="1538">
        <v>686</v>
      </c>
      <c r="B1128" s="1981" t="str">
        <f>VLOOKUP(A1128,plasmids!$A$2:$B$910,2)</f>
        <v>pssAAV-U6-sh454-MfUSH1C-CMV-***-GFP</v>
      </c>
      <c r="C1128" s="1" t="s">
        <v>5382</v>
      </c>
      <c r="D1128" s="54" t="s">
        <v>474</v>
      </c>
      <c r="E1128" s="2953">
        <v>42576</v>
      </c>
      <c r="F1128" s="54" t="s">
        <v>5379</v>
      </c>
      <c r="G1128" s="755">
        <v>1925</v>
      </c>
    </row>
    <row r="1129" spans="1:13" ht="12.75" customHeight="1">
      <c r="A1129" s="1538">
        <v>687</v>
      </c>
      <c r="B1129" s="1981" t="str">
        <f>VLOOKUP(A1129,plasmids!$A$2:$B$910,2)</f>
        <v>pssAAV-U6-ScrLife10-MfUSH1C-CMV-***-GFP</v>
      </c>
      <c r="C1129" s="1" t="s">
        <v>5383</v>
      </c>
      <c r="D1129" s="54" t="s">
        <v>474</v>
      </c>
      <c r="E1129" s="2953">
        <v>42576</v>
      </c>
      <c r="F1129" s="54" t="s">
        <v>5379</v>
      </c>
      <c r="G1129" s="755">
        <v>2027</v>
      </c>
    </row>
    <row r="1130" spans="1:13" ht="12.75" customHeight="1">
      <c r="A1130" s="3072">
        <v>688</v>
      </c>
      <c r="B1130" s="2389" t="str">
        <f>VLOOKUP(A1130,plasmids!$A$2:$B$910,2)</f>
        <v xml:space="preserve"> pssAAV-1xgrm6-ReachR-GFP</v>
      </c>
      <c r="C1130" s="806" t="s">
        <v>5384</v>
      </c>
      <c r="D1130" s="808" t="s">
        <v>2771</v>
      </c>
      <c r="E1130" s="3075" t="s">
        <v>141</v>
      </c>
      <c r="F1130" s="808" t="s">
        <v>141</v>
      </c>
      <c r="G1130" s="804" t="s">
        <v>141</v>
      </c>
      <c r="H1130" s="808"/>
      <c r="I1130" s="808"/>
      <c r="J1130" s="808"/>
      <c r="K1130" s="802"/>
      <c r="L1130" s="802"/>
      <c r="M1130" s="802"/>
    </row>
    <row r="1131" spans="1:13" ht="12.75" customHeight="1">
      <c r="A1131" s="3072">
        <v>688</v>
      </c>
      <c r="B1131" s="2389" t="str">
        <f>VLOOKUP(A1131,plasmids!$A$2:$B$910,2)</f>
        <v xml:space="preserve"> pssAAV-1xgrm6-ReachR-GFP</v>
      </c>
      <c r="C1131" s="806" t="s">
        <v>5385</v>
      </c>
      <c r="D1131" s="808" t="s">
        <v>2765</v>
      </c>
      <c r="E1131" s="3077">
        <v>42594</v>
      </c>
      <c r="F1131" s="808" t="s">
        <v>881</v>
      </c>
      <c r="G1131" s="804" t="s">
        <v>5386</v>
      </c>
      <c r="H1131" s="808" t="s">
        <v>929</v>
      </c>
      <c r="I1131" s="808" t="s">
        <v>3128</v>
      </c>
      <c r="J1131" s="808" t="s">
        <v>3875</v>
      </c>
      <c r="K1131" s="802"/>
      <c r="L1131" s="802"/>
      <c r="M1131" s="802"/>
    </row>
    <row r="1132" spans="1:13" ht="12.75" customHeight="1">
      <c r="A1132" s="3079">
        <v>689</v>
      </c>
      <c r="B1132" s="3081" t="str">
        <f>VLOOKUP(A1132,plasmids!$A$2:$B$910,2)</f>
        <v>pssAAV-Cmv-eGFP</v>
      </c>
      <c r="C1132" s="2520" t="s">
        <v>5387</v>
      </c>
      <c r="D1132" s="688" t="s">
        <v>2771</v>
      </c>
      <c r="E1132" s="3086">
        <v>42578</v>
      </c>
      <c r="F1132" s="688" t="s">
        <v>5286</v>
      </c>
      <c r="G1132" s="2525" t="s">
        <v>5388</v>
      </c>
      <c r="H1132" s="688" t="s">
        <v>5389</v>
      </c>
      <c r="I1132" s="688" t="s">
        <v>3128</v>
      </c>
      <c r="J1132" s="688" t="s">
        <v>2193</v>
      </c>
    </row>
    <row r="1133" spans="1:13" ht="12.75" customHeight="1">
      <c r="A1133" s="3088">
        <v>690</v>
      </c>
      <c r="B1133" s="487" t="str">
        <f>VLOOKUP(A1133,plasmids!$A$2:$B$910,2)</f>
        <v>pssAAV-mCAR-eGFP</v>
      </c>
      <c r="C1133" s="1" t="s">
        <v>5390</v>
      </c>
      <c r="D1133" s="54" t="s">
        <v>2771</v>
      </c>
      <c r="E1133" s="2953">
        <v>42578</v>
      </c>
      <c r="F1133" s="54" t="s">
        <v>5286</v>
      </c>
      <c r="G1133" s="755" t="s">
        <v>5391</v>
      </c>
      <c r="H1133" s="54" t="s">
        <v>5389</v>
      </c>
      <c r="I1133" s="54" t="s">
        <v>3128</v>
      </c>
      <c r="J1133" s="54" t="s">
        <v>2195</v>
      </c>
    </row>
    <row r="1134" spans="1:13" ht="12.75" customHeight="1">
      <c r="A1134" s="3079">
        <v>691</v>
      </c>
      <c r="B1134" s="3081" t="str">
        <f>VLOOKUP(A1134,plasmids!$A$2:$B$910,2)</f>
        <v>pssAAV-hCar-eGFP</v>
      </c>
      <c r="C1134" s="2520" t="s">
        <v>5392</v>
      </c>
      <c r="D1134" s="688" t="s">
        <v>2771</v>
      </c>
      <c r="E1134" s="3086">
        <v>42578</v>
      </c>
      <c r="F1134" s="688" t="s">
        <v>5286</v>
      </c>
      <c r="G1134" s="2525" t="s">
        <v>5393</v>
      </c>
      <c r="H1134" s="688" t="s">
        <v>5389</v>
      </c>
      <c r="I1134" s="688" t="s">
        <v>3128</v>
      </c>
      <c r="J1134" s="688" t="s">
        <v>2197</v>
      </c>
    </row>
    <row r="1135" spans="1:13" ht="12.75" customHeight="1">
      <c r="A1135" s="3088">
        <v>692</v>
      </c>
      <c r="B1135" s="487" t="str">
        <f>VLOOKUP(A1135,plasmids!$A$2:$B$910,2)</f>
        <v>pssAAV-hRo-eGFP</v>
      </c>
      <c r="C1135" s="1" t="s">
        <v>5394</v>
      </c>
      <c r="D1135" s="54" t="s">
        <v>2771</v>
      </c>
      <c r="E1135" s="2953">
        <v>42578</v>
      </c>
      <c r="F1135" s="54" t="s">
        <v>5286</v>
      </c>
      <c r="G1135" s="755" t="s">
        <v>5395</v>
      </c>
      <c r="H1135" s="54" t="s">
        <v>5389</v>
      </c>
      <c r="I1135" s="54" t="s">
        <v>3128</v>
      </c>
      <c r="J1135" s="54" t="s">
        <v>2199</v>
      </c>
    </row>
    <row r="1136" spans="1:13" ht="12.75" customHeight="1">
      <c r="A1136" s="3093">
        <v>693</v>
      </c>
      <c r="B1136" s="2290" t="str">
        <f>VLOOKUP(A1136,plasmids!$A$2:$B$910,2)</f>
        <v>pssAAV-Pan court-CoChR-GFP</v>
      </c>
      <c r="C1136" s="1569" t="s">
        <v>5396</v>
      </c>
      <c r="D1136" s="172" t="s">
        <v>2771</v>
      </c>
      <c r="E1136" s="3095">
        <v>42584</v>
      </c>
      <c r="F1136" s="172" t="s">
        <v>881</v>
      </c>
      <c r="G1136" s="1568" t="s">
        <v>5397</v>
      </c>
      <c r="H1136" s="174"/>
      <c r="I1136" s="172" t="s">
        <v>3128</v>
      </c>
      <c r="J1136" s="174"/>
      <c r="K1136" s="174"/>
      <c r="L1136" s="174"/>
      <c r="M1136" s="174"/>
    </row>
    <row r="1137" spans="1:13" ht="12.75" customHeight="1">
      <c r="A1137" s="3093">
        <v>693</v>
      </c>
      <c r="B1137" s="2290" t="str">
        <f>VLOOKUP(A1137,plasmids!$A$2:$B$910,2)</f>
        <v>pssAAV-Pan court-CoChR-GFP</v>
      </c>
      <c r="C1137" s="1569" t="s">
        <v>5398</v>
      </c>
      <c r="D1137" s="172" t="s">
        <v>2765</v>
      </c>
      <c r="E1137" s="3095">
        <v>42591</v>
      </c>
      <c r="F1137" s="172" t="s">
        <v>2126</v>
      </c>
      <c r="G1137" s="1568" t="s">
        <v>5399</v>
      </c>
      <c r="H1137" s="174"/>
      <c r="I1137" s="172"/>
      <c r="J1137" s="174"/>
      <c r="K1137" s="174"/>
      <c r="L1137" s="174"/>
      <c r="M1137" s="174"/>
    </row>
    <row r="1138" spans="1:13" ht="12.75" customHeight="1">
      <c r="A1138" s="3098">
        <v>694</v>
      </c>
      <c r="B1138" s="2394" t="str">
        <f>VLOOKUP(A1138,plasmids!$A$2:$B$910,2)</f>
        <v>pssAAV-Pan long-CoChR-GFP</v>
      </c>
      <c r="C1138" s="1702" t="s">
        <v>5400</v>
      </c>
      <c r="D1138" s="1841" t="s">
        <v>2771</v>
      </c>
      <c r="E1138" s="2644">
        <v>42584</v>
      </c>
      <c r="F1138" s="1841" t="s">
        <v>881</v>
      </c>
      <c r="G1138" s="1699" t="s">
        <v>5401</v>
      </c>
      <c r="H1138" s="1094"/>
      <c r="I1138" s="1841" t="s">
        <v>3128</v>
      </c>
      <c r="J1138" s="1094"/>
      <c r="K1138" s="1094"/>
      <c r="L1138" s="1094"/>
      <c r="M1138" s="1094"/>
    </row>
    <row r="1139" spans="1:13" ht="12.75" customHeight="1">
      <c r="A1139" s="3098">
        <v>694</v>
      </c>
      <c r="B1139" s="2394" t="str">
        <f>VLOOKUP(A1139,plasmids!$A$2:$B$910,2)</f>
        <v>pssAAV-Pan long-CoChR-GFP</v>
      </c>
      <c r="C1139" s="1702" t="s">
        <v>5199</v>
      </c>
      <c r="D1139" s="1841" t="s">
        <v>2765</v>
      </c>
      <c r="E1139" s="2644">
        <v>42591</v>
      </c>
      <c r="F1139" s="1841" t="s">
        <v>2126</v>
      </c>
      <c r="G1139" s="1699" t="s">
        <v>5402</v>
      </c>
      <c r="H1139" s="1094"/>
      <c r="I1139" s="1841"/>
      <c r="J1139" s="1094"/>
      <c r="K1139" s="1094"/>
      <c r="L1139" s="1094"/>
      <c r="M1139" s="1094"/>
    </row>
    <row r="1140" spans="1:13" ht="12.75" customHeight="1">
      <c r="A1140" s="1504">
        <v>695</v>
      </c>
      <c r="B1140" s="2155" t="str">
        <f>VLOOKUP(A1140,plasmids!$A$2:$B$910,2)</f>
        <v>pRep2</v>
      </c>
      <c r="C1140" s="1503" t="s">
        <v>5403</v>
      </c>
      <c r="D1140" s="1505" t="s">
        <v>2771</v>
      </c>
      <c r="E1140" s="3102">
        <v>42591</v>
      </c>
      <c r="F1140" s="1505" t="s">
        <v>2070</v>
      </c>
      <c r="G1140" s="1502">
        <v>0.4244</v>
      </c>
      <c r="H1140" s="2157"/>
      <c r="I1140" s="1505" t="s">
        <v>5404</v>
      </c>
      <c r="J1140" s="1505" t="s">
        <v>5405</v>
      </c>
    </row>
    <row r="1141" spans="1:13" ht="12.75" customHeight="1">
      <c r="A1141" s="1504">
        <v>695</v>
      </c>
      <c r="B1141" s="2155" t="str">
        <f>VLOOKUP(A1141,plasmids!$A$2:$B$910,2)</f>
        <v>pRep2</v>
      </c>
      <c r="C1141" s="1503" t="s">
        <v>5406</v>
      </c>
      <c r="D1141" s="1505" t="s">
        <v>2771</v>
      </c>
      <c r="E1141" s="3105">
        <v>42606</v>
      </c>
      <c r="F1141" s="1505" t="s">
        <v>2070</v>
      </c>
      <c r="G1141" s="1502">
        <v>0.2671</v>
      </c>
      <c r="H1141" s="2157"/>
      <c r="I1141" s="1505" t="s">
        <v>3128</v>
      </c>
      <c r="J1141" s="2157"/>
    </row>
    <row r="1142" spans="1:13" ht="12.75" customHeight="1">
      <c r="A1142" s="1538">
        <v>696</v>
      </c>
      <c r="B1142" s="1981" t="str">
        <f>VLOOKUP(A1142,plasmids!$A$2:$B$910,2)</f>
        <v>pssAAV-grm6-ClaI-hChR2(H134R)-GFP</v>
      </c>
      <c r="C1142" s="1" t="s">
        <v>5407</v>
      </c>
      <c r="D1142" s="54" t="s">
        <v>2771</v>
      </c>
      <c r="E1142" s="758"/>
      <c r="F1142" s="54" t="s">
        <v>881</v>
      </c>
      <c r="G1142" s="755" t="s">
        <v>5408</v>
      </c>
    </row>
    <row r="1143" spans="1:13" ht="12.75" customHeight="1">
      <c r="A1143" s="3107">
        <v>697</v>
      </c>
      <c r="B1143" s="2372" t="str">
        <f>VLOOKUP(A1143,plasmids!$A$2:$B$910,2)</f>
        <v>pssAAV-pr1.7-GFP-FLAG</v>
      </c>
      <c r="C1143" s="1051" t="s">
        <v>5409</v>
      </c>
      <c r="D1143" s="1052" t="s">
        <v>2771</v>
      </c>
      <c r="E1143" s="3109">
        <v>42614</v>
      </c>
      <c r="F1143" s="1052" t="s">
        <v>2126</v>
      </c>
      <c r="G1143" s="3112" t="s">
        <v>5410</v>
      </c>
      <c r="H1143" s="2372" t="s">
        <v>5411</v>
      </c>
      <c r="I1143" s="2372" t="s">
        <v>5412</v>
      </c>
      <c r="J1143" s="3112" t="s">
        <v>2213</v>
      </c>
      <c r="K1143" s="2372"/>
      <c r="L1143" s="2372"/>
      <c r="M1143" s="2372"/>
    </row>
    <row r="1144" spans="1:13" ht="12.75" customHeight="1">
      <c r="A1144" s="3107">
        <v>698</v>
      </c>
      <c r="B1144" s="2372" t="str">
        <f>VLOOKUP(A1144,plasmids!$A$2:$B$910,2)</f>
        <v>pssAAV-SNCG-ChrimsonR-(R176K Y261F S267M)-tdTomato</v>
      </c>
      <c r="C1144" s="1051" t="s">
        <v>5413</v>
      </c>
      <c r="D1144" s="1052" t="s">
        <v>2771</v>
      </c>
      <c r="E1144" s="3109">
        <v>42614</v>
      </c>
      <c r="F1144" s="1052" t="s">
        <v>2126</v>
      </c>
      <c r="G1144" s="3112" t="s">
        <v>5414</v>
      </c>
      <c r="H1144" s="2372" t="s">
        <v>5411</v>
      </c>
      <c r="I1144" s="2372" t="s">
        <v>3128</v>
      </c>
      <c r="J1144" s="3112" t="s">
        <v>2216</v>
      </c>
      <c r="K1144" s="2372"/>
      <c r="L1144" s="2372"/>
      <c r="M1144" s="2372"/>
    </row>
    <row r="1145" spans="1:13" ht="12.75" customHeight="1">
      <c r="A1145" s="3107">
        <v>699</v>
      </c>
      <c r="B1145" s="2372" t="str">
        <f>VLOOKUP(A1145,plasmids!$A$2:$B$910,2)</f>
        <v>pssAAV-SNCG-Chrimson-(Y261F S267M)-tdTomato</v>
      </c>
      <c r="C1145" s="1051" t="s">
        <v>5415</v>
      </c>
      <c r="D1145" s="1052" t="s">
        <v>2771</v>
      </c>
      <c r="E1145" s="3109">
        <v>42614</v>
      </c>
      <c r="F1145" s="1052" t="s">
        <v>2126</v>
      </c>
      <c r="G1145" s="3112" t="s">
        <v>5416</v>
      </c>
      <c r="H1145" s="2372" t="s">
        <v>5411</v>
      </c>
      <c r="I1145" s="2372" t="s">
        <v>3128</v>
      </c>
      <c r="J1145" s="2372" t="s">
        <v>2218</v>
      </c>
      <c r="K1145" s="2372"/>
      <c r="L1145" s="2372"/>
      <c r="M1145" s="2372"/>
    </row>
    <row r="1146" spans="1:13" ht="12.75" customHeight="1">
      <c r="A1146" s="2590">
        <v>700</v>
      </c>
      <c r="B1146" s="2590" t="str">
        <f>VLOOKUP(A1146,plasmids!$A$2:$B$910,2)</f>
        <v>pssAAV-PanCourt-ReachR-GFP</v>
      </c>
      <c r="C1146" s="2591" t="s">
        <v>5417</v>
      </c>
      <c r="D1146" s="3117" t="s">
        <v>2771</v>
      </c>
      <c r="E1146" s="3120">
        <v>42614</v>
      </c>
      <c r="F1146" s="3117" t="s">
        <v>2126</v>
      </c>
      <c r="G1146" s="3121" t="s">
        <v>5418</v>
      </c>
      <c r="H1146" s="2590" t="s">
        <v>5411</v>
      </c>
      <c r="I1146" s="2590" t="s">
        <v>3128</v>
      </c>
      <c r="J1146" s="3121" t="s">
        <v>2221</v>
      </c>
      <c r="K1146" s="2590"/>
      <c r="L1146" s="2590"/>
      <c r="M1146" s="2590"/>
    </row>
    <row r="1147" spans="1:13" ht="12.75" customHeight="1">
      <c r="A1147" s="2590">
        <v>700</v>
      </c>
      <c r="B1147" s="2590" t="str">
        <f>VLOOKUP(A1147,plasmids!$A$2:$B$910,2)</f>
        <v>pssAAV-PanCourt-ReachR-GFP</v>
      </c>
      <c r="C1147" s="2591" t="s">
        <v>5419</v>
      </c>
      <c r="D1147" s="3117" t="s">
        <v>2765</v>
      </c>
      <c r="E1147" s="3120">
        <v>42634</v>
      </c>
      <c r="F1147" s="3117" t="s">
        <v>2126</v>
      </c>
      <c r="G1147" s="3121" t="s">
        <v>5420</v>
      </c>
      <c r="H1147" s="2590"/>
      <c r="I1147" s="2590" t="s">
        <v>3128</v>
      </c>
      <c r="J1147" s="3121" t="s">
        <v>2844</v>
      </c>
      <c r="K1147" s="2590"/>
      <c r="L1147" s="2590"/>
      <c r="M1147" s="2590"/>
    </row>
    <row r="1148" spans="1:13" ht="12.75" customHeight="1">
      <c r="A1148" s="2104">
        <v>701</v>
      </c>
      <c r="B1148" s="2104" t="str">
        <f>VLOOKUP(A1148,plasmids!$A$2:$B$910,2)</f>
        <v>pssAAV-PanLong-ReachR-GFP</v>
      </c>
      <c r="C1148" s="2106" t="s">
        <v>5421</v>
      </c>
      <c r="D1148" s="3122" t="s">
        <v>2771</v>
      </c>
      <c r="E1148" s="3123">
        <v>42614</v>
      </c>
      <c r="F1148" s="3122" t="s">
        <v>2126</v>
      </c>
      <c r="G1148" s="3125" t="s">
        <v>5422</v>
      </c>
      <c r="H1148" s="2104" t="s">
        <v>5411</v>
      </c>
      <c r="I1148" s="2104" t="s">
        <v>3128</v>
      </c>
      <c r="J1148" s="3125" t="s">
        <v>5426</v>
      </c>
      <c r="K1148" s="2104"/>
      <c r="L1148" s="2104"/>
      <c r="M1148" s="2104"/>
    </row>
    <row r="1149" spans="1:13" ht="12.75" customHeight="1">
      <c r="A1149" s="2104">
        <v>701</v>
      </c>
      <c r="B1149" s="2104" t="str">
        <f>VLOOKUP(A1149,plasmids!$A$2:$B$910,2)</f>
        <v>pssAAV-PanLong-ReachR-GFP</v>
      </c>
      <c r="C1149" s="2106" t="s">
        <v>5427</v>
      </c>
      <c r="D1149" s="3122" t="s">
        <v>2765</v>
      </c>
      <c r="E1149" s="3123">
        <v>42634</v>
      </c>
      <c r="F1149" s="3122" t="s">
        <v>2126</v>
      </c>
      <c r="G1149" s="3125" t="s">
        <v>5428</v>
      </c>
      <c r="H1149" s="2104"/>
      <c r="I1149" s="2104" t="s">
        <v>3128</v>
      </c>
      <c r="J1149" s="3125" t="s">
        <v>2844</v>
      </c>
      <c r="K1149" s="2104"/>
      <c r="L1149" s="2104"/>
      <c r="M1149" s="2104"/>
    </row>
    <row r="1150" spans="1:13" ht="12.75" customHeight="1">
      <c r="A1150" s="3004">
        <v>702</v>
      </c>
      <c r="B1150" s="1955" t="str">
        <f>VLOOKUP(A1150,plasmids!$A$2:$B$910,2)</f>
        <v>pAAV-Opsin-GFP</v>
      </c>
      <c r="C1150" s="1059" t="s">
        <v>5429</v>
      </c>
      <c r="D1150" s="701" t="s">
        <v>2765</v>
      </c>
      <c r="E1150" s="3127">
        <v>42642</v>
      </c>
      <c r="F1150" s="701" t="s">
        <v>2225</v>
      </c>
      <c r="G1150" s="1058" t="s">
        <v>5430</v>
      </c>
      <c r="H1150" s="701" t="s">
        <v>141</v>
      </c>
      <c r="I1150" s="1057"/>
      <c r="J1150" s="1057"/>
      <c r="K1150" s="1057"/>
      <c r="L1150" s="1057"/>
      <c r="M1150" s="1057"/>
    </row>
    <row r="1151" spans="1:13" ht="12.75" customHeight="1">
      <c r="A1151" s="1538">
        <v>703</v>
      </c>
      <c r="B1151" s="487" t="s">
        <v>5431</v>
      </c>
      <c r="C1151" s="1" t="s">
        <v>5432</v>
      </c>
      <c r="D1151" s="54" t="s">
        <v>2765</v>
      </c>
      <c r="E1151" s="1346"/>
      <c r="F1151" s="54" t="s">
        <v>2116</v>
      </c>
      <c r="G1151" s="755" t="s">
        <v>5433</v>
      </c>
      <c r="H1151" s="54" t="s">
        <v>141</v>
      </c>
      <c r="I1151" s="54" t="s">
        <v>141</v>
      </c>
    </row>
    <row r="1152" spans="1:13" ht="12.75" customHeight="1">
      <c r="A1152" s="2932">
        <v>704</v>
      </c>
      <c r="B1152" s="2898" t="str">
        <f>VLOOKUP(A1152,plasmids!$A$2:$B$910,2)</f>
        <v>pAAV2 Lib-RH-II</v>
      </c>
      <c r="C1152" s="2899" t="s">
        <v>5434</v>
      </c>
      <c r="D1152" s="2900" t="s">
        <v>5239</v>
      </c>
      <c r="E1152" s="3129">
        <v>42656</v>
      </c>
      <c r="F1152" s="2900" t="s">
        <v>1549</v>
      </c>
      <c r="G1152" s="2902" t="s">
        <v>5435</v>
      </c>
      <c r="H1152" s="2935"/>
      <c r="I1152" s="2900" t="s">
        <v>5436</v>
      </c>
      <c r="J1152" s="2935"/>
      <c r="K1152" s="2935"/>
      <c r="L1152" s="2935"/>
      <c r="M1152" s="2935"/>
    </row>
    <row r="1153" spans="1:13" ht="12.75" customHeight="1">
      <c r="A1153" s="2932">
        <v>704</v>
      </c>
      <c r="B1153" s="2898" t="str">
        <f>VLOOKUP(A1153,plasmids!$A$2:$B$910,2)</f>
        <v>pAAV2 Lib-RH-II</v>
      </c>
      <c r="C1153" s="2899" t="s">
        <v>5437</v>
      </c>
      <c r="D1153" s="2900" t="s">
        <v>5239</v>
      </c>
      <c r="E1153" s="3129">
        <v>42656</v>
      </c>
      <c r="F1153" s="2900" t="s">
        <v>1549</v>
      </c>
      <c r="G1153" s="2902" t="s">
        <v>5438</v>
      </c>
      <c r="H1153" s="2935"/>
      <c r="I1153" s="2900" t="s">
        <v>5436</v>
      </c>
      <c r="J1153" s="2935"/>
      <c r="K1153" s="2935"/>
      <c r="L1153" s="2935"/>
      <c r="M1153" s="2935"/>
    </row>
    <row r="1154" spans="1:13" ht="12.75" customHeight="1">
      <c r="A1154" s="2999">
        <v>705</v>
      </c>
      <c r="B1154" s="2294" t="str">
        <f>VLOOKUP(A1154,plasmids!$A$2:$B$910,2)</f>
        <v>pssAAV-IRBP_GNAT-ReachR-GFP</v>
      </c>
      <c r="C1154" s="833" t="s">
        <v>5439</v>
      </c>
      <c r="D1154" s="835" t="s">
        <v>2771</v>
      </c>
      <c r="E1154" s="3130">
        <v>42661</v>
      </c>
      <c r="F1154" s="835" t="s">
        <v>2126</v>
      </c>
      <c r="G1154" s="831" t="s">
        <v>5443</v>
      </c>
      <c r="H1154" s="835" t="s">
        <v>929</v>
      </c>
      <c r="I1154" s="835" t="s">
        <v>3128</v>
      </c>
      <c r="J1154" s="835" t="s">
        <v>2232</v>
      </c>
      <c r="K1154" s="829"/>
      <c r="L1154" s="829"/>
      <c r="M1154" s="829"/>
    </row>
    <row r="1155" spans="1:13" ht="12.75" customHeight="1">
      <c r="A1155" s="2999">
        <v>705</v>
      </c>
      <c r="B1155" s="2294" t="str">
        <f>VLOOKUP(A1155,plasmids!$A$2:$B$910,2)</f>
        <v>pssAAV-IRBP_GNAT-ReachR-GFP</v>
      </c>
      <c r="C1155" s="833" t="s">
        <v>5444</v>
      </c>
      <c r="D1155" s="835" t="s">
        <v>2765</v>
      </c>
      <c r="E1155" s="3130">
        <v>42762</v>
      </c>
      <c r="F1155" s="835" t="s">
        <v>2126</v>
      </c>
      <c r="G1155" s="831" t="s">
        <v>5445</v>
      </c>
      <c r="H1155" s="835"/>
      <c r="I1155" s="835"/>
      <c r="J1155" s="835"/>
      <c r="K1155" s="829"/>
      <c r="L1155" s="829"/>
      <c r="M1155" s="829"/>
    </row>
    <row r="1156" spans="1:13" ht="12.75" customHeight="1">
      <c r="A1156" s="3107">
        <v>706</v>
      </c>
      <c r="B1156" s="2372" t="str">
        <f>VLOOKUP(A1156,plasmids!$A$2:$B$910,2)</f>
        <v>pssAAV-SNCG-GCamp6f</v>
      </c>
      <c r="C1156" s="1051" t="s">
        <v>5448</v>
      </c>
      <c r="D1156" s="1052" t="s">
        <v>2771</v>
      </c>
      <c r="E1156" s="3133">
        <v>42661</v>
      </c>
      <c r="F1156" s="1052" t="s">
        <v>2126</v>
      </c>
      <c r="G1156" s="1050" t="s">
        <v>5449</v>
      </c>
      <c r="H1156" s="1052" t="s">
        <v>929</v>
      </c>
      <c r="I1156" s="1052" t="s">
        <v>3128</v>
      </c>
      <c r="J1156" s="1052" t="s">
        <v>2234</v>
      </c>
      <c r="K1156" s="1049"/>
      <c r="L1156" s="1049"/>
      <c r="M1156" s="1049"/>
    </row>
    <row r="1157" spans="1:13" ht="12.75" customHeight="1">
      <c r="A1157" s="3107">
        <v>706</v>
      </c>
      <c r="B1157" s="2372" t="str">
        <f>VLOOKUP(A1157,plasmids!$A$2:$B$910,2)</f>
        <v>pssAAV-SNCG-GCamp6f</v>
      </c>
      <c r="C1157" s="1051" t="s">
        <v>5452</v>
      </c>
      <c r="D1157" s="1052" t="s">
        <v>2765</v>
      </c>
      <c r="E1157" s="3134">
        <v>42663</v>
      </c>
      <c r="F1157" s="1052" t="s">
        <v>2126</v>
      </c>
      <c r="G1157" s="1050" t="s">
        <v>5453</v>
      </c>
      <c r="H1157" s="1049"/>
      <c r="I1157" s="1052" t="s">
        <v>3128</v>
      </c>
      <c r="J1157" s="1052" t="s">
        <v>2234</v>
      </c>
      <c r="K1157" s="1049"/>
      <c r="L1157" s="1049"/>
      <c r="M1157" s="1049"/>
    </row>
    <row r="1158" spans="1:13" ht="12.75" customHeight="1">
      <c r="A1158" s="2999">
        <v>707</v>
      </c>
      <c r="B1158" s="2294" t="str">
        <f>VLOOKUP(A1158,plasmids!$A$2:$B$910,2)</f>
        <v>pscAAV-SNCG-GCamp6f-WPRE</v>
      </c>
      <c r="C1158" s="833" t="s">
        <v>5454</v>
      </c>
      <c r="D1158" s="835" t="s">
        <v>2771</v>
      </c>
      <c r="E1158" s="3130">
        <v>42661</v>
      </c>
      <c r="F1158" s="835" t="s">
        <v>2126</v>
      </c>
      <c r="G1158" s="831" t="s">
        <v>5455</v>
      </c>
      <c r="H1158" s="835" t="s">
        <v>929</v>
      </c>
      <c r="I1158" s="835" t="s">
        <v>3128</v>
      </c>
      <c r="J1158" s="835" t="s">
        <v>2236</v>
      </c>
      <c r="K1158" s="829"/>
      <c r="L1158" s="829"/>
      <c r="M1158" s="829"/>
    </row>
    <row r="1159" spans="1:13" ht="12.75" customHeight="1">
      <c r="A1159" s="2999">
        <v>707</v>
      </c>
      <c r="B1159" s="2294" t="str">
        <f>VLOOKUP(A1159,plasmids!$A$2:$B$910,2)</f>
        <v>pscAAV-SNCG-GCamp6f-WPRE</v>
      </c>
      <c r="C1159" s="833" t="s">
        <v>5458</v>
      </c>
      <c r="D1159" s="835" t="s">
        <v>2765</v>
      </c>
      <c r="E1159" s="3135">
        <v>42663</v>
      </c>
      <c r="F1159" s="835" t="s">
        <v>2126</v>
      </c>
      <c r="G1159" s="831" t="s">
        <v>5459</v>
      </c>
      <c r="H1159" s="829"/>
      <c r="I1159" s="835" t="s">
        <v>3128</v>
      </c>
      <c r="J1159" s="835" t="s">
        <v>2236</v>
      </c>
      <c r="K1159" s="829"/>
      <c r="L1159" s="829"/>
      <c r="M1159" s="829"/>
    </row>
    <row r="1160" spans="1:13" ht="12.75" customHeight="1">
      <c r="A1160" s="2999">
        <v>707</v>
      </c>
      <c r="B1160" s="2294" t="str">
        <f>VLOOKUP(A1160,plasmids!$A$2:$B$910,2)</f>
        <v>pscAAV-SNCG-GCamp6f-WPRE</v>
      </c>
      <c r="C1160" s="833" t="s">
        <v>5460</v>
      </c>
      <c r="D1160" s="835" t="s">
        <v>2765</v>
      </c>
      <c r="E1160" s="3135">
        <v>42901</v>
      </c>
      <c r="F1160" s="835" t="s">
        <v>2126</v>
      </c>
      <c r="G1160" s="831" t="s">
        <v>5461</v>
      </c>
      <c r="H1160" s="829"/>
      <c r="I1160" s="835" t="s">
        <v>3128</v>
      </c>
      <c r="J1160" s="835" t="s">
        <v>5462</v>
      </c>
      <c r="K1160" s="829"/>
      <c r="L1160" s="829"/>
      <c r="M1160" s="829"/>
    </row>
    <row r="1161" spans="1:13" ht="12.75" customHeight="1">
      <c r="A1161" s="3136">
        <v>708</v>
      </c>
      <c r="B1161" s="3137" t="s">
        <v>2237</v>
      </c>
      <c r="C1161" s="1064" t="s">
        <v>5465</v>
      </c>
      <c r="D1161" s="1065" t="s">
        <v>2771</v>
      </c>
      <c r="E1161" s="3138">
        <v>42690</v>
      </c>
      <c r="F1161" s="1065" t="s">
        <v>2126</v>
      </c>
      <c r="G1161" s="3139"/>
      <c r="H1161" s="1065" t="s">
        <v>5411</v>
      </c>
      <c r="I1161" s="1065" t="s">
        <v>5404</v>
      </c>
      <c r="J1161" s="1065" t="s">
        <v>5466</v>
      </c>
      <c r="K1161" s="273"/>
      <c r="L1161" s="273"/>
      <c r="M1161" s="273"/>
    </row>
    <row r="1162" spans="1:13" ht="12.75" customHeight="1">
      <c r="A1162" s="3140">
        <v>709</v>
      </c>
      <c r="B1162" s="3141" t="str">
        <f>VLOOKUP(A1162,plasmids!$A$2:$B$910,2)</f>
        <v>pssAAV-pr1.7-Girk2-FLAG</v>
      </c>
      <c r="C1162" s="1744" t="s">
        <v>5468</v>
      </c>
      <c r="D1162" s="395" t="s">
        <v>2771</v>
      </c>
      <c r="E1162" s="3142">
        <v>42690</v>
      </c>
      <c r="F1162" s="395" t="s">
        <v>2126</v>
      </c>
      <c r="G1162" s="1298"/>
      <c r="H1162" s="395" t="s">
        <v>5411</v>
      </c>
      <c r="I1162" s="395" t="s">
        <v>5404</v>
      </c>
      <c r="J1162" s="395" t="s">
        <v>5470</v>
      </c>
      <c r="K1162" s="287"/>
      <c r="L1162" s="287"/>
      <c r="M1162" s="287"/>
    </row>
    <row r="1163" spans="1:13" ht="12.75" customHeight="1">
      <c r="A1163" s="3140">
        <v>709</v>
      </c>
      <c r="B1163" s="3141" t="str">
        <f>VLOOKUP(A1163,plasmids!$A$2:$B$910,2)</f>
        <v>pssAAV-pr1.7-Girk2-FLAG</v>
      </c>
      <c r="C1163" s="1744" t="s">
        <v>5473</v>
      </c>
      <c r="D1163" s="395" t="s">
        <v>2765</v>
      </c>
      <c r="E1163" s="3142">
        <v>42768</v>
      </c>
      <c r="F1163" s="395" t="s">
        <v>2126</v>
      </c>
      <c r="G1163" s="1313" t="s">
        <v>5474</v>
      </c>
      <c r="H1163" s="395"/>
      <c r="I1163" s="395" t="s">
        <v>3128</v>
      </c>
      <c r="J1163" s="395" t="s">
        <v>5475</v>
      </c>
      <c r="K1163" s="287"/>
      <c r="L1163" s="287"/>
      <c r="M1163" s="287"/>
    </row>
    <row r="1164" spans="1:13" ht="12.75" customHeight="1">
      <c r="A1164" s="1538">
        <v>710</v>
      </c>
      <c r="B1164" s="1981" t="str">
        <f>VLOOKUP(A1164,plasmids!$A$2:$B$910,2)</f>
        <v>pss-smCBA-GFP-2A-DP71</v>
      </c>
      <c r="C1164" s="1" t="s">
        <v>5477</v>
      </c>
      <c r="D1164" s="54" t="s">
        <v>2765</v>
      </c>
      <c r="E1164" s="3144">
        <v>41255</v>
      </c>
      <c r="F1164" s="54" t="s">
        <v>2244</v>
      </c>
      <c r="G1164" s="755" t="s">
        <v>5479</v>
      </c>
      <c r="H1164" s="54" t="s">
        <v>141</v>
      </c>
      <c r="I1164" s="54" t="s">
        <v>141</v>
      </c>
    </row>
    <row r="1165" spans="1:13" ht="12.75" customHeight="1">
      <c r="A1165" s="2908">
        <v>711</v>
      </c>
      <c r="B1165" s="2217" t="str">
        <f>VLOOKUP(A1165,plasmids!$A$2:$B$910,2)</f>
        <v>RdCVF-Stuffer (CT37)</v>
      </c>
      <c r="C1165" s="1043" t="s">
        <v>5480</v>
      </c>
      <c r="D1165" s="1545" t="s">
        <v>2765</v>
      </c>
      <c r="E1165" s="2219"/>
      <c r="F1165" s="1545" t="s">
        <v>5481</v>
      </c>
      <c r="G1165" s="1042" t="s">
        <v>2249</v>
      </c>
      <c r="H1165" s="1041"/>
      <c r="I1165" s="1041"/>
      <c r="J1165" s="1041"/>
      <c r="K1165" s="1041"/>
      <c r="L1165" s="1041"/>
      <c r="M1165" s="1041"/>
    </row>
    <row r="1166" spans="1:13" ht="12.75" customHeight="1">
      <c r="A1166" s="2932">
        <v>714</v>
      </c>
      <c r="B1166" s="2898" t="str">
        <f>VLOOKUP(A1166,plasmids!$A$2:$B$910,2)</f>
        <v>pAAV2 Lib-RH-III</v>
      </c>
      <c r="C1166" s="2899" t="s">
        <v>5483</v>
      </c>
      <c r="D1166" s="2900" t="s">
        <v>5239</v>
      </c>
      <c r="E1166" s="3129">
        <v>42724</v>
      </c>
      <c r="F1166" s="2900" t="s">
        <v>1549</v>
      </c>
      <c r="G1166" s="2902" t="s">
        <v>5484</v>
      </c>
      <c r="H1166" s="2935"/>
      <c r="I1166" s="2900" t="s">
        <v>5485</v>
      </c>
      <c r="J1166" s="2935"/>
      <c r="K1166" s="2935"/>
      <c r="L1166" s="2935"/>
      <c r="M1166" s="2935"/>
    </row>
    <row r="1167" spans="1:13" ht="12.75" customHeight="1">
      <c r="A1167" s="2950">
        <v>715</v>
      </c>
      <c r="B1167" s="2308" t="str">
        <f>VLOOKUP(A1167,plasmids!$A$2:$B$910,2)</f>
        <v>pAAVmix Lib-RMSR-I</v>
      </c>
      <c r="C1167" s="2310" t="s">
        <v>5486</v>
      </c>
      <c r="D1167" s="2353" t="s">
        <v>5239</v>
      </c>
      <c r="E1167" s="3146">
        <v>42724</v>
      </c>
      <c r="F1167" s="2353" t="s">
        <v>1549</v>
      </c>
      <c r="G1167" s="2312" t="s">
        <v>5487</v>
      </c>
      <c r="H1167" s="1202"/>
      <c r="I1167" s="2353" t="s">
        <v>5485</v>
      </c>
      <c r="J1167" s="1202"/>
      <c r="K1167" s="1202"/>
      <c r="L1167" s="1202"/>
      <c r="M1167" s="1202"/>
    </row>
    <row r="1168" spans="1:13" ht="12.75" customHeight="1">
      <c r="A1168" s="2950">
        <v>716</v>
      </c>
      <c r="B1168" s="2308" t="str">
        <f>VLOOKUP(A1168,plasmids!$A$2:$B$910,2)</f>
        <v>pAAVmix Lib-RMIVT-I</v>
      </c>
      <c r="C1168" s="2310" t="s">
        <v>5488</v>
      </c>
      <c r="D1168" s="2353" t="s">
        <v>5239</v>
      </c>
      <c r="E1168" s="3146">
        <v>42724</v>
      </c>
      <c r="F1168" s="2353" t="s">
        <v>1549</v>
      </c>
      <c r="G1168" s="2312" t="s">
        <v>5489</v>
      </c>
      <c r="H1168" s="1202"/>
      <c r="I1168" s="2353" t="s">
        <v>5485</v>
      </c>
      <c r="J1168" s="1202"/>
      <c r="K1168" s="1202"/>
      <c r="L1168" s="1202"/>
      <c r="M1168" s="1202"/>
    </row>
    <row r="1169" spans="1:13" ht="12.75" customHeight="1">
      <c r="A1169" s="2765">
        <v>717</v>
      </c>
      <c r="B1169" s="2518" t="str">
        <f>VLOOKUP(A1169,plasmids!$A$2:$B$910,2)</f>
        <v>SuperNova/pRSETB</v>
      </c>
      <c r="C1169" s="2520" t="s">
        <v>5490</v>
      </c>
      <c r="D1169" s="688" t="s">
        <v>2771</v>
      </c>
      <c r="E1169" s="3149">
        <v>42748</v>
      </c>
      <c r="F1169" s="688" t="s">
        <v>2126</v>
      </c>
      <c r="G1169" s="2525" t="s">
        <v>5491</v>
      </c>
      <c r="H1169" s="2527"/>
      <c r="I1169" s="688" t="s">
        <v>3128</v>
      </c>
      <c r="J1169" s="2527"/>
      <c r="K1169" s="2527"/>
      <c r="L1169" s="2527"/>
      <c r="M1169" s="2527"/>
    </row>
    <row r="1170" spans="1:13" ht="12.75" customHeight="1">
      <c r="A1170" s="3151">
        <v>718</v>
      </c>
      <c r="B1170" s="2368" t="str">
        <f>VLOOKUP(A1170,plasmids!$A$2:$B$910,2)</f>
        <v>pAAV-CAG-hRdCVFs</v>
      </c>
      <c r="C1170" s="870" t="s">
        <v>5492</v>
      </c>
      <c r="D1170" s="695" t="s">
        <v>2771</v>
      </c>
      <c r="E1170" s="3152">
        <v>42760</v>
      </c>
      <c r="F1170" s="695" t="s">
        <v>2126</v>
      </c>
      <c r="G1170" s="869" t="s">
        <v>5493</v>
      </c>
      <c r="H1170" s="695" t="s">
        <v>5389</v>
      </c>
      <c r="I1170" s="695" t="s">
        <v>3128</v>
      </c>
      <c r="J1170" s="868" t="str">
        <f>plasmids!N719</f>
        <v>Infu 106 clone 1</v>
      </c>
      <c r="K1170" s="868"/>
      <c r="L1170" s="868"/>
      <c r="M1170" s="868"/>
    </row>
    <row r="1171" spans="1:13" ht="12.75" customHeight="1">
      <c r="A1171" s="3151">
        <v>718</v>
      </c>
      <c r="B1171" s="2368" t="str">
        <f>VLOOKUP(A1171,plasmids!$A$2:$B$910,2)</f>
        <v>pAAV-CAG-hRdCVFs</v>
      </c>
      <c r="C1171" s="870" t="s">
        <v>5494</v>
      </c>
      <c r="D1171" s="695" t="s">
        <v>2765</v>
      </c>
      <c r="E1171" s="3152">
        <v>42768</v>
      </c>
      <c r="F1171" s="695" t="s">
        <v>2126</v>
      </c>
      <c r="G1171" s="869" t="s">
        <v>5495</v>
      </c>
      <c r="H1171" s="695"/>
      <c r="I1171" s="695" t="s">
        <v>3128</v>
      </c>
      <c r="J1171" s="695" t="s">
        <v>2844</v>
      </c>
      <c r="K1171" s="868"/>
      <c r="L1171" s="868"/>
      <c r="M1171" s="868"/>
    </row>
    <row r="1172" spans="1:13" ht="12.75" customHeight="1">
      <c r="A1172" s="2999">
        <v>719</v>
      </c>
      <c r="B1172" s="2294" t="str">
        <f>VLOOKUP(A1172,plasmids!$A$2:$B$910,2)</f>
        <v>pscAAV-CAG-SuperNova</v>
      </c>
      <c r="C1172" s="833" t="s">
        <v>5496</v>
      </c>
      <c r="D1172" s="835" t="s">
        <v>2771</v>
      </c>
      <c r="E1172" s="3000">
        <v>42755</v>
      </c>
      <c r="F1172" s="835" t="s">
        <v>2126</v>
      </c>
      <c r="G1172" s="831" t="s">
        <v>5497</v>
      </c>
      <c r="H1172" s="835" t="s">
        <v>5389</v>
      </c>
      <c r="I1172" s="835" t="s">
        <v>3128</v>
      </c>
      <c r="J1172" s="835" t="s">
        <v>2266</v>
      </c>
      <c r="K1172" s="829"/>
      <c r="L1172" s="829"/>
      <c r="M1172" s="829"/>
    </row>
    <row r="1173" spans="1:13" ht="12.75" customHeight="1">
      <c r="A1173" s="2932">
        <v>720</v>
      </c>
      <c r="B1173" s="2898" t="str">
        <f>VLOOKUP(A1173,plasmids!$A$2:$B$910,2)</f>
        <v>pAAV2 Lib-RH-IV</v>
      </c>
      <c r="C1173" s="2899" t="s">
        <v>5498</v>
      </c>
      <c r="D1173" s="2900" t="s">
        <v>5239</v>
      </c>
      <c r="E1173" s="3158">
        <v>42769</v>
      </c>
      <c r="F1173" s="2900" t="s">
        <v>1549</v>
      </c>
      <c r="G1173" s="2902" t="s">
        <v>5499</v>
      </c>
      <c r="H1173" s="2935"/>
      <c r="I1173" s="2900" t="s">
        <v>5485</v>
      </c>
      <c r="J1173" s="2935">
        <f>plasmids!N721</f>
        <v>0</v>
      </c>
      <c r="K1173" s="2935"/>
      <c r="L1173" s="2935"/>
      <c r="M1173" s="2935"/>
    </row>
    <row r="1174" spans="1:13" ht="12.75" customHeight="1">
      <c r="A1174" s="2707">
        <v>721</v>
      </c>
      <c r="B1174" s="2354" t="str">
        <f>VLOOKUP(A1174,plasmids!$A$2:$B$910,2)</f>
        <v>pssAAV-hRho-SuperNova</v>
      </c>
      <c r="C1174" s="911" t="s">
        <v>5500</v>
      </c>
      <c r="D1174" s="913" t="s">
        <v>2771</v>
      </c>
      <c r="E1174" s="3064">
        <v>42766</v>
      </c>
      <c r="F1174" s="913" t="s">
        <v>95</v>
      </c>
      <c r="G1174" s="2697"/>
      <c r="H1174" s="907"/>
      <c r="I1174" s="913" t="s">
        <v>3128</v>
      </c>
      <c r="J1174" s="907" t="str">
        <f>plasmids!N722</f>
        <v>INfu 107 cl 6</v>
      </c>
      <c r="K1174" s="907"/>
      <c r="L1174" s="907"/>
      <c r="M1174" s="907"/>
    </row>
    <row r="1175" spans="1:13" ht="12.75" customHeight="1">
      <c r="A1175" s="2707">
        <v>721</v>
      </c>
      <c r="B1175" s="2354" t="str">
        <f>VLOOKUP(A1175,plasmids!$A$2:$B$910,2)</f>
        <v>pssAAV-hRho-SuperNova</v>
      </c>
      <c r="C1175" s="911" t="s">
        <v>5501</v>
      </c>
      <c r="D1175" s="913" t="s">
        <v>2765</v>
      </c>
      <c r="E1175" s="3064">
        <v>42768</v>
      </c>
      <c r="F1175" s="913" t="s">
        <v>2126</v>
      </c>
      <c r="G1175" s="2697"/>
      <c r="H1175" s="907"/>
      <c r="I1175" s="913" t="s">
        <v>3128</v>
      </c>
      <c r="J1175" s="907">
        <f>plasmids!N723</f>
        <v>0</v>
      </c>
      <c r="K1175" s="907"/>
      <c r="L1175" s="907"/>
      <c r="M1175" s="907"/>
    </row>
    <row r="1176" spans="1:13" ht="12.75" customHeight="1">
      <c r="A1176" s="2707">
        <v>721</v>
      </c>
      <c r="B1176" s="2354" t="str">
        <f>VLOOKUP(A1176,plasmids!$A$2:$B$910,2)</f>
        <v>pssAAV-hRho-SuperNova</v>
      </c>
      <c r="C1176" s="911" t="s">
        <v>5502</v>
      </c>
      <c r="D1176" s="913" t="s">
        <v>2765</v>
      </c>
      <c r="E1176" s="3064">
        <v>42860</v>
      </c>
      <c r="F1176" s="913" t="s">
        <v>2126</v>
      </c>
      <c r="G1176" s="909" t="s">
        <v>5503</v>
      </c>
      <c r="H1176" s="907"/>
      <c r="I1176" s="913" t="s">
        <v>3128</v>
      </c>
      <c r="J1176" s="913" t="s">
        <v>2844</v>
      </c>
      <c r="K1176" s="907"/>
      <c r="L1176" s="907"/>
      <c r="M1176" s="907"/>
    </row>
    <row r="1177" spans="1:13" ht="12.75" customHeight="1">
      <c r="A1177" s="3162">
        <v>722</v>
      </c>
      <c r="B1177" s="1910" t="str">
        <f>VLOOKUP(A1177,plasmids!$A$2:$B$910,2)</f>
        <v>pAAV-mOpn4L-GCamp6m</v>
      </c>
      <c r="C1177" s="1250">
        <v>722.1</v>
      </c>
      <c r="D1177" s="1251" t="s">
        <v>5504</v>
      </c>
      <c r="E1177" s="3165"/>
      <c r="F1177" s="1248"/>
      <c r="G1177" s="1249">
        <v>2.4</v>
      </c>
      <c r="H1177" s="1248"/>
      <c r="I1177" s="1248"/>
      <c r="J1177" s="1248"/>
      <c r="K1177" s="1248"/>
      <c r="L1177" s="1248"/>
      <c r="M1177" s="1248"/>
    </row>
    <row r="1178" spans="1:13" ht="12.75" customHeight="1">
      <c r="A1178" s="3167">
        <v>723</v>
      </c>
      <c r="B1178" s="3170" t="str">
        <f>VLOOKUP(A1178,plasmids!$A$2:$B$910,2)</f>
        <v>pssAAV-4xGrm6-LWO-FLAG</v>
      </c>
      <c r="C1178" s="3173" t="s">
        <v>5505</v>
      </c>
      <c r="D1178" s="3175" t="s">
        <v>2771</v>
      </c>
      <c r="E1178" s="3177">
        <v>42782</v>
      </c>
      <c r="F1178" s="3175" t="s">
        <v>2126</v>
      </c>
      <c r="G1178" s="3179" t="s">
        <v>5506</v>
      </c>
      <c r="H1178" s="3181"/>
      <c r="I1178" s="3175" t="s">
        <v>3128</v>
      </c>
      <c r="J1178" s="3181" t="str">
        <f>plasmids!N724</f>
        <v>Gibs 12 clone ??</v>
      </c>
      <c r="K1178" s="3181"/>
      <c r="L1178" s="3181"/>
      <c r="M1178" s="3181"/>
    </row>
    <row r="1179" spans="1:13" ht="12.75" customHeight="1">
      <c r="A1179" s="3167">
        <v>724</v>
      </c>
      <c r="B1179" s="3170" t="str">
        <f>VLOOKUP(A1179,plasmids!$A$2:$B$910,2)</f>
        <v>pssAAV-4xGrm6-LWO-GFP</v>
      </c>
      <c r="C1179" s="3173" t="s">
        <v>5507</v>
      </c>
      <c r="D1179" s="3175" t="s">
        <v>2771</v>
      </c>
      <c r="E1179" s="3177">
        <v>42782</v>
      </c>
      <c r="F1179" s="3175" t="s">
        <v>2126</v>
      </c>
      <c r="G1179" s="3179" t="s">
        <v>5508</v>
      </c>
      <c r="H1179" s="3181"/>
      <c r="I1179" s="3175" t="s">
        <v>3128</v>
      </c>
      <c r="J1179" s="3181" t="str">
        <f>plasmids!N725</f>
        <v>Infu 109 A clone 5</v>
      </c>
      <c r="K1179" s="3181"/>
      <c r="L1179" s="3181"/>
      <c r="M1179" s="3181"/>
    </row>
    <row r="1180" spans="1:13" ht="12.75" customHeight="1">
      <c r="A1180" s="3167">
        <v>725</v>
      </c>
      <c r="B1180" s="3170" t="str">
        <f>VLOOKUP(A1180,plasmids!$A$2:$B$910,2)</f>
        <v>pssAAV-4xGrm6-SWO-GFP</v>
      </c>
      <c r="C1180" s="3173" t="s">
        <v>5509</v>
      </c>
      <c r="D1180" s="3175" t="s">
        <v>2771</v>
      </c>
      <c r="E1180" s="3177">
        <v>42782</v>
      </c>
      <c r="F1180" s="3175" t="s">
        <v>2126</v>
      </c>
      <c r="G1180" s="3179" t="s">
        <v>5510</v>
      </c>
      <c r="H1180" s="3181"/>
      <c r="I1180" s="3175" t="s">
        <v>3128</v>
      </c>
      <c r="J1180" s="3181" t="str">
        <f>plasmids!N726</f>
        <v>Infu 109 B clone 4</v>
      </c>
      <c r="K1180" s="3181"/>
      <c r="L1180" s="3181"/>
      <c r="M1180" s="3181"/>
    </row>
    <row r="1181" spans="1:13" ht="12.75" customHeight="1">
      <c r="A1181" s="2751">
        <v>726</v>
      </c>
      <c r="B1181" s="2256" t="str">
        <f>VLOOKUP(A1181,plasmids!$A$2:$B$910,2)</f>
        <v>pAAV2/2</v>
      </c>
      <c r="C1181" s="2257" t="s">
        <v>5511</v>
      </c>
      <c r="D1181" s="2267" t="s">
        <v>2771</v>
      </c>
      <c r="E1181" s="3188">
        <v>42788</v>
      </c>
      <c r="F1181" s="2267" t="s">
        <v>2277</v>
      </c>
      <c r="G1181" s="2261" t="s">
        <v>5512</v>
      </c>
      <c r="H1181" s="2265"/>
      <c r="I1181" s="2265"/>
      <c r="J1181" s="2267" t="s">
        <v>2279</v>
      </c>
      <c r="K1181" s="2265"/>
      <c r="L1181" s="2265"/>
      <c r="M1181" s="2265"/>
    </row>
    <row r="1182" spans="1:13" ht="12.75" customHeight="1">
      <c r="A1182" s="1538">
        <v>727</v>
      </c>
      <c r="B1182" s="1981" t="str">
        <f>VLOOKUP(A1182,plasmids!$A$2:$B$910,2)</f>
        <v>pAAV2/5</v>
      </c>
      <c r="C1182" s="1" t="s">
        <v>5513</v>
      </c>
      <c r="D1182" s="54" t="s">
        <v>2771</v>
      </c>
      <c r="E1182" s="1553">
        <v>42788</v>
      </c>
      <c r="F1182" s="54" t="s">
        <v>2277</v>
      </c>
      <c r="G1182" s="755" t="s">
        <v>5514</v>
      </c>
      <c r="J1182" t="str">
        <f>plasmids!N728</f>
        <v>lot P0050</v>
      </c>
    </row>
    <row r="1183" spans="1:13" ht="12.75" customHeight="1">
      <c r="A1183" s="2751">
        <v>728</v>
      </c>
      <c r="B1183" s="2256" t="str">
        <f>VLOOKUP(A1183,plasmids!$A$2:$B$910,2)</f>
        <v>pAAV2/8</v>
      </c>
      <c r="C1183" s="2257" t="s">
        <v>5515</v>
      </c>
      <c r="D1183" s="2267" t="s">
        <v>2771</v>
      </c>
      <c r="E1183" s="3188">
        <v>42788</v>
      </c>
      <c r="F1183" s="2267" t="s">
        <v>2277</v>
      </c>
      <c r="G1183" s="2261" t="s">
        <v>5516</v>
      </c>
      <c r="H1183" s="2265"/>
      <c r="I1183" s="2265"/>
      <c r="J1183" s="2265" t="str">
        <f>plasmids!N729</f>
        <v>lot P5E18</v>
      </c>
      <c r="K1183" s="2265"/>
      <c r="L1183" s="2265"/>
      <c r="M1183" s="2265"/>
    </row>
    <row r="1184" spans="1:13" ht="12.75" customHeight="1">
      <c r="A1184" s="1538">
        <v>729</v>
      </c>
      <c r="B1184" s="1981" t="str">
        <f>VLOOKUP(A1184,plasmids!$A$2:$B$910,2)</f>
        <v>pAAV2/1</v>
      </c>
      <c r="C1184" s="1" t="s">
        <v>5517</v>
      </c>
      <c r="D1184" s="54" t="s">
        <v>2771</v>
      </c>
      <c r="E1184" s="1553">
        <v>42788</v>
      </c>
      <c r="F1184" s="54" t="s">
        <v>2277</v>
      </c>
      <c r="G1184" s="755" t="s">
        <v>5518</v>
      </c>
      <c r="J1184" t="str">
        <f>plasmids!N730</f>
        <v>lot C24MAY10</v>
      </c>
    </row>
    <row r="1185" spans="1:13" ht="12.75" customHeight="1">
      <c r="A1185" s="2751">
        <v>730</v>
      </c>
      <c r="B1185" s="2256" t="str">
        <f>VLOOKUP(A1185,plasmids!$A$2:$B$910,2)</f>
        <v>pAAV2/6</v>
      </c>
      <c r="C1185" s="2257" t="s">
        <v>5519</v>
      </c>
      <c r="D1185" s="2267" t="s">
        <v>2771</v>
      </c>
      <c r="E1185" s="3188">
        <v>42788</v>
      </c>
      <c r="F1185" s="2267" t="s">
        <v>2277</v>
      </c>
      <c r="G1185" s="2261" t="s">
        <v>5520</v>
      </c>
      <c r="H1185" s="2265"/>
      <c r="I1185" s="2265"/>
      <c r="J1185" s="2265" t="str">
        <f>plasmids!N731</f>
        <v>lot C23FEB06B</v>
      </c>
      <c r="K1185" s="2265"/>
      <c r="L1185" s="2265"/>
      <c r="M1185" s="2265"/>
    </row>
    <row r="1186" spans="1:13" ht="12.75" customHeight="1">
      <c r="A1186" s="1538">
        <v>731</v>
      </c>
      <c r="B1186" s="1981" t="str">
        <f>VLOOKUP(A1186,plasmids!$A$2:$B$910,2)</f>
        <v>pAAV2/rh10</v>
      </c>
      <c r="C1186" s="1" t="s">
        <v>5521</v>
      </c>
      <c r="D1186" s="54" t="s">
        <v>2771</v>
      </c>
      <c r="E1186" s="1553">
        <v>42788</v>
      </c>
      <c r="F1186" s="54" t="s">
        <v>2277</v>
      </c>
      <c r="G1186" s="755" t="s">
        <v>2823</v>
      </c>
      <c r="J1186" t="str">
        <f>plasmids!N732</f>
        <v>lot C13DEC13B</v>
      </c>
    </row>
    <row r="1187" spans="1:13" ht="12.75" customHeight="1">
      <c r="A1187" s="3193">
        <v>732</v>
      </c>
      <c r="B1187" s="2601" t="str">
        <f>VLOOKUP(A1187,plasmids!$A$2:$B$910,2)</f>
        <v>pssAAV-Syn-HA-msAPPa</v>
      </c>
      <c r="C1187" s="1031" t="s">
        <v>5522</v>
      </c>
      <c r="D1187" s="1556" t="s">
        <v>2771</v>
      </c>
      <c r="E1187" s="3195">
        <v>42790</v>
      </c>
      <c r="F1187" s="1556" t="s">
        <v>2126</v>
      </c>
      <c r="G1187" s="1030" t="s">
        <v>5523</v>
      </c>
      <c r="H1187" s="1029"/>
      <c r="I1187" s="1556" t="s">
        <v>3128</v>
      </c>
      <c r="J1187" s="1029"/>
      <c r="K1187" s="1029"/>
      <c r="L1187" s="1029"/>
      <c r="M1187" s="1029"/>
    </row>
    <row r="1188" spans="1:13" ht="12.75" customHeight="1">
      <c r="A1188" s="1538">
        <v>733</v>
      </c>
      <c r="B1188" s="1981" t="str">
        <f>VLOOKUP(A1188,plasmids!$A$2:$B$910,2)</f>
        <v>pssAAV-pR1.7-Jaws</v>
      </c>
      <c r="C1188" s="1" t="s">
        <v>5524</v>
      </c>
      <c r="D1188" s="54" t="s">
        <v>2771</v>
      </c>
      <c r="E1188" s="1553">
        <v>42782</v>
      </c>
      <c r="F1188" s="54" t="s">
        <v>2126</v>
      </c>
      <c r="G1188" s="755" t="s">
        <v>5525</v>
      </c>
      <c r="I1188" s="54" t="s">
        <v>3128</v>
      </c>
      <c r="J1188" s="54" t="s">
        <v>5526</v>
      </c>
    </row>
    <row r="1189" spans="1:13" ht="12.75" customHeight="1">
      <c r="A1189" s="1538">
        <v>733</v>
      </c>
      <c r="B1189" s="1981" t="str">
        <f>VLOOKUP(A1189,plasmids!$A$2:$B$910,2)</f>
        <v>pssAAV-pR1.7-Jaws</v>
      </c>
      <c r="C1189" s="1" t="s">
        <v>5527</v>
      </c>
      <c r="D1189" s="54" t="s">
        <v>2765</v>
      </c>
      <c r="E1189" s="1553">
        <v>42949</v>
      </c>
      <c r="F1189" s="54" t="s">
        <v>95</v>
      </c>
      <c r="G1189" s="755">
        <v>0.17100000000000001</v>
      </c>
      <c r="I1189" s="54" t="s">
        <v>3128</v>
      </c>
      <c r="J1189" s="54" t="s">
        <v>3027</v>
      </c>
    </row>
    <row r="1190" spans="1:13" ht="12.75" customHeight="1">
      <c r="A1190" s="3193">
        <v>734</v>
      </c>
      <c r="B1190" s="2601" t="str">
        <f>VLOOKUP(A1190,plasmids!$A$2:$B$910,2)</f>
        <v>pAAV8 BP</v>
      </c>
      <c r="C1190" s="1031" t="s">
        <v>5528</v>
      </c>
      <c r="D1190" s="1556" t="s">
        <v>2771</v>
      </c>
      <c r="E1190" s="3195">
        <v>42797</v>
      </c>
      <c r="F1190" s="1556" t="s">
        <v>2126</v>
      </c>
      <c r="G1190" s="1555"/>
      <c r="H1190" s="1029"/>
      <c r="I1190" s="1556" t="s">
        <v>3128</v>
      </c>
      <c r="J1190" s="1029"/>
      <c r="K1190" s="1029"/>
      <c r="L1190" s="1029"/>
      <c r="M1190" s="1029"/>
    </row>
    <row r="1191" spans="1:13" ht="12.75" customHeight="1">
      <c r="A1191" s="3193">
        <v>734</v>
      </c>
      <c r="B1191" s="2601" t="str">
        <f>VLOOKUP(A1191,plasmids!$A$2:$B$910,2)</f>
        <v>pAAV8 BP</v>
      </c>
      <c r="C1191" s="1031" t="s">
        <v>5529</v>
      </c>
      <c r="D1191" s="1556" t="s">
        <v>2765</v>
      </c>
      <c r="E1191" s="3195">
        <v>42810</v>
      </c>
      <c r="F1191" s="1556" t="s">
        <v>2126</v>
      </c>
      <c r="G1191" s="1030" t="s">
        <v>5530</v>
      </c>
      <c r="H1191" s="1029"/>
      <c r="I1191" s="1556"/>
      <c r="J1191" s="1029"/>
      <c r="K1191" s="1029"/>
      <c r="L1191" s="1029"/>
      <c r="M1191" s="1029"/>
    </row>
    <row r="1192" spans="1:13" ht="12.75" customHeight="1">
      <c r="A1192" s="1538">
        <v>735</v>
      </c>
      <c r="B1192" s="1981" t="str">
        <f>VLOOKUP(A1192,plasmids!$A$2:$B$910,2)</f>
        <v>pAAV-CAG-ChR2d-EGFP</v>
      </c>
      <c r="C1192" s="1" t="s">
        <v>5531</v>
      </c>
      <c r="D1192" s="54" t="s">
        <v>2771</v>
      </c>
      <c r="E1192" s="1553">
        <v>42797</v>
      </c>
      <c r="F1192" s="54" t="s">
        <v>2126</v>
      </c>
      <c r="G1192" s="754"/>
      <c r="I1192" s="54" t="s">
        <v>3128</v>
      </c>
    </row>
    <row r="1193" spans="1:13" ht="12.75" customHeight="1">
      <c r="A1193" s="1538">
        <v>735</v>
      </c>
      <c r="B1193" s="1981" t="str">
        <f>VLOOKUP(A1193,plasmids!$A$2:$B$910,2)</f>
        <v>pAAV-CAG-ChR2d-EGFP</v>
      </c>
      <c r="C1193" s="1" t="s">
        <v>5532</v>
      </c>
      <c r="D1193" s="54" t="s">
        <v>2765</v>
      </c>
      <c r="E1193" s="1553">
        <v>42810</v>
      </c>
      <c r="F1193" s="54" t="s">
        <v>2126</v>
      </c>
      <c r="G1193" s="755" t="s">
        <v>5533</v>
      </c>
      <c r="I1193" s="54"/>
    </row>
    <row r="1194" spans="1:13" ht="12.75" customHeight="1">
      <c r="A1194" s="3193">
        <v>736</v>
      </c>
      <c r="B1194" s="2601" t="str">
        <f>VLOOKUP(A1194,plasmids!$A$2:$B$910,2)</f>
        <v>pssAAV-200En-GluR500P-SWO-GFP</v>
      </c>
      <c r="C1194" s="1031" t="s">
        <v>5534</v>
      </c>
      <c r="D1194" s="1556" t="s">
        <v>2771</v>
      </c>
      <c r="E1194" s="3195">
        <v>42794</v>
      </c>
      <c r="F1194" s="1556" t="s">
        <v>2126</v>
      </c>
      <c r="G1194" s="1030" t="s">
        <v>5535</v>
      </c>
      <c r="H1194" s="1029"/>
      <c r="I1194" s="1556" t="s">
        <v>3128</v>
      </c>
      <c r="J1194" s="1556" t="s">
        <v>5536</v>
      </c>
      <c r="K1194" s="1029"/>
      <c r="L1194" s="1029"/>
      <c r="M1194" s="1029"/>
    </row>
    <row r="1195" spans="1:13" ht="12.75" customHeight="1">
      <c r="A1195" s="1538">
        <v>737</v>
      </c>
      <c r="B1195" s="1981" t="str">
        <f>VLOOKUP(A1195,plasmids!$A$2:$B$910,2)</f>
        <v>AAV9 7M8 (AA------)</v>
      </c>
      <c r="C1195" s="1" t="s">
        <v>5537</v>
      </c>
      <c r="D1195" s="54" t="s">
        <v>2771</v>
      </c>
      <c r="E1195" s="1553">
        <v>42794</v>
      </c>
      <c r="F1195" s="54" t="s">
        <v>2126</v>
      </c>
      <c r="G1195" s="755" t="s">
        <v>5538</v>
      </c>
      <c r="I1195" s="54" t="s">
        <v>3128</v>
      </c>
      <c r="J1195" s="54" t="s">
        <v>5539</v>
      </c>
    </row>
    <row r="1196" spans="1:13" ht="12.75" customHeight="1">
      <c r="A1196" s="1538">
        <v>737</v>
      </c>
      <c r="B1196" s="1981" t="str">
        <f>VLOOKUP(A1196,plasmids!$A$2:$B$910,2)</f>
        <v>AAV9 7M8 (AA------)</v>
      </c>
      <c r="C1196" s="1" t="s">
        <v>5540</v>
      </c>
      <c r="D1196" s="54" t="s">
        <v>2765</v>
      </c>
      <c r="E1196" s="1553">
        <v>42810</v>
      </c>
      <c r="F1196" s="54" t="s">
        <v>2126</v>
      </c>
      <c r="G1196" s="755" t="s">
        <v>5541</v>
      </c>
      <c r="I1196" s="54"/>
      <c r="J1196" s="54"/>
    </row>
    <row r="1197" spans="1:13" ht="12.75" customHeight="1">
      <c r="A1197" s="3193">
        <v>738</v>
      </c>
      <c r="B1197" s="2601" t="str">
        <f>VLOOKUP(A1197,plasmids!$A$2:$B$910,2)</f>
        <v>pAAV-Retro</v>
      </c>
      <c r="C1197" s="1031" t="s">
        <v>5542</v>
      </c>
      <c r="D1197" s="1556" t="s">
        <v>2771</v>
      </c>
      <c r="E1197" s="3195">
        <v>42794</v>
      </c>
      <c r="F1197" s="1556" t="s">
        <v>2126</v>
      </c>
      <c r="G1197" s="1030" t="s">
        <v>5543</v>
      </c>
      <c r="H1197" s="1029"/>
      <c r="I1197" s="1556" t="s">
        <v>3128</v>
      </c>
      <c r="J1197" s="1556" t="s">
        <v>5544</v>
      </c>
      <c r="K1197" s="1029"/>
      <c r="L1197" s="1029"/>
      <c r="M1197" s="1029"/>
    </row>
    <row r="1198" spans="1:13" ht="12.75" customHeight="1">
      <c r="A1198" s="3193">
        <v>738</v>
      </c>
      <c r="B1198" s="2601" t="str">
        <f>VLOOKUP(A1198,plasmids!$A$2:$B$910,2)</f>
        <v>pAAV-Retro</v>
      </c>
      <c r="C1198" s="1031" t="s">
        <v>5545</v>
      </c>
      <c r="D1198" s="1556" t="s">
        <v>2765</v>
      </c>
      <c r="E1198" s="3195">
        <v>42810</v>
      </c>
      <c r="F1198" s="1556" t="s">
        <v>2126</v>
      </c>
      <c r="G1198" s="1030" t="s">
        <v>5546</v>
      </c>
      <c r="H1198" s="1029"/>
      <c r="I1198" s="1556"/>
      <c r="J1198" s="1556"/>
      <c r="K1198" s="1029"/>
      <c r="L1198" s="1029"/>
      <c r="M1198" s="1029"/>
    </row>
    <row r="1199" spans="1:13" ht="12.75" customHeight="1">
      <c r="A1199" s="3006">
        <v>739</v>
      </c>
      <c r="B1199" s="2670" t="str">
        <f>VLOOKUP(A1199,plasmids!$A$2:$B$910,2)</f>
        <v>hSyn1-Cre-WPRE</v>
      </c>
      <c r="C1199" s="2661" t="s">
        <v>5548</v>
      </c>
      <c r="D1199" s="2670" t="s">
        <v>2771</v>
      </c>
      <c r="E1199" s="3007">
        <v>42803</v>
      </c>
      <c r="F1199" s="2670" t="s">
        <v>1549</v>
      </c>
      <c r="G1199" s="3203"/>
      <c r="H1199" s="2665"/>
      <c r="I1199" s="2670" t="s">
        <v>3128</v>
      </c>
      <c r="J1199" s="2670" t="s">
        <v>5549</v>
      </c>
      <c r="K1199" s="2665"/>
      <c r="L1199" s="2665"/>
      <c r="M1199" s="2665"/>
    </row>
    <row r="1200" spans="1:13" ht="12.75" customHeight="1">
      <c r="A1200" s="3006">
        <v>739</v>
      </c>
      <c r="B1200" s="2670" t="str">
        <f>VLOOKUP(A1200,plasmids!$A$2:$B$910,2)</f>
        <v>hSyn1-Cre-WPRE</v>
      </c>
      <c r="C1200" s="2661" t="s">
        <v>5550</v>
      </c>
      <c r="D1200" s="2670" t="s">
        <v>2765</v>
      </c>
      <c r="E1200" s="3007">
        <v>42810</v>
      </c>
      <c r="F1200" s="2670" t="s">
        <v>2126</v>
      </c>
      <c r="G1200" s="2668" t="s">
        <v>5551</v>
      </c>
      <c r="H1200" s="2670" t="s">
        <v>400</v>
      </c>
      <c r="I1200" s="2670" t="s">
        <v>3128</v>
      </c>
      <c r="J1200" s="2670"/>
      <c r="K1200" s="2665"/>
      <c r="L1200" s="2665"/>
      <c r="M1200" s="2665"/>
    </row>
    <row r="1201" spans="1:13" ht="12.75" customHeight="1">
      <c r="A1201" s="3006">
        <v>739</v>
      </c>
      <c r="B1201" s="2670" t="str">
        <f>VLOOKUP(A1201,plasmids!$A$2:$B$910,2)</f>
        <v>hSyn1-Cre-WPRE</v>
      </c>
      <c r="C1201" s="2661" t="s">
        <v>5552</v>
      </c>
      <c r="D1201" s="2862" t="s">
        <v>2765</v>
      </c>
      <c r="E1201" s="3007">
        <v>42936</v>
      </c>
      <c r="F1201" s="2862" t="s">
        <v>5553</v>
      </c>
      <c r="G1201" s="2862" t="s">
        <v>5554</v>
      </c>
      <c r="H1201" s="2660"/>
      <c r="I1201" s="2660"/>
      <c r="J1201" s="2862" t="s">
        <v>5555</v>
      </c>
      <c r="K1201" s="2660"/>
      <c r="L1201" s="2660"/>
      <c r="M1201" s="2660"/>
    </row>
    <row r="1202" spans="1:13" ht="12.75" customHeight="1">
      <c r="A1202" s="1504">
        <v>740</v>
      </c>
      <c r="B1202" s="2155" t="str">
        <f>VLOOKUP(A1202,plasmids!$A$2:$B$910,2)</f>
        <v>pAAV-ef1a-Chr2d-egfp</v>
      </c>
      <c r="C1202" s="1503" t="s">
        <v>5556</v>
      </c>
      <c r="D1202" s="2155" t="s">
        <v>2771</v>
      </c>
      <c r="E1202" s="3102">
        <v>42815</v>
      </c>
      <c r="F1202" s="2155" t="s">
        <v>2126</v>
      </c>
      <c r="G1202" s="2155" t="s">
        <v>5557</v>
      </c>
      <c r="H1202" s="2155"/>
      <c r="I1202" s="2155"/>
      <c r="J1202" s="2155"/>
      <c r="K1202" s="2155"/>
      <c r="L1202" s="2155"/>
      <c r="M1202" s="2155"/>
    </row>
    <row r="1203" spans="1:13" ht="12.75" customHeight="1">
      <c r="A1203" s="3006">
        <v>745</v>
      </c>
      <c r="B1203" s="2670" t="str">
        <f>VLOOKUP(A1203,plasmids!$A$2:$B$910,2)</f>
        <v>pAAV1 bb pXR9</v>
      </c>
      <c r="C1203" s="2661" t="s">
        <v>5559</v>
      </c>
      <c r="D1203" s="2670" t="s">
        <v>2771</v>
      </c>
      <c r="E1203" s="3007">
        <v>42824</v>
      </c>
      <c r="F1203" s="2670" t="s">
        <v>1549</v>
      </c>
      <c r="G1203" s="2668">
        <v>0.64</v>
      </c>
      <c r="H1203" s="2665"/>
      <c r="I1203" s="2670" t="s">
        <v>3128</v>
      </c>
      <c r="J1203" s="2670" t="s">
        <v>5560</v>
      </c>
      <c r="K1203" s="2665"/>
      <c r="L1203" s="2665"/>
      <c r="M1203" s="2665"/>
    </row>
    <row r="1204" spans="1:13" ht="12.75" customHeight="1">
      <c r="A1204" s="3006">
        <v>746</v>
      </c>
      <c r="B1204" s="2670" t="str">
        <f>VLOOKUP(A1204,plasmids!$A$2:$B$910,2)</f>
        <v>pAAV1-7mC</v>
      </c>
      <c r="C1204" s="2661" t="s">
        <v>5561</v>
      </c>
      <c r="D1204" s="2670" t="s">
        <v>2771</v>
      </c>
      <c r="E1204" s="3007">
        <v>42829</v>
      </c>
      <c r="F1204" s="2670" t="s">
        <v>1549</v>
      </c>
      <c r="G1204" s="2668"/>
      <c r="H1204" s="2665"/>
      <c r="I1204" s="2670" t="s">
        <v>3181</v>
      </c>
      <c r="J1204" s="2670" t="s">
        <v>5562</v>
      </c>
      <c r="K1204" s="2665"/>
      <c r="L1204" s="2665"/>
      <c r="M1204" s="2665"/>
    </row>
    <row r="1205" spans="1:13" ht="12.75" customHeight="1">
      <c r="A1205" s="3006">
        <v>746</v>
      </c>
      <c r="B1205" s="2670" t="str">
        <f>VLOOKUP(A1205,plasmids!$A$2:$B$910,2)</f>
        <v>pAAV1-7mC</v>
      </c>
      <c r="C1205" s="2661" t="s">
        <v>5563</v>
      </c>
      <c r="D1205" s="2670" t="s">
        <v>2765</v>
      </c>
      <c r="E1205" s="3007">
        <v>42844</v>
      </c>
      <c r="F1205" s="2670" t="s">
        <v>1549</v>
      </c>
      <c r="G1205" s="2668" t="s">
        <v>5564</v>
      </c>
      <c r="H1205" s="2665"/>
      <c r="I1205" s="2670" t="s">
        <v>3128</v>
      </c>
      <c r="J1205" s="2670"/>
      <c r="K1205" s="2665"/>
      <c r="L1205" s="2665"/>
      <c r="M1205" s="2665"/>
    </row>
    <row r="1206" spans="1:13" ht="12.75" customHeight="1">
      <c r="A1206" s="3006">
        <v>747</v>
      </c>
      <c r="B1206" s="2670" t="str">
        <f>VLOOKUP(A1206,plasmids!$A$2:$B$910,2)</f>
        <v>pAAV1-7mD</v>
      </c>
      <c r="C1206" s="2661" t="s">
        <v>5565</v>
      </c>
      <c r="D1206" s="2670" t="s">
        <v>2771</v>
      </c>
      <c r="E1206" s="3007">
        <v>42829</v>
      </c>
      <c r="F1206" s="2670" t="s">
        <v>1549</v>
      </c>
      <c r="G1206" s="2668"/>
      <c r="H1206" s="2665"/>
      <c r="I1206" s="2670" t="s">
        <v>3181</v>
      </c>
      <c r="J1206" s="2670" t="s">
        <v>5566</v>
      </c>
      <c r="K1206" s="2665"/>
      <c r="L1206" s="2665"/>
      <c r="M1206" s="2665"/>
    </row>
    <row r="1207" spans="1:13" ht="12.75" customHeight="1">
      <c r="A1207" s="3006">
        <v>747</v>
      </c>
      <c r="B1207" s="2670" t="str">
        <f>VLOOKUP(A1207,plasmids!$A$2:$B$910,2)</f>
        <v>pAAV1-7mD</v>
      </c>
      <c r="C1207" s="2661" t="s">
        <v>5567</v>
      </c>
      <c r="D1207" s="2670" t="s">
        <v>2765</v>
      </c>
      <c r="E1207" s="3007">
        <v>42844</v>
      </c>
      <c r="F1207" s="2670" t="s">
        <v>1549</v>
      </c>
      <c r="G1207" s="2668" t="s">
        <v>5568</v>
      </c>
      <c r="H1207" s="2665"/>
      <c r="I1207" s="2670" t="s">
        <v>3128</v>
      </c>
      <c r="J1207" s="2670"/>
      <c r="K1207" s="2665"/>
      <c r="L1207" s="2665"/>
      <c r="M1207" s="2665"/>
    </row>
    <row r="1208" spans="1:13" ht="12.75" customHeight="1">
      <c r="A1208" s="3107">
        <v>748</v>
      </c>
      <c r="B1208" s="1052" t="str">
        <f>VLOOKUP(A1208,plasmids!$A$2:$B$910,2)</f>
        <v>pssAAV-CaMKIIa-ChrimsonR-tdTomato</v>
      </c>
      <c r="C1208" s="1051" t="s">
        <v>5569</v>
      </c>
      <c r="D1208" s="1052" t="s">
        <v>2771</v>
      </c>
      <c r="E1208" s="3109">
        <v>42818</v>
      </c>
      <c r="F1208" s="1052" t="s">
        <v>2126</v>
      </c>
      <c r="G1208" s="1050" t="s">
        <v>5570</v>
      </c>
      <c r="H1208" s="1049"/>
      <c r="I1208" s="1052" t="s">
        <v>3128</v>
      </c>
      <c r="J1208" s="1052" t="s">
        <v>5571</v>
      </c>
      <c r="K1208" s="1049"/>
      <c r="L1208" s="1049"/>
      <c r="M1208" s="1049"/>
    </row>
    <row r="1209" spans="1:13" ht="12.75" customHeight="1">
      <c r="A1209" s="3107">
        <v>748</v>
      </c>
      <c r="B1209" s="1052" t="str">
        <f>VLOOKUP(A1209,plasmids!$A$2:$B$910,2)</f>
        <v>pssAAV-CaMKIIa-ChrimsonR-tdTomato</v>
      </c>
      <c r="C1209" s="1051" t="s">
        <v>5572</v>
      </c>
      <c r="D1209" s="1052" t="s">
        <v>2765</v>
      </c>
      <c r="E1209" s="3109">
        <v>42825</v>
      </c>
      <c r="F1209" s="1052" t="s">
        <v>2126</v>
      </c>
      <c r="G1209" s="1050"/>
      <c r="H1209" s="1049"/>
      <c r="I1209" s="1052" t="s">
        <v>3128</v>
      </c>
      <c r="J1209" s="1052" t="s">
        <v>2844</v>
      </c>
      <c r="K1209" s="1049"/>
      <c r="L1209" s="1049"/>
      <c r="M1209" s="1049"/>
    </row>
    <row r="1210" spans="1:13" ht="12.75" customHeight="1">
      <c r="A1210" s="1538">
        <v>749</v>
      </c>
      <c r="B1210" s="54" t="str">
        <f>VLOOKUP(A1210,plasmids!$A$2:$B$910,2)</f>
        <v>pssAAV-EF1a-ChrimsonR-tdTomato</v>
      </c>
      <c r="C1210" s="1" t="s">
        <v>5573</v>
      </c>
      <c r="D1210" s="54" t="s">
        <v>2771</v>
      </c>
      <c r="E1210" s="1553">
        <v>42818</v>
      </c>
      <c r="F1210" s="54" t="s">
        <v>2126</v>
      </c>
      <c r="G1210" s="755" t="s">
        <v>5574</v>
      </c>
      <c r="I1210" s="54" t="s">
        <v>3128</v>
      </c>
      <c r="J1210" s="54" t="s">
        <v>5575</v>
      </c>
    </row>
    <row r="1211" spans="1:13" ht="12.75" customHeight="1">
      <c r="A1211" s="1538">
        <v>749</v>
      </c>
      <c r="B1211" s="54" t="str">
        <f>VLOOKUP(A1211,plasmids!$A$2:$B$910,2)</f>
        <v>pssAAV-EF1a-ChrimsonR-tdTomato</v>
      </c>
      <c r="C1211" s="1" t="s">
        <v>5576</v>
      </c>
      <c r="D1211" s="54" t="s">
        <v>2765</v>
      </c>
      <c r="E1211" s="1553">
        <v>42825</v>
      </c>
      <c r="F1211" s="54" t="s">
        <v>2126</v>
      </c>
      <c r="G1211" s="755"/>
      <c r="I1211" s="54" t="s">
        <v>3128</v>
      </c>
      <c r="J1211" s="54" t="s">
        <v>2844</v>
      </c>
    </row>
    <row r="1212" spans="1:13" ht="12.75" customHeight="1">
      <c r="A1212" s="2932">
        <v>750</v>
      </c>
      <c r="B1212" s="2900" t="str">
        <f>VLOOKUP(A1212,plasmids!$A$2:$B$910,2)</f>
        <v>pAAV2 Lib-RH-IVbis</v>
      </c>
      <c r="C1212" s="2899" t="s">
        <v>5577</v>
      </c>
      <c r="D1212" s="2900" t="s">
        <v>5578</v>
      </c>
      <c r="E1212" s="3158">
        <v>42822</v>
      </c>
      <c r="F1212" s="2900" t="s">
        <v>1549</v>
      </c>
      <c r="G1212" s="2902" t="s">
        <v>5579</v>
      </c>
      <c r="H1212" s="2935"/>
      <c r="I1212" s="2900" t="s">
        <v>5485</v>
      </c>
      <c r="J1212" s="2935"/>
      <c r="K1212" s="2935"/>
      <c r="L1212" s="2935"/>
      <c r="M1212" s="2935"/>
    </row>
    <row r="1213" spans="1:13" ht="12.75" customHeight="1">
      <c r="A1213" s="3205">
        <v>751</v>
      </c>
      <c r="B1213" s="2670" t="str">
        <f>VLOOKUP(A1213,plasmids!$A$2:$B$910,2)</f>
        <v>pAAV2 Lib-Tr-IV</v>
      </c>
      <c r="C1213" s="3206" t="s">
        <v>5580</v>
      </c>
      <c r="D1213" s="2670" t="s">
        <v>5578</v>
      </c>
      <c r="E1213" s="3007">
        <v>42822</v>
      </c>
      <c r="F1213" s="2670" t="s">
        <v>1549</v>
      </c>
      <c r="G1213" s="2670" t="s">
        <v>5581</v>
      </c>
      <c r="H1213" s="2665"/>
      <c r="I1213" s="2670" t="s">
        <v>5485</v>
      </c>
      <c r="J1213" s="2665"/>
      <c r="K1213" s="2665"/>
      <c r="L1213" s="2665"/>
      <c r="M1213" s="2665"/>
    </row>
    <row r="1214" spans="1:13" ht="12.75" customHeight="1">
      <c r="A1214" s="3162">
        <v>752</v>
      </c>
      <c r="B1214" s="1248" t="str">
        <f>VLOOKUP(A1214,plasmids!$A$2:$B$910,2)</f>
        <v>pAAV2.1-hGRK1-eGFP</v>
      </c>
      <c r="C1214" s="1250" t="s">
        <v>5582</v>
      </c>
      <c r="D1214" s="1248"/>
      <c r="E1214" s="3165"/>
      <c r="F1214" s="1251" t="s">
        <v>5583</v>
      </c>
      <c r="G1214" s="3207">
        <v>42917</v>
      </c>
      <c r="H1214" s="1248"/>
      <c r="I1214" s="1248"/>
      <c r="J1214" s="1248"/>
      <c r="K1214" s="1248"/>
      <c r="L1214" s="1248"/>
      <c r="M1214" s="1248"/>
    </row>
    <row r="1215" spans="1:13" ht="12.75" customHeight="1">
      <c r="A1215" s="3162">
        <v>752</v>
      </c>
      <c r="B1215" s="1251" t="str">
        <f>VLOOKUP(A1215,plasmids!$A$2:$B$910,2)</f>
        <v>pAAV2.1-hGRK1-eGFP</v>
      </c>
      <c r="C1215" s="1250" t="s">
        <v>5584</v>
      </c>
      <c r="D1215" s="1251" t="s">
        <v>2765</v>
      </c>
      <c r="E1215" s="3208">
        <v>42836</v>
      </c>
      <c r="F1215" s="1251" t="s">
        <v>2126</v>
      </c>
      <c r="G1215" s="1249" t="s">
        <v>5585</v>
      </c>
      <c r="H1215" s="1248"/>
      <c r="I1215" s="1251" t="s">
        <v>3128</v>
      </c>
      <c r="J1215" s="1251" t="s">
        <v>5586</v>
      </c>
      <c r="K1215" s="1248"/>
      <c r="L1215" s="1248"/>
      <c r="M1215" s="1248"/>
    </row>
    <row r="1216" spans="1:13" ht="12.75" customHeight="1">
      <c r="A1216" s="3209">
        <v>753</v>
      </c>
      <c r="B1216" s="2245" t="str">
        <f>VLOOKUP(A1216,plasmids!$A$2:$B$910,2)</f>
        <v>AAV9-GFP-ScFLT3 (rat)</v>
      </c>
      <c r="C1216" s="2023" t="s">
        <v>5587</v>
      </c>
      <c r="D1216" s="2245" t="s">
        <v>2765</v>
      </c>
      <c r="E1216" s="3210"/>
      <c r="F1216" s="2245" t="s">
        <v>2334</v>
      </c>
      <c r="G1216" s="2032" t="s">
        <v>5588</v>
      </c>
      <c r="H1216" s="2241"/>
      <c r="I1216" s="2241"/>
      <c r="J1216" s="2241"/>
      <c r="K1216" s="2241"/>
      <c r="L1216" s="2241"/>
      <c r="M1216" s="2241"/>
    </row>
    <row r="1217" spans="1:13" ht="12.75" customHeight="1">
      <c r="A1217" s="3209">
        <v>754</v>
      </c>
      <c r="B1217" s="2245" t="str">
        <f>VLOOKUP(A1217,plasmids!$A$2:$B$910,2)</f>
        <v>AAV9-GFP-ScFLT3 (souris)</v>
      </c>
      <c r="C1217" s="2023" t="s">
        <v>5589</v>
      </c>
      <c r="D1217" s="2245" t="s">
        <v>2765</v>
      </c>
      <c r="E1217" s="3210"/>
      <c r="F1217" s="2245" t="s">
        <v>2334</v>
      </c>
      <c r="G1217" s="2032" t="s">
        <v>5590</v>
      </c>
      <c r="H1217" s="2241"/>
      <c r="I1217" s="2241"/>
      <c r="J1217" s="2241"/>
      <c r="K1217" s="2241"/>
      <c r="L1217" s="2241"/>
      <c r="M1217" s="2241"/>
    </row>
    <row r="1218" spans="1:13" ht="12.75" customHeight="1">
      <c r="A1218" s="3209">
        <v>755</v>
      </c>
      <c r="B1218" s="2245" t="str">
        <f>VLOOKUP(A1218,plasmids!$A$2:$B$910,2)</f>
        <v>AAV9-GFP-shFLT3 (rat)</v>
      </c>
      <c r="C1218" s="2023" t="s">
        <v>5591</v>
      </c>
      <c r="D1218" s="2245" t="s">
        <v>2765</v>
      </c>
      <c r="E1218" s="3210"/>
      <c r="F1218" s="2245" t="s">
        <v>2334</v>
      </c>
      <c r="G1218" s="2032">
        <v>1</v>
      </c>
      <c r="H1218" s="2241"/>
      <c r="I1218" s="2241"/>
      <c r="J1218" s="2241"/>
      <c r="K1218" s="2241"/>
      <c r="L1218" s="2241"/>
      <c r="M1218" s="2241"/>
    </row>
    <row r="1219" spans="1:13" ht="12.75" customHeight="1">
      <c r="A1219" s="3209">
        <v>756</v>
      </c>
      <c r="B1219" s="2245" t="str">
        <f>VLOOKUP(A1219,plasmids!$A$2:$B$910,2)</f>
        <v>AAV9-GFP-shFLT3 (souris)</v>
      </c>
      <c r="C1219" s="2023" t="s">
        <v>5592</v>
      </c>
      <c r="D1219" s="2245" t="s">
        <v>2765</v>
      </c>
      <c r="E1219" s="3210"/>
      <c r="F1219" s="2245" t="s">
        <v>2334</v>
      </c>
      <c r="G1219" s="2032" t="s">
        <v>5590</v>
      </c>
      <c r="H1219" s="2241"/>
      <c r="I1219" s="2241"/>
      <c r="J1219" s="2241"/>
      <c r="K1219" s="2241"/>
      <c r="L1219" s="2241"/>
      <c r="M1219" s="2241"/>
    </row>
    <row r="1220" spans="1:13" ht="12.75" customHeight="1">
      <c r="A1220" s="2908">
        <v>757</v>
      </c>
      <c r="B1220" s="1545" t="str">
        <f>VLOOKUP(A1220,plasmids!$A$2:$B$910,2)</f>
        <v>pAAP2</v>
      </c>
      <c r="C1220" s="1043" t="s">
        <v>5595</v>
      </c>
      <c r="D1220" s="1545" t="s">
        <v>2765</v>
      </c>
      <c r="E1220" s="3069">
        <v>42825</v>
      </c>
      <c r="F1220" s="1545" t="s">
        <v>2126</v>
      </c>
      <c r="G1220" s="1156"/>
      <c r="H1220" s="1041"/>
      <c r="I1220" s="1545" t="s">
        <v>3128</v>
      </c>
      <c r="J1220" s="1041"/>
      <c r="K1220" s="1041"/>
      <c r="L1220" s="1041"/>
      <c r="M1220" s="1041"/>
    </row>
    <row r="1221" spans="1:13" ht="12.75" customHeight="1">
      <c r="A1221" s="2707">
        <v>758</v>
      </c>
      <c r="B1221" s="907" t="str">
        <f>VLOOKUP(A1221,plasmids!$A$2:$B$910,2)</f>
        <v>pssAAV-hSyn-hCatch-eGFP</v>
      </c>
      <c r="C1221" s="911" t="s">
        <v>5596</v>
      </c>
      <c r="D1221" s="913" t="s">
        <v>3216</v>
      </c>
      <c r="E1221" s="3064">
        <v>42830</v>
      </c>
      <c r="F1221" s="913" t="s">
        <v>2126</v>
      </c>
      <c r="G1221" s="909" t="s">
        <v>5597</v>
      </c>
      <c r="H1221" s="907"/>
      <c r="I1221" s="913" t="s">
        <v>3128</v>
      </c>
      <c r="J1221" s="913" t="s">
        <v>2344</v>
      </c>
      <c r="K1221" s="907"/>
      <c r="L1221" s="907"/>
      <c r="M1221" s="907"/>
    </row>
    <row r="1222" spans="1:13" ht="12.75" customHeight="1">
      <c r="A1222" s="2707">
        <v>758</v>
      </c>
      <c r="B1222" s="907" t="str">
        <f>VLOOKUP(A1222,plasmids!$A$2:$B$910,2)</f>
        <v>pssAAV-hSyn-hCatch-eGFP</v>
      </c>
      <c r="C1222" s="911" t="s">
        <v>5598</v>
      </c>
      <c r="D1222" s="913" t="s">
        <v>2765</v>
      </c>
      <c r="E1222" s="3064">
        <v>42836</v>
      </c>
      <c r="F1222" s="913" t="s">
        <v>2126</v>
      </c>
      <c r="G1222" s="909" t="s">
        <v>5599</v>
      </c>
      <c r="H1222" s="907"/>
      <c r="I1222" s="913" t="s">
        <v>3128</v>
      </c>
      <c r="J1222" s="913" t="s">
        <v>2844</v>
      </c>
      <c r="K1222" s="907"/>
      <c r="L1222" s="907"/>
      <c r="M1222" s="907"/>
    </row>
    <row r="1223" spans="1:13" ht="12.75" customHeight="1">
      <c r="A1223" s="2707">
        <v>759</v>
      </c>
      <c r="B1223" s="907" t="str">
        <f>VLOOKUP(A1223,plasmids!$A$2:$B$910,2)</f>
        <v>pssAAV-CAG-hCatch-eGFP</v>
      </c>
      <c r="C1223" s="911" t="s">
        <v>5600</v>
      </c>
      <c r="D1223" s="913" t="s">
        <v>3216</v>
      </c>
      <c r="E1223" s="3064">
        <v>42830</v>
      </c>
      <c r="F1223" s="913" t="s">
        <v>2126</v>
      </c>
      <c r="G1223" s="3213" t="s">
        <v>5601</v>
      </c>
      <c r="H1223" s="907"/>
      <c r="I1223" s="913" t="s">
        <v>3128</v>
      </c>
      <c r="J1223" s="913" t="s">
        <v>2347</v>
      </c>
      <c r="K1223" s="907"/>
      <c r="L1223" s="907"/>
      <c r="M1223" s="907"/>
    </row>
    <row r="1224" spans="1:13" ht="12.75" customHeight="1">
      <c r="A1224" s="2707">
        <v>759</v>
      </c>
      <c r="B1224" s="907" t="str">
        <f>VLOOKUP(A1224,plasmids!$A$2:$B$910,2)</f>
        <v>pssAAV-CAG-hCatch-eGFP</v>
      </c>
      <c r="C1224" s="911" t="s">
        <v>5602</v>
      </c>
      <c r="D1224" s="913" t="s">
        <v>2765</v>
      </c>
      <c r="E1224" s="3064">
        <v>42836</v>
      </c>
      <c r="F1224" s="913" t="s">
        <v>2126</v>
      </c>
      <c r="G1224" s="909" t="s">
        <v>5603</v>
      </c>
      <c r="H1224" s="907"/>
      <c r="I1224" s="913" t="s">
        <v>3128</v>
      </c>
      <c r="J1224" s="913" t="s">
        <v>2844</v>
      </c>
      <c r="K1224" s="907"/>
      <c r="L1224" s="907"/>
      <c r="M1224" s="907"/>
    </row>
    <row r="1225" spans="1:13" ht="12.75" customHeight="1">
      <c r="A1225" s="2707">
        <v>760</v>
      </c>
      <c r="B1225" s="907" t="str">
        <f>VLOOKUP(A1225,plasmids!$A$2:$B$910,2)</f>
        <v>pssAAV-EF1a-hCatch-eGFP</v>
      </c>
      <c r="C1225" s="911" t="s">
        <v>5604</v>
      </c>
      <c r="D1225" s="913" t="s">
        <v>3216</v>
      </c>
      <c r="E1225" s="3064">
        <v>42830</v>
      </c>
      <c r="F1225" s="913" t="s">
        <v>2126</v>
      </c>
      <c r="G1225" s="909" t="s">
        <v>5605</v>
      </c>
      <c r="H1225" s="907"/>
      <c r="I1225" s="913" t="s">
        <v>3128</v>
      </c>
      <c r="J1225" s="913" t="s">
        <v>2350</v>
      </c>
      <c r="K1225" s="907"/>
      <c r="L1225" s="907"/>
      <c r="M1225" s="907"/>
    </row>
    <row r="1226" spans="1:13" ht="12.75" customHeight="1">
      <c r="A1226" s="2707">
        <v>760</v>
      </c>
      <c r="B1226" s="907" t="str">
        <f>VLOOKUP(A1226,plasmids!$A$2:$B$910,2)</f>
        <v>pssAAV-EF1a-hCatch-eGFP</v>
      </c>
      <c r="C1226" s="911" t="s">
        <v>5606</v>
      </c>
      <c r="D1226" s="913" t="s">
        <v>2765</v>
      </c>
      <c r="E1226" s="3064">
        <v>42836</v>
      </c>
      <c r="F1226" s="913" t="s">
        <v>2126</v>
      </c>
      <c r="G1226" s="909" t="s">
        <v>5607</v>
      </c>
      <c r="H1226" s="907"/>
      <c r="I1226" s="913" t="s">
        <v>3128</v>
      </c>
      <c r="J1226" s="913" t="s">
        <v>2844</v>
      </c>
      <c r="K1226" s="907"/>
      <c r="L1226" s="907"/>
      <c r="M1226" s="907"/>
    </row>
    <row r="1227" spans="1:13" ht="12.75" customHeight="1">
      <c r="A1227" s="3215">
        <v>761</v>
      </c>
      <c r="B1227" s="3216" t="str">
        <f>VLOOKUP(A1227,plasmids!$A$2:$B$910,2)</f>
        <v>pssAAV-Pan short-ChrimsonR-tdTomato</v>
      </c>
      <c r="C1227" s="3217" t="s">
        <v>5608</v>
      </c>
      <c r="D1227" s="3219" t="s">
        <v>2765</v>
      </c>
      <c r="E1227" s="3221">
        <v>42845</v>
      </c>
      <c r="F1227" s="3219" t="s">
        <v>2353</v>
      </c>
      <c r="G1227" s="3222"/>
      <c r="H1227" s="3216"/>
      <c r="I1227" s="3219"/>
      <c r="J1227" s="3216"/>
      <c r="K1227" s="3216"/>
      <c r="L1227" s="3216"/>
      <c r="M1227" s="3216"/>
    </row>
    <row r="1228" spans="1:13" ht="12.75" customHeight="1">
      <c r="A1228" s="3223">
        <v>762</v>
      </c>
      <c r="B1228" s="3226" t="str">
        <f>VLOOKUP(A1228,plasmids!$A$2:$B$910,2)</f>
        <v>pssAAV-Pan long-ChrimsonR-tdTomato</v>
      </c>
      <c r="C1228" s="3228" t="s">
        <v>5609</v>
      </c>
      <c r="D1228" s="469" t="s">
        <v>2765</v>
      </c>
      <c r="E1228" s="3229">
        <v>42845</v>
      </c>
      <c r="F1228" s="469" t="s">
        <v>2353</v>
      </c>
      <c r="G1228" s="3231"/>
      <c r="H1228" s="3226"/>
      <c r="I1228" s="3226"/>
      <c r="J1228" s="3226"/>
      <c r="K1228" s="3226"/>
      <c r="L1228" s="3226"/>
      <c r="M1228" s="3226"/>
    </row>
    <row r="1229" spans="1:13" ht="12.75" customHeight="1">
      <c r="A1229" s="3215">
        <v>763</v>
      </c>
      <c r="B1229" s="3216" t="str">
        <f>VLOOKUP(A1229,plasmids!$A$2:$B$910,2)</f>
        <v>pssAAV-Pan short-tdTomato</v>
      </c>
      <c r="C1229" s="3217" t="s">
        <v>5610</v>
      </c>
      <c r="D1229" s="3219" t="s">
        <v>2765</v>
      </c>
      <c r="E1229" s="3221">
        <v>42845</v>
      </c>
      <c r="F1229" s="3219" t="s">
        <v>2353</v>
      </c>
      <c r="G1229" s="3222"/>
      <c r="H1229" s="3216"/>
      <c r="I1229" s="3216"/>
      <c r="J1229" s="3216"/>
      <c r="K1229" s="3216"/>
      <c r="L1229" s="3216"/>
      <c r="M1229" s="3216"/>
    </row>
    <row r="1230" spans="1:13" ht="12.75" customHeight="1">
      <c r="A1230" s="3223">
        <v>764</v>
      </c>
      <c r="B1230" s="3226" t="str">
        <f>VLOOKUP(A1230,plasmids!$A$2:$B$910,2)</f>
        <v>pssAAV-Pan long-tdTomato</v>
      </c>
      <c r="C1230" s="3228" t="s">
        <v>5611</v>
      </c>
      <c r="D1230" s="469" t="s">
        <v>2765</v>
      </c>
      <c r="E1230" s="3229">
        <v>42845</v>
      </c>
      <c r="F1230" s="469" t="s">
        <v>2353</v>
      </c>
      <c r="G1230" s="3231"/>
      <c r="H1230" s="3226"/>
      <c r="I1230" s="3226"/>
      <c r="J1230" s="3226"/>
      <c r="K1230" s="3226"/>
      <c r="L1230" s="3226"/>
      <c r="M1230" s="3226"/>
    </row>
    <row r="1231" spans="1:13" ht="12.75" customHeight="1">
      <c r="A1231" s="3215">
        <v>765</v>
      </c>
      <c r="B1231" s="3216" t="str">
        <f>VLOOKUP(A1231,plasmids!$A$2:$B$910,2)</f>
        <v>pssAAV-CAG-iGlusnFr-hpA</v>
      </c>
      <c r="C1231" s="3217" t="s">
        <v>5612</v>
      </c>
      <c r="D1231" s="3219" t="s">
        <v>2765</v>
      </c>
      <c r="E1231" s="3221">
        <v>42845</v>
      </c>
      <c r="F1231" s="3219" t="s">
        <v>2353</v>
      </c>
      <c r="G1231" s="3222"/>
      <c r="H1231" s="3216"/>
      <c r="I1231" s="3216"/>
      <c r="J1231" s="3216"/>
      <c r="K1231" s="3216"/>
      <c r="L1231" s="3216"/>
      <c r="M1231" s="3216"/>
    </row>
    <row r="1232" spans="1:13" ht="12.75" customHeight="1">
      <c r="A1232" s="3223">
        <v>766</v>
      </c>
      <c r="B1232" s="3226" t="str">
        <f>VLOOKUP(A1232,plasmids!$A$2:$B$910,2)</f>
        <v>pAAV.hSynapsin.SF-iGluSnFR</v>
      </c>
      <c r="C1232" s="3228" t="s">
        <v>5613</v>
      </c>
      <c r="D1232" s="469" t="s">
        <v>2765</v>
      </c>
      <c r="E1232" s="3229">
        <v>42845</v>
      </c>
      <c r="F1232" s="469" t="s">
        <v>2353</v>
      </c>
      <c r="G1232" s="3231"/>
      <c r="H1232" s="3226"/>
      <c r="I1232" s="3226"/>
      <c r="J1232" s="3226"/>
      <c r="K1232" s="3226"/>
      <c r="L1232" s="3226"/>
      <c r="M1232" s="3226"/>
    </row>
    <row r="1233" spans="1:13" ht="12.75" customHeight="1">
      <c r="A1233" s="3215">
        <v>767</v>
      </c>
      <c r="B1233" s="3241" t="str">
        <f>VLOOKUP(A1233,plasmids!$A$2:$B$910,2)</f>
        <v>Rhodopsin-cGMP Sponge</v>
      </c>
      <c r="C1233" s="3217" t="s">
        <v>5614</v>
      </c>
      <c r="D1233" s="3219" t="s">
        <v>2765</v>
      </c>
      <c r="E1233" s="3242">
        <v>42795</v>
      </c>
      <c r="F1233" s="3219" t="s">
        <v>5615</v>
      </c>
      <c r="G1233" s="3222"/>
      <c r="H1233" s="3216"/>
      <c r="I1233" s="3216"/>
      <c r="J1233" s="3216"/>
      <c r="K1233" s="3216"/>
      <c r="L1233" s="3216"/>
      <c r="M1233" s="3216"/>
    </row>
    <row r="1234" spans="1:13" ht="12.75" customHeight="1">
      <c r="A1234" s="1538">
        <v>768</v>
      </c>
      <c r="B1234" t="str">
        <f>VLOOKUP(A1234,plasmids!$A$2:$B$910,2)</f>
        <v>AAV9- 7mer Gradinaru</v>
      </c>
      <c r="C1234" s="1" t="s">
        <v>5616</v>
      </c>
      <c r="D1234" s="54" t="s">
        <v>3216</v>
      </c>
      <c r="E1234" s="1553">
        <v>42846</v>
      </c>
      <c r="F1234" s="54" t="s">
        <v>2126</v>
      </c>
      <c r="G1234" s="755" t="s">
        <v>5617</v>
      </c>
      <c r="I1234" s="54" t="s">
        <v>5412</v>
      </c>
      <c r="J1234" s="54" t="s">
        <v>5618</v>
      </c>
    </row>
    <row r="1235" spans="1:13" ht="12.75" customHeight="1">
      <c r="A1235" s="1538">
        <v>768</v>
      </c>
      <c r="B1235" t="str">
        <f>VLOOKUP(A1235,plasmids!$A$2:$B$910,2)</f>
        <v>AAV9- 7mer Gradinaru</v>
      </c>
      <c r="C1235" s="1" t="s">
        <v>5619</v>
      </c>
      <c r="D1235" s="54" t="s">
        <v>2765</v>
      </c>
      <c r="E1235" s="1553">
        <v>42860</v>
      </c>
      <c r="F1235" s="54" t="s">
        <v>2126</v>
      </c>
      <c r="G1235" s="3244">
        <v>377298</v>
      </c>
      <c r="I1235" s="54" t="s">
        <v>3128</v>
      </c>
      <c r="J1235" s="54" t="s">
        <v>2844</v>
      </c>
    </row>
    <row r="1236" spans="1:13" ht="12.75" customHeight="1">
      <c r="A1236" s="2908">
        <v>769</v>
      </c>
      <c r="B1236" s="1041" t="str">
        <f>VLOOKUP(A1236,plasmids!$A$2:$B$910,2)</f>
        <v>pAAV Rétro</v>
      </c>
      <c r="C1236" s="1043" t="s">
        <v>5620</v>
      </c>
      <c r="D1236" s="1545" t="s">
        <v>3216</v>
      </c>
      <c r="E1236" s="3069">
        <v>42822</v>
      </c>
      <c r="F1236" s="1545" t="s">
        <v>2126</v>
      </c>
      <c r="G1236" s="1042" t="s">
        <v>5621</v>
      </c>
      <c r="H1236" s="1041"/>
      <c r="I1236" s="1041"/>
      <c r="J1236" s="1545" t="s">
        <v>5622</v>
      </c>
      <c r="K1236" s="1041"/>
      <c r="L1236" s="1041"/>
      <c r="M1236" s="1041"/>
    </row>
    <row r="1237" spans="1:13" ht="12.75" customHeight="1">
      <c r="A1237" s="1538">
        <v>770</v>
      </c>
      <c r="B1237" t="str">
        <f>VLOOKUP(A1237,plasmids!$A$2:$B$910,2)</f>
        <v>pssAAV-hSyn-Chrimson-tdTomato</v>
      </c>
      <c r="C1237" s="1" t="s">
        <v>5623</v>
      </c>
      <c r="D1237" s="54" t="s">
        <v>3216</v>
      </c>
      <c r="E1237" s="1553">
        <v>42851</v>
      </c>
      <c r="F1237" s="54" t="s">
        <v>2126</v>
      </c>
      <c r="G1237" s="755" t="s">
        <v>5624</v>
      </c>
      <c r="I1237" s="54" t="s">
        <v>3128</v>
      </c>
      <c r="J1237" s="54" t="s">
        <v>5625</v>
      </c>
    </row>
    <row r="1238" spans="1:13" ht="12.75" customHeight="1">
      <c r="A1238" s="1538">
        <v>770</v>
      </c>
      <c r="B1238" t="str">
        <f>VLOOKUP(A1238,plasmids!$A$2:$B$910,2)</f>
        <v>pssAAV-hSyn-Chrimson-tdTomato</v>
      </c>
      <c r="C1238" s="1" t="s">
        <v>5626</v>
      </c>
      <c r="D1238" s="54" t="s">
        <v>2765</v>
      </c>
      <c r="E1238" s="1553">
        <v>42853</v>
      </c>
      <c r="F1238" s="54" t="s">
        <v>2126</v>
      </c>
      <c r="G1238" s="755" t="s">
        <v>5627</v>
      </c>
      <c r="I1238" s="54" t="s">
        <v>3128</v>
      </c>
      <c r="J1238" s="54" t="s">
        <v>5625</v>
      </c>
    </row>
    <row r="1239" spans="1:13" ht="12.75" customHeight="1">
      <c r="A1239" s="3167">
        <v>771</v>
      </c>
      <c r="B1239" s="3181" t="str">
        <f>VLOOKUP(A1239,plasmids!$A$2:$B$910,2)</f>
        <v>pssAAV-CamKII-hCatch-eGFP</v>
      </c>
      <c r="C1239" s="3173" t="s">
        <v>5628</v>
      </c>
      <c r="D1239" s="3175" t="s">
        <v>3216</v>
      </c>
      <c r="E1239" s="3177">
        <v>42851</v>
      </c>
      <c r="F1239" s="3175" t="s">
        <v>2126</v>
      </c>
      <c r="G1239" s="3179" t="s">
        <v>5629</v>
      </c>
      <c r="H1239" s="3181"/>
      <c r="I1239" s="3175" t="s">
        <v>3128</v>
      </c>
      <c r="J1239" s="3175" t="s">
        <v>5630</v>
      </c>
      <c r="K1239" s="3181"/>
      <c r="L1239" s="3181"/>
      <c r="M1239" s="3181"/>
    </row>
    <row r="1240" spans="1:13" ht="12.75" customHeight="1">
      <c r="A1240" s="3167">
        <v>771</v>
      </c>
      <c r="B1240" s="3181" t="str">
        <f>VLOOKUP(A1240,plasmids!$A$2:$B$910,2)</f>
        <v>pssAAV-CamKII-hCatch-eGFP</v>
      </c>
      <c r="C1240" s="3173" t="s">
        <v>5631</v>
      </c>
      <c r="D1240" s="3175" t="s">
        <v>2765</v>
      </c>
      <c r="E1240" s="3177">
        <v>42853</v>
      </c>
      <c r="F1240" s="3175" t="s">
        <v>2126</v>
      </c>
      <c r="G1240" s="3249" t="s">
        <v>5634</v>
      </c>
      <c r="H1240" s="3181"/>
      <c r="I1240" s="3175" t="s">
        <v>3128</v>
      </c>
      <c r="J1240" s="3175" t="s">
        <v>5630</v>
      </c>
      <c r="K1240" s="3181"/>
      <c r="L1240" s="3181"/>
      <c r="M1240" s="3181"/>
    </row>
    <row r="1241" spans="1:13" ht="12.75" customHeight="1">
      <c r="A1241" s="1538">
        <v>772</v>
      </c>
      <c r="B1241" t="str">
        <f>VLOOKUP(A1241,plasmids!$A$2:$B$910,2)</f>
        <v>pAAV-PGK-GFP-HY-pA</v>
      </c>
      <c r="C1241" s="1" t="s">
        <v>5635</v>
      </c>
      <c r="D1241" s="54" t="s">
        <v>3216</v>
      </c>
      <c r="E1241" s="1553">
        <v>42853</v>
      </c>
      <c r="F1241" s="54" t="s">
        <v>128</v>
      </c>
      <c r="G1241" s="755" t="s">
        <v>5636</v>
      </c>
    </row>
    <row r="1242" spans="1:13" ht="12.75" customHeight="1">
      <c r="A1242" s="1538">
        <v>773</v>
      </c>
      <c r="B1242" t="str">
        <f>VLOOKUP(A1242,plasmids!$A$2:$B$910,2)</f>
        <v>pssAAV-scCAG-GCamp6f</v>
      </c>
      <c r="C1242" s="1" t="s">
        <v>5637</v>
      </c>
      <c r="D1242" s="54" t="s">
        <v>3216</v>
      </c>
      <c r="E1242" s="1553">
        <v>42867</v>
      </c>
      <c r="F1242" s="54" t="s">
        <v>2126</v>
      </c>
      <c r="G1242" s="755" t="s">
        <v>5538</v>
      </c>
      <c r="I1242" s="54" t="s">
        <v>3128</v>
      </c>
      <c r="J1242" s="54" t="s">
        <v>5639</v>
      </c>
    </row>
    <row r="1243" spans="1:13" ht="12.75" customHeight="1">
      <c r="A1243" s="1538">
        <v>774</v>
      </c>
      <c r="B1243" t="str">
        <f>VLOOKUP(A1243,plasmids!$A$2:$B$910,2)</f>
        <v>pssAAV-PanCourt-ChrimsonR-tdTomato</v>
      </c>
      <c r="C1243" s="1" t="s">
        <v>5640</v>
      </c>
      <c r="D1243" s="54" t="s">
        <v>3216</v>
      </c>
      <c r="E1243" s="1553">
        <v>42867</v>
      </c>
      <c r="F1243" s="54" t="s">
        <v>2126</v>
      </c>
      <c r="G1243" s="755" t="s">
        <v>5641</v>
      </c>
      <c r="I1243" s="54" t="s">
        <v>3128</v>
      </c>
      <c r="J1243" s="54" t="s">
        <v>2384</v>
      </c>
    </row>
    <row r="1244" spans="1:13" ht="12.75" customHeight="1">
      <c r="A1244" s="1538">
        <v>775</v>
      </c>
      <c r="B1244" t="str">
        <f>VLOOKUP(A1244,plasmids!$A$2:$B$910,2)</f>
        <v>pssAAV-PanLong-ChrimsonR-tdTomato</v>
      </c>
      <c r="C1244" s="1" t="s">
        <v>5642</v>
      </c>
      <c r="D1244" s="54" t="s">
        <v>3216</v>
      </c>
      <c r="E1244" s="1553">
        <v>42867</v>
      </c>
      <c r="F1244" s="54" t="s">
        <v>2126</v>
      </c>
      <c r="G1244" s="755" t="s">
        <v>5643</v>
      </c>
      <c r="I1244" s="54" t="s">
        <v>3128</v>
      </c>
      <c r="J1244" s="54" t="s">
        <v>5644</v>
      </c>
    </row>
    <row r="1245" spans="1:13" ht="12.75" customHeight="1">
      <c r="A1245" s="3215">
        <v>777</v>
      </c>
      <c r="B1245" s="3241" t="str">
        <f>VLOOKUP(A1245,plasmids!$A$2:$B$910,2)</f>
        <v>Rhodopsin-Ca-sponge</v>
      </c>
      <c r="C1245" s="3217" t="s">
        <v>5645</v>
      </c>
      <c r="D1245" s="3219" t="s">
        <v>2765</v>
      </c>
      <c r="E1245" s="3242">
        <v>42887</v>
      </c>
      <c r="F1245" s="3219" t="s">
        <v>5615</v>
      </c>
      <c r="G1245" s="3222">
        <v>2</v>
      </c>
      <c r="H1245" s="3216"/>
      <c r="I1245" s="3216"/>
      <c r="J1245" s="3216"/>
      <c r="K1245" s="3216"/>
      <c r="L1245" s="3216"/>
      <c r="M1245" s="3216"/>
    </row>
    <row r="1246" spans="1:13" ht="12.75" customHeight="1">
      <c r="A1246" s="2932">
        <v>778</v>
      </c>
      <c r="B1246" s="2935" t="str">
        <f>VLOOKUP(A1246,plasmids!$A$2:$B$910,2)</f>
        <v>pAAV2 Lib-RH-V</v>
      </c>
      <c r="C1246" s="2899" t="s">
        <v>5646</v>
      </c>
      <c r="D1246" s="2900" t="s">
        <v>5578</v>
      </c>
      <c r="E1246" s="3158">
        <v>42908</v>
      </c>
      <c r="F1246" s="2900" t="s">
        <v>1549</v>
      </c>
      <c r="G1246" s="2902" t="s">
        <v>5647</v>
      </c>
      <c r="H1246" s="2935"/>
      <c r="I1246" s="2900" t="s">
        <v>5485</v>
      </c>
      <c r="J1246" s="2900" t="s">
        <v>5648</v>
      </c>
      <c r="K1246" s="2935"/>
      <c r="L1246" s="2935"/>
      <c r="M1246" s="2935"/>
    </row>
    <row r="1247" spans="1:13" ht="12.75" customHeight="1">
      <c r="A1247" s="1538">
        <v>779</v>
      </c>
      <c r="B1247" t="str">
        <f>VLOOKUP(A1247,plasmids!$A$2:$B$910,2)</f>
        <v>pAAV-ss-SNCG-TdTomato</v>
      </c>
      <c r="C1247" s="1" t="s">
        <v>5649</v>
      </c>
      <c r="D1247" s="54" t="s">
        <v>3216</v>
      </c>
      <c r="E1247" s="2953">
        <v>42909</v>
      </c>
      <c r="F1247" s="54" t="s">
        <v>95</v>
      </c>
      <c r="G1247" s="754"/>
      <c r="H1247" s="54" t="s">
        <v>1918</v>
      </c>
      <c r="I1247" s="54" t="s">
        <v>3128</v>
      </c>
      <c r="J1247" s="54" t="s">
        <v>5650</v>
      </c>
    </row>
    <row r="1248" spans="1:13" ht="12.75" customHeight="1">
      <c r="A1248" s="2999">
        <v>780</v>
      </c>
      <c r="B1248" s="829" t="str">
        <f>VLOOKUP(A1248,plasmids!$A$2:$B$910,2)</f>
        <v>pAAV-CAG-Cre-NLS</v>
      </c>
      <c r="C1248" s="833">
        <v>780.1</v>
      </c>
      <c r="D1248" s="835" t="s">
        <v>2777</v>
      </c>
      <c r="E1248" s="3251">
        <v>42887</v>
      </c>
      <c r="F1248" s="835" t="s">
        <v>2397</v>
      </c>
      <c r="G1248" s="831">
        <v>0.8</v>
      </c>
      <c r="H1248" s="835" t="s">
        <v>1918</v>
      </c>
      <c r="I1248" s="829"/>
      <c r="J1248" s="829"/>
      <c r="K1248" s="829"/>
      <c r="L1248" s="829"/>
      <c r="M1248" s="829"/>
    </row>
    <row r="1249" spans="1:13" ht="12.75" customHeight="1">
      <c r="A1249" s="1538">
        <v>781</v>
      </c>
      <c r="B1249" t="str">
        <f>VLOOKUP(A1249,plasmids!$A$2:$B$910,2)</f>
        <v>pAAV-CAG-Numb72-ires-GFP</v>
      </c>
      <c r="C1249" s="1">
        <v>781.1</v>
      </c>
      <c r="D1249" s="54" t="s">
        <v>2765</v>
      </c>
      <c r="E1249" s="3252">
        <v>42887</v>
      </c>
      <c r="F1249" s="54" t="s">
        <v>2397</v>
      </c>
      <c r="G1249" s="755">
        <v>1.9</v>
      </c>
    </row>
    <row r="1250" spans="1:13" ht="12.75" customHeight="1">
      <c r="A1250" s="3253">
        <v>782</v>
      </c>
      <c r="B1250" s="3255" t="str">
        <f>VLOOKUP(A1250,plasmids!$A$2:$B$910,2)</f>
        <v>pAAV-CAG-mCherry</v>
      </c>
      <c r="C1250" s="2299">
        <v>782.1</v>
      </c>
      <c r="D1250" s="3256" t="s">
        <v>2765</v>
      </c>
      <c r="E1250" s="3257">
        <v>42887</v>
      </c>
      <c r="F1250" s="3256" t="s">
        <v>2397</v>
      </c>
      <c r="G1250" s="2302">
        <v>6</v>
      </c>
      <c r="H1250" s="3258"/>
      <c r="I1250" s="3258"/>
      <c r="J1250" s="3258"/>
      <c r="K1250" s="3258"/>
      <c r="L1250" s="3258"/>
      <c r="M1250" s="3258"/>
    </row>
    <row r="1251" spans="1:13" ht="12.75" customHeight="1">
      <c r="A1251" s="1538">
        <v>783</v>
      </c>
      <c r="B1251" s="1790" t="str">
        <f>VLOOKUP(A1251,plasmids!$A$2:$B$910,2)</f>
        <v>pAAV-CAG-Ikaros-IRES-mCherry</v>
      </c>
      <c r="C1251" s="1">
        <v>783.1</v>
      </c>
      <c r="D1251" s="54" t="s">
        <v>2765</v>
      </c>
      <c r="E1251" s="3259">
        <v>42887</v>
      </c>
      <c r="F1251" s="54" t="s">
        <v>2397</v>
      </c>
      <c r="G1251" s="755">
        <v>7</v>
      </c>
    </row>
    <row r="1252" spans="1:13" ht="12.75" customHeight="1">
      <c r="A1252" s="2908">
        <v>784</v>
      </c>
      <c r="B1252" s="413" t="str">
        <f>VLOOKUP(A1252,plasmids!$A$2:$B$910,2)</f>
        <v>pAAV-CAG-Ascl1-IRES-mCherry</v>
      </c>
      <c r="C1252" s="1043">
        <v>784.1</v>
      </c>
      <c r="D1252" s="1545" t="s">
        <v>2765</v>
      </c>
      <c r="E1252" s="3260">
        <v>42887</v>
      </c>
      <c r="F1252" s="1545" t="s">
        <v>2397</v>
      </c>
      <c r="G1252" s="1042">
        <v>8</v>
      </c>
      <c r="H1252" s="1041"/>
      <c r="I1252" s="1041"/>
      <c r="J1252" s="1041"/>
      <c r="K1252" s="1041"/>
      <c r="L1252" s="1041"/>
      <c r="M1252" s="1041"/>
    </row>
    <row r="1253" spans="1:13" ht="12.75" customHeight="1">
      <c r="A1253" s="1538">
        <v>786</v>
      </c>
      <c r="B1253" s="757" t="str">
        <f>VLOOKUP(A1253,plasmids!$A$2:$B$910,2)</f>
        <v>pscAAV-CAG-GFP-WPRE</v>
      </c>
      <c r="C1253" s="1">
        <v>786.1</v>
      </c>
      <c r="D1253" s="54" t="s">
        <v>3216</v>
      </c>
      <c r="E1253" s="3259">
        <v>42917</v>
      </c>
      <c r="F1253" s="54" t="s">
        <v>925</v>
      </c>
      <c r="G1253" s="754"/>
      <c r="I1253" s="54" t="s">
        <v>3128</v>
      </c>
    </row>
    <row r="1254" spans="1:13" ht="12.75" customHeight="1">
      <c r="A1254" s="1538">
        <v>786</v>
      </c>
      <c r="B1254" s="757" t="str">
        <f>VLOOKUP(A1254,plasmids!$A$2:$B$910,2)</f>
        <v>pscAAV-CAG-GFP-WPRE</v>
      </c>
      <c r="C1254" s="1">
        <v>786.2</v>
      </c>
      <c r="D1254" s="54" t="s">
        <v>2765</v>
      </c>
      <c r="E1254" s="3261">
        <v>42949</v>
      </c>
      <c r="F1254" s="54" t="s">
        <v>925</v>
      </c>
      <c r="G1254" s="755">
        <v>0.39900000000000002</v>
      </c>
      <c r="J1254" s="54" t="s">
        <v>5555</v>
      </c>
    </row>
    <row r="1255" spans="1:13" ht="12.75" customHeight="1">
      <c r="A1255" s="3107">
        <v>787</v>
      </c>
      <c r="B1255" s="2372" t="str">
        <f>VLOOKUP(A1255,plasmids!$A$2:$B$910,2)</f>
        <v>pssAAV-pR1.7-Gik2-GFP-hGHpA</v>
      </c>
      <c r="C1255" s="1051">
        <v>787.1</v>
      </c>
      <c r="D1255" s="1052" t="s">
        <v>3216</v>
      </c>
      <c r="E1255" s="3262">
        <v>42917</v>
      </c>
      <c r="F1255" s="1052" t="s">
        <v>925</v>
      </c>
      <c r="G1255" s="1050"/>
      <c r="H1255" s="1049"/>
      <c r="I1255" s="1052" t="s">
        <v>3128</v>
      </c>
      <c r="J1255" s="1049"/>
      <c r="K1255" s="1049"/>
      <c r="L1255" s="1049"/>
      <c r="M1255" s="1049"/>
    </row>
    <row r="1256" spans="1:13" ht="12.75" customHeight="1">
      <c r="A1256" s="3107">
        <v>787</v>
      </c>
      <c r="B1256" s="2372" t="str">
        <f>VLOOKUP(A1256,plasmids!$A$2:$B$910,2)</f>
        <v>pssAAV-pR1.7-Gik2-GFP-hGHpA</v>
      </c>
      <c r="C1256" s="1051">
        <v>787.2</v>
      </c>
      <c r="D1256" s="1052" t="s">
        <v>2765</v>
      </c>
      <c r="E1256" s="3263">
        <v>42949</v>
      </c>
      <c r="F1256" s="1052" t="s">
        <v>925</v>
      </c>
      <c r="G1256" s="1050">
        <v>0.122</v>
      </c>
      <c r="H1256" s="1049"/>
      <c r="J1256" s="1052" t="s">
        <v>5652</v>
      </c>
      <c r="K1256" s="1049"/>
      <c r="L1256" s="1049"/>
      <c r="M1256" s="1049"/>
    </row>
    <row r="1257" spans="1:13" ht="12.75" customHeight="1">
      <c r="A1257" s="1538"/>
      <c r="B1257" s="1981" t="e">
        <f>VLOOKUP(A1257,plasmids!$A$2:$B$910,2)</f>
        <v>#N/A</v>
      </c>
      <c r="C1257" s="757"/>
      <c r="E1257" s="758"/>
      <c r="G1257" s="754"/>
    </row>
    <row r="1258" spans="1:13" ht="12.75" customHeight="1">
      <c r="A1258" s="1538"/>
      <c r="B1258" s="1981" t="e">
        <f>VLOOKUP(A1258,plasmids!$A$2:$B$910,2)</f>
        <v>#N/A</v>
      </c>
      <c r="C1258" s="757"/>
      <c r="E1258" s="758"/>
      <c r="G1258" s="754"/>
    </row>
    <row r="1259" spans="1:13" ht="12.75" customHeight="1">
      <c r="A1259" s="1538"/>
      <c r="B1259" s="1981" t="e">
        <f>VLOOKUP(A1259,plasmids!$A$2:$B$910,2)</f>
        <v>#N/A</v>
      </c>
      <c r="C1259" s="757"/>
      <c r="E1259" s="758"/>
      <c r="G1259" s="754"/>
    </row>
    <row r="1260" spans="1:13" ht="12.75" customHeight="1">
      <c r="A1260" s="1538"/>
      <c r="B1260" s="1981" t="e">
        <f>VLOOKUP(A1260,plasmids!$A$2:$B$910,2)</f>
        <v>#N/A</v>
      </c>
      <c r="C1260" s="757"/>
      <c r="E1260" s="758"/>
      <c r="G1260" s="754"/>
    </row>
    <row r="1261" spans="1:13" ht="12.75" customHeight="1">
      <c r="A1261" s="1538"/>
      <c r="B1261" s="1981" t="e">
        <f>VLOOKUP(A1261,plasmids!$A$2:$B$910,2)</f>
        <v>#N/A</v>
      </c>
      <c r="C1261" s="757"/>
      <c r="E1261" s="758"/>
      <c r="G1261" s="754"/>
    </row>
    <row r="1262" spans="1:13" ht="12.75" customHeight="1">
      <c r="A1262" s="1538"/>
      <c r="B1262" s="1981" t="e">
        <f>VLOOKUP(A1262,plasmids!$A$2:$B$910,2)</f>
        <v>#N/A</v>
      </c>
      <c r="C1262" s="757"/>
      <c r="E1262" s="758"/>
      <c r="G1262" s="754"/>
    </row>
    <row r="1263" spans="1:13" ht="12.75" customHeight="1">
      <c r="A1263" s="1538"/>
      <c r="B1263" s="1981" t="e">
        <f>VLOOKUP(A1263,plasmids!$A$2:$B$910,2)</f>
        <v>#N/A</v>
      </c>
      <c r="C1263" s="757"/>
      <c r="E1263" s="758"/>
      <c r="G1263" s="754"/>
    </row>
    <row r="1264" spans="1:13" ht="12.75" customHeight="1">
      <c r="A1264" s="1538"/>
      <c r="B1264" s="1981" t="e">
        <f>VLOOKUP(A1264,plasmids!$A$2:$B$910,2)</f>
        <v>#N/A</v>
      </c>
      <c r="C1264" s="757"/>
      <c r="E1264" s="758"/>
      <c r="G1264" s="754"/>
    </row>
    <row r="1265" spans="1:7" ht="12.75" customHeight="1">
      <c r="A1265" s="1538"/>
      <c r="B1265" s="1981" t="e">
        <f>VLOOKUP(A1265,plasmids!$A$2:$B$910,2)</f>
        <v>#N/A</v>
      </c>
      <c r="C1265" s="757"/>
      <c r="E1265" s="758"/>
      <c r="G1265" s="754"/>
    </row>
    <row r="1266" spans="1:7" ht="12.75" customHeight="1">
      <c r="A1266" s="1538"/>
      <c r="B1266" s="1981" t="e">
        <f>VLOOKUP(A1266,plasmids!$A$2:$B$910,2)</f>
        <v>#N/A</v>
      </c>
      <c r="C1266" s="757"/>
      <c r="E1266" s="758"/>
      <c r="G1266" s="754"/>
    </row>
    <row r="1267" spans="1:7" ht="12.75" customHeight="1">
      <c r="A1267" s="1538"/>
      <c r="B1267" s="1981" t="e">
        <f>VLOOKUP(A1267,plasmids!$A$2:$B$910,2)</f>
        <v>#N/A</v>
      </c>
      <c r="C1267" s="757"/>
      <c r="E1267" s="758"/>
      <c r="G1267" s="754"/>
    </row>
    <row r="1268" spans="1:7" ht="12.75" customHeight="1">
      <c r="A1268" s="1538"/>
      <c r="B1268" s="1981" t="e">
        <f>VLOOKUP(A1268,plasmids!$A$2:$B$910,2)</f>
        <v>#N/A</v>
      </c>
      <c r="C1268" s="757"/>
      <c r="E1268" s="758"/>
      <c r="G1268" s="754"/>
    </row>
    <row r="1269" spans="1:7" ht="12.75" customHeight="1">
      <c r="A1269" s="1538"/>
      <c r="B1269" s="1981" t="e">
        <f>VLOOKUP(A1269,plasmids!$A$2:$B$910,2)</f>
        <v>#N/A</v>
      </c>
      <c r="C1269" s="757"/>
      <c r="E1269" s="758"/>
      <c r="G1269" s="754"/>
    </row>
    <row r="1270" spans="1:7" ht="12.75" customHeight="1">
      <c r="A1270" s="1538"/>
      <c r="B1270" s="1981" t="e">
        <f>VLOOKUP(A1270,plasmids!$A$2:$B$910,2)</f>
        <v>#N/A</v>
      </c>
      <c r="C1270" s="757"/>
      <c r="E1270" s="758"/>
      <c r="G1270" s="754"/>
    </row>
    <row r="1271" spans="1:7" ht="12.75" customHeight="1">
      <c r="A1271" s="1538"/>
      <c r="B1271" s="1981" t="e">
        <f>VLOOKUP(A1271,plasmids!$A$2:$B$910,2)</f>
        <v>#N/A</v>
      </c>
      <c r="C1271" s="757"/>
      <c r="E1271" s="758"/>
      <c r="G1271" s="754"/>
    </row>
    <row r="1272" spans="1:7" ht="12.75" customHeight="1">
      <c r="A1272" s="1538"/>
      <c r="B1272" s="1981"/>
      <c r="C1272" s="757"/>
      <c r="E1272" s="758"/>
      <c r="G1272" s="754"/>
    </row>
    <row r="1273" spans="1:7" ht="12.75" customHeight="1">
      <c r="A1273" s="1538"/>
      <c r="B1273" s="1981"/>
      <c r="C1273" s="757"/>
      <c r="E1273" s="758"/>
      <c r="G1273" s="754"/>
    </row>
    <row r="1274" spans="1:7" ht="12.75" customHeight="1">
      <c r="A1274" s="1538"/>
      <c r="B1274" s="1981"/>
      <c r="C1274" s="757"/>
      <c r="E1274" s="758"/>
      <c r="G1274" s="754"/>
    </row>
    <row r="1275" spans="1:7" ht="12.75" customHeight="1">
      <c r="A1275" s="1538"/>
      <c r="B1275" s="1981"/>
      <c r="C1275" s="757"/>
      <c r="E1275" s="758"/>
      <c r="G1275" s="754"/>
    </row>
    <row r="1276" spans="1:7" ht="12.75" customHeight="1">
      <c r="A1276" s="1538"/>
      <c r="B1276" s="1981"/>
      <c r="C1276" s="757"/>
      <c r="E1276" s="758"/>
      <c r="G1276" s="754"/>
    </row>
    <row r="1277" spans="1:7" ht="12.75" customHeight="1">
      <c r="A1277" s="1538"/>
      <c r="B1277" s="1981"/>
      <c r="C1277" s="757"/>
      <c r="E1277" s="758"/>
      <c r="G1277" s="754"/>
    </row>
    <row r="1278" spans="1:7" ht="12.75" customHeight="1">
      <c r="A1278" s="1538"/>
      <c r="B1278" s="1981"/>
      <c r="C1278" s="757"/>
      <c r="E1278" s="758"/>
      <c r="G1278" s="754"/>
    </row>
    <row r="1279" spans="1:7" ht="12.75" customHeight="1">
      <c r="A1279" s="1538"/>
      <c r="B1279" s="1981"/>
      <c r="C1279" s="757"/>
      <c r="E1279" s="758"/>
      <c r="G1279" s="754"/>
    </row>
    <row r="1280" spans="1:7" ht="12.75" customHeight="1">
      <c r="A1280" s="1538"/>
      <c r="B1280" s="1981"/>
      <c r="C1280" s="757"/>
      <c r="E1280" s="758"/>
      <c r="G1280" s="754"/>
    </row>
    <row r="1281" spans="1:7" ht="12.75" customHeight="1">
      <c r="A1281" s="1538"/>
      <c r="B1281" s="1981"/>
      <c r="C1281" s="757"/>
      <c r="E1281" s="758"/>
      <c r="G1281" s="754"/>
    </row>
    <row r="1282" spans="1:7" ht="12.75" customHeight="1">
      <c r="A1282" s="1538"/>
      <c r="B1282" s="1981"/>
      <c r="C1282" s="757"/>
      <c r="E1282" s="758"/>
      <c r="G1282" s="754"/>
    </row>
    <row r="1283" spans="1:7" ht="12.75" customHeight="1">
      <c r="A1283" s="1538"/>
      <c r="B1283" s="1981"/>
      <c r="C1283" s="757"/>
      <c r="E1283" s="758"/>
      <c r="G1283" s="754"/>
    </row>
    <row r="1284" spans="1:7" ht="12.75" customHeight="1">
      <c r="A1284" s="1538"/>
      <c r="B1284" s="1981"/>
      <c r="C1284" s="757"/>
      <c r="E1284" s="758"/>
      <c r="G1284" s="754"/>
    </row>
    <row r="1285" spans="1:7" ht="12.75" customHeight="1">
      <c r="A1285" s="1538"/>
      <c r="B1285" s="1981"/>
      <c r="C1285" s="757"/>
      <c r="E1285" s="758"/>
      <c r="G1285" s="754"/>
    </row>
    <row r="1286" spans="1:7" ht="12.75" customHeight="1">
      <c r="A1286" s="1538"/>
      <c r="B1286" s="1981"/>
      <c r="C1286" s="757"/>
      <c r="E1286" s="758"/>
      <c r="G1286" s="754"/>
    </row>
    <row r="1287" spans="1:7" ht="12.75" customHeight="1">
      <c r="A1287" s="1538"/>
      <c r="B1287" s="1981"/>
      <c r="C1287" s="757"/>
      <c r="E1287" s="758"/>
      <c r="G1287" s="754"/>
    </row>
    <row r="1288" spans="1:7" ht="12.75" customHeight="1">
      <c r="A1288" s="1538"/>
      <c r="B1288" s="1981"/>
      <c r="C1288" s="757"/>
      <c r="E1288" s="758"/>
      <c r="G1288" s="754"/>
    </row>
    <row r="1289" spans="1:7" ht="12.75" customHeight="1">
      <c r="A1289" s="1538"/>
      <c r="B1289" s="1981"/>
      <c r="C1289" s="757"/>
      <c r="E1289" s="758"/>
      <c r="G1289" s="754"/>
    </row>
    <row r="1290" spans="1:7" ht="12.75" customHeight="1">
      <c r="A1290" s="1538"/>
      <c r="B1290" s="1981"/>
      <c r="C1290" s="757"/>
      <c r="E1290" s="758"/>
      <c r="G1290" s="754"/>
    </row>
    <row r="1291" spans="1:7" ht="12.75" customHeight="1">
      <c r="A1291" s="1538"/>
      <c r="B1291" s="1981"/>
      <c r="C1291" s="757"/>
      <c r="E1291" s="758"/>
      <c r="G1291" s="754"/>
    </row>
    <row r="1292" spans="1:7" ht="12.75" customHeight="1">
      <c r="A1292" s="1538"/>
      <c r="B1292" s="1981"/>
      <c r="C1292" s="757"/>
      <c r="E1292" s="758"/>
      <c r="G1292" s="754"/>
    </row>
    <row r="1293" spans="1:7" ht="12.75" customHeight="1">
      <c r="A1293" s="1538"/>
      <c r="B1293" s="1981"/>
      <c r="C1293" s="757"/>
      <c r="E1293" s="758"/>
      <c r="G1293" s="754"/>
    </row>
    <row r="1294" spans="1:7" ht="12.75" customHeight="1">
      <c r="A1294" s="1538"/>
      <c r="B1294" s="1981"/>
      <c r="C1294" s="757"/>
      <c r="E1294" s="758"/>
      <c r="G1294" s="754"/>
    </row>
    <row r="1295" spans="1:7" ht="12.75" customHeight="1">
      <c r="A1295" s="1538"/>
      <c r="B1295" s="1981"/>
      <c r="C1295" s="757"/>
      <c r="E1295" s="758"/>
      <c r="G1295" s="754"/>
    </row>
    <row r="1296" spans="1:7" ht="12.75" customHeight="1">
      <c r="A1296" s="1538"/>
      <c r="B1296" s="1981"/>
      <c r="C1296" s="757"/>
      <c r="E1296" s="758"/>
      <c r="G1296" s="754"/>
    </row>
    <row r="1297" spans="1:7" ht="12.75" customHeight="1">
      <c r="A1297" s="1538"/>
      <c r="B1297" s="1981"/>
      <c r="C1297" s="757"/>
      <c r="E1297" s="758"/>
      <c r="G1297" s="754"/>
    </row>
    <row r="1298" spans="1:7" ht="12.75" customHeight="1">
      <c r="A1298" s="1538"/>
      <c r="B1298" s="1981"/>
      <c r="C1298" s="757"/>
      <c r="E1298" s="758"/>
      <c r="G1298" s="754"/>
    </row>
    <row r="1299" spans="1:7" ht="12.75" customHeight="1">
      <c r="A1299" s="1538"/>
      <c r="B1299" s="1981"/>
      <c r="C1299" s="757"/>
      <c r="E1299" s="758"/>
      <c r="G1299" s="754"/>
    </row>
    <row r="1300" spans="1:7" ht="12.75" customHeight="1">
      <c r="A1300" s="1538"/>
      <c r="B1300" s="1981"/>
      <c r="C1300" s="757"/>
      <c r="E1300" s="758"/>
      <c r="G1300" s="754"/>
    </row>
    <row r="1301" spans="1:7" ht="12.75" customHeight="1">
      <c r="A1301" s="1538"/>
      <c r="B1301" s="1981"/>
      <c r="C1301" s="757"/>
      <c r="E1301" s="758"/>
      <c r="G1301" s="754"/>
    </row>
    <row r="1302" spans="1:7" ht="12.75" customHeight="1">
      <c r="A1302" s="1538"/>
      <c r="B1302" s="1981"/>
      <c r="C1302" s="757"/>
      <c r="E1302" s="758"/>
      <c r="G1302" s="754"/>
    </row>
    <row r="1303" spans="1:7" ht="12.75" customHeight="1">
      <c r="A1303" s="1538"/>
      <c r="B1303" s="1981"/>
      <c r="C1303" s="757"/>
      <c r="E1303" s="758"/>
      <c r="G1303" s="754"/>
    </row>
    <row r="1304" spans="1:7" ht="12.75" customHeight="1">
      <c r="A1304" s="1538"/>
      <c r="B1304" s="1981"/>
      <c r="C1304" s="757"/>
      <c r="E1304" s="758"/>
      <c r="G1304" s="754"/>
    </row>
    <row r="1305" spans="1:7" ht="12.75" customHeight="1">
      <c r="A1305" s="1538"/>
      <c r="B1305" s="1981"/>
      <c r="C1305" s="757"/>
      <c r="E1305" s="758"/>
      <c r="G1305" s="754"/>
    </row>
    <row r="1306" spans="1:7" ht="12.75" customHeight="1">
      <c r="A1306" s="1538"/>
      <c r="B1306" s="1981"/>
      <c r="C1306" s="757"/>
      <c r="E1306" s="758"/>
      <c r="G1306" s="754"/>
    </row>
    <row r="1307" spans="1:7" ht="12.75" customHeight="1">
      <c r="A1307" s="1538"/>
      <c r="B1307" s="1981"/>
      <c r="C1307" s="757"/>
      <c r="E1307" s="758"/>
      <c r="G1307" s="754"/>
    </row>
    <row r="1308" spans="1:7" ht="12.75" customHeight="1">
      <c r="A1308" s="1538"/>
      <c r="B1308" s="1981"/>
      <c r="C1308" s="757"/>
      <c r="E1308" s="758"/>
      <c r="G1308" s="754"/>
    </row>
    <row r="1309" spans="1:7" ht="12.75" customHeight="1">
      <c r="A1309" s="1538"/>
      <c r="B1309" s="1981"/>
      <c r="C1309" s="757"/>
      <c r="E1309" s="758"/>
      <c r="G1309" s="754"/>
    </row>
    <row r="1310" spans="1:7" ht="12.75" customHeight="1">
      <c r="A1310" s="1538"/>
      <c r="B1310" s="1981"/>
      <c r="C1310" s="757"/>
      <c r="E1310" s="758"/>
      <c r="G1310" s="754"/>
    </row>
    <row r="1311" spans="1:7" ht="12.75" customHeight="1">
      <c r="A1311" s="1538"/>
      <c r="B1311" s="1981"/>
      <c r="C1311" s="757"/>
      <c r="E1311" s="758"/>
      <c r="G1311" s="754"/>
    </row>
    <row r="1312" spans="1:7" ht="12.75" customHeight="1">
      <c r="A1312" s="1538"/>
      <c r="B1312" s="1981"/>
      <c r="C1312" s="757"/>
      <c r="E1312" s="758"/>
      <c r="G1312" s="754"/>
    </row>
    <row r="1313" spans="1:7" ht="12.75" customHeight="1">
      <c r="A1313" s="1538"/>
      <c r="B1313" s="1981"/>
      <c r="C1313" s="757"/>
      <c r="E1313" s="758"/>
      <c r="G1313" s="754"/>
    </row>
    <row r="1314" spans="1:7" ht="12.75" customHeight="1">
      <c r="A1314" s="1538"/>
      <c r="B1314" s="1981"/>
      <c r="C1314" s="757"/>
      <c r="E1314" s="758"/>
      <c r="G1314" s="754"/>
    </row>
    <row r="1315" spans="1:7" ht="12.75" customHeight="1">
      <c r="A1315" s="1538"/>
      <c r="B1315" s="1981"/>
      <c r="C1315" s="757"/>
      <c r="E1315" s="758"/>
      <c r="G1315" s="754"/>
    </row>
    <row r="1316" spans="1:7" ht="12.75" customHeight="1">
      <c r="A1316" s="1538"/>
      <c r="B1316" s="1981"/>
      <c r="C1316" s="757"/>
      <c r="E1316" s="758"/>
      <c r="G1316" s="754"/>
    </row>
    <row r="1317" spans="1:7" ht="12.75" customHeight="1">
      <c r="A1317" s="1538"/>
      <c r="B1317" s="1981"/>
      <c r="C1317" s="757"/>
      <c r="E1317" s="758"/>
      <c r="G1317" s="754"/>
    </row>
    <row r="1318" spans="1:7" ht="12.75" customHeight="1">
      <c r="A1318" s="1538"/>
      <c r="B1318" s="1981"/>
      <c r="C1318" s="757"/>
      <c r="E1318" s="758"/>
      <c r="G1318" s="754"/>
    </row>
    <row r="1319" spans="1:7" ht="12.75" customHeight="1">
      <c r="A1319" s="1538"/>
      <c r="B1319" s="1981"/>
      <c r="C1319" s="757"/>
      <c r="E1319" s="758"/>
      <c r="G1319" s="754"/>
    </row>
    <row r="1320" spans="1:7" ht="12.75" customHeight="1">
      <c r="A1320" s="1538"/>
      <c r="B1320" s="1981"/>
      <c r="C1320" s="757"/>
      <c r="E1320" s="758"/>
      <c r="G1320" s="754"/>
    </row>
    <row r="1321" spans="1:7" ht="12.75" customHeight="1">
      <c r="A1321" s="1538"/>
      <c r="B1321" s="1981"/>
      <c r="C1321" s="757"/>
      <c r="E1321" s="758"/>
      <c r="G1321" s="754"/>
    </row>
    <row r="1322" spans="1:7" ht="12.75" customHeight="1">
      <c r="A1322" s="1538"/>
      <c r="B1322" s="1981"/>
      <c r="C1322" s="757"/>
      <c r="E1322" s="758"/>
      <c r="G1322" s="754"/>
    </row>
    <row r="1323" spans="1:7" ht="12.75" customHeight="1">
      <c r="A1323" s="1538"/>
      <c r="B1323" s="1981"/>
      <c r="C1323" s="757"/>
      <c r="E1323" s="758"/>
      <c r="G1323" s="754"/>
    </row>
    <row r="1324" spans="1:7" ht="12.75" customHeight="1">
      <c r="A1324" s="1538"/>
      <c r="B1324" s="1981"/>
      <c r="C1324" s="757"/>
      <c r="E1324" s="758"/>
      <c r="G1324" s="754"/>
    </row>
    <row r="1325" spans="1:7" ht="12.75" customHeight="1">
      <c r="A1325" s="1538"/>
      <c r="B1325" s="1981"/>
      <c r="C1325" s="757"/>
      <c r="E1325" s="758"/>
      <c r="G1325" s="754"/>
    </row>
    <row r="1326" spans="1:7" ht="12.75" customHeight="1">
      <c r="A1326" s="1538"/>
      <c r="B1326" s="1981"/>
      <c r="C1326" s="757"/>
      <c r="E1326" s="758"/>
      <c r="G1326" s="754"/>
    </row>
    <row r="1327" spans="1:7" ht="12.75" customHeight="1">
      <c r="A1327" s="1538"/>
      <c r="B1327" s="1981"/>
      <c r="C1327" s="757"/>
      <c r="E1327" s="758"/>
      <c r="G1327" s="754"/>
    </row>
    <row r="1328" spans="1:7" ht="12.75" customHeight="1">
      <c r="A1328" s="1538"/>
      <c r="B1328" s="1981"/>
      <c r="C1328" s="757"/>
      <c r="E1328" s="758"/>
      <c r="G1328" s="754"/>
    </row>
    <row r="1329" spans="1:7" ht="12.75" customHeight="1">
      <c r="A1329" s="1538"/>
      <c r="B1329" s="1981"/>
      <c r="C1329" s="757"/>
      <c r="E1329" s="758"/>
      <c r="G1329" s="754"/>
    </row>
    <row r="1330" spans="1:7" ht="12.75" customHeight="1">
      <c r="A1330" s="1538"/>
      <c r="B1330" s="1981"/>
      <c r="C1330" s="757"/>
      <c r="E1330" s="758"/>
      <c r="G1330" s="754"/>
    </row>
    <row r="1331" spans="1:7" ht="12.75" customHeight="1">
      <c r="A1331" s="1538"/>
      <c r="B1331" s="1981"/>
      <c r="C1331" s="757"/>
      <c r="E1331" s="758"/>
      <c r="G1331" s="754"/>
    </row>
    <row r="1332" spans="1:7" ht="12.75" customHeight="1">
      <c r="A1332" s="1538"/>
      <c r="B1332" s="1981"/>
      <c r="C1332" s="757"/>
      <c r="E1332" s="758"/>
      <c r="G1332" s="754"/>
    </row>
    <row r="1333" spans="1:7" ht="12.75" customHeight="1">
      <c r="A1333" s="1538"/>
      <c r="B1333" s="1981"/>
      <c r="C1333" s="757"/>
      <c r="E1333" s="758"/>
      <c r="G1333" s="754"/>
    </row>
    <row r="1334" spans="1:7" ht="12.75" customHeight="1">
      <c r="A1334" s="1538"/>
      <c r="B1334" s="1981"/>
      <c r="C1334" s="757"/>
      <c r="E1334" s="758"/>
      <c r="G1334" s="754"/>
    </row>
    <row r="1335" spans="1:7" ht="12.75" customHeight="1">
      <c r="A1335" s="1538"/>
      <c r="B1335" s="1981"/>
      <c r="C1335" s="757"/>
      <c r="E1335" s="758"/>
      <c r="G1335" s="754"/>
    </row>
    <row r="1336" spans="1:7" ht="12.75" customHeight="1">
      <c r="A1336" s="1538"/>
      <c r="B1336" s="1981"/>
      <c r="C1336" s="757"/>
      <c r="E1336" s="758"/>
      <c r="G1336" s="754"/>
    </row>
    <row r="1337" spans="1:7" ht="12.75" customHeight="1">
      <c r="A1337" s="1538"/>
      <c r="B1337" s="1981"/>
      <c r="C1337" s="757"/>
      <c r="E1337" s="758"/>
      <c r="G1337" s="754"/>
    </row>
    <row r="1338" spans="1:7" ht="12.75" customHeight="1">
      <c r="A1338" s="1538"/>
      <c r="B1338" s="1981"/>
      <c r="C1338" s="757"/>
      <c r="E1338" s="758"/>
      <c r="G1338" s="754"/>
    </row>
    <row r="1339" spans="1:7" ht="12.75" customHeight="1">
      <c r="A1339" s="1538"/>
      <c r="B1339" s="1981"/>
      <c r="C1339" s="757"/>
      <c r="E1339" s="758"/>
      <c r="G1339" s="754"/>
    </row>
    <row r="1340" spans="1:7" ht="12.75" customHeight="1">
      <c r="A1340" s="1538"/>
      <c r="B1340" s="1981"/>
      <c r="C1340" s="757"/>
      <c r="E1340" s="758"/>
      <c r="G1340" s="754"/>
    </row>
    <row r="1341" spans="1:7" ht="12.75" customHeight="1">
      <c r="A1341" s="1538"/>
      <c r="B1341" s="1981"/>
      <c r="C1341" s="757"/>
      <c r="E1341" s="758"/>
      <c r="G1341" s="754"/>
    </row>
    <row r="1342" spans="1:7" ht="12.75" customHeight="1">
      <c r="A1342" s="1538"/>
      <c r="B1342" s="1981"/>
      <c r="C1342" s="757"/>
      <c r="E1342" s="758"/>
      <c r="G1342" s="754"/>
    </row>
    <row r="1343" spans="1:7" ht="12.75" customHeight="1">
      <c r="A1343" s="1538"/>
      <c r="B1343" s="1981"/>
      <c r="C1343" s="757"/>
      <c r="E1343" s="758"/>
      <c r="G1343" s="754"/>
    </row>
    <row r="1344" spans="1:7" ht="12.75" customHeight="1">
      <c r="A1344" s="1538"/>
      <c r="B1344" s="1981"/>
      <c r="C1344" s="757"/>
      <c r="E1344" s="758"/>
      <c r="G1344" s="754"/>
    </row>
    <row r="1345" spans="1:7" ht="12.75" customHeight="1">
      <c r="A1345" s="1538"/>
      <c r="B1345" s="1981"/>
      <c r="C1345" s="757"/>
      <c r="E1345" s="758"/>
      <c r="G1345" s="754"/>
    </row>
    <row r="1346" spans="1:7" ht="12.75" customHeight="1">
      <c r="A1346" s="1538"/>
      <c r="B1346" s="1981"/>
      <c r="C1346" s="757"/>
      <c r="E1346" s="758"/>
      <c r="G1346" s="754"/>
    </row>
    <row r="1347" spans="1:7" ht="12.75" customHeight="1">
      <c r="A1347" s="1538"/>
      <c r="B1347" s="1981"/>
      <c r="C1347" s="757"/>
      <c r="E1347" s="758"/>
      <c r="G1347" s="754"/>
    </row>
    <row r="1348" spans="1:7" ht="12.75" customHeight="1">
      <c r="A1348" s="1538"/>
      <c r="B1348" s="1981"/>
      <c r="C1348" s="757"/>
      <c r="E1348" s="758"/>
      <c r="G1348" s="754"/>
    </row>
    <row r="1349" spans="1:7" ht="12.75" customHeight="1">
      <c r="A1349" s="1538"/>
      <c r="B1349" s="1981"/>
      <c r="C1349" s="757"/>
      <c r="E1349" s="758"/>
      <c r="G1349" s="754"/>
    </row>
    <row r="1350" spans="1:7" ht="12.75" customHeight="1">
      <c r="A1350" s="1538"/>
      <c r="B1350" s="1981"/>
      <c r="C1350" s="757"/>
      <c r="E1350" s="758"/>
      <c r="G1350" s="754"/>
    </row>
    <row r="1351" spans="1:7" ht="12.75" customHeight="1">
      <c r="A1351" s="1538"/>
      <c r="B1351" s="1981"/>
      <c r="C1351" s="757"/>
      <c r="E1351" s="758"/>
      <c r="G1351" s="754"/>
    </row>
    <row r="1352" spans="1:7" ht="12.75" customHeight="1">
      <c r="A1352" s="1538"/>
      <c r="B1352" s="1981"/>
      <c r="C1352" s="757"/>
      <c r="E1352" s="758"/>
      <c r="G1352" s="754"/>
    </row>
    <row r="1353" spans="1:7" ht="12.75" customHeight="1">
      <c r="A1353" s="1538"/>
      <c r="B1353" s="1981"/>
      <c r="C1353" s="757"/>
      <c r="E1353" s="758"/>
      <c r="G1353" s="754"/>
    </row>
    <row r="1354" spans="1:7" ht="12.75" customHeight="1">
      <c r="A1354" s="1538"/>
      <c r="B1354" s="1981"/>
      <c r="C1354" s="757"/>
      <c r="E1354" s="758"/>
      <c r="G1354" s="754"/>
    </row>
    <row r="1355" spans="1:7" ht="12.75" customHeight="1">
      <c r="A1355" s="1538"/>
      <c r="B1355" s="1981"/>
      <c r="C1355" s="757"/>
      <c r="E1355" s="758"/>
      <c r="G1355" s="754"/>
    </row>
    <row r="1356" spans="1:7" ht="12.75" customHeight="1">
      <c r="A1356" s="1538"/>
      <c r="B1356" s="1981"/>
      <c r="C1356" s="757"/>
      <c r="E1356" s="758"/>
      <c r="G1356" s="754"/>
    </row>
    <row r="1357" spans="1:7" ht="12.75" customHeight="1">
      <c r="A1357" s="1538"/>
      <c r="B1357" s="1981"/>
      <c r="C1357" s="757"/>
      <c r="E1357" s="758"/>
      <c r="G1357" s="754"/>
    </row>
    <row r="1358" spans="1:7" ht="12.75" customHeight="1">
      <c r="A1358" s="1538"/>
      <c r="B1358" s="1981"/>
      <c r="C1358" s="757"/>
      <c r="E1358" s="758"/>
      <c r="G1358" s="754"/>
    </row>
    <row r="1359" spans="1:7" ht="12.75" customHeight="1">
      <c r="A1359" s="1538"/>
      <c r="B1359" s="1981"/>
      <c r="C1359" s="757"/>
      <c r="E1359" s="758"/>
      <c r="G1359" s="754"/>
    </row>
    <row r="1360" spans="1:7" ht="12.75" customHeight="1">
      <c r="A1360" s="1538"/>
      <c r="B1360" s="1981"/>
      <c r="C1360" s="757"/>
      <c r="E1360" s="758"/>
      <c r="G1360" s="754"/>
    </row>
    <row r="1361" spans="1:7" ht="12.75" customHeight="1">
      <c r="A1361" s="1538"/>
      <c r="B1361" s="1981"/>
      <c r="C1361" s="757"/>
      <c r="E1361" s="758"/>
      <c r="G1361" s="754"/>
    </row>
    <row r="1362" spans="1:7" ht="12.75" customHeight="1">
      <c r="A1362" s="1538"/>
      <c r="B1362" s="1981"/>
      <c r="C1362" s="757"/>
      <c r="E1362" s="758"/>
      <c r="G1362" s="754"/>
    </row>
    <row r="1363" spans="1:7" ht="12.75" customHeight="1">
      <c r="A1363" s="1538"/>
      <c r="B1363" s="1981"/>
      <c r="C1363" s="757"/>
      <c r="E1363" s="758"/>
      <c r="G1363" s="754"/>
    </row>
    <row r="1364" spans="1:7" ht="12.75" customHeight="1">
      <c r="A1364" s="1538"/>
      <c r="B1364" s="1981"/>
      <c r="C1364" s="757"/>
      <c r="E1364" s="758"/>
      <c r="G1364" s="754"/>
    </row>
    <row r="1365" spans="1:7" ht="12.75" customHeight="1">
      <c r="A1365" s="1538"/>
      <c r="B1365" s="1981"/>
      <c r="C1365" s="757"/>
      <c r="E1365" s="758"/>
      <c r="G1365" s="754"/>
    </row>
    <row r="1366" spans="1:7" ht="12.75" customHeight="1">
      <c r="A1366" s="1538"/>
      <c r="B1366" s="1981"/>
      <c r="C1366" s="757"/>
      <c r="E1366" s="758"/>
      <c r="G1366" s="754"/>
    </row>
    <row r="1367" spans="1:7" ht="12.75" customHeight="1">
      <c r="A1367" s="1538"/>
      <c r="B1367" s="1981"/>
      <c r="C1367" s="757"/>
      <c r="E1367" s="758"/>
      <c r="G1367" s="754"/>
    </row>
    <row r="1368" spans="1:7" ht="12.75" customHeight="1">
      <c r="A1368" s="1538"/>
      <c r="B1368" s="1981"/>
      <c r="C1368" s="757"/>
      <c r="E1368" s="758"/>
      <c r="G1368" s="754"/>
    </row>
    <row r="1369" spans="1:7" ht="12.75" customHeight="1">
      <c r="A1369" s="1538"/>
      <c r="B1369" s="1981"/>
      <c r="C1369" s="757"/>
      <c r="E1369" s="758"/>
      <c r="G1369" s="754"/>
    </row>
    <row r="1370" spans="1:7" ht="12.75" customHeight="1">
      <c r="A1370" s="1538"/>
      <c r="B1370" s="1981"/>
      <c r="C1370" s="757"/>
      <c r="E1370" s="758"/>
      <c r="G1370" s="754"/>
    </row>
    <row r="1371" spans="1:7" ht="12.75" customHeight="1">
      <c r="A1371" s="1538"/>
      <c r="B1371" s="1981"/>
      <c r="C1371" s="757"/>
      <c r="E1371" s="758"/>
      <c r="G1371" s="754"/>
    </row>
    <row r="1372" spans="1:7" ht="12.75" customHeight="1">
      <c r="A1372" s="1538"/>
      <c r="B1372" s="1981"/>
      <c r="C1372" s="757"/>
      <c r="E1372" s="758"/>
      <c r="G1372" s="754"/>
    </row>
    <row r="1373" spans="1:7" ht="12.75" customHeight="1">
      <c r="A1373" s="1538"/>
      <c r="B1373" s="1981"/>
      <c r="C1373" s="757"/>
      <c r="E1373" s="758"/>
      <c r="G1373" s="754"/>
    </row>
    <row r="1374" spans="1:7" ht="12.75" customHeight="1">
      <c r="A1374" s="1538"/>
      <c r="B1374" s="1981"/>
      <c r="C1374" s="757"/>
      <c r="E1374" s="758"/>
      <c r="G1374" s="754"/>
    </row>
    <row r="1375" spans="1:7" ht="12.75" customHeight="1">
      <c r="A1375" s="1538"/>
      <c r="B1375" s="1981"/>
      <c r="C1375" s="757"/>
      <c r="E1375" s="758"/>
      <c r="G1375" s="754"/>
    </row>
    <row r="1376" spans="1:7" ht="12.75" customHeight="1">
      <c r="A1376" s="1538"/>
      <c r="B1376" s="1981"/>
      <c r="C1376" s="757"/>
      <c r="E1376" s="758"/>
      <c r="G1376" s="754"/>
    </row>
    <row r="1377" spans="1:7" ht="12.75" customHeight="1">
      <c r="A1377" s="1538"/>
      <c r="B1377" s="1981"/>
      <c r="C1377" s="757"/>
      <c r="E1377" s="758"/>
      <c r="G1377" s="754"/>
    </row>
    <row r="1378" spans="1:7" ht="12.75" customHeight="1">
      <c r="A1378" s="1538"/>
      <c r="B1378" s="1981"/>
      <c r="C1378" s="757"/>
      <c r="E1378" s="758"/>
      <c r="G1378" s="754"/>
    </row>
    <row r="1379" spans="1:7" ht="12.75" customHeight="1">
      <c r="A1379" s="1538"/>
      <c r="B1379" s="1981"/>
      <c r="C1379" s="757"/>
      <c r="E1379" s="758"/>
      <c r="G1379" s="754"/>
    </row>
    <row r="1380" spans="1:7" ht="12.75" customHeight="1">
      <c r="A1380" s="1538"/>
      <c r="B1380" s="1981"/>
      <c r="C1380" s="757"/>
      <c r="E1380" s="758"/>
      <c r="G1380" s="754"/>
    </row>
    <row r="1381" spans="1:7" ht="12.75" customHeight="1">
      <c r="A1381" s="1538"/>
      <c r="B1381" s="1981"/>
      <c r="C1381" s="757"/>
      <c r="E1381" s="758"/>
      <c r="G1381" s="754"/>
    </row>
    <row r="1382" spans="1:7" ht="12.75" customHeight="1">
      <c r="A1382" s="1538"/>
      <c r="B1382" s="1981"/>
      <c r="C1382" s="757"/>
      <c r="E1382" s="758"/>
      <c r="G1382" s="754"/>
    </row>
    <row r="1383" spans="1:7" ht="12.75" customHeight="1">
      <c r="A1383" s="1538"/>
      <c r="B1383" s="1981"/>
      <c r="C1383" s="757"/>
      <c r="E1383" s="758"/>
      <c r="G1383" s="754"/>
    </row>
    <row r="1384" spans="1:7" ht="12.75" customHeight="1">
      <c r="A1384" s="1538"/>
      <c r="B1384" s="1981"/>
      <c r="C1384" s="757"/>
      <c r="E1384" s="758"/>
      <c r="G1384" s="754"/>
    </row>
    <row r="1385" spans="1:7" ht="12.75" customHeight="1">
      <c r="A1385" s="1538"/>
      <c r="B1385" s="1981"/>
      <c r="C1385" s="757"/>
      <c r="E1385" s="758"/>
      <c r="G1385" s="754"/>
    </row>
    <row r="1386" spans="1:7" ht="12.75" customHeight="1">
      <c r="A1386" s="1538"/>
      <c r="B1386" s="1981"/>
      <c r="C1386" s="757"/>
      <c r="E1386" s="758"/>
      <c r="G1386" s="754"/>
    </row>
    <row r="1387" spans="1:7" ht="12.75" customHeight="1">
      <c r="A1387" s="1538"/>
      <c r="B1387" s="1981"/>
      <c r="C1387" s="757"/>
      <c r="E1387" s="758"/>
      <c r="G1387" s="754"/>
    </row>
    <row r="1388" spans="1:7" ht="12.75" customHeight="1">
      <c r="A1388" s="1538"/>
      <c r="B1388" s="1981"/>
      <c r="C1388" s="757"/>
      <c r="E1388" s="758"/>
      <c r="G1388" s="754"/>
    </row>
    <row r="1389" spans="1:7" ht="12.75" customHeight="1">
      <c r="A1389" s="1538"/>
      <c r="B1389" s="1981"/>
      <c r="C1389" s="757"/>
      <c r="E1389" s="758"/>
      <c r="G1389" s="754"/>
    </row>
    <row r="1390" spans="1:7" ht="12.75" customHeight="1">
      <c r="A1390" s="1538"/>
      <c r="B1390" s="1981"/>
      <c r="C1390" s="757"/>
      <c r="E1390" s="758"/>
      <c r="G1390" s="754"/>
    </row>
    <row r="1391" spans="1:7" ht="12.75" customHeight="1">
      <c r="A1391" s="1538"/>
      <c r="B1391" s="1981"/>
      <c r="C1391" s="757"/>
      <c r="E1391" s="758"/>
      <c r="G1391" s="754"/>
    </row>
    <row r="1392" spans="1:7" ht="12.75" customHeight="1">
      <c r="A1392" s="1538"/>
      <c r="B1392" s="1981"/>
      <c r="C1392" s="757"/>
      <c r="E1392" s="758"/>
      <c r="G1392" s="754"/>
    </row>
    <row r="1393" spans="1:7" ht="12.75" customHeight="1">
      <c r="A1393" s="1538"/>
      <c r="B1393" s="1981"/>
      <c r="C1393" s="757"/>
      <c r="E1393" s="758"/>
      <c r="G1393" s="754"/>
    </row>
    <row r="1394" spans="1:7" ht="12.75" customHeight="1">
      <c r="A1394" s="1538"/>
      <c r="B1394" s="1981"/>
      <c r="C1394" s="757"/>
      <c r="E1394" s="758"/>
      <c r="G1394" s="754"/>
    </row>
    <row r="1395" spans="1:7" ht="12.75" customHeight="1">
      <c r="A1395" s="1538"/>
      <c r="B1395" s="1981"/>
      <c r="C1395" s="757"/>
      <c r="E1395" s="758"/>
      <c r="G1395" s="754"/>
    </row>
    <row r="1396" spans="1:7" ht="12.75" customHeight="1">
      <c r="A1396" s="1538"/>
      <c r="B1396" s="1981"/>
      <c r="C1396" s="757"/>
      <c r="E1396" s="758"/>
      <c r="G1396" s="754"/>
    </row>
    <row r="1397" spans="1:7" ht="12.75" customHeight="1">
      <c r="A1397" s="1538"/>
      <c r="B1397" s="1981"/>
      <c r="C1397" s="757"/>
      <c r="E1397" s="758"/>
      <c r="G1397" s="754"/>
    </row>
    <row r="1398" spans="1:7" ht="12.75" customHeight="1">
      <c r="A1398" s="1538"/>
      <c r="B1398" s="1981"/>
      <c r="C1398" s="757"/>
      <c r="E1398" s="758"/>
      <c r="G1398" s="754"/>
    </row>
    <row r="1399" spans="1:7" ht="12.75" customHeight="1">
      <c r="A1399" s="1538"/>
      <c r="B1399" s="1981"/>
      <c r="C1399" s="757"/>
      <c r="E1399" s="758"/>
      <c r="G1399" s="754"/>
    </row>
    <row r="1400" spans="1:7" ht="12.75" customHeight="1">
      <c r="A1400" s="1538"/>
      <c r="B1400" s="1981"/>
      <c r="C1400" s="757"/>
      <c r="E1400" s="758"/>
      <c r="G1400" s="754"/>
    </row>
    <row r="1401" spans="1:7" ht="12.75" customHeight="1">
      <c r="A1401" s="1538"/>
      <c r="B1401" s="1981"/>
      <c r="C1401" s="757"/>
      <c r="E1401" s="758"/>
      <c r="G1401" s="754"/>
    </row>
    <row r="1402" spans="1:7" ht="12.75" customHeight="1">
      <c r="A1402" s="1538"/>
      <c r="B1402" s="1981"/>
      <c r="C1402" s="757"/>
      <c r="E1402" s="758"/>
      <c r="G1402" s="754"/>
    </row>
    <row r="1403" spans="1:7" ht="12.75" customHeight="1">
      <c r="A1403" s="1538"/>
      <c r="B1403" s="1981"/>
      <c r="C1403" s="757"/>
      <c r="E1403" s="758"/>
      <c r="G1403" s="754"/>
    </row>
    <row r="1404" spans="1:7" ht="12.75" customHeight="1">
      <c r="A1404" s="1538"/>
      <c r="B1404" s="1981"/>
      <c r="C1404" s="757"/>
      <c r="E1404" s="758"/>
      <c r="G1404" s="754"/>
    </row>
    <row r="1405" spans="1:7" ht="12.75" customHeight="1">
      <c r="A1405" s="1538"/>
      <c r="B1405" s="1981"/>
      <c r="C1405" s="757"/>
      <c r="E1405" s="758"/>
      <c r="G1405" s="754"/>
    </row>
    <row r="1406" spans="1:7" ht="12.75" customHeight="1">
      <c r="A1406" s="1538"/>
      <c r="B1406" s="1981"/>
      <c r="C1406" s="757"/>
      <c r="E1406" s="758"/>
      <c r="G1406" s="754"/>
    </row>
    <row r="1407" spans="1:7" ht="12.75" customHeight="1">
      <c r="A1407" s="1538"/>
      <c r="B1407" s="1981"/>
      <c r="C1407" s="757"/>
      <c r="E1407" s="758"/>
      <c r="G1407" s="754"/>
    </row>
    <row r="1408" spans="1:7" ht="12.75" customHeight="1">
      <c r="A1408" s="1538"/>
      <c r="B1408" s="1981"/>
      <c r="C1408" s="757"/>
      <c r="E1408" s="758"/>
      <c r="G1408" s="754"/>
    </row>
    <row r="1409" spans="1:7" ht="12.75" customHeight="1">
      <c r="A1409" s="1538"/>
      <c r="B1409" s="1981"/>
      <c r="C1409" s="757"/>
      <c r="E1409" s="758"/>
      <c r="G1409" s="754"/>
    </row>
    <row r="1410" spans="1:7" ht="12.75" customHeight="1">
      <c r="A1410" s="1538"/>
      <c r="B1410" s="1981"/>
      <c r="C1410" s="757"/>
      <c r="E1410" s="758"/>
      <c r="G1410" s="754"/>
    </row>
    <row r="1411" spans="1:7" ht="12.75" customHeight="1">
      <c r="A1411" s="1538"/>
      <c r="B1411" s="1981"/>
      <c r="C1411" s="757"/>
      <c r="E1411" s="758"/>
      <c r="G1411" s="754"/>
    </row>
    <row r="1412" spans="1:7" ht="12.75" customHeight="1">
      <c r="A1412" s="1538"/>
      <c r="B1412" s="1981"/>
      <c r="C1412" s="757"/>
      <c r="E1412" s="758"/>
      <c r="G1412" s="754"/>
    </row>
    <row r="1413" spans="1:7" ht="12.75" customHeight="1">
      <c r="A1413" s="1538"/>
      <c r="B1413" s="1981"/>
      <c r="C1413" s="757"/>
      <c r="E1413" s="758"/>
      <c r="G1413" s="754"/>
    </row>
    <row r="1414" spans="1:7" ht="12.75" customHeight="1">
      <c r="A1414" s="1538"/>
      <c r="B1414" s="1981"/>
      <c r="C1414" s="757"/>
      <c r="E1414" s="758"/>
      <c r="G1414" s="754"/>
    </row>
    <row r="1415" spans="1:7" ht="12.75" customHeight="1">
      <c r="A1415" s="1538"/>
      <c r="B1415" s="1981"/>
      <c r="C1415" s="757"/>
      <c r="E1415" s="758"/>
      <c r="G1415" s="754"/>
    </row>
    <row r="1416" spans="1:7" ht="12.75" customHeight="1">
      <c r="A1416" s="1538"/>
      <c r="B1416" s="1981"/>
      <c r="C1416" s="757"/>
      <c r="E1416" s="758"/>
      <c r="G1416" s="754"/>
    </row>
    <row r="1417" spans="1:7" ht="12.75" customHeight="1">
      <c r="A1417" s="1538"/>
      <c r="B1417" s="1981"/>
      <c r="C1417" s="757"/>
      <c r="E1417" s="758"/>
      <c r="G1417" s="754"/>
    </row>
    <row r="1418" spans="1:7" ht="12.75" customHeight="1">
      <c r="A1418" s="1538"/>
      <c r="B1418" s="1981"/>
      <c r="C1418" s="757"/>
      <c r="E1418" s="758"/>
      <c r="G1418" s="754"/>
    </row>
    <row r="1419" spans="1:7" ht="12.75" customHeight="1">
      <c r="A1419" s="1538"/>
      <c r="B1419" s="1981"/>
      <c r="C1419" s="757"/>
      <c r="E1419" s="758"/>
      <c r="G1419" s="754"/>
    </row>
    <row r="1420" spans="1:7" ht="12.75" customHeight="1">
      <c r="A1420" s="1538"/>
      <c r="B1420" s="1981"/>
      <c r="C1420" s="757"/>
      <c r="E1420" s="758"/>
      <c r="G1420" s="754"/>
    </row>
    <row r="1421" spans="1:7" ht="12.75" customHeight="1">
      <c r="A1421" s="1538"/>
      <c r="B1421" s="1981"/>
      <c r="C1421" s="757"/>
      <c r="E1421" s="758"/>
      <c r="G1421" s="754"/>
    </row>
    <row r="1422" spans="1:7" ht="12.75" customHeight="1">
      <c r="A1422" s="1538"/>
      <c r="B1422" s="1981"/>
      <c r="C1422" s="757"/>
      <c r="E1422" s="758"/>
      <c r="G1422" s="754"/>
    </row>
    <row r="1423" spans="1:7" ht="12.75" customHeight="1">
      <c r="A1423" s="1538"/>
      <c r="B1423" s="1981"/>
      <c r="C1423" s="757"/>
      <c r="E1423" s="758"/>
      <c r="G1423" s="754"/>
    </row>
    <row r="1424" spans="1:7" ht="12.75" customHeight="1">
      <c r="A1424" s="1538"/>
      <c r="B1424" s="1981"/>
      <c r="C1424" s="757"/>
      <c r="E1424" s="758"/>
      <c r="G1424" s="754"/>
    </row>
    <row r="1425" spans="1:7" ht="12.75" customHeight="1">
      <c r="A1425" s="1538"/>
      <c r="B1425" s="1981"/>
      <c r="C1425" s="757"/>
      <c r="E1425" s="758"/>
      <c r="G1425" s="754"/>
    </row>
    <row r="1426" spans="1:7" ht="12.75" customHeight="1">
      <c r="A1426" s="1538"/>
      <c r="B1426" s="1981"/>
      <c r="C1426" s="757"/>
      <c r="E1426" s="758"/>
      <c r="G1426" s="754"/>
    </row>
    <row r="1427" spans="1:7" ht="12.75" customHeight="1">
      <c r="A1427" s="1538"/>
      <c r="B1427" s="1981"/>
      <c r="C1427" s="757"/>
      <c r="E1427" s="758"/>
      <c r="G1427" s="754"/>
    </row>
    <row r="1428" spans="1:7" ht="12.75" customHeight="1">
      <c r="A1428" s="1538"/>
      <c r="B1428" s="1981"/>
      <c r="C1428" s="757"/>
      <c r="E1428" s="758"/>
      <c r="G1428" s="754"/>
    </row>
    <row r="1429" spans="1:7" ht="12.75" customHeight="1">
      <c r="A1429" s="1538"/>
      <c r="B1429" s="1981"/>
      <c r="C1429" s="757"/>
      <c r="E1429" s="758"/>
      <c r="G1429" s="754"/>
    </row>
    <row r="1430" spans="1:7" ht="12.75" customHeight="1">
      <c r="A1430" s="1538"/>
      <c r="B1430" s="1981"/>
      <c r="C1430" s="757"/>
      <c r="E1430" s="758"/>
      <c r="G1430" s="754"/>
    </row>
    <row r="1431" spans="1:7" ht="12.75" customHeight="1">
      <c r="A1431" s="1538"/>
      <c r="B1431" s="1981"/>
      <c r="C1431" s="757"/>
      <c r="E1431" s="758"/>
      <c r="G1431" s="754"/>
    </row>
    <row r="1432" spans="1:7" ht="12.75" customHeight="1">
      <c r="A1432" s="1538"/>
      <c r="B1432" s="1981"/>
      <c r="C1432" s="757"/>
      <c r="E1432" s="758"/>
      <c r="G1432" s="754"/>
    </row>
    <row r="1433" spans="1:7" ht="12.75" customHeight="1">
      <c r="A1433" s="1538"/>
      <c r="B1433" s="1981"/>
      <c r="C1433" s="757"/>
      <c r="E1433" s="758"/>
      <c r="G1433" s="754"/>
    </row>
    <row r="1434" spans="1:7" ht="12.75" customHeight="1">
      <c r="A1434" s="1538"/>
      <c r="B1434" s="1981"/>
      <c r="C1434" s="757"/>
      <c r="E1434" s="758"/>
      <c r="G1434" s="754"/>
    </row>
    <row r="1435" spans="1:7" ht="12.75" customHeight="1">
      <c r="A1435" s="1538"/>
      <c r="B1435" s="1981"/>
      <c r="C1435" s="757"/>
      <c r="E1435" s="758"/>
      <c r="G1435" s="754"/>
    </row>
    <row r="1436" spans="1:7" ht="12.75" customHeight="1">
      <c r="A1436" s="1538"/>
      <c r="B1436" s="1981"/>
      <c r="C1436" s="757"/>
      <c r="E1436" s="758"/>
      <c r="G1436" s="754"/>
    </row>
    <row r="1437" spans="1:7" ht="12.75" customHeight="1">
      <c r="A1437" s="1538"/>
      <c r="B1437" s="1981"/>
      <c r="C1437" s="757"/>
      <c r="E1437" s="758"/>
      <c r="G1437" s="754"/>
    </row>
    <row r="1438" spans="1:7" ht="12.75" customHeight="1">
      <c r="A1438" s="1538"/>
      <c r="B1438" s="1981"/>
      <c r="C1438" s="757"/>
      <c r="E1438" s="758"/>
      <c r="G1438" s="754"/>
    </row>
    <row r="1439" spans="1:7" ht="12.75" customHeight="1">
      <c r="A1439" s="1538"/>
      <c r="B1439" s="1981"/>
      <c r="C1439" s="757"/>
      <c r="E1439" s="758"/>
      <c r="G1439" s="754"/>
    </row>
    <row r="1440" spans="1:7" ht="12.75" customHeight="1">
      <c r="A1440" s="1538"/>
      <c r="B1440" s="1981"/>
      <c r="C1440" s="757"/>
      <c r="E1440" s="758"/>
      <c r="G1440" s="754"/>
    </row>
    <row r="1441" spans="1:7" ht="12.75" customHeight="1">
      <c r="A1441" s="1538"/>
      <c r="B1441" s="1981"/>
      <c r="C1441" s="757"/>
      <c r="E1441" s="758"/>
      <c r="G1441" s="754"/>
    </row>
    <row r="1442" spans="1:7" ht="12.75" customHeight="1">
      <c r="A1442" s="1538"/>
      <c r="B1442" s="1981"/>
      <c r="C1442" s="757"/>
      <c r="E1442" s="758"/>
      <c r="G1442" s="754"/>
    </row>
    <row r="1443" spans="1:7" ht="12.75" customHeight="1">
      <c r="A1443" s="1538"/>
      <c r="B1443" s="1981"/>
      <c r="C1443" s="757"/>
      <c r="E1443" s="758"/>
      <c r="G1443" s="754"/>
    </row>
    <row r="1444" spans="1:7" ht="12.75" customHeight="1">
      <c r="A1444" s="1538"/>
      <c r="B1444" s="1981"/>
      <c r="C1444" s="757"/>
      <c r="E1444" s="758"/>
      <c r="G1444" s="754"/>
    </row>
    <row r="1445" spans="1:7" ht="12.75" customHeight="1">
      <c r="A1445" s="1538"/>
      <c r="B1445" s="1981"/>
      <c r="C1445" s="757"/>
      <c r="E1445" s="758"/>
      <c r="G1445" s="754"/>
    </row>
    <row r="1446" spans="1:7" ht="12.75" customHeight="1">
      <c r="A1446" s="1538"/>
      <c r="B1446" s="1981"/>
      <c r="C1446" s="757"/>
      <c r="E1446" s="758"/>
      <c r="G1446" s="754"/>
    </row>
    <row r="1447" spans="1:7" ht="12.75" customHeight="1">
      <c r="A1447" s="1538"/>
      <c r="B1447" s="1981"/>
      <c r="C1447" s="757"/>
      <c r="E1447" s="758"/>
      <c r="G1447" s="754"/>
    </row>
    <row r="1448" spans="1:7" ht="12.75" customHeight="1">
      <c r="A1448" s="1538"/>
      <c r="B1448" s="1981"/>
      <c r="C1448" s="757"/>
      <c r="E1448" s="758"/>
      <c r="G1448" s="754"/>
    </row>
    <row r="1449" spans="1:7" ht="12.75" customHeight="1">
      <c r="A1449" s="1538"/>
      <c r="B1449" s="1981"/>
      <c r="C1449" s="757"/>
      <c r="E1449" s="758"/>
      <c r="G1449" s="754"/>
    </row>
    <row r="1450" spans="1:7" ht="12.75" customHeight="1">
      <c r="A1450" s="1538"/>
      <c r="B1450" s="1981"/>
      <c r="C1450" s="757"/>
      <c r="E1450" s="758"/>
      <c r="G1450" s="754"/>
    </row>
    <row r="1451" spans="1:7" ht="12.75" customHeight="1">
      <c r="A1451" s="1538"/>
      <c r="B1451" s="1981"/>
      <c r="C1451" s="757"/>
      <c r="E1451" s="758"/>
      <c r="G1451" s="754"/>
    </row>
    <row r="1452" spans="1:7" ht="12.75" customHeight="1">
      <c r="A1452" s="1538"/>
      <c r="B1452" s="1981"/>
      <c r="C1452" s="757"/>
      <c r="E1452" s="758"/>
      <c r="G1452" s="754"/>
    </row>
    <row r="1453" spans="1:7" ht="12.75" customHeight="1">
      <c r="A1453" s="1538"/>
      <c r="B1453" s="1981"/>
      <c r="C1453" s="757"/>
      <c r="E1453" s="758"/>
      <c r="G1453" s="754"/>
    </row>
    <row r="1454" spans="1:7" ht="12.75" customHeight="1">
      <c r="A1454" s="1538"/>
      <c r="B1454" s="1981"/>
      <c r="C1454" s="757"/>
      <c r="E1454" s="758"/>
      <c r="G1454" s="754"/>
    </row>
    <row r="1455" spans="1:7" ht="12.75" customHeight="1">
      <c r="A1455" s="1538"/>
      <c r="B1455" s="1981"/>
      <c r="C1455" s="757"/>
      <c r="E1455" s="758"/>
      <c r="G1455" s="754"/>
    </row>
    <row r="1456" spans="1:7" ht="12.75" customHeight="1">
      <c r="A1456" s="1538"/>
      <c r="B1456" s="1981"/>
      <c r="C1456" s="757"/>
      <c r="E1456" s="758"/>
      <c r="G1456" s="754"/>
    </row>
    <row r="1457" spans="1:7" ht="12.75" customHeight="1">
      <c r="A1457" s="1538"/>
      <c r="B1457" s="1981"/>
      <c r="C1457" s="757"/>
      <c r="E1457" s="758"/>
      <c r="G1457" s="754"/>
    </row>
    <row r="1458" spans="1:7" ht="12.75" customHeight="1">
      <c r="A1458" s="1538"/>
      <c r="B1458" s="1981"/>
      <c r="C1458" s="757"/>
      <c r="E1458" s="758"/>
      <c r="G1458" s="754"/>
    </row>
    <row r="1459" spans="1:7" ht="12.75" customHeight="1">
      <c r="A1459" s="1538"/>
      <c r="B1459" s="1981"/>
      <c r="C1459" s="757"/>
      <c r="E1459" s="758"/>
      <c r="G1459" s="754"/>
    </row>
    <row r="1460" spans="1:7" ht="12.75" customHeight="1">
      <c r="A1460" s="1538"/>
      <c r="B1460" s="1981"/>
      <c r="C1460" s="757"/>
      <c r="E1460" s="758"/>
      <c r="G1460" s="754"/>
    </row>
    <row r="1461" spans="1:7" ht="12.75" customHeight="1">
      <c r="A1461" s="1538"/>
      <c r="B1461" s="1981"/>
      <c r="C1461" s="757"/>
      <c r="E1461" s="758"/>
      <c r="G1461" s="754"/>
    </row>
    <row r="1462" spans="1:7" ht="12.75" customHeight="1">
      <c r="A1462" s="1538"/>
      <c r="B1462" s="1981"/>
      <c r="C1462" s="757"/>
      <c r="E1462" s="758"/>
      <c r="G1462" s="754"/>
    </row>
    <row r="1463" spans="1:7" ht="12.75" customHeight="1">
      <c r="A1463" s="1538"/>
      <c r="B1463" s="1981"/>
      <c r="C1463" s="757"/>
      <c r="E1463" s="758"/>
      <c r="G1463" s="754"/>
    </row>
    <row r="1464" spans="1:7" ht="12.75" customHeight="1">
      <c r="A1464" s="1538"/>
      <c r="B1464" s="1981"/>
      <c r="C1464" s="757"/>
      <c r="E1464" s="758"/>
      <c r="G1464" s="754"/>
    </row>
    <row r="1465" spans="1:7" ht="12.75" customHeight="1">
      <c r="A1465" s="1538"/>
      <c r="B1465" s="1981"/>
      <c r="C1465" s="757"/>
      <c r="E1465" s="758"/>
      <c r="G1465" s="754"/>
    </row>
    <row r="1466" spans="1:7" ht="12.75" customHeight="1">
      <c r="A1466" s="1538"/>
      <c r="B1466" s="1981"/>
      <c r="C1466" s="757"/>
      <c r="E1466" s="758"/>
      <c r="G1466" s="754"/>
    </row>
    <row r="1467" spans="1:7" ht="12.75" customHeight="1">
      <c r="A1467" s="1538"/>
      <c r="B1467" s="1981"/>
      <c r="C1467" s="757"/>
      <c r="E1467" s="758"/>
      <c r="G1467" s="754"/>
    </row>
    <row r="1468" spans="1:7" ht="12.75" customHeight="1">
      <c r="A1468" s="1538"/>
      <c r="B1468" s="1981"/>
      <c r="C1468" s="757"/>
      <c r="E1468" s="758"/>
      <c r="G1468" s="754"/>
    </row>
    <row r="1469" spans="1:7" ht="12.75" customHeight="1">
      <c r="A1469" s="1538"/>
      <c r="B1469" s="1981"/>
      <c r="C1469" s="757"/>
      <c r="E1469" s="758"/>
      <c r="G1469" s="754"/>
    </row>
    <row r="1470" spans="1:7" ht="12.75" customHeight="1">
      <c r="A1470" s="1538"/>
      <c r="B1470" s="1981"/>
      <c r="C1470" s="757"/>
      <c r="E1470" s="758"/>
      <c r="G1470" s="754"/>
    </row>
    <row r="1471" spans="1:7" ht="12.75" customHeight="1">
      <c r="A1471" s="1538"/>
      <c r="B1471" s="1981"/>
      <c r="C1471" s="757"/>
      <c r="E1471" s="758"/>
      <c r="G1471" s="754"/>
    </row>
    <row r="1472" spans="1:7" ht="12.75" customHeight="1">
      <c r="A1472" s="1538"/>
      <c r="B1472" s="1981"/>
      <c r="C1472" s="757"/>
      <c r="E1472" s="758"/>
      <c r="G1472" s="754"/>
    </row>
    <row r="1473" spans="1:7" ht="12.75" customHeight="1">
      <c r="A1473" s="1538"/>
      <c r="B1473" s="1981"/>
      <c r="C1473" s="757"/>
      <c r="E1473" s="758"/>
      <c r="G1473" s="754"/>
    </row>
    <row r="1474" spans="1:7" ht="12.75" customHeight="1">
      <c r="A1474" s="1538"/>
      <c r="B1474" s="1981"/>
      <c r="C1474" s="757"/>
      <c r="E1474" s="758"/>
      <c r="G1474" s="754"/>
    </row>
    <row r="1475" spans="1:7" ht="12.75" customHeight="1">
      <c r="A1475" s="1538"/>
      <c r="B1475" s="1981"/>
      <c r="C1475" s="757"/>
      <c r="E1475" s="758"/>
      <c r="G1475" s="754"/>
    </row>
    <row r="1476" spans="1:7" ht="12.75" customHeight="1">
      <c r="A1476" s="1538"/>
      <c r="B1476" s="1981"/>
      <c r="C1476" s="757"/>
      <c r="E1476" s="758"/>
      <c r="G1476" s="754"/>
    </row>
    <row r="1477" spans="1:7" ht="12.75" customHeight="1">
      <c r="A1477" s="1538"/>
      <c r="B1477" s="1981"/>
      <c r="C1477" s="757"/>
      <c r="E1477" s="758"/>
      <c r="G1477" s="754"/>
    </row>
    <row r="1478" spans="1:7" ht="12.75" customHeight="1">
      <c r="A1478" s="1538"/>
      <c r="B1478" s="1981"/>
      <c r="C1478" s="757"/>
      <c r="E1478" s="758"/>
      <c r="G1478" s="754"/>
    </row>
    <row r="1479" spans="1:7" ht="12.75" customHeight="1">
      <c r="A1479" s="1538"/>
      <c r="B1479" s="1981"/>
      <c r="C1479" s="757"/>
      <c r="E1479" s="758"/>
      <c r="G1479" s="754"/>
    </row>
    <row r="1480" spans="1:7" ht="12.75" customHeight="1">
      <c r="A1480" s="1538"/>
      <c r="B1480" s="1981"/>
      <c r="C1480" s="757"/>
      <c r="E1480" s="758"/>
      <c r="G1480" s="754"/>
    </row>
    <row r="1481" spans="1:7" ht="12.75" customHeight="1">
      <c r="A1481" s="1538"/>
      <c r="B1481" s="1981"/>
      <c r="C1481" s="757"/>
      <c r="E1481" s="758"/>
      <c r="G1481" s="754"/>
    </row>
    <row r="1482" spans="1:7" ht="12.75" customHeight="1">
      <c r="A1482" s="1538"/>
      <c r="B1482" s="1981"/>
      <c r="C1482" s="757"/>
      <c r="E1482" s="758"/>
      <c r="G1482" s="754"/>
    </row>
    <row r="1483" spans="1:7" ht="12.75" customHeight="1">
      <c r="A1483" s="1538"/>
      <c r="B1483" s="1981"/>
      <c r="C1483" s="757"/>
      <c r="E1483" s="758"/>
      <c r="G1483" s="754"/>
    </row>
    <row r="1484" spans="1:7" ht="12.75" customHeight="1">
      <c r="A1484" s="1538"/>
      <c r="B1484" s="1981"/>
      <c r="C1484" s="757"/>
      <c r="E1484" s="758"/>
      <c r="G1484" s="754"/>
    </row>
    <row r="1485" spans="1:7" ht="12.75" customHeight="1">
      <c r="A1485" s="1538"/>
      <c r="B1485" s="1981"/>
      <c r="C1485" s="757"/>
      <c r="E1485" s="758"/>
      <c r="G1485" s="754"/>
    </row>
    <row r="1486" spans="1:7" ht="12.75" customHeight="1">
      <c r="A1486" s="1538"/>
      <c r="B1486" s="1981"/>
      <c r="C1486" s="757"/>
      <c r="E1486" s="758"/>
      <c r="G1486" s="754"/>
    </row>
    <row r="1487" spans="1:7" ht="12.75" customHeight="1">
      <c r="A1487" s="1538"/>
      <c r="B1487" s="1981"/>
      <c r="C1487" s="757"/>
      <c r="E1487" s="758"/>
      <c r="G1487" s="754"/>
    </row>
    <row r="1488" spans="1:7" ht="12.75" customHeight="1">
      <c r="A1488" s="1538"/>
      <c r="B1488" s="1981"/>
      <c r="C1488" s="757"/>
      <c r="E1488" s="758"/>
      <c r="G1488" s="754"/>
    </row>
    <row r="1489" spans="1:7" ht="12.75" customHeight="1">
      <c r="A1489" s="1538"/>
      <c r="B1489" s="1981"/>
      <c r="C1489" s="757"/>
      <c r="E1489" s="758"/>
      <c r="G1489" s="754"/>
    </row>
    <row r="1490" spans="1:7" ht="12.75" customHeight="1">
      <c r="A1490" s="1538"/>
      <c r="B1490" s="1981"/>
      <c r="C1490" s="757"/>
      <c r="E1490" s="758"/>
      <c r="G1490" s="754"/>
    </row>
    <row r="1491" spans="1:7" ht="12.75" customHeight="1">
      <c r="A1491" s="1538"/>
      <c r="B1491" s="1981"/>
      <c r="C1491" s="757"/>
      <c r="E1491" s="758"/>
      <c r="G1491" s="754"/>
    </row>
    <row r="1492" spans="1:7" ht="12.75" customHeight="1">
      <c r="A1492" s="1538"/>
      <c r="B1492" s="1981"/>
      <c r="C1492" s="757"/>
      <c r="E1492" s="758"/>
      <c r="G1492" s="754"/>
    </row>
    <row r="1493" spans="1:7" ht="12.75" customHeight="1">
      <c r="A1493" s="1538"/>
      <c r="B1493" s="1981"/>
      <c r="C1493" s="757"/>
      <c r="E1493" s="758"/>
      <c r="G1493" s="754"/>
    </row>
    <row r="1494" spans="1:7" ht="12.75" customHeight="1">
      <c r="A1494" s="1538"/>
      <c r="B1494" s="1981"/>
      <c r="C1494" s="757"/>
      <c r="E1494" s="758"/>
      <c r="G1494" s="754"/>
    </row>
    <row r="1495" spans="1:7" ht="12.75" customHeight="1">
      <c r="A1495" s="1538"/>
      <c r="B1495" s="1981"/>
      <c r="C1495" s="757"/>
      <c r="E1495" s="758"/>
      <c r="G1495" s="754"/>
    </row>
    <row r="1496" spans="1:7" ht="12.75" customHeight="1">
      <c r="A1496" s="1538"/>
      <c r="B1496" s="1981"/>
      <c r="C1496" s="757"/>
      <c r="E1496" s="758"/>
      <c r="G1496" s="754"/>
    </row>
    <row r="1497" spans="1:7" ht="12.75" customHeight="1">
      <c r="A1497" s="1538"/>
      <c r="B1497" s="1981"/>
      <c r="C1497" s="757"/>
      <c r="E1497" s="758"/>
      <c r="G1497" s="754"/>
    </row>
    <row r="1498" spans="1:7" ht="12.75" customHeight="1">
      <c r="A1498" s="1538"/>
      <c r="B1498" s="1981"/>
      <c r="C1498" s="757"/>
      <c r="E1498" s="758"/>
      <c r="G1498" s="754"/>
    </row>
    <row r="1499" spans="1:7" ht="12.75" customHeight="1">
      <c r="A1499" s="1538"/>
      <c r="B1499" s="1981"/>
      <c r="C1499" s="757"/>
      <c r="E1499" s="758"/>
      <c r="G1499" s="754"/>
    </row>
    <row r="1500" spans="1:7" ht="12.75" customHeight="1">
      <c r="A1500" s="1538"/>
      <c r="B1500" s="1981"/>
      <c r="C1500" s="757"/>
      <c r="E1500" s="758"/>
      <c r="G1500" s="754"/>
    </row>
    <row r="1501" spans="1:7" ht="12.75" customHeight="1">
      <c r="A1501" s="1538"/>
      <c r="B1501" s="1981"/>
      <c r="C1501" s="757"/>
      <c r="E1501" s="758"/>
      <c r="G1501" s="754"/>
    </row>
    <row r="1502" spans="1:7" ht="12.75" customHeight="1">
      <c r="A1502" s="1538"/>
      <c r="B1502" s="1981"/>
      <c r="C1502" s="757"/>
      <c r="E1502" s="758"/>
      <c r="G1502" s="754"/>
    </row>
    <row r="1503" spans="1:7" ht="12.75" customHeight="1">
      <c r="A1503" s="1538"/>
      <c r="B1503" s="1981"/>
      <c r="C1503" s="757"/>
      <c r="E1503" s="758"/>
      <c r="G1503" s="754"/>
    </row>
    <row r="1504" spans="1:7" ht="12.75" customHeight="1">
      <c r="A1504" s="1538"/>
      <c r="B1504" s="1981"/>
      <c r="C1504" s="757"/>
      <c r="E1504" s="758"/>
      <c r="G1504" s="754"/>
    </row>
    <row r="1505" spans="1:7" ht="12.75" customHeight="1">
      <c r="A1505" s="1538"/>
      <c r="B1505" s="1981"/>
      <c r="C1505" s="757"/>
      <c r="E1505" s="758"/>
      <c r="G1505" s="754"/>
    </row>
    <row r="1506" spans="1:7" ht="12.75" customHeight="1">
      <c r="A1506" s="1538"/>
      <c r="B1506" s="1981"/>
      <c r="C1506" s="757"/>
      <c r="E1506" s="758"/>
      <c r="G1506" s="754"/>
    </row>
    <row r="1507" spans="1:7" ht="12.75" customHeight="1">
      <c r="A1507" s="1538"/>
      <c r="B1507" s="1981"/>
      <c r="C1507" s="757"/>
      <c r="E1507" s="758"/>
      <c r="G1507" s="754"/>
    </row>
    <row r="1508" spans="1:7" ht="12.75" customHeight="1">
      <c r="A1508" s="1538"/>
      <c r="B1508" s="1981"/>
      <c r="C1508" s="757"/>
      <c r="E1508" s="758"/>
      <c r="G1508" s="754"/>
    </row>
    <row r="1509" spans="1:7" ht="12.75" customHeight="1">
      <c r="A1509" s="1538"/>
      <c r="B1509" s="1981"/>
      <c r="C1509" s="757"/>
      <c r="E1509" s="758"/>
      <c r="G1509" s="754"/>
    </row>
    <row r="1510" spans="1:7" ht="12.75" customHeight="1">
      <c r="A1510" s="1538"/>
      <c r="B1510" s="1981"/>
      <c r="C1510" s="757"/>
      <c r="E1510" s="758"/>
      <c r="G1510" s="754"/>
    </row>
    <row r="1511" spans="1:7" ht="12.75" customHeight="1">
      <c r="A1511" s="1538"/>
      <c r="B1511" s="1981"/>
      <c r="C1511" s="757"/>
      <c r="E1511" s="758"/>
      <c r="G1511" s="754"/>
    </row>
    <row r="1512" spans="1:7" ht="12.75" customHeight="1">
      <c r="A1512" s="1538"/>
      <c r="B1512" s="1981"/>
      <c r="C1512" s="757"/>
      <c r="E1512" s="758"/>
      <c r="G1512" s="754"/>
    </row>
    <row r="1513" spans="1:7" ht="12.75" customHeight="1">
      <c r="A1513" s="1538"/>
      <c r="B1513" s="1981"/>
      <c r="C1513" s="757"/>
      <c r="E1513" s="758"/>
      <c r="G1513" s="754"/>
    </row>
    <row r="1514" spans="1:7" ht="12.75" customHeight="1">
      <c r="A1514" s="1538"/>
      <c r="B1514" s="1981"/>
      <c r="C1514" s="757"/>
      <c r="E1514" s="758"/>
      <c r="G1514" s="754"/>
    </row>
    <row r="1515" spans="1:7" ht="12.75" customHeight="1">
      <c r="A1515" s="1538"/>
      <c r="B1515" s="1981"/>
      <c r="C1515" s="757"/>
      <c r="E1515" s="758"/>
      <c r="G1515" s="754"/>
    </row>
    <row r="1516" spans="1:7" ht="12.75" customHeight="1">
      <c r="A1516" s="1538"/>
      <c r="B1516" s="1981"/>
      <c r="C1516" s="757"/>
      <c r="E1516" s="758"/>
      <c r="G1516" s="754"/>
    </row>
    <row r="1517" spans="1:7" ht="12.75" customHeight="1">
      <c r="A1517" s="1538"/>
      <c r="B1517" s="1981"/>
      <c r="C1517" s="757"/>
      <c r="E1517" s="758"/>
      <c r="G1517" s="754"/>
    </row>
    <row r="1518" spans="1:7" ht="12.75" customHeight="1">
      <c r="A1518" s="1538"/>
      <c r="B1518" s="1981"/>
      <c r="C1518" s="757"/>
      <c r="E1518" s="758"/>
      <c r="G1518" s="754"/>
    </row>
    <row r="1519" spans="1:7" ht="12.75" customHeight="1">
      <c r="A1519" s="1538"/>
      <c r="B1519" s="1981"/>
      <c r="C1519" s="757"/>
      <c r="E1519" s="758"/>
      <c r="G1519" s="754"/>
    </row>
    <row r="1520" spans="1:7" ht="12.75" customHeight="1">
      <c r="A1520" s="1538"/>
      <c r="B1520" s="1981"/>
      <c r="C1520" s="757"/>
      <c r="E1520" s="758"/>
      <c r="G1520" s="754"/>
    </row>
    <row r="1521" spans="1:7" ht="12.75" customHeight="1">
      <c r="A1521" s="1538"/>
      <c r="B1521" s="1981"/>
      <c r="C1521" s="757"/>
      <c r="E1521" s="758"/>
      <c r="G1521" s="754"/>
    </row>
    <row r="1522" spans="1:7" ht="12.75" customHeight="1">
      <c r="A1522" s="1538"/>
      <c r="B1522" s="1981"/>
      <c r="C1522" s="757"/>
      <c r="E1522" s="758"/>
      <c r="G1522" s="754"/>
    </row>
    <row r="1523" spans="1:7" ht="12.75" customHeight="1">
      <c r="A1523" s="1538"/>
      <c r="B1523" s="1981"/>
      <c r="C1523" s="757"/>
      <c r="E1523" s="758"/>
      <c r="G1523" s="754"/>
    </row>
    <row r="1524" spans="1:7" ht="12.75" customHeight="1">
      <c r="A1524" s="1538"/>
      <c r="B1524" s="1981"/>
      <c r="C1524" s="757"/>
      <c r="E1524" s="758"/>
      <c r="G1524" s="754"/>
    </row>
    <row r="1525" spans="1:7" ht="12.75" customHeight="1">
      <c r="A1525" s="1538"/>
      <c r="B1525" s="1981"/>
      <c r="C1525" s="757"/>
      <c r="E1525" s="758"/>
      <c r="G1525" s="754"/>
    </row>
    <row r="1526" spans="1:7" ht="12.75" customHeight="1">
      <c r="A1526" s="1538"/>
      <c r="B1526" s="1981"/>
      <c r="C1526" s="757"/>
      <c r="E1526" s="758"/>
      <c r="G1526" s="754"/>
    </row>
    <row r="1527" spans="1:7" ht="12.75" customHeight="1">
      <c r="A1527" s="1538"/>
      <c r="B1527" s="1981"/>
      <c r="C1527" s="757"/>
      <c r="E1527" s="758"/>
      <c r="G1527" s="754"/>
    </row>
    <row r="1528" spans="1:7" ht="12.75" customHeight="1">
      <c r="A1528" s="1538"/>
      <c r="B1528" s="1981"/>
      <c r="C1528" s="757"/>
      <c r="E1528" s="758"/>
      <c r="G1528" s="754"/>
    </row>
    <row r="1529" spans="1:7" ht="12.75" customHeight="1">
      <c r="A1529" s="1538"/>
      <c r="B1529" s="1981"/>
      <c r="C1529" s="757"/>
      <c r="E1529" s="758"/>
      <c r="G1529" s="754"/>
    </row>
    <row r="1530" spans="1:7" ht="12.75" customHeight="1">
      <c r="A1530" s="1538"/>
      <c r="B1530" s="1981"/>
      <c r="C1530" s="757"/>
      <c r="E1530" s="758"/>
      <c r="G1530" s="754"/>
    </row>
    <row r="1531" spans="1:7" ht="12.75" customHeight="1">
      <c r="A1531" s="1538"/>
      <c r="B1531" s="1981"/>
      <c r="C1531" s="757"/>
      <c r="E1531" s="758"/>
      <c r="G1531" s="754"/>
    </row>
    <row r="1532" spans="1:7" ht="12.75" customHeight="1">
      <c r="A1532" s="1538"/>
      <c r="B1532" s="1981"/>
      <c r="C1532" s="757"/>
      <c r="E1532" s="758"/>
      <c r="G1532" s="754"/>
    </row>
    <row r="1533" spans="1:7" ht="12.75" customHeight="1">
      <c r="A1533" s="1538"/>
      <c r="B1533" s="1981"/>
      <c r="C1533" s="757"/>
      <c r="E1533" s="758"/>
      <c r="G1533" s="754"/>
    </row>
    <row r="1534" spans="1:7" ht="12.75" customHeight="1">
      <c r="A1534" s="1538"/>
      <c r="B1534" s="1981"/>
      <c r="C1534" s="757"/>
      <c r="E1534" s="758"/>
      <c r="G1534" s="754"/>
    </row>
    <row r="1535" spans="1:7" ht="12.75" customHeight="1">
      <c r="A1535" s="1538"/>
      <c r="B1535" s="1981"/>
      <c r="C1535" s="757"/>
      <c r="E1535" s="758"/>
      <c r="G1535" s="754"/>
    </row>
    <row r="1536" spans="1:7" ht="12.75" customHeight="1">
      <c r="A1536" s="1538"/>
      <c r="B1536" s="1981"/>
      <c r="C1536" s="757"/>
      <c r="E1536" s="758"/>
      <c r="G1536" s="754"/>
    </row>
    <row r="1537" spans="1:7" ht="12.75" customHeight="1">
      <c r="A1537" s="1538"/>
      <c r="B1537" s="1981"/>
      <c r="C1537" s="757"/>
      <c r="E1537" s="758"/>
      <c r="G1537" s="754"/>
    </row>
    <row r="1538" spans="1:7" ht="12.75" customHeight="1">
      <c r="A1538" s="1538"/>
      <c r="B1538" s="1981"/>
      <c r="C1538" s="757"/>
      <c r="E1538" s="758"/>
      <c r="G1538" s="754"/>
    </row>
    <row r="1539" spans="1:7" ht="12.75" customHeight="1">
      <c r="A1539" s="1538"/>
      <c r="B1539" s="1981"/>
      <c r="C1539" s="757"/>
      <c r="E1539" s="758"/>
      <c r="G1539" s="754"/>
    </row>
    <row r="1540" spans="1:7" ht="12.75" customHeight="1">
      <c r="A1540" s="1538"/>
      <c r="B1540" s="1981"/>
      <c r="C1540" s="757"/>
      <c r="E1540" s="758"/>
      <c r="G1540" s="754"/>
    </row>
    <row r="1541" spans="1:7" ht="12.75" customHeight="1">
      <c r="A1541" s="1538"/>
      <c r="B1541" s="1981"/>
      <c r="C1541" s="757"/>
      <c r="E1541" s="758"/>
      <c r="G1541" s="754"/>
    </row>
    <row r="1542" spans="1:7" ht="12.75" customHeight="1">
      <c r="A1542" s="1538"/>
      <c r="B1542" s="1981"/>
      <c r="C1542" s="757"/>
      <c r="E1542" s="758"/>
      <c r="G1542" s="754"/>
    </row>
    <row r="1543" spans="1:7" ht="12.75" customHeight="1">
      <c r="A1543" s="1538"/>
      <c r="B1543" s="1981"/>
      <c r="C1543" s="757"/>
      <c r="E1543" s="758"/>
      <c r="G1543" s="754"/>
    </row>
    <row r="1544" spans="1:7" ht="12.75" customHeight="1">
      <c r="A1544" s="1538"/>
      <c r="B1544" s="1981"/>
      <c r="C1544" s="757"/>
      <c r="E1544" s="758"/>
      <c r="G1544" s="754"/>
    </row>
    <row r="1545" spans="1:7" ht="12.75" customHeight="1">
      <c r="A1545" s="1538"/>
      <c r="B1545" s="1981"/>
      <c r="C1545" s="757"/>
      <c r="E1545" s="758"/>
      <c r="G1545" s="754"/>
    </row>
    <row r="1546" spans="1:7" ht="12.75" customHeight="1">
      <c r="A1546" s="1538"/>
      <c r="B1546" s="1981"/>
      <c r="C1546" s="757"/>
      <c r="E1546" s="758"/>
      <c r="G1546" s="754"/>
    </row>
    <row r="1547" spans="1:7" ht="12.75" customHeight="1">
      <c r="A1547" s="1538"/>
      <c r="B1547" s="1981"/>
      <c r="C1547" s="757"/>
      <c r="E1547" s="758"/>
      <c r="G1547" s="754"/>
    </row>
    <row r="1548" spans="1:7" ht="12.75" customHeight="1">
      <c r="A1548" s="1538"/>
      <c r="B1548" s="1981"/>
      <c r="C1548" s="757"/>
      <c r="E1548" s="758"/>
      <c r="G1548" s="754"/>
    </row>
    <row r="1549" spans="1:7" ht="12.75" customHeight="1">
      <c r="A1549" s="1538"/>
      <c r="B1549" s="1981"/>
      <c r="C1549" s="757"/>
      <c r="E1549" s="758"/>
      <c r="G1549" s="754"/>
    </row>
    <row r="1550" spans="1:7" ht="12.75" customHeight="1">
      <c r="A1550" s="1538"/>
      <c r="B1550" s="1981"/>
      <c r="C1550" s="757"/>
      <c r="E1550" s="758"/>
      <c r="G1550" s="754"/>
    </row>
    <row r="1551" spans="1:7" ht="12.75" customHeight="1">
      <c r="A1551" s="1538"/>
      <c r="B1551" s="1981"/>
      <c r="C1551" s="757"/>
      <c r="E1551" s="758"/>
      <c r="G1551" s="754"/>
    </row>
    <row r="1552" spans="1:7" ht="12.75" customHeight="1">
      <c r="A1552" s="1538"/>
      <c r="B1552" s="1981"/>
      <c r="C1552" s="757"/>
      <c r="E1552" s="758"/>
      <c r="G1552" s="754"/>
    </row>
    <row r="1553" spans="1:7" ht="12.75" customHeight="1">
      <c r="A1553" s="1538"/>
      <c r="B1553" s="1981"/>
      <c r="C1553" s="757"/>
      <c r="E1553" s="758"/>
      <c r="G1553" s="754"/>
    </row>
    <row r="1554" spans="1:7" ht="12.75" customHeight="1">
      <c r="A1554" s="1538"/>
      <c r="B1554" s="1981"/>
      <c r="C1554" s="757"/>
      <c r="E1554" s="758"/>
      <c r="G1554" s="754"/>
    </row>
    <row r="1555" spans="1:7" ht="12.75" customHeight="1">
      <c r="A1555" s="1538"/>
      <c r="B1555" s="1981"/>
      <c r="C1555" s="757"/>
      <c r="E1555" s="758"/>
      <c r="G1555" s="754"/>
    </row>
    <row r="1556" spans="1:7" ht="12.75" customHeight="1">
      <c r="A1556" s="1538"/>
      <c r="B1556" s="1981"/>
      <c r="C1556" s="757"/>
      <c r="E1556" s="758"/>
      <c r="G1556" s="754"/>
    </row>
    <row r="1557" spans="1:7" ht="12.75" customHeight="1">
      <c r="A1557" s="1538"/>
      <c r="B1557" s="1981"/>
      <c r="C1557" s="757"/>
      <c r="E1557" s="758"/>
      <c r="G1557" s="754"/>
    </row>
    <row r="1558" spans="1:7" ht="12.75" customHeight="1">
      <c r="A1558" s="1538"/>
      <c r="B1558" s="1981"/>
      <c r="C1558" s="757"/>
      <c r="E1558" s="758"/>
      <c r="G1558" s="754"/>
    </row>
    <row r="1559" spans="1:7" ht="12.75" customHeight="1">
      <c r="A1559" s="1538"/>
      <c r="B1559" s="1981"/>
      <c r="C1559" s="757"/>
      <c r="E1559" s="758"/>
      <c r="G1559" s="754"/>
    </row>
    <row r="1560" spans="1:7" ht="12.75" customHeight="1">
      <c r="A1560" s="1538"/>
      <c r="B1560" s="1981"/>
      <c r="C1560" s="757"/>
      <c r="E1560" s="758"/>
      <c r="G1560" s="754"/>
    </row>
    <row r="1561" spans="1:7" ht="12.75" customHeight="1">
      <c r="A1561" s="1538"/>
      <c r="B1561" s="1981"/>
      <c r="C1561" s="757"/>
      <c r="E1561" s="758"/>
      <c r="G1561" s="754"/>
    </row>
    <row r="1562" spans="1:7" ht="12.75" customHeight="1">
      <c r="A1562" s="1538"/>
      <c r="B1562" s="1981"/>
      <c r="C1562" s="757"/>
      <c r="E1562" s="758"/>
      <c r="G1562" s="754"/>
    </row>
    <row r="1563" spans="1:7" ht="12.75" customHeight="1">
      <c r="A1563" s="1538"/>
      <c r="B1563" s="1981"/>
      <c r="C1563" s="757"/>
      <c r="E1563" s="758"/>
      <c r="G1563" s="754"/>
    </row>
    <row r="1564" spans="1:7" ht="12.75" customHeight="1">
      <c r="A1564" s="1538"/>
      <c r="B1564" s="1981"/>
      <c r="C1564" s="757"/>
      <c r="E1564" s="758"/>
      <c r="G1564" s="754"/>
    </row>
    <row r="1565" spans="1:7" ht="12.75" customHeight="1">
      <c r="A1565" s="1538"/>
      <c r="B1565" s="1981"/>
      <c r="C1565" s="757"/>
      <c r="E1565" s="758"/>
      <c r="G1565" s="754"/>
    </row>
    <row r="1566" spans="1:7" ht="12.75" customHeight="1">
      <c r="A1566" s="1538"/>
      <c r="B1566" s="1981"/>
      <c r="C1566" s="757"/>
      <c r="E1566" s="758"/>
      <c r="G1566" s="754"/>
    </row>
    <row r="1567" spans="1:7" ht="12.75" customHeight="1">
      <c r="A1567" s="1538"/>
      <c r="B1567" s="1981"/>
      <c r="C1567" s="757"/>
      <c r="E1567" s="758"/>
      <c r="G1567" s="754"/>
    </row>
    <row r="1568" spans="1:7" ht="12.75" customHeight="1">
      <c r="A1568" s="1538"/>
      <c r="B1568" s="1981"/>
      <c r="C1568" s="757"/>
      <c r="E1568" s="758"/>
      <c r="G1568" s="754"/>
    </row>
    <row r="1569" spans="1:7" ht="12.75" customHeight="1">
      <c r="A1569" s="1538"/>
      <c r="B1569" s="1981"/>
      <c r="C1569" s="757"/>
      <c r="E1569" s="758"/>
      <c r="G1569" s="754"/>
    </row>
    <row r="1570" spans="1:7" ht="12.75" customHeight="1">
      <c r="A1570" s="1538"/>
      <c r="B1570" s="1981"/>
      <c r="C1570" s="757"/>
      <c r="E1570" s="758"/>
      <c r="G1570" s="754"/>
    </row>
    <row r="1571" spans="1:7" ht="12.75" customHeight="1">
      <c r="A1571" s="1538"/>
      <c r="B1571" s="1981"/>
      <c r="C1571" s="757"/>
      <c r="E1571" s="758"/>
      <c r="G1571" s="754"/>
    </row>
    <row r="1572" spans="1:7" ht="12.75" customHeight="1">
      <c r="A1572" s="1538"/>
      <c r="B1572" s="1981"/>
      <c r="C1572" s="757"/>
      <c r="E1572" s="758"/>
      <c r="G1572" s="754"/>
    </row>
    <row r="1573" spans="1:7" ht="12.75" customHeight="1">
      <c r="A1573" s="1538"/>
      <c r="B1573" s="1981"/>
      <c r="C1573" s="757"/>
      <c r="E1573" s="758"/>
      <c r="G1573" s="754"/>
    </row>
    <row r="1574" spans="1:7" ht="12.75" customHeight="1">
      <c r="A1574" s="1538"/>
      <c r="B1574" s="1981"/>
      <c r="C1574" s="757"/>
      <c r="E1574" s="758"/>
      <c r="G1574" s="754"/>
    </row>
    <row r="1575" spans="1:7" ht="12.75" customHeight="1">
      <c r="A1575" s="1538"/>
      <c r="B1575" s="1981"/>
      <c r="C1575" s="757"/>
      <c r="E1575" s="758"/>
      <c r="G1575" s="754"/>
    </row>
    <row r="1576" spans="1:7" ht="12.75" customHeight="1">
      <c r="A1576" s="1538"/>
      <c r="B1576" s="1981"/>
      <c r="C1576" s="757"/>
      <c r="E1576" s="758"/>
      <c r="G1576" s="754"/>
    </row>
    <row r="1577" spans="1:7" ht="12.75" customHeight="1">
      <c r="A1577" s="1538"/>
      <c r="B1577" s="1981"/>
      <c r="C1577" s="757"/>
      <c r="E1577" s="758"/>
      <c r="G1577" s="754"/>
    </row>
    <row r="1578" spans="1:7" ht="12.75" customHeight="1">
      <c r="A1578" s="1538"/>
      <c r="B1578" s="1981"/>
      <c r="C1578" s="757"/>
      <c r="E1578" s="758"/>
      <c r="G1578" s="754"/>
    </row>
    <row r="1579" spans="1:7" ht="12.75" customHeight="1">
      <c r="A1579" s="1538"/>
      <c r="B1579" s="1981"/>
      <c r="C1579" s="757"/>
      <c r="E1579" s="758"/>
      <c r="G1579" s="754"/>
    </row>
    <row r="1580" spans="1:7" ht="12.75" customHeight="1">
      <c r="A1580" s="1538"/>
      <c r="B1580" s="1981"/>
      <c r="C1580" s="757"/>
      <c r="E1580" s="758"/>
      <c r="G1580" s="754"/>
    </row>
    <row r="1581" spans="1:7" ht="12.75" customHeight="1">
      <c r="A1581" s="1538"/>
      <c r="B1581" s="1981"/>
      <c r="C1581" s="757"/>
      <c r="E1581" s="758"/>
      <c r="G1581" s="754"/>
    </row>
    <row r="1582" spans="1:7" ht="12.75" customHeight="1">
      <c r="A1582" s="1538"/>
      <c r="B1582" s="1981"/>
      <c r="C1582" s="757"/>
      <c r="E1582" s="758"/>
      <c r="G1582" s="754"/>
    </row>
    <row r="1583" spans="1:7" ht="12.75" customHeight="1">
      <c r="A1583" s="1538"/>
      <c r="B1583" s="1981"/>
      <c r="C1583" s="757"/>
      <c r="E1583" s="758"/>
      <c r="G1583" s="754"/>
    </row>
    <row r="1584" spans="1:7" ht="12.75" customHeight="1">
      <c r="A1584" s="1538"/>
      <c r="B1584" s="1981"/>
      <c r="C1584" s="757"/>
      <c r="E1584" s="758"/>
      <c r="G1584" s="754"/>
    </row>
    <row r="1585" spans="1:7" ht="12.75" customHeight="1">
      <c r="A1585" s="1538"/>
      <c r="B1585" s="1981"/>
      <c r="C1585" s="757"/>
      <c r="E1585" s="758"/>
      <c r="G1585" s="754"/>
    </row>
    <row r="1586" spans="1:7" ht="12.75" customHeight="1">
      <c r="A1586" s="1538"/>
      <c r="B1586" s="1981"/>
      <c r="C1586" s="757"/>
      <c r="E1586" s="758"/>
      <c r="G1586" s="754"/>
    </row>
    <row r="1587" spans="1:7" ht="12.75" customHeight="1">
      <c r="A1587" s="1538"/>
      <c r="B1587" s="1981"/>
      <c r="C1587" s="757"/>
      <c r="E1587" s="758"/>
      <c r="G1587" s="754"/>
    </row>
    <row r="1588" spans="1:7" ht="12.75" customHeight="1">
      <c r="A1588" s="1538"/>
      <c r="B1588" s="1981"/>
      <c r="C1588" s="757"/>
      <c r="E1588" s="758"/>
      <c r="G1588" s="754"/>
    </row>
    <row r="1589" spans="1:7" ht="12.75" customHeight="1">
      <c r="A1589" s="1538"/>
      <c r="B1589" s="1981"/>
      <c r="C1589" s="757"/>
      <c r="E1589" s="758"/>
      <c r="G1589" s="754"/>
    </row>
    <row r="1590" spans="1:7" ht="12.75" customHeight="1">
      <c r="A1590" s="1538"/>
      <c r="B1590" s="1981"/>
      <c r="C1590" s="757"/>
      <c r="E1590" s="758"/>
      <c r="G1590" s="754"/>
    </row>
    <row r="1591" spans="1:7" ht="12.75" customHeight="1">
      <c r="A1591" s="1538"/>
      <c r="B1591" s="1981"/>
      <c r="C1591" s="757"/>
      <c r="E1591" s="758"/>
      <c r="G1591" s="754"/>
    </row>
    <row r="1592" spans="1:7" ht="12.75" customHeight="1">
      <c r="A1592" s="1538"/>
      <c r="B1592" s="1981"/>
      <c r="C1592" s="757"/>
      <c r="E1592" s="758"/>
      <c r="G1592" s="754"/>
    </row>
    <row r="1593" spans="1:7" ht="12.75" customHeight="1">
      <c r="A1593" s="1538"/>
      <c r="B1593" s="1981"/>
      <c r="C1593" s="757"/>
      <c r="E1593" s="758"/>
      <c r="G1593" s="754"/>
    </row>
    <row r="1594" spans="1:7" ht="12.75" customHeight="1">
      <c r="A1594" s="1538"/>
      <c r="B1594" s="1981"/>
      <c r="C1594" s="757"/>
      <c r="E1594" s="758"/>
      <c r="G1594" s="754"/>
    </row>
    <row r="1595" spans="1:7" ht="12.75" customHeight="1">
      <c r="A1595" s="1538"/>
      <c r="B1595" s="1981"/>
      <c r="C1595" s="757"/>
      <c r="E1595" s="758"/>
      <c r="G1595" s="754"/>
    </row>
    <row r="1596" spans="1:7" ht="12.75" customHeight="1">
      <c r="A1596" s="1538"/>
      <c r="B1596" s="1981"/>
      <c r="C1596" s="757"/>
      <c r="E1596" s="758"/>
      <c r="G1596" s="754"/>
    </row>
    <row r="1597" spans="1:7" ht="12.75" customHeight="1">
      <c r="A1597" s="1538"/>
      <c r="B1597" s="1981"/>
      <c r="C1597" s="757"/>
      <c r="E1597" s="758"/>
      <c r="G1597" s="754"/>
    </row>
    <row r="1598" spans="1:7" ht="12.75" customHeight="1">
      <c r="A1598" s="1538"/>
      <c r="B1598" s="1981"/>
      <c r="C1598" s="757"/>
      <c r="E1598" s="758"/>
      <c r="G1598" s="754"/>
    </row>
    <row r="1599" spans="1:7" ht="12.75" customHeight="1">
      <c r="A1599" s="1538"/>
      <c r="B1599" s="1981"/>
      <c r="C1599" s="757"/>
      <c r="E1599" s="758"/>
      <c r="G1599" s="754"/>
    </row>
    <row r="1600" spans="1:7" ht="12.75" customHeight="1">
      <c r="A1600" s="1538"/>
      <c r="B1600" s="1981"/>
      <c r="C1600" s="757"/>
      <c r="E1600" s="758"/>
      <c r="G1600" s="754"/>
    </row>
    <row r="1601" spans="1:7" ht="12.75" customHeight="1">
      <c r="A1601" s="1538"/>
      <c r="B1601" s="1981"/>
      <c r="C1601" s="757"/>
      <c r="E1601" s="758"/>
      <c r="G1601" s="754"/>
    </row>
    <row r="1602" spans="1:7" ht="12.75" customHeight="1">
      <c r="A1602" s="1538"/>
      <c r="B1602" s="1981"/>
      <c r="C1602" s="757"/>
      <c r="E1602" s="758"/>
      <c r="G1602" s="754"/>
    </row>
    <row r="1603" spans="1:7" ht="12.75" customHeight="1">
      <c r="A1603" s="1538"/>
      <c r="B1603" s="1981"/>
      <c r="C1603" s="757"/>
      <c r="E1603" s="758"/>
      <c r="G1603" s="754"/>
    </row>
    <row r="1604" spans="1:7" ht="12.75" customHeight="1">
      <c r="A1604" s="1538"/>
      <c r="B1604" s="1981"/>
      <c r="C1604" s="757"/>
      <c r="E1604" s="758"/>
      <c r="G1604" s="754"/>
    </row>
    <row r="1605" spans="1:7" ht="12.75" customHeight="1">
      <c r="A1605" s="1538"/>
      <c r="B1605" s="1981"/>
      <c r="C1605" s="757"/>
      <c r="E1605" s="758"/>
      <c r="G1605" s="754"/>
    </row>
    <row r="1606" spans="1:7" ht="12.75" customHeight="1">
      <c r="A1606" s="1538"/>
      <c r="B1606" s="1981"/>
      <c r="C1606" s="757"/>
      <c r="E1606" s="758"/>
      <c r="G1606" s="754"/>
    </row>
    <row r="1607" spans="1:7" ht="12.75" customHeight="1">
      <c r="A1607" s="1538"/>
      <c r="B1607" s="1981"/>
      <c r="C1607" s="757"/>
      <c r="E1607" s="758"/>
      <c r="G1607" s="754"/>
    </row>
    <row r="1608" spans="1:7" ht="12.75" customHeight="1">
      <c r="A1608" s="1538"/>
      <c r="B1608" s="1981"/>
      <c r="C1608" s="757"/>
      <c r="E1608" s="758"/>
      <c r="G1608" s="754"/>
    </row>
    <row r="1609" spans="1:7" ht="12.75" customHeight="1">
      <c r="A1609" s="1538"/>
      <c r="B1609" s="1981"/>
      <c r="C1609" s="757"/>
      <c r="E1609" s="758"/>
      <c r="G1609" s="754"/>
    </row>
    <row r="1610" spans="1:7" ht="12.75" customHeight="1">
      <c r="A1610" s="1538"/>
      <c r="B1610" s="1981"/>
      <c r="C1610" s="757"/>
      <c r="E1610" s="758"/>
      <c r="G1610" s="754"/>
    </row>
    <row r="1611" spans="1:7" ht="12.75" customHeight="1">
      <c r="A1611" s="1538"/>
      <c r="B1611" s="1981"/>
      <c r="C1611" s="757"/>
      <c r="E1611" s="758"/>
      <c r="G1611" s="754"/>
    </row>
    <row r="1612" spans="1:7" ht="12.75" customHeight="1">
      <c r="A1612" s="1538"/>
      <c r="B1612" s="1981"/>
      <c r="C1612" s="757"/>
      <c r="E1612" s="758"/>
      <c r="G1612" s="754"/>
    </row>
    <row r="1613" spans="1:7" ht="12.75" customHeight="1">
      <c r="A1613" s="1538"/>
      <c r="B1613" s="1981"/>
      <c r="C1613" s="757"/>
      <c r="E1613" s="758"/>
      <c r="G1613" s="754"/>
    </row>
    <row r="1614" spans="1:7" ht="12.75" customHeight="1">
      <c r="A1614" s="1538"/>
      <c r="B1614" s="1981"/>
      <c r="C1614" s="757"/>
      <c r="E1614" s="758"/>
      <c r="G1614" s="754"/>
    </row>
    <row r="1615" spans="1:7" ht="12.75" customHeight="1">
      <c r="A1615" s="1538"/>
      <c r="B1615" s="1981"/>
      <c r="C1615" s="757"/>
      <c r="E1615" s="758"/>
      <c r="G1615" s="754"/>
    </row>
    <row r="1616" spans="1:7" ht="12.75" customHeight="1">
      <c r="A1616" s="1538"/>
      <c r="B1616" s="1981"/>
      <c r="C1616" s="757"/>
      <c r="E1616" s="758"/>
      <c r="G1616" s="754"/>
    </row>
    <row r="1617" spans="1:7" ht="12.75" customHeight="1">
      <c r="A1617" s="1538"/>
      <c r="B1617" s="1981"/>
      <c r="C1617" s="757"/>
      <c r="E1617" s="758"/>
      <c r="G1617" s="754"/>
    </row>
    <row r="1618" spans="1:7" ht="12.75" customHeight="1">
      <c r="A1618" s="1538"/>
      <c r="B1618" s="1981"/>
      <c r="C1618" s="757"/>
      <c r="E1618" s="758"/>
      <c r="G1618" s="754"/>
    </row>
    <row r="1619" spans="1:7" ht="12.75" customHeight="1">
      <c r="A1619" s="1538"/>
      <c r="B1619" s="1981"/>
      <c r="C1619" s="757"/>
      <c r="E1619" s="758"/>
      <c r="G1619" s="754"/>
    </row>
    <row r="1620" spans="1:7" ht="12.75" customHeight="1">
      <c r="A1620" s="1538"/>
      <c r="B1620" s="1981"/>
      <c r="C1620" s="757"/>
      <c r="E1620" s="758"/>
      <c r="G1620" s="754"/>
    </row>
    <row r="1621" spans="1:7" ht="12.75" customHeight="1">
      <c r="A1621" s="1538"/>
      <c r="B1621" s="1981"/>
      <c r="C1621" s="757"/>
      <c r="E1621" s="758"/>
      <c r="G1621" s="754"/>
    </row>
    <row r="1622" spans="1:7" ht="12.75" customHeight="1">
      <c r="A1622" s="1538"/>
      <c r="B1622" s="1981"/>
      <c r="C1622" s="757"/>
      <c r="E1622" s="758"/>
      <c r="G1622" s="754"/>
    </row>
    <row r="1623" spans="1:7" ht="12.75" customHeight="1">
      <c r="A1623" s="1538"/>
      <c r="B1623" s="1981"/>
      <c r="C1623" s="757"/>
      <c r="E1623" s="758"/>
      <c r="G1623" s="754"/>
    </row>
    <row r="1624" spans="1:7" ht="12.75" customHeight="1">
      <c r="A1624" s="1538"/>
      <c r="B1624" s="1981"/>
      <c r="C1624" s="757"/>
      <c r="E1624" s="758"/>
      <c r="G1624" s="754"/>
    </row>
    <row r="1625" spans="1:7" ht="12.75" customHeight="1">
      <c r="A1625" s="1538"/>
      <c r="B1625" s="1981"/>
      <c r="C1625" s="757"/>
      <c r="E1625" s="758"/>
      <c r="G1625" s="754"/>
    </row>
    <row r="1626" spans="1:7" ht="12.75" customHeight="1">
      <c r="A1626" s="1538"/>
      <c r="B1626" s="1981"/>
      <c r="C1626" s="757"/>
      <c r="E1626" s="758"/>
      <c r="G1626" s="754"/>
    </row>
    <row r="1627" spans="1:7" ht="12.75" customHeight="1">
      <c r="A1627" s="1538"/>
      <c r="B1627" s="1981"/>
      <c r="C1627" s="757"/>
      <c r="E1627" s="758"/>
      <c r="G1627" s="754"/>
    </row>
    <row r="1628" spans="1:7" ht="12.75" customHeight="1">
      <c r="A1628" s="1538"/>
      <c r="B1628" s="1981"/>
      <c r="C1628" s="757"/>
      <c r="E1628" s="758"/>
      <c r="G1628" s="754"/>
    </row>
    <row r="1629" spans="1:7" ht="12.75" customHeight="1">
      <c r="A1629" s="1538"/>
      <c r="B1629" s="1981"/>
      <c r="C1629" s="757"/>
      <c r="E1629" s="758"/>
      <c r="G1629" s="754"/>
    </row>
    <row r="1630" spans="1:7" ht="12.75" customHeight="1">
      <c r="A1630" s="1538"/>
      <c r="B1630" s="1981"/>
      <c r="C1630" s="757"/>
      <c r="E1630" s="758"/>
      <c r="G1630" s="754"/>
    </row>
    <row r="1631" spans="1:7" ht="12.75" customHeight="1">
      <c r="A1631" s="1538"/>
      <c r="B1631" s="1981"/>
      <c r="C1631" s="757"/>
      <c r="E1631" s="758"/>
      <c r="G1631" s="754"/>
    </row>
    <row r="1632" spans="1:7" ht="12.75" customHeight="1">
      <c r="A1632" s="1538"/>
      <c r="B1632" s="1981"/>
      <c r="C1632" s="757"/>
      <c r="E1632" s="758"/>
      <c r="G1632" s="754"/>
    </row>
    <row r="1633" spans="1:7" ht="12.75" customHeight="1">
      <c r="A1633" s="1538"/>
      <c r="B1633" s="1981"/>
      <c r="C1633" s="757"/>
      <c r="E1633" s="758"/>
      <c r="G1633" s="754"/>
    </row>
    <row r="1634" spans="1:7" ht="12.75" customHeight="1">
      <c r="A1634" s="1538"/>
      <c r="B1634" s="1981"/>
      <c r="C1634" s="757"/>
      <c r="E1634" s="758"/>
      <c r="G1634" s="754"/>
    </row>
    <row r="1635" spans="1:7" ht="12.75" customHeight="1">
      <c r="A1635" s="1538"/>
      <c r="B1635" s="1981"/>
      <c r="C1635" s="757"/>
      <c r="E1635" s="758"/>
      <c r="G1635" s="754"/>
    </row>
    <row r="1636" spans="1:7" ht="12.75" customHeight="1">
      <c r="A1636" s="1538"/>
      <c r="B1636" s="1981"/>
      <c r="C1636" s="757"/>
      <c r="E1636" s="758"/>
      <c r="G1636" s="754"/>
    </row>
    <row r="1637" spans="1:7" ht="12.75" customHeight="1">
      <c r="A1637" s="1538"/>
      <c r="B1637" s="1981"/>
      <c r="C1637" s="757"/>
      <c r="E1637" s="758"/>
      <c r="G1637" s="754"/>
    </row>
    <row r="1638" spans="1:7" ht="12.75" customHeight="1">
      <c r="A1638" s="1538"/>
      <c r="B1638" s="1981"/>
      <c r="C1638" s="757"/>
      <c r="E1638" s="758"/>
      <c r="G1638" s="754"/>
    </row>
    <row r="1639" spans="1:7" ht="12.75" customHeight="1">
      <c r="A1639" s="1538"/>
      <c r="B1639" s="1981"/>
      <c r="C1639" s="757"/>
      <c r="E1639" s="758"/>
      <c r="G1639" s="754"/>
    </row>
    <row r="1640" spans="1:7" ht="12.75" customHeight="1">
      <c r="A1640" s="1538"/>
      <c r="B1640" s="1981"/>
      <c r="C1640" s="757"/>
      <c r="E1640" s="758"/>
      <c r="G1640" s="754"/>
    </row>
    <row r="1641" spans="1:7" ht="12.75" customHeight="1">
      <c r="A1641" s="1538"/>
      <c r="B1641" s="1981"/>
      <c r="C1641" s="757"/>
      <c r="E1641" s="758"/>
      <c r="G1641" s="754"/>
    </row>
    <row r="1642" spans="1:7" ht="12.75" customHeight="1">
      <c r="A1642" s="1538"/>
      <c r="B1642" s="1981"/>
      <c r="C1642" s="757"/>
      <c r="E1642" s="758"/>
      <c r="G1642" s="754"/>
    </row>
    <row r="1643" spans="1:7" ht="12.75" customHeight="1">
      <c r="A1643" s="1538"/>
      <c r="B1643" s="1981"/>
      <c r="C1643" s="757"/>
      <c r="E1643" s="758"/>
      <c r="G1643" s="754"/>
    </row>
    <row r="1644" spans="1:7" ht="12.75" customHeight="1">
      <c r="A1644" s="1538"/>
      <c r="B1644" s="1981"/>
      <c r="C1644" s="757"/>
      <c r="E1644" s="758"/>
      <c r="G1644" s="754"/>
    </row>
    <row r="1645" spans="1:7" ht="12.75" customHeight="1">
      <c r="A1645" s="1538"/>
      <c r="B1645" s="1981"/>
      <c r="C1645" s="757"/>
      <c r="E1645" s="758"/>
      <c r="G1645" s="754"/>
    </row>
    <row r="1646" spans="1:7" ht="12.75" customHeight="1">
      <c r="A1646" s="1538"/>
      <c r="B1646" s="1981"/>
      <c r="C1646" s="757"/>
      <c r="E1646" s="758"/>
      <c r="G1646" s="754"/>
    </row>
    <row r="1647" spans="1:7" ht="12.75" customHeight="1">
      <c r="A1647" s="1538"/>
      <c r="B1647" s="1981"/>
      <c r="C1647" s="757"/>
      <c r="E1647" s="758"/>
      <c r="G1647" s="754"/>
    </row>
    <row r="1648" spans="1:7" ht="12.75" customHeight="1">
      <c r="A1648" s="1538"/>
      <c r="B1648" s="1981"/>
      <c r="C1648" s="757"/>
      <c r="E1648" s="758"/>
      <c r="G1648" s="754"/>
    </row>
    <row r="1649" spans="1:7" ht="12.75" customHeight="1">
      <c r="A1649" s="1538"/>
      <c r="B1649" s="1981"/>
      <c r="C1649" s="757"/>
      <c r="E1649" s="758"/>
      <c r="G1649" s="754"/>
    </row>
    <row r="1650" spans="1:7" ht="12.75" customHeight="1">
      <c r="A1650" s="1538"/>
      <c r="B1650" s="1981"/>
      <c r="C1650" s="757"/>
      <c r="E1650" s="758"/>
      <c r="G1650" s="754"/>
    </row>
    <row r="1651" spans="1:7" ht="12.75" customHeight="1">
      <c r="A1651" s="1538"/>
      <c r="B1651" s="1981"/>
      <c r="C1651" s="757"/>
      <c r="E1651" s="758"/>
      <c r="G1651" s="754"/>
    </row>
    <row r="1652" spans="1:7" ht="12.75" customHeight="1">
      <c r="A1652" s="1538"/>
      <c r="B1652" s="1981"/>
      <c r="C1652" s="757"/>
      <c r="E1652" s="758"/>
      <c r="G1652" s="754"/>
    </row>
    <row r="1653" spans="1:7" ht="12.75" customHeight="1">
      <c r="A1653" s="1538"/>
      <c r="B1653" s="1981"/>
      <c r="C1653" s="757"/>
      <c r="E1653" s="758"/>
      <c r="G1653" s="754"/>
    </row>
    <row r="1654" spans="1:7" ht="12.75" customHeight="1">
      <c r="A1654" s="1538"/>
      <c r="B1654" s="1981"/>
      <c r="C1654" s="757"/>
      <c r="E1654" s="758"/>
      <c r="G1654" s="754"/>
    </row>
    <row r="1655" spans="1:7" ht="12.75" customHeight="1">
      <c r="A1655" s="1538"/>
      <c r="B1655" s="1981"/>
      <c r="C1655" s="757"/>
      <c r="E1655" s="758"/>
      <c r="G1655" s="754"/>
    </row>
    <row r="1656" spans="1:7" ht="12.75" customHeight="1">
      <c r="A1656" s="1538"/>
      <c r="B1656" s="1981"/>
      <c r="C1656" s="757"/>
      <c r="E1656" s="758"/>
      <c r="G1656" s="754"/>
    </row>
    <row r="1657" spans="1:7" ht="12.75" customHeight="1">
      <c r="A1657" s="1538"/>
      <c r="B1657" s="1981"/>
      <c r="C1657" s="757"/>
      <c r="E1657" s="758"/>
      <c r="G1657" s="754"/>
    </row>
    <row r="1658" spans="1:7" ht="12.75" customHeight="1">
      <c r="A1658" s="1538"/>
      <c r="B1658" s="1981"/>
      <c r="C1658" s="757"/>
      <c r="E1658" s="758"/>
      <c r="G1658" s="754"/>
    </row>
    <row r="1659" spans="1:7" ht="12.75" customHeight="1">
      <c r="A1659" s="1538"/>
      <c r="B1659" s="1981"/>
      <c r="C1659" s="757"/>
      <c r="E1659" s="758"/>
      <c r="G1659" s="754"/>
    </row>
    <row r="1660" spans="1:7" ht="12.75" customHeight="1">
      <c r="A1660" s="1538"/>
      <c r="B1660" s="1981"/>
      <c r="C1660" s="757"/>
      <c r="E1660" s="758"/>
      <c r="G1660" s="754"/>
    </row>
    <row r="1661" spans="1:7" ht="12.75" customHeight="1">
      <c r="A1661" s="1538"/>
      <c r="B1661" s="1981"/>
      <c r="C1661" s="757"/>
      <c r="E1661" s="758"/>
      <c r="G1661" s="754"/>
    </row>
    <row r="1662" spans="1:7" ht="12.75" customHeight="1">
      <c r="A1662" s="1538"/>
      <c r="B1662" s="1981"/>
      <c r="C1662" s="757"/>
      <c r="E1662" s="758"/>
      <c r="G1662" s="754"/>
    </row>
    <row r="1663" spans="1:7" ht="12.75" customHeight="1">
      <c r="A1663" s="1538"/>
      <c r="B1663" s="1981"/>
      <c r="C1663" s="757"/>
      <c r="E1663" s="758"/>
      <c r="G1663" s="754"/>
    </row>
    <row r="1664" spans="1:7" ht="12.75" customHeight="1">
      <c r="A1664" s="1538"/>
      <c r="B1664" s="1981"/>
      <c r="C1664" s="757"/>
      <c r="E1664" s="758"/>
      <c r="G1664" s="754"/>
    </row>
    <row r="1665" spans="1:7" ht="12.75" customHeight="1">
      <c r="A1665" s="1538"/>
      <c r="B1665" s="1981"/>
      <c r="C1665" s="757"/>
      <c r="E1665" s="758"/>
      <c r="G1665" s="754"/>
    </row>
    <row r="1666" spans="1:7" ht="12.75" customHeight="1">
      <c r="A1666" s="1538"/>
      <c r="B1666" s="1981"/>
      <c r="C1666" s="757"/>
      <c r="E1666" s="758"/>
      <c r="G1666" s="754"/>
    </row>
    <row r="1667" spans="1:7" ht="12.75" customHeight="1">
      <c r="A1667" s="1538"/>
      <c r="B1667" s="1981"/>
      <c r="C1667" s="757"/>
      <c r="E1667" s="758"/>
      <c r="G1667" s="754"/>
    </row>
    <row r="1668" spans="1:7" ht="12.75" customHeight="1">
      <c r="A1668" s="1538"/>
      <c r="B1668" s="1981"/>
      <c r="C1668" s="757"/>
      <c r="E1668" s="758"/>
      <c r="G1668" s="754"/>
    </row>
    <row r="1669" spans="1:7" ht="12.75" customHeight="1">
      <c r="A1669" s="1538"/>
      <c r="B1669" s="1981"/>
      <c r="C1669" s="757"/>
      <c r="E1669" s="758"/>
      <c r="G1669" s="754"/>
    </row>
    <row r="1670" spans="1:7" ht="12.75" customHeight="1">
      <c r="A1670" s="1538"/>
      <c r="B1670" s="1981"/>
      <c r="C1670" s="757"/>
      <c r="E1670" s="758"/>
      <c r="G1670" s="754"/>
    </row>
    <row r="1671" spans="1:7" ht="12.75" customHeight="1">
      <c r="A1671" s="1538"/>
      <c r="B1671" s="1981"/>
      <c r="C1671" s="757"/>
      <c r="E1671" s="758"/>
      <c r="G1671" s="754"/>
    </row>
    <row r="1672" spans="1:7" ht="12.75" customHeight="1">
      <c r="A1672" s="1538"/>
      <c r="B1672" s="1981"/>
      <c r="C1672" s="757"/>
      <c r="E1672" s="758"/>
      <c r="G1672" s="754"/>
    </row>
    <row r="1673" spans="1:7" ht="12.75" customHeight="1">
      <c r="A1673" s="1538"/>
      <c r="B1673" s="1981"/>
      <c r="C1673" s="757"/>
      <c r="E1673" s="758"/>
      <c r="G1673" s="754"/>
    </row>
    <row r="1674" spans="1:7" ht="12.75" customHeight="1">
      <c r="A1674" s="1538"/>
      <c r="B1674" s="1981"/>
      <c r="C1674" s="757"/>
      <c r="E1674" s="758"/>
      <c r="G1674" s="754"/>
    </row>
    <row r="1675" spans="1:7" ht="12.75" customHeight="1">
      <c r="A1675" s="1538"/>
      <c r="B1675" s="1981"/>
      <c r="C1675" s="757"/>
      <c r="E1675" s="758"/>
      <c r="G1675" s="754"/>
    </row>
    <row r="1676" spans="1:7" ht="12.75" customHeight="1">
      <c r="A1676" s="1538"/>
      <c r="B1676" s="1981"/>
      <c r="C1676" s="757"/>
      <c r="E1676" s="758"/>
      <c r="G1676" s="754"/>
    </row>
    <row r="1677" spans="1:7" ht="12.75" customHeight="1">
      <c r="A1677" s="1538"/>
      <c r="B1677" s="1981"/>
      <c r="C1677" s="757"/>
      <c r="E1677" s="758"/>
      <c r="G1677" s="754"/>
    </row>
    <row r="1678" spans="1:7" ht="12.75" customHeight="1">
      <c r="A1678" s="1538"/>
      <c r="B1678" s="1981"/>
      <c r="C1678" s="757"/>
      <c r="E1678" s="758"/>
      <c r="G1678" s="754"/>
    </row>
    <row r="1679" spans="1:7" ht="12.75" customHeight="1">
      <c r="A1679" s="1538"/>
      <c r="B1679" s="1981"/>
      <c r="C1679" s="757"/>
      <c r="E1679" s="758"/>
      <c r="G1679" s="754"/>
    </row>
    <row r="1680" spans="1:7" ht="12.75" customHeight="1">
      <c r="A1680" s="1538"/>
      <c r="B1680" s="1981"/>
      <c r="C1680" s="757"/>
      <c r="E1680" s="758"/>
      <c r="G1680" s="754"/>
    </row>
    <row r="1681" spans="1:7" ht="12.75" customHeight="1">
      <c r="A1681" s="1538"/>
      <c r="B1681" s="1981"/>
      <c r="C1681" s="757"/>
      <c r="E1681" s="758"/>
      <c r="G1681" s="754"/>
    </row>
    <row r="1682" spans="1:7" ht="12.75" customHeight="1">
      <c r="A1682" s="1538"/>
      <c r="B1682" s="1981"/>
      <c r="C1682" s="757"/>
      <c r="E1682" s="758"/>
      <c r="G1682" s="754"/>
    </row>
    <row r="1683" spans="1:7" ht="12.75" customHeight="1">
      <c r="A1683" s="1538"/>
      <c r="B1683" s="1981"/>
      <c r="C1683" s="757"/>
      <c r="E1683" s="758"/>
      <c r="G1683" s="754"/>
    </row>
    <row r="1684" spans="1:7" ht="12.75" customHeight="1">
      <c r="A1684" s="1538"/>
      <c r="B1684" s="1981"/>
      <c r="C1684" s="757"/>
      <c r="E1684" s="758"/>
      <c r="G1684" s="754"/>
    </row>
    <row r="1685" spans="1:7" ht="12.75" customHeight="1">
      <c r="A1685" s="1538"/>
      <c r="B1685" s="1981"/>
      <c r="C1685" s="757"/>
      <c r="E1685" s="758"/>
      <c r="G1685" s="754"/>
    </row>
    <row r="1686" spans="1:7" ht="12.75" customHeight="1">
      <c r="A1686" s="1538"/>
      <c r="B1686" s="1981"/>
      <c r="C1686" s="757"/>
      <c r="E1686" s="758"/>
      <c r="G1686" s="754"/>
    </row>
    <row r="1687" spans="1:7" ht="12.75" customHeight="1">
      <c r="A1687" s="1538"/>
      <c r="B1687" s="1981"/>
      <c r="C1687" s="757"/>
      <c r="E1687" s="758"/>
      <c r="G1687" s="754"/>
    </row>
    <row r="1688" spans="1:7" ht="12.75" customHeight="1">
      <c r="A1688" s="1538"/>
      <c r="B1688" s="1981"/>
      <c r="C1688" s="757"/>
      <c r="E1688" s="758"/>
      <c r="G1688" s="754"/>
    </row>
    <row r="1689" spans="1:7" ht="12.75" customHeight="1">
      <c r="A1689" s="1538"/>
      <c r="B1689" s="1981"/>
      <c r="C1689" s="757"/>
      <c r="E1689" s="758"/>
      <c r="G1689" s="754"/>
    </row>
    <row r="1690" spans="1:7" ht="12.75" customHeight="1">
      <c r="A1690" s="1538"/>
      <c r="B1690" s="1981"/>
      <c r="C1690" s="757"/>
      <c r="E1690" s="758"/>
      <c r="G1690" s="754"/>
    </row>
    <row r="1691" spans="1:7" ht="12.75" customHeight="1">
      <c r="A1691" s="1538"/>
      <c r="B1691" s="1981"/>
      <c r="C1691" s="757"/>
      <c r="E1691" s="758"/>
      <c r="G1691" s="754"/>
    </row>
    <row r="1692" spans="1:7" ht="12.75" customHeight="1">
      <c r="A1692" s="1538"/>
      <c r="B1692" s="1981"/>
      <c r="C1692" s="757"/>
      <c r="E1692" s="758"/>
      <c r="G1692" s="754"/>
    </row>
    <row r="1693" spans="1:7" ht="12.75" customHeight="1">
      <c r="A1693" s="1538"/>
      <c r="B1693" s="1981"/>
      <c r="C1693" s="757"/>
      <c r="E1693" s="758"/>
      <c r="G1693" s="754"/>
    </row>
    <row r="1694" spans="1:7" ht="12.75" customHeight="1">
      <c r="A1694" s="1538"/>
      <c r="B1694" s="1981"/>
      <c r="C1694" s="757"/>
      <c r="E1694" s="758"/>
      <c r="G1694" s="754"/>
    </row>
    <row r="1695" spans="1:7" ht="12.75" customHeight="1">
      <c r="A1695" s="1538"/>
      <c r="B1695" s="1981"/>
      <c r="C1695" s="757"/>
      <c r="E1695" s="758"/>
      <c r="G1695" s="754"/>
    </row>
    <row r="1696" spans="1:7" ht="12.75" customHeight="1">
      <c r="A1696" s="1538"/>
      <c r="B1696" s="1981"/>
      <c r="C1696" s="757"/>
      <c r="E1696" s="758"/>
      <c r="G1696" s="754"/>
    </row>
    <row r="1697" spans="1:7" ht="12.75" customHeight="1">
      <c r="A1697" s="1538"/>
      <c r="B1697" s="1981"/>
      <c r="C1697" s="757"/>
      <c r="E1697" s="758"/>
      <c r="G1697" s="754"/>
    </row>
    <row r="1698" spans="1:7" ht="12.75" customHeight="1">
      <c r="A1698" s="1538"/>
      <c r="B1698" s="1981"/>
      <c r="C1698" s="757"/>
      <c r="E1698" s="758"/>
      <c r="G1698" s="754"/>
    </row>
    <row r="1699" spans="1:7" ht="12.75" customHeight="1">
      <c r="A1699" s="1538"/>
      <c r="B1699" s="1981"/>
      <c r="C1699" s="757"/>
      <c r="E1699" s="758"/>
      <c r="G1699" s="754"/>
    </row>
    <row r="1700" spans="1:7" ht="12.75" customHeight="1">
      <c r="A1700" s="1538"/>
      <c r="B1700" s="1981"/>
      <c r="C1700" s="757"/>
      <c r="E1700" s="758"/>
      <c r="G1700" s="754"/>
    </row>
    <row r="1701" spans="1:7" ht="12.75" customHeight="1">
      <c r="A1701" s="1538"/>
      <c r="B1701" s="1981"/>
      <c r="C1701" s="757"/>
      <c r="E1701" s="758"/>
      <c r="G1701" s="754"/>
    </row>
    <row r="1702" spans="1:7" ht="12.75" customHeight="1">
      <c r="A1702" s="1538"/>
      <c r="B1702" s="1981"/>
      <c r="C1702" s="757"/>
      <c r="E1702" s="758"/>
      <c r="G1702" s="754"/>
    </row>
    <row r="1703" spans="1:7" ht="12.75" customHeight="1">
      <c r="A1703" s="1538"/>
      <c r="B1703" s="1981"/>
      <c r="C1703" s="757"/>
      <c r="E1703" s="758"/>
      <c r="G1703" s="754"/>
    </row>
    <row r="1704" spans="1:7" ht="12.75" customHeight="1">
      <c r="A1704" s="1538"/>
      <c r="B1704" s="1981"/>
      <c r="C1704" s="757"/>
      <c r="E1704" s="758"/>
      <c r="G1704" s="754"/>
    </row>
    <row r="1705" spans="1:7" ht="12.75" customHeight="1">
      <c r="A1705" s="1538"/>
      <c r="B1705" s="1981"/>
      <c r="C1705" s="757"/>
      <c r="E1705" s="758"/>
      <c r="G1705" s="754"/>
    </row>
    <row r="1706" spans="1:7" ht="12.75" customHeight="1">
      <c r="A1706" s="1538"/>
      <c r="B1706" s="1981"/>
      <c r="C1706" s="757"/>
      <c r="E1706" s="758"/>
      <c r="G1706" s="754"/>
    </row>
    <row r="1707" spans="1:7" ht="12.75" customHeight="1">
      <c r="A1707" s="1538"/>
      <c r="B1707" s="1981"/>
      <c r="C1707" s="757"/>
      <c r="E1707" s="758"/>
      <c r="G1707" s="754"/>
    </row>
    <row r="1708" spans="1:7" ht="12.75" customHeight="1">
      <c r="A1708" s="1538"/>
      <c r="B1708" s="1981"/>
      <c r="C1708" s="757"/>
      <c r="E1708" s="758"/>
      <c r="G1708" s="754"/>
    </row>
    <row r="1709" spans="1:7" ht="12.75" customHeight="1">
      <c r="A1709" s="1538"/>
      <c r="B1709" s="1981"/>
      <c r="C1709" s="757"/>
      <c r="E1709" s="758"/>
      <c r="G1709" s="754"/>
    </row>
    <row r="1710" spans="1:7" ht="12.75" customHeight="1">
      <c r="A1710" s="1538"/>
      <c r="B1710" s="1981"/>
      <c r="C1710" s="757"/>
      <c r="E1710" s="758"/>
      <c r="G1710" s="754"/>
    </row>
    <row r="1711" spans="1:7" ht="12.75" customHeight="1">
      <c r="A1711" s="1538"/>
      <c r="B1711" s="1981"/>
      <c r="C1711" s="757"/>
      <c r="E1711" s="758"/>
      <c r="G1711" s="754"/>
    </row>
    <row r="1712" spans="1:7" ht="12.75" customHeight="1">
      <c r="A1712" s="1538"/>
      <c r="B1712" s="1981"/>
      <c r="C1712" s="757"/>
      <c r="E1712" s="758"/>
      <c r="G1712" s="754"/>
    </row>
    <row r="1713" spans="1:7" ht="12.75" customHeight="1">
      <c r="A1713" s="1538"/>
      <c r="B1713" s="1981"/>
      <c r="C1713" s="757"/>
      <c r="E1713" s="758"/>
      <c r="G1713" s="754"/>
    </row>
    <row r="1714" spans="1:7" ht="12.75" customHeight="1">
      <c r="A1714" s="1538"/>
      <c r="B1714" s="1981"/>
      <c r="C1714" s="757"/>
      <c r="E1714" s="758"/>
      <c r="G1714" s="754"/>
    </row>
    <row r="1715" spans="1:7" ht="12.75" customHeight="1">
      <c r="A1715" s="1538"/>
      <c r="B1715" s="1981"/>
      <c r="C1715" s="757"/>
      <c r="E1715" s="758"/>
      <c r="G1715" s="754"/>
    </row>
    <row r="1716" spans="1:7" ht="12.75" customHeight="1">
      <c r="A1716" s="1538"/>
      <c r="B1716" s="1981"/>
      <c r="C1716" s="757"/>
      <c r="E1716" s="758"/>
      <c r="G1716" s="754"/>
    </row>
    <row r="1717" spans="1:7" ht="12.75" customHeight="1">
      <c r="A1717" s="1538"/>
      <c r="B1717" s="1981"/>
      <c r="C1717" s="757"/>
      <c r="E1717" s="758"/>
      <c r="G1717" s="754"/>
    </row>
    <row r="1718" spans="1:7" ht="12.75" customHeight="1">
      <c r="A1718" s="1538"/>
      <c r="B1718" s="1981"/>
      <c r="C1718" s="757"/>
      <c r="E1718" s="758"/>
      <c r="G1718" s="754"/>
    </row>
    <row r="1719" spans="1:7" ht="12.75" customHeight="1">
      <c r="A1719" s="1538"/>
      <c r="B1719" s="1981"/>
      <c r="C1719" s="757"/>
      <c r="E1719" s="758"/>
      <c r="G1719" s="754"/>
    </row>
    <row r="1720" spans="1:7" ht="12.75" customHeight="1">
      <c r="A1720" s="1538"/>
      <c r="B1720" s="1981"/>
      <c r="C1720" s="757"/>
      <c r="E1720" s="758"/>
      <c r="G1720" s="754"/>
    </row>
    <row r="1721" spans="1:7" ht="12.75" customHeight="1">
      <c r="A1721" s="1538"/>
      <c r="B1721" s="1981"/>
      <c r="C1721" s="757"/>
      <c r="E1721" s="758"/>
      <c r="G1721" s="754"/>
    </row>
    <row r="1722" spans="1:7" ht="12.75" customHeight="1">
      <c r="A1722" s="1538"/>
      <c r="B1722" s="1981"/>
      <c r="C1722" s="757"/>
      <c r="E1722" s="758"/>
      <c r="G1722" s="754"/>
    </row>
    <row r="1723" spans="1:7" ht="12.75" customHeight="1">
      <c r="A1723" s="1538"/>
      <c r="B1723" s="1981"/>
      <c r="C1723" s="757"/>
      <c r="E1723" s="758"/>
      <c r="G1723" s="754"/>
    </row>
    <row r="1724" spans="1:7" ht="12.75" customHeight="1">
      <c r="A1724" s="1538"/>
      <c r="B1724" s="1981"/>
      <c r="C1724" s="757"/>
      <c r="E1724" s="758"/>
      <c r="G1724" s="754"/>
    </row>
    <row r="1725" spans="1:7" ht="12.75" customHeight="1">
      <c r="A1725" s="1538"/>
      <c r="B1725" s="1981"/>
      <c r="C1725" s="757"/>
      <c r="E1725" s="758"/>
      <c r="G1725" s="754"/>
    </row>
    <row r="1726" spans="1:7" ht="12.75" customHeight="1">
      <c r="A1726" s="1538"/>
      <c r="B1726" s="1981"/>
      <c r="C1726" s="757"/>
      <c r="E1726" s="758"/>
      <c r="G1726" s="754"/>
    </row>
    <row r="1727" spans="1:7" ht="12.75" customHeight="1">
      <c r="A1727" s="1538"/>
      <c r="B1727" s="1981"/>
      <c r="C1727" s="757"/>
      <c r="E1727" s="758"/>
      <c r="G1727" s="754"/>
    </row>
    <row r="1728" spans="1:7" ht="12.75" customHeight="1">
      <c r="A1728" s="1538"/>
      <c r="B1728" s="1981"/>
      <c r="C1728" s="757"/>
      <c r="E1728" s="758"/>
      <c r="G1728" s="754"/>
    </row>
    <row r="1729" spans="1:7" ht="12.75" customHeight="1">
      <c r="A1729" s="1538"/>
      <c r="B1729" s="1981"/>
      <c r="C1729" s="757"/>
      <c r="E1729" s="758"/>
      <c r="G1729" s="754"/>
    </row>
    <row r="1730" spans="1:7" ht="12.75" customHeight="1">
      <c r="A1730" s="1538"/>
      <c r="B1730" s="1981"/>
      <c r="C1730" s="757"/>
      <c r="E1730" s="758"/>
      <c r="G1730" s="754"/>
    </row>
    <row r="1731" spans="1:7" ht="12.75" customHeight="1">
      <c r="A1731" s="1538"/>
      <c r="B1731" s="1981"/>
      <c r="C1731" s="757"/>
      <c r="E1731" s="758"/>
      <c r="G1731" s="754"/>
    </row>
    <row r="1732" spans="1:7" ht="12.75" customHeight="1">
      <c r="A1732" s="1538"/>
      <c r="B1732" s="1981"/>
      <c r="C1732" s="757"/>
      <c r="E1732" s="758"/>
      <c r="G1732" s="754"/>
    </row>
    <row r="1733" spans="1:7" ht="12.75" customHeight="1">
      <c r="A1733" s="1538"/>
      <c r="B1733" s="1981"/>
      <c r="C1733" s="757"/>
      <c r="E1733" s="758"/>
      <c r="G1733" s="754"/>
    </row>
    <row r="1734" spans="1:7" ht="12.75" customHeight="1">
      <c r="A1734" s="1538"/>
      <c r="B1734" s="1981"/>
      <c r="C1734" s="757"/>
      <c r="E1734" s="758"/>
      <c r="G1734" s="754"/>
    </row>
    <row r="1735" spans="1:7" ht="12.75" customHeight="1">
      <c r="A1735" s="1538"/>
      <c r="B1735" s="1981"/>
      <c r="C1735" s="757"/>
      <c r="E1735" s="758"/>
      <c r="G1735" s="754"/>
    </row>
    <row r="1736" spans="1:7" ht="12.75" customHeight="1">
      <c r="A1736" s="1538"/>
      <c r="B1736" s="1981"/>
      <c r="C1736" s="757"/>
      <c r="E1736" s="758"/>
      <c r="G1736" s="754"/>
    </row>
    <row r="1737" spans="1:7" ht="12.75" customHeight="1">
      <c r="A1737" s="1538"/>
      <c r="B1737" s="1981"/>
      <c r="C1737" s="757"/>
      <c r="E1737" s="758"/>
      <c r="G1737" s="754"/>
    </row>
    <row r="1738" spans="1:7" ht="12.75" customHeight="1">
      <c r="A1738" s="1538"/>
      <c r="B1738" s="1981"/>
      <c r="C1738" s="757"/>
      <c r="E1738" s="758"/>
      <c r="G1738" s="754"/>
    </row>
    <row r="1739" spans="1:7" ht="12.75" customHeight="1">
      <c r="A1739" s="1538"/>
      <c r="B1739" s="1981"/>
      <c r="C1739" s="757"/>
      <c r="E1739" s="758"/>
      <c r="G1739" s="754"/>
    </row>
    <row r="1740" spans="1:7" ht="12.75" customHeight="1">
      <c r="A1740" s="1538"/>
      <c r="B1740" s="1981"/>
      <c r="C1740" s="757"/>
      <c r="E1740" s="758"/>
      <c r="G1740" s="754"/>
    </row>
    <row r="1741" spans="1:7" ht="12.75" customHeight="1">
      <c r="A1741" s="1538"/>
      <c r="B1741" s="1981"/>
      <c r="C1741" s="757"/>
      <c r="E1741" s="758"/>
      <c r="G1741" s="754"/>
    </row>
    <row r="1742" spans="1:7" ht="12.75" customHeight="1">
      <c r="A1742" s="1538"/>
      <c r="B1742" s="1981"/>
      <c r="C1742" s="757"/>
      <c r="E1742" s="758"/>
      <c r="G1742" s="754"/>
    </row>
    <row r="1743" spans="1:7" ht="12.75" customHeight="1">
      <c r="A1743" s="1538"/>
      <c r="B1743" s="1981"/>
      <c r="C1743" s="757"/>
      <c r="E1743" s="758"/>
      <c r="G1743" s="754"/>
    </row>
    <row r="1744" spans="1:7" ht="12.75" customHeight="1">
      <c r="A1744" s="1538"/>
      <c r="B1744" s="1981"/>
      <c r="C1744" s="757"/>
      <c r="E1744" s="758"/>
      <c r="G1744" s="754"/>
    </row>
    <row r="1745" spans="1:7" ht="12.75" customHeight="1">
      <c r="A1745" s="1538"/>
      <c r="B1745" s="1981"/>
      <c r="C1745" s="757"/>
      <c r="E1745" s="758"/>
      <c r="G1745" s="754"/>
    </row>
    <row r="1746" spans="1:7" ht="12.75" customHeight="1">
      <c r="A1746" s="1538"/>
      <c r="B1746" s="1981"/>
      <c r="C1746" s="757"/>
      <c r="E1746" s="758"/>
      <c r="G1746" s="754"/>
    </row>
    <row r="1747" spans="1:7" ht="12.75" customHeight="1">
      <c r="A1747" s="1538"/>
      <c r="B1747" s="1981"/>
      <c r="C1747" s="757"/>
      <c r="E1747" s="758"/>
      <c r="G1747" s="754"/>
    </row>
    <row r="1748" spans="1:7" ht="12.75" customHeight="1">
      <c r="A1748" s="1538"/>
      <c r="B1748" s="1981"/>
      <c r="C1748" s="757"/>
      <c r="E1748" s="758"/>
      <c r="G1748" s="754"/>
    </row>
    <row r="1749" spans="1:7" ht="12.75" customHeight="1">
      <c r="A1749" s="1538"/>
      <c r="B1749" s="1981"/>
      <c r="C1749" s="757"/>
      <c r="E1749" s="758"/>
      <c r="G1749" s="754"/>
    </row>
    <row r="1750" spans="1:7" ht="12.75" customHeight="1">
      <c r="A1750" s="1538"/>
      <c r="B1750" s="1981"/>
      <c r="C1750" s="757"/>
      <c r="E1750" s="758"/>
      <c r="G1750" s="754"/>
    </row>
    <row r="1751" spans="1:7" ht="12.75" customHeight="1">
      <c r="A1751" s="1538"/>
      <c r="B1751" s="1981"/>
      <c r="C1751" s="757"/>
      <c r="E1751" s="758"/>
      <c r="G1751" s="754"/>
    </row>
    <row r="1752" spans="1:7" ht="12.75" customHeight="1">
      <c r="A1752" s="1538"/>
      <c r="B1752" s="1981"/>
      <c r="C1752" s="757"/>
      <c r="E1752" s="758"/>
      <c r="G1752" s="754"/>
    </row>
    <row r="1753" spans="1:7" ht="12.75" customHeight="1">
      <c r="A1753" s="1538"/>
      <c r="B1753" s="1981"/>
      <c r="C1753" s="757"/>
      <c r="E1753" s="758"/>
      <c r="G1753" s="754"/>
    </row>
    <row r="1754" spans="1:7" ht="12.75" customHeight="1">
      <c r="A1754" s="1538"/>
      <c r="B1754" s="1981"/>
      <c r="C1754" s="757"/>
      <c r="E1754" s="758"/>
      <c r="G1754" s="754"/>
    </row>
    <row r="1755" spans="1:7" ht="12.75" customHeight="1">
      <c r="A1755" s="1538"/>
      <c r="B1755" s="1981"/>
      <c r="C1755" s="757"/>
      <c r="E1755" s="758"/>
      <c r="G1755" s="754"/>
    </row>
    <row r="1756" spans="1:7" ht="12.75" customHeight="1">
      <c r="A1756" s="1538"/>
      <c r="B1756" s="1981"/>
      <c r="C1756" s="757"/>
      <c r="E1756" s="758"/>
      <c r="G1756" s="754"/>
    </row>
    <row r="1757" spans="1:7" ht="12.75" customHeight="1">
      <c r="A1757" s="1538"/>
      <c r="B1757" s="1981"/>
      <c r="C1757" s="757"/>
      <c r="E1757" s="758"/>
      <c r="G1757" s="754"/>
    </row>
    <row r="1758" spans="1:7" ht="12.75" customHeight="1">
      <c r="A1758" s="1538"/>
      <c r="B1758" s="1981"/>
      <c r="C1758" s="757"/>
      <c r="E1758" s="758"/>
      <c r="G1758" s="754"/>
    </row>
    <row r="1759" spans="1:7" ht="12.75" customHeight="1">
      <c r="A1759" s="1538"/>
      <c r="B1759" s="1981"/>
      <c r="C1759" s="757"/>
      <c r="E1759" s="758"/>
      <c r="G1759" s="754"/>
    </row>
    <row r="1760" spans="1:7" ht="12.75" customHeight="1">
      <c r="A1760" s="1538"/>
      <c r="B1760" s="1981"/>
      <c r="C1760" s="757"/>
      <c r="E1760" s="758"/>
      <c r="G1760" s="754"/>
    </row>
    <row r="1761" spans="1:7" ht="12.75" customHeight="1">
      <c r="A1761" s="1538"/>
      <c r="B1761" s="1981"/>
      <c r="C1761" s="757"/>
      <c r="E1761" s="758"/>
      <c r="G1761" s="754"/>
    </row>
    <row r="1762" spans="1:7" ht="12.75" customHeight="1">
      <c r="A1762" s="1538"/>
      <c r="B1762" s="1981"/>
      <c r="C1762" s="757"/>
      <c r="E1762" s="758"/>
      <c r="G1762" s="754"/>
    </row>
    <row r="1763" spans="1:7" ht="12.75" customHeight="1">
      <c r="A1763" s="1538"/>
      <c r="B1763" s="1981"/>
      <c r="C1763" s="757"/>
      <c r="E1763" s="758"/>
      <c r="G1763" s="754"/>
    </row>
    <row r="1764" spans="1:7" ht="12.75" customHeight="1">
      <c r="A1764" s="1538"/>
      <c r="B1764" s="1981"/>
      <c r="C1764" s="757"/>
      <c r="E1764" s="758"/>
      <c r="G1764" s="754"/>
    </row>
    <row r="1765" spans="1:7" ht="12.75" customHeight="1">
      <c r="A1765" s="1538"/>
      <c r="B1765" s="1981"/>
      <c r="C1765" s="757"/>
      <c r="E1765" s="758"/>
      <c r="G1765" s="754"/>
    </row>
    <row r="1766" spans="1:7" ht="12.75" customHeight="1">
      <c r="A1766" s="1538"/>
      <c r="B1766" s="1981"/>
      <c r="C1766" s="757"/>
      <c r="E1766" s="758"/>
      <c r="G1766" s="754"/>
    </row>
    <row r="1767" spans="1:7" ht="12.75" customHeight="1">
      <c r="A1767" s="1538"/>
      <c r="B1767" s="1981"/>
      <c r="C1767" s="757"/>
      <c r="E1767" s="758"/>
      <c r="G1767" s="754"/>
    </row>
    <row r="1768" spans="1:7" ht="12.75" customHeight="1">
      <c r="A1768" s="1538"/>
      <c r="B1768" s="1981"/>
      <c r="C1768" s="757"/>
      <c r="E1768" s="758"/>
      <c r="G1768" s="754"/>
    </row>
    <row r="1769" spans="1:7" ht="12.75" customHeight="1">
      <c r="A1769" s="1538"/>
      <c r="B1769" s="1981"/>
      <c r="C1769" s="757"/>
      <c r="E1769" s="758"/>
      <c r="G1769" s="754"/>
    </row>
    <row r="1770" spans="1:7" ht="12.75" customHeight="1">
      <c r="A1770" s="1538"/>
      <c r="B1770" s="1981"/>
      <c r="C1770" s="757"/>
      <c r="E1770" s="758"/>
      <c r="G1770" s="754"/>
    </row>
    <row r="1771" spans="1:7" ht="12.75" customHeight="1">
      <c r="A1771" s="1538"/>
      <c r="B1771" s="1981"/>
      <c r="C1771" s="757"/>
      <c r="E1771" s="758"/>
      <c r="G1771" s="754"/>
    </row>
    <row r="1772" spans="1:7" ht="12.75" customHeight="1">
      <c r="A1772" s="1538"/>
      <c r="B1772" s="1981"/>
      <c r="C1772" s="757"/>
      <c r="E1772" s="758"/>
      <c r="G1772" s="754"/>
    </row>
    <row r="1773" spans="1:7" ht="12.75" customHeight="1">
      <c r="A1773" s="1538"/>
      <c r="B1773" s="1981"/>
      <c r="C1773" s="757"/>
      <c r="E1773" s="758"/>
      <c r="G1773" s="754"/>
    </row>
    <row r="1774" spans="1:7" ht="12.75" customHeight="1">
      <c r="A1774" s="1538"/>
      <c r="B1774" s="1981"/>
      <c r="C1774" s="757"/>
      <c r="E1774" s="758"/>
      <c r="G1774" s="754"/>
    </row>
    <row r="1775" spans="1:7" ht="12.75" customHeight="1">
      <c r="A1775" s="1538"/>
      <c r="B1775" s="1981"/>
      <c r="C1775" s="757"/>
      <c r="E1775" s="758"/>
      <c r="G1775" s="754"/>
    </row>
    <row r="1776" spans="1:7" ht="12.75" customHeight="1">
      <c r="A1776" s="1538"/>
      <c r="B1776" s="1981"/>
      <c r="C1776" s="757"/>
      <c r="E1776" s="758"/>
      <c r="G1776" s="754"/>
    </row>
    <row r="1777" spans="1:7" ht="12.75" customHeight="1">
      <c r="A1777" s="1538"/>
      <c r="B1777" s="1981"/>
      <c r="C1777" s="757"/>
      <c r="E1777" s="758"/>
      <c r="G1777" s="754"/>
    </row>
    <row r="1778" spans="1:7" ht="12.75" customHeight="1">
      <c r="A1778" s="1538"/>
      <c r="B1778" s="1981"/>
      <c r="C1778" s="757"/>
      <c r="E1778" s="758"/>
      <c r="G1778" s="754"/>
    </row>
    <row r="1779" spans="1:7" ht="12.75" customHeight="1">
      <c r="A1779" s="1538"/>
      <c r="B1779" s="1981"/>
      <c r="C1779" s="757"/>
      <c r="E1779" s="758"/>
      <c r="G1779" s="754"/>
    </row>
    <row r="1780" spans="1:7" ht="12.75" customHeight="1">
      <c r="A1780" s="1538"/>
      <c r="B1780" s="1981"/>
      <c r="C1780" s="757"/>
      <c r="E1780" s="758"/>
      <c r="G1780" s="754"/>
    </row>
    <row r="1781" spans="1:7" ht="12.75" customHeight="1">
      <c r="A1781" s="1538"/>
      <c r="B1781" s="1981"/>
      <c r="C1781" s="757"/>
      <c r="E1781" s="758"/>
      <c r="G1781" s="754"/>
    </row>
    <row r="1782" spans="1:7" ht="12.75" customHeight="1">
      <c r="A1782" s="1538"/>
      <c r="B1782" s="1981"/>
      <c r="C1782" s="757"/>
      <c r="E1782" s="758"/>
      <c r="G1782" s="754"/>
    </row>
    <row r="1783" spans="1:7" ht="12.75" customHeight="1">
      <c r="A1783" s="1538"/>
      <c r="B1783" s="1981"/>
      <c r="C1783" s="757"/>
      <c r="E1783" s="758"/>
      <c r="G1783" s="754"/>
    </row>
    <row r="1784" spans="1:7" ht="12.75" customHeight="1">
      <c r="A1784" s="1538"/>
      <c r="B1784" s="1981"/>
      <c r="C1784" s="757"/>
      <c r="E1784" s="758"/>
      <c r="G1784" s="754"/>
    </row>
    <row r="1785" spans="1:7" ht="12.75" customHeight="1">
      <c r="A1785" s="1538"/>
      <c r="B1785" s="1981"/>
      <c r="C1785" s="757"/>
      <c r="E1785" s="758"/>
      <c r="G1785" s="754"/>
    </row>
    <row r="1786" spans="1:7" ht="12.75" customHeight="1">
      <c r="A1786" s="1538"/>
      <c r="B1786" s="1981"/>
      <c r="C1786" s="757"/>
      <c r="E1786" s="758"/>
      <c r="G1786" s="754"/>
    </row>
    <row r="1787" spans="1:7" ht="12.75" customHeight="1">
      <c r="A1787" s="1538"/>
      <c r="B1787" s="1981"/>
      <c r="C1787" s="757"/>
      <c r="E1787" s="758"/>
      <c r="G1787" s="754"/>
    </row>
    <row r="1788" spans="1:7" ht="12.75" customHeight="1">
      <c r="A1788" s="1538"/>
      <c r="B1788" s="1981"/>
      <c r="C1788" s="757"/>
      <c r="E1788" s="758"/>
      <c r="G1788" s="754"/>
    </row>
    <row r="1789" spans="1:7" ht="12.75" customHeight="1">
      <c r="A1789" s="1538"/>
      <c r="B1789" s="1981"/>
      <c r="C1789" s="757"/>
      <c r="E1789" s="758"/>
      <c r="G1789" s="754"/>
    </row>
    <row r="1790" spans="1:7" ht="12.75" customHeight="1">
      <c r="A1790" s="1538"/>
      <c r="B1790" s="1981"/>
      <c r="C1790" s="757"/>
      <c r="E1790" s="758"/>
      <c r="G1790" s="754"/>
    </row>
    <row r="1791" spans="1:7" ht="12.75" customHeight="1">
      <c r="A1791" s="1538"/>
      <c r="B1791" s="1981"/>
      <c r="C1791" s="757"/>
      <c r="E1791" s="758"/>
      <c r="G1791" s="754"/>
    </row>
    <row r="1792" spans="1:7" ht="12.75" customHeight="1">
      <c r="A1792" s="1538"/>
      <c r="B1792" s="1981"/>
      <c r="C1792" s="757"/>
      <c r="E1792" s="758"/>
      <c r="G1792" s="754"/>
    </row>
    <row r="1793" spans="1:7" ht="12.75" customHeight="1">
      <c r="A1793" s="1538"/>
      <c r="B1793" s="1981"/>
      <c r="C1793" s="757"/>
      <c r="E1793" s="758"/>
      <c r="G1793" s="754"/>
    </row>
    <row r="1794" spans="1:7" ht="12.75" customHeight="1">
      <c r="A1794" s="1538"/>
      <c r="B1794" s="1981"/>
      <c r="C1794" s="757"/>
      <c r="E1794" s="758"/>
      <c r="G1794" s="754"/>
    </row>
    <row r="1795" spans="1:7" ht="12.75" customHeight="1">
      <c r="A1795" s="1538"/>
      <c r="B1795" s="1981"/>
      <c r="C1795" s="757"/>
      <c r="E1795" s="758"/>
      <c r="G1795" s="754"/>
    </row>
    <row r="1796" spans="1:7" ht="12.75" customHeight="1">
      <c r="A1796" s="1538"/>
      <c r="B1796" s="1981"/>
      <c r="C1796" s="757"/>
      <c r="E1796" s="758"/>
      <c r="G1796" s="754"/>
    </row>
    <row r="1797" spans="1:7" ht="12.75" customHeight="1">
      <c r="A1797" s="1538"/>
      <c r="B1797" s="1981"/>
      <c r="C1797" s="757"/>
      <c r="E1797" s="758"/>
      <c r="G1797" s="754"/>
    </row>
    <row r="1798" spans="1:7" ht="12.75" customHeight="1">
      <c r="A1798" s="1538"/>
      <c r="B1798" s="1981"/>
      <c r="C1798" s="757"/>
      <c r="E1798" s="758"/>
      <c r="G1798" s="754"/>
    </row>
    <row r="1799" spans="1:7" ht="12.75" customHeight="1">
      <c r="A1799" s="1538"/>
      <c r="B1799" s="1981"/>
      <c r="C1799" s="757"/>
      <c r="E1799" s="758"/>
      <c r="G1799" s="754"/>
    </row>
    <row r="1800" spans="1:7" ht="12.75" customHeight="1">
      <c r="A1800" s="1538"/>
      <c r="B1800" s="1981"/>
      <c r="C1800" s="757"/>
      <c r="E1800" s="758"/>
      <c r="G1800" s="754"/>
    </row>
    <row r="1801" spans="1:7" ht="12.75" customHeight="1">
      <c r="A1801" s="1538"/>
      <c r="B1801" s="1981"/>
      <c r="C1801" s="757"/>
      <c r="E1801" s="758"/>
      <c r="G1801" s="754"/>
    </row>
    <row r="1802" spans="1:7" ht="12.75" customHeight="1">
      <c r="A1802" s="1538"/>
      <c r="B1802" s="1981"/>
      <c r="C1802" s="757"/>
      <c r="E1802" s="758"/>
      <c r="G1802" s="754"/>
    </row>
    <row r="1803" spans="1:7" ht="12.75" customHeight="1">
      <c r="A1803" s="1538"/>
      <c r="B1803" s="1981"/>
      <c r="C1803" s="757"/>
      <c r="E1803" s="758"/>
      <c r="G1803" s="754"/>
    </row>
    <row r="1804" spans="1:7" ht="12.75" customHeight="1">
      <c r="A1804" s="1538"/>
      <c r="B1804" s="1981"/>
      <c r="C1804" s="757"/>
      <c r="E1804" s="758"/>
      <c r="G1804" s="754"/>
    </row>
    <row r="1805" spans="1:7" ht="12.75" customHeight="1">
      <c r="A1805" s="1538"/>
      <c r="B1805" s="1981"/>
      <c r="C1805" s="757"/>
      <c r="E1805" s="758"/>
      <c r="G1805" s="754"/>
    </row>
    <row r="1806" spans="1:7" ht="12.75" customHeight="1">
      <c r="A1806" s="1538"/>
      <c r="B1806" s="1981"/>
      <c r="C1806" s="757"/>
      <c r="E1806" s="758"/>
      <c r="G1806" s="754"/>
    </row>
    <row r="1807" spans="1:7" ht="12.75" customHeight="1">
      <c r="A1807" s="1538"/>
      <c r="B1807" s="1981"/>
      <c r="C1807" s="757"/>
      <c r="E1807" s="758"/>
      <c r="G1807" s="754"/>
    </row>
    <row r="1808" spans="1:7" ht="12.75" customHeight="1">
      <c r="A1808" s="1538"/>
      <c r="B1808" s="1981"/>
      <c r="C1808" s="757"/>
      <c r="E1808" s="758"/>
      <c r="G1808" s="754"/>
    </row>
    <row r="1809" spans="1:7" ht="12.75" customHeight="1">
      <c r="A1809" s="1538"/>
      <c r="B1809" s="1981"/>
      <c r="C1809" s="757"/>
      <c r="E1809" s="758"/>
      <c r="G1809" s="754"/>
    </row>
    <row r="1810" spans="1:7" ht="12.75" customHeight="1">
      <c r="A1810" s="1538"/>
      <c r="B1810" s="1981"/>
      <c r="C1810" s="757"/>
      <c r="E1810" s="758"/>
      <c r="G1810" s="754"/>
    </row>
    <row r="1811" spans="1:7" ht="12.75" customHeight="1">
      <c r="A1811" s="1538"/>
      <c r="B1811" s="1981"/>
      <c r="C1811" s="757"/>
      <c r="E1811" s="758"/>
      <c r="G1811" s="754"/>
    </row>
    <row r="1812" spans="1:7" ht="12.75" customHeight="1">
      <c r="A1812" s="1538"/>
      <c r="B1812" s="1981"/>
      <c r="C1812" s="757"/>
      <c r="E1812" s="758"/>
      <c r="G1812" s="754"/>
    </row>
    <row r="1813" spans="1:7" ht="12.75" customHeight="1">
      <c r="A1813" s="1538"/>
      <c r="B1813" s="1981"/>
      <c r="C1813" s="757"/>
      <c r="E1813" s="758"/>
      <c r="G1813" s="754"/>
    </row>
    <row r="1814" spans="1:7" ht="12.75" customHeight="1">
      <c r="A1814" s="1538"/>
      <c r="B1814" s="1981"/>
      <c r="C1814" s="757"/>
      <c r="E1814" s="758"/>
      <c r="G1814" s="754"/>
    </row>
    <row r="1815" spans="1:7" ht="12.75" customHeight="1">
      <c r="A1815" s="1538"/>
      <c r="B1815" s="1981"/>
      <c r="C1815" s="757"/>
      <c r="E1815" s="758"/>
      <c r="G1815" s="754"/>
    </row>
    <row r="1816" spans="1:7" ht="12.75" customHeight="1">
      <c r="A1816" s="1538"/>
      <c r="B1816" s="1981"/>
      <c r="C1816" s="757"/>
      <c r="E1816" s="758"/>
      <c r="G1816" s="754"/>
    </row>
    <row r="1817" spans="1:7" ht="12.75" customHeight="1">
      <c r="A1817" s="1538"/>
      <c r="B1817" s="1981"/>
      <c r="C1817" s="757"/>
      <c r="E1817" s="758"/>
      <c r="G1817" s="754"/>
    </row>
    <row r="1818" spans="1:7" ht="12.75" customHeight="1">
      <c r="A1818" s="1538"/>
      <c r="B1818" s="1981"/>
      <c r="C1818" s="757"/>
      <c r="E1818" s="758"/>
      <c r="G1818" s="754"/>
    </row>
    <row r="1819" spans="1:7" ht="12.75" customHeight="1">
      <c r="A1819" s="1538"/>
      <c r="B1819" s="1981"/>
      <c r="C1819" s="757"/>
      <c r="E1819" s="758"/>
      <c r="G1819" s="754"/>
    </row>
    <row r="1820" spans="1:7" ht="12.75" customHeight="1">
      <c r="A1820" s="1538"/>
      <c r="B1820" s="1981"/>
      <c r="C1820" s="757"/>
      <c r="E1820" s="758"/>
      <c r="G1820" s="754"/>
    </row>
    <row r="1821" spans="1:7" ht="12.75" customHeight="1">
      <c r="A1821" s="1538"/>
      <c r="B1821" s="1981"/>
      <c r="C1821" s="757"/>
      <c r="E1821" s="758"/>
      <c r="G1821" s="754"/>
    </row>
    <row r="1822" spans="1:7" ht="12.75" customHeight="1">
      <c r="A1822" s="1538"/>
      <c r="B1822" s="1981"/>
      <c r="C1822" s="757"/>
      <c r="E1822" s="758"/>
      <c r="G1822" s="754"/>
    </row>
    <row r="1823" spans="1:7" ht="12.75" customHeight="1">
      <c r="A1823" s="1538"/>
      <c r="B1823" s="1981"/>
      <c r="C1823" s="757"/>
      <c r="E1823" s="758"/>
      <c r="G1823" s="754"/>
    </row>
    <row r="1824" spans="1:7" ht="12.75" customHeight="1">
      <c r="A1824" s="1538"/>
      <c r="B1824" s="1981"/>
      <c r="C1824" s="757"/>
      <c r="E1824" s="758"/>
      <c r="G1824" s="754"/>
    </row>
    <row r="1825" spans="1:7" ht="12.75" customHeight="1">
      <c r="A1825" s="1538"/>
      <c r="B1825" s="1981"/>
      <c r="C1825" s="757"/>
      <c r="E1825" s="758"/>
      <c r="G1825" s="754"/>
    </row>
    <row r="1826" spans="1:7" ht="12.75" customHeight="1">
      <c r="A1826" s="1538"/>
      <c r="B1826" s="1981"/>
      <c r="C1826" s="757"/>
      <c r="E1826" s="758"/>
      <c r="G1826" s="754"/>
    </row>
    <row r="1827" spans="1:7" ht="12.75" customHeight="1">
      <c r="A1827" s="1538"/>
      <c r="B1827" s="1981"/>
      <c r="C1827" s="757"/>
      <c r="E1827" s="758"/>
      <c r="G1827" s="754"/>
    </row>
    <row r="1828" spans="1:7" ht="12.75" customHeight="1">
      <c r="A1828" s="1538"/>
      <c r="B1828" s="1981"/>
      <c r="C1828" s="757"/>
      <c r="E1828" s="758"/>
      <c r="G1828" s="754"/>
    </row>
    <row r="1829" spans="1:7" ht="12.75" customHeight="1">
      <c r="A1829" s="1538"/>
      <c r="B1829" s="1981"/>
      <c r="C1829" s="757"/>
      <c r="E1829" s="758"/>
      <c r="G1829" s="754"/>
    </row>
    <row r="1830" spans="1:7" ht="12.75" customHeight="1">
      <c r="A1830" s="1538"/>
      <c r="B1830" s="1981"/>
      <c r="C1830" s="757"/>
      <c r="E1830" s="758"/>
      <c r="G1830" s="754"/>
    </row>
    <row r="1831" spans="1:7" ht="12.75" customHeight="1">
      <c r="A1831" s="1538"/>
      <c r="B1831" s="1981"/>
      <c r="C1831" s="757"/>
      <c r="E1831" s="758"/>
      <c r="G1831" s="754"/>
    </row>
    <row r="1832" spans="1:7" ht="12.75" customHeight="1">
      <c r="A1832" s="1538"/>
      <c r="B1832" s="1981"/>
      <c r="C1832" s="757"/>
      <c r="E1832" s="758"/>
      <c r="G1832" s="754"/>
    </row>
    <row r="1833" spans="1:7" ht="12.75" customHeight="1">
      <c r="A1833" s="1538"/>
      <c r="B1833" s="1981"/>
      <c r="C1833" s="757"/>
      <c r="E1833" s="758"/>
      <c r="G1833" s="754"/>
    </row>
    <row r="1834" spans="1:7" ht="12.75" customHeight="1">
      <c r="A1834" s="1538"/>
      <c r="B1834" s="1981"/>
      <c r="C1834" s="757"/>
      <c r="E1834" s="758"/>
      <c r="G1834" s="754"/>
    </row>
    <row r="1835" spans="1:7" ht="12.75" customHeight="1">
      <c r="A1835" s="1538"/>
      <c r="B1835" s="1981"/>
      <c r="C1835" s="757"/>
      <c r="E1835" s="758"/>
      <c r="G1835" s="754"/>
    </row>
    <row r="1836" spans="1:7" ht="12.75" customHeight="1">
      <c r="A1836" s="1538"/>
      <c r="B1836" s="1981"/>
      <c r="C1836" s="757"/>
      <c r="E1836" s="758"/>
      <c r="G1836" s="754"/>
    </row>
    <row r="1837" spans="1:7" ht="12.75" customHeight="1">
      <c r="A1837" s="1538"/>
      <c r="B1837" s="1981"/>
      <c r="C1837" s="757"/>
      <c r="E1837" s="758"/>
      <c r="G1837" s="754"/>
    </row>
    <row r="1838" spans="1:7" ht="12.75" customHeight="1">
      <c r="A1838" s="1538"/>
      <c r="B1838" s="1981"/>
      <c r="C1838" s="757"/>
      <c r="E1838" s="758"/>
      <c r="G1838" s="754"/>
    </row>
    <row r="1839" spans="1:7" ht="12.75" customHeight="1">
      <c r="A1839" s="1538"/>
      <c r="B1839" s="1981"/>
      <c r="C1839" s="757"/>
      <c r="E1839" s="758"/>
      <c r="G1839" s="754"/>
    </row>
    <row r="1840" spans="1:7" ht="12.75" customHeight="1">
      <c r="A1840" s="1538"/>
      <c r="B1840" s="1981"/>
      <c r="C1840" s="757"/>
      <c r="E1840" s="758"/>
      <c r="G1840" s="754"/>
    </row>
    <row r="1841" spans="1:7" ht="12.75" customHeight="1">
      <c r="A1841" s="1538"/>
      <c r="B1841" s="1981"/>
      <c r="C1841" s="757"/>
      <c r="E1841" s="758"/>
      <c r="G1841" s="754"/>
    </row>
    <row r="1842" spans="1:7" ht="12.75" customHeight="1">
      <c r="A1842" s="1538"/>
      <c r="B1842" s="1981"/>
      <c r="C1842" s="757"/>
      <c r="E1842" s="758"/>
      <c r="G1842" s="754"/>
    </row>
    <row r="1843" spans="1:7" ht="12.75" customHeight="1">
      <c r="A1843" s="1538"/>
      <c r="B1843" s="1981"/>
      <c r="C1843" s="757"/>
      <c r="E1843" s="758"/>
      <c r="G1843" s="754"/>
    </row>
    <row r="1844" spans="1:7" ht="12.75" customHeight="1">
      <c r="A1844" s="1538"/>
      <c r="B1844" s="1981"/>
      <c r="C1844" s="757"/>
      <c r="E1844" s="758"/>
      <c r="G1844" s="754"/>
    </row>
    <row r="1845" spans="1:7" ht="12.75" customHeight="1">
      <c r="A1845" s="1538"/>
      <c r="B1845" s="1981"/>
      <c r="C1845" s="757"/>
      <c r="E1845" s="758"/>
      <c r="G1845" s="754"/>
    </row>
    <row r="1846" spans="1:7" ht="12.75" customHeight="1">
      <c r="A1846" s="1538"/>
      <c r="B1846" s="1981"/>
      <c r="C1846" s="757"/>
      <c r="E1846" s="758"/>
      <c r="G1846" s="754"/>
    </row>
    <row r="1847" spans="1:7" ht="12.75" customHeight="1">
      <c r="A1847" s="1538"/>
      <c r="B1847" s="1981"/>
      <c r="C1847" s="757"/>
      <c r="E1847" s="758"/>
      <c r="G1847" s="754"/>
    </row>
    <row r="1848" spans="1:7" ht="12.75" customHeight="1">
      <c r="A1848" s="1538"/>
      <c r="B1848" s="1981"/>
      <c r="C1848" s="757"/>
      <c r="E1848" s="758"/>
      <c r="G1848" s="754"/>
    </row>
    <row r="1849" spans="1:7" ht="12.75" customHeight="1">
      <c r="A1849" s="1538"/>
      <c r="B1849" s="1981"/>
      <c r="C1849" s="757"/>
      <c r="E1849" s="758"/>
      <c r="G1849" s="754"/>
    </row>
    <row r="1850" spans="1:7" ht="12.75" customHeight="1">
      <c r="A1850" s="1538"/>
      <c r="B1850" s="1981"/>
      <c r="C1850" s="757"/>
      <c r="E1850" s="758"/>
      <c r="G1850" s="754"/>
    </row>
    <row r="1851" spans="1:7" ht="12.75" customHeight="1">
      <c r="A1851" s="1538"/>
      <c r="B1851" s="1981"/>
      <c r="C1851" s="757"/>
      <c r="E1851" s="758"/>
      <c r="G1851" s="754"/>
    </row>
    <row r="1852" spans="1:7" ht="12.75" customHeight="1">
      <c r="A1852" s="1538"/>
      <c r="B1852" s="1981"/>
      <c r="C1852" s="757"/>
      <c r="E1852" s="758"/>
      <c r="G1852" s="754"/>
    </row>
    <row r="1853" spans="1:7" ht="12.75" customHeight="1">
      <c r="A1853" s="1538"/>
      <c r="B1853" s="1981"/>
      <c r="C1853" s="757"/>
      <c r="E1853" s="758"/>
      <c r="G1853" s="754"/>
    </row>
    <row r="1854" spans="1:7" ht="12.75" customHeight="1">
      <c r="A1854" s="1538"/>
      <c r="B1854" s="1981"/>
      <c r="C1854" s="757"/>
      <c r="E1854" s="758"/>
      <c r="G1854" s="754"/>
    </row>
    <row r="1855" spans="1:7" ht="12.75" customHeight="1">
      <c r="A1855" s="1538"/>
      <c r="B1855" s="1981"/>
      <c r="C1855" s="757"/>
      <c r="E1855" s="758"/>
      <c r="G1855" s="754"/>
    </row>
    <row r="1856" spans="1:7" ht="12.75" customHeight="1">
      <c r="A1856" s="1538"/>
      <c r="B1856" s="1981"/>
      <c r="C1856" s="757"/>
      <c r="E1856" s="758"/>
      <c r="G1856" s="754"/>
    </row>
    <row r="1857" spans="1:7" ht="12.75" customHeight="1">
      <c r="A1857" s="1538"/>
      <c r="B1857" s="1981"/>
      <c r="C1857" s="757"/>
      <c r="E1857" s="758"/>
      <c r="G1857" s="754"/>
    </row>
    <row r="1858" spans="1:7" ht="12.75" customHeight="1">
      <c r="A1858" s="1538"/>
      <c r="B1858" s="1981"/>
      <c r="C1858" s="757"/>
      <c r="E1858" s="758"/>
      <c r="G1858" s="754"/>
    </row>
    <row r="1859" spans="1:7" ht="12.75" customHeight="1">
      <c r="A1859" s="1538"/>
      <c r="B1859" s="1981"/>
      <c r="C1859" s="757"/>
      <c r="E1859" s="758"/>
      <c r="G1859" s="754"/>
    </row>
    <row r="1860" spans="1:7" ht="12.75" customHeight="1">
      <c r="A1860" s="1538"/>
      <c r="B1860" s="1981"/>
      <c r="C1860" s="757"/>
      <c r="E1860" s="758"/>
      <c r="G1860" s="754"/>
    </row>
    <row r="1861" spans="1:7" ht="12.75" customHeight="1">
      <c r="A1861" s="1538"/>
      <c r="B1861" s="1981"/>
      <c r="C1861" s="757"/>
      <c r="E1861" s="758"/>
      <c r="G1861" s="754"/>
    </row>
    <row r="1862" spans="1:7" ht="12.75" customHeight="1">
      <c r="A1862" s="1538"/>
      <c r="B1862" s="1981"/>
      <c r="C1862" s="757"/>
      <c r="E1862" s="758"/>
      <c r="G1862" s="754"/>
    </row>
    <row r="1863" spans="1:7" ht="12.75" customHeight="1">
      <c r="A1863" s="1538"/>
      <c r="B1863" s="1981"/>
      <c r="C1863" s="757"/>
      <c r="E1863" s="758"/>
      <c r="G1863" s="754"/>
    </row>
    <row r="1864" spans="1:7" ht="12.75" customHeight="1">
      <c r="A1864" s="1538"/>
      <c r="B1864" s="1981"/>
      <c r="C1864" s="757"/>
      <c r="E1864" s="758"/>
      <c r="G1864" s="754"/>
    </row>
    <row r="1865" spans="1:7" ht="12.75" customHeight="1">
      <c r="A1865" s="1538"/>
      <c r="B1865" s="1981"/>
      <c r="C1865" s="757"/>
      <c r="E1865" s="758"/>
      <c r="G1865" s="754"/>
    </row>
    <row r="1866" spans="1:7" ht="12.75" customHeight="1">
      <c r="A1866" s="1538"/>
      <c r="B1866" s="1981"/>
      <c r="C1866" s="757"/>
      <c r="E1866" s="758"/>
      <c r="G1866" s="754"/>
    </row>
    <row r="1867" spans="1:7" ht="12.75" customHeight="1">
      <c r="A1867" s="1538"/>
      <c r="B1867" s="1981"/>
      <c r="C1867" s="757"/>
      <c r="E1867" s="758"/>
      <c r="G1867" s="754"/>
    </row>
    <row r="1868" spans="1:7" ht="12.75" customHeight="1">
      <c r="A1868" s="1538"/>
      <c r="B1868" s="1981"/>
      <c r="C1868" s="757"/>
      <c r="E1868" s="758"/>
      <c r="G1868" s="754"/>
    </row>
    <row r="1869" spans="1:7" ht="12.75" customHeight="1">
      <c r="A1869" s="1538"/>
      <c r="B1869" s="1981"/>
      <c r="C1869" s="757"/>
      <c r="E1869" s="758"/>
      <c r="G1869" s="754"/>
    </row>
    <row r="1870" spans="1:7" ht="12.75" customHeight="1">
      <c r="A1870" s="1538"/>
      <c r="B1870" s="1981"/>
      <c r="C1870" s="757"/>
      <c r="E1870" s="758"/>
      <c r="G1870" s="754"/>
    </row>
    <row r="1871" spans="1:7" ht="12.75" customHeight="1">
      <c r="A1871" s="1538"/>
      <c r="B1871" s="1981"/>
      <c r="C1871" s="757"/>
      <c r="E1871" s="758"/>
      <c r="G1871" s="754"/>
    </row>
    <row r="1872" spans="1:7" ht="12.75" customHeight="1">
      <c r="A1872" s="1538"/>
      <c r="B1872" s="1981"/>
      <c r="C1872" s="757"/>
      <c r="E1872" s="758"/>
      <c r="G1872" s="754"/>
    </row>
    <row r="1873" spans="1:7" ht="12.75" customHeight="1">
      <c r="A1873" s="1538"/>
      <c r="B1873" s="1981"/>
      <c r="C1873" s="757"/>
      <c r="E1873" s="758"/>
      <c r="G1873" s="754"/>
    </row>
    <row r="1874" spans="1:7" ht="12.75" customHeight="1">
      <c r="A1874" s="1538"/>
      <c r="B1874" s="1981"/>
      <c r="C1874" s="757"/>
      <c r="E1874" s="758"/>
      <c r="G1874" s="754"/>
    </row>
    <row r="1875" spans="1:7" ht="12.75" customHeight="1">
      <c r="A1875" s="1538"/>
      <c r="B1875" s="1981"/>
      <c r="C1875" s="757"/>
      <c r="E1875" s="758"/>
      <c r="G1875" s="754"/>
    </row>
    <row r="1876" spans="1:7" ht="12.75" customHeight="1">
      <c r="A1876" s="1538"/>
      <c r="B1876" s="1981"/>
      <c r="C1876" s="757"/>
      <c r="E1876" s="758"/>
      <c r="G1876" s="754"/>
    </row>
    <row r="1877" spans="1:7" ht="12.75" customHeight="1">
      <c r="A1877" s="1538"/>
      <c r="B1877" s="1981"/>
      <c r="C1877" s="757"/>
      <c r="E1877" s="758"/>
      <c r="G1877" s="754"/>
    </row>
    <row r="1878" spans="1:7" ht="12.75" customHeight="1">
      <c r="A1878" s="1538"/>
      <c r="B1878" s="1981"/>
      <c r="C1878" s="757"/>
      <c r="E1878" s="758"/>
      <c r="G1878" s="754"/>
    </row>
    <row r="1879" spans="1:7" ht="12.75" customHeight="1">
      <c r="A1879" s="1538"/>
      <c r="B1879" s="1981"/>
      <c r="C1879" s="757"/>
      <c r="E1879" s="758"/>
      <c r="G1879" s="754"/>
    </row>
    <row r="1880" spans="1:7" ht="12.75" customHeight="1">
      <c r="A1880" s="1538"/>
      <c r="B1880" s="1981"/>
      <c r="C1880" s="757"/>
      <c r="E1880" s="758"/>
      <c r="G1880" s="754"/>
    </row>
    <row r="1881" spans="1:7" ht="12.75" customHeight="1">
      <c r="A1881" s="1538"/>
      <c r="B1881" s="1981"/>
      <c r="C1881" s="757"/>
      <c r="E1881" s="758"/>
      <c r="G1881" s="754"/>
    </row>
    <row r="1882" spans="1:7" ht="12.75" customHeight="1">
      <c r="A1882" s="1538"/>
      <c r="B1882" s="1981"/>
      <c r="C1882" s="757"/>
      <c r="E1882" s="758"/>
      <c r="G1882" s="754"/>
    </row>
    <row r="1883" spans="1:7" ht="12.75" customHeight="1">
      <c r="A1883" s="1538"/>
      <c r="B1883" s="1981"/>
      <c r="C1883" s="757"/>
      <c r="E1883" s="758"/>
      <c r="G1883" s="754"/>
    </row>
    <row r="1884" spans="1:7" ht="12.75" customHeight="1">
      <c r="A1884" s="1538"/>
      <c r="B1884" s="1981"/>
      <c r="C1884" s="757"/>
      <c r="E1884" s="758"/>
      <c r="G1884" s="754"/>
    </row>
    <row r="1885" spans="1:7" ht="12.75" customHeight="1">
      <c r="A1885" s="1538"/>
      <c r="B1885" s="1981"/>
      <c r="C1885" s="757"/>
      <c r="E1885" s="758"/>
      <c r="G1885" s="754"/>
    </row>
    <row r="1886" spans="1:7" ht="12.75" customHeight="1">
      <c r="A1886" s="1538"/>
      <c r="B1886" s="1981"/>
      <c r="C1886" s="757"/>
      <c r="E1886" s="758"/>
      <c r="G1886" s="754"/>
    </row>
    <row r="1887" spans="1:7" ht="12.75" customHeight="1">
      <c r="A1887" s="1538"/>
      <c r="B1887" s="1981"/>
      <c r="C1887" s="757"/>
      <c r="E1887" s="758"/>
      <c r="G1887" s="754"/>
    </row>
    <row r="1888" spans="1:7" ht="12.75" customHeight="1">
      <c r="A1888" s="1538"/>
      <c r="B1888" s="1981"/>
      <c r="C1888" s="757"/>
      <c r="E1888" s="758"/>
      <c r="G1888" s="754"/>
    </row>
    <row r="1889" spans="1:7" ht="12.75" customHeight="1">
      <c r="A1889" s="1538"/>
      <c r="B1889" s="1981"/>
      <c r="C1889" s="757"/>
      <c r="E1889" s="758"/>
      <c r="G1889" s="754"/>
    </row>
    <row r="1890" spans="1:7" ht="12.75" customHeight="1">
      <c r="A1890" s="1538"/>
      <c r="B1890" s="1981"/>
      <c r="C1890" s="757"/>
      <c r="E1890" s="758"/>
      <c r="G1890" s="754"/>
    </row>
    <row r="1891" spans="1:7" ht="12.75" customHeight="1">
      <c r="A1891" s="1538"/>
      <c r="B1891" s="1981"/>
      <c r="C1891" s="757"/>
      <c r="E1891" s="758"/>
      <c r="G1891" s="754"/>
    </row>
    <row r="1892" spans="1:7" ht="12.75" customHeight="1">
      <c r="A1892" s="1538"/>
      <c r="B1892" s="1981"/>
      <c r="C1892" s="757"/>
      <c r="E1892" s="758"/>
      <c r="G1892" s="754"/>
    </row>
    <row r="1893" spans="1:7" ht="12.75" customHeight="1">
      <c r="A1893" s="1538"/>
      <c r="B1893" s="1981"/>
      <c r="C1893" s="757"/>
      <c r="E1893" s="758"/>
      <c r="G1893" s="754"/>
    </row>
    <row r="1894" spans="1:7" ht="12.75" customHeight="1">
      <c r="A1894" s="1538"/>
      <c r="B1894" s="1981"/>
      <c r="C1894" s="757"/>
      <c r="E1894" s="758"/>
      <c r="G1894" s="754"/>
    </row>
    <row r="1895" spans="1:7" ht="12.75" customHeight="1">
      <c r="A1895" s="1538"/>
      <c r="B1895" s="1981"/>
      <c r="C1895" s="757"/>
      <c r="E1895" s="758"/>
      <c r="G1895" s="754"/>
    </row>
    <row r="1896" spans="1:7" ht="12.75" customHeight="1">
      <c r="A1896" s="1538"/>
      <c r="B1896" s="1981"/>
      <c r="C1896" s="757"/>
      <c r="E1896" s="758"/>
      <c r="G1896" s="754"/>
    </row>
    <row r="1897" spans="1:7" ht="12.75" customHeight="1">
      <c r="A1897" s="1538"/>
      <c r="B1897" s="1981"/>
      <c r="C1897" s="757"/>
      <c r="E1897" s="758"/>
      <c r="G1897" s="754"/>
    </row>
    <row r="1898" spans="1:7" ht="12.75" customHeight="1">
      <c r="A1898" s="1538"/>
      <c r="B1898" s="1981"/>
      <c r="C1898" s="757"/>
      <c r="E1898" s="758"/>
      <c r="G1898" s="754"/>
    </row>
    <row r="1899" spans="1:7" ht="12.75" customHeight="1">
      <c r="A1899" s="1538"/>
      <c r="B1899" s="1981"/>
      <c r="C1899" s="757"/>
      <c r="E1899" s="758"/>
      <c r="G1899" s="754"/>
    </row>
    <row r="1900" spans="1:7" ht="12.75" customHeight="1">
      <c r="A1900" s="1538"/>
      <c r="B1900" s="1981"/>
      <c r="C1900" s="757"/>
      <c r="E1900" s="758"/>
      <c r="G1900" s="754"/>
    </row>
    <row r="1901" spans="1:7" ht="12.75" customHeight="1">
      <c r="A1901" s="1538"/>
      <c r="B1901" s="1981"/>
      <c r="C1901" s="757"/>
      <c r="E1901" s="758"/>
      <c r="G1901" s="754"/>
    </row>
    <row r="1902" spans="1:7" ht="12.75" customHeight="1">
      <c r="A1902" s="1538"/>
      <c r="B1902" s="1981"/>
      <c r="C1902" s="757"/>
      <c r="E1902" s="758"/>
      <c r="G1902" s="754"/>
    </row>
    <row r="1903" spans="1:7" ht="12.75" customHeight="1">
      <c r="A1903" s="1538"/>
      <c r="B1903" s="1981"/>
      <c r="C1903" s="757"/>
      <c r="E1903" s="758"/>
      <c r="G1903" s="754"/>
    </row>
    <row r="1904" spans="1:7" ht="12.75" customHeight="1">
      <c r="A1904" s="1538"/>
      <c r="B1904" s="1981"/>
      <c r="C1904" s="757"/>
      <c r="E1904" s="758"/>
      <c r="G1904" s="754"/>
    </row>
    <row r="1905" spans="1:7" ht="12.75" customHeight="1">
      <c r="A1905" s="1538"/>
      <c r="B1905" s="1981"/>
      <c r="C1905" s="757"/>
      <c r="E1905" s="758"/>
      <c r="G1905" s="754"/>
    </row>
    <row r="1906" spans="1:7" ht="12.75" customHeight="1">
      <c r="A1906" s="1538"/>
      <c r="B1906" s="1981"/>
      <c r="C1906" s="757"/>
      <c r="E1906" s="758"/>
      <c r="G1906" s="754"/>
    </row>
    <row r="1907" spans="1:7" ht="12.75" customHeight="1">
      <c r="A1907" s="1538"/>
      <c r="B1907" s="1981"/>
      <c r="C1907" s="757"/>
      <c r="E1907" s="758"/>
      <c r="G1907" s="754"/>
    </row>
    <row r="1908" spans="1:7" ht="12.75" customHeight="1">
      <c r="A1908" s="1538"/>
      <c r="B1908" s="1981"/>
      <c r="C1908" s="757"/>
      <c r="E1908" s="758"/>
      <c r="G1908" s="754"/>
    </row>
    <row r="1909" spans="1:7" ht="12.75" customHeight="1">
      <c r="A1909" s="1538"/>
      <c r="B1909" s="1981"/>
      <c r="C1909" s="757"/>
      <c r="E1909" s="758"/>
      <c r="G1909" s="754"/>
    </row>
    <row r="1910" spans="1:7" ht="12.75" customHeight="1">
      <c r="A1910" s="1538"/>
      <c r="B1910" s="1981"/>
      <c r="C1910" s="757"/>
      <c r="E1910" s="758"/>
      <c r="G1910" s="754"/>
    </row>
    <row r="1911" spans="1:7" ht="12.75" customHeight="1">
      <c r="A1911" s="1538"/>
      <c r="B1911" s="1981"/>
      <c r="C1911" s="757"/>
      <c r="E1911" s="758"/>
      <c r="G1911" s="754"/>
    </row>
    <row r="1912" spans="1:7" ht="12.75" customHeight="1">
      <c r="A1912" s="1538"/>
      <c r="B1912" s="1981"/>
      <c r="C1912" s="757"/>
      <c r="E1912" s="758"/>
      <c r="G1912" s="754"/>
    </row>
    <row r="1913" spans="1:7" ht="12.75" customHeight="1">
      <c r="A1913" s="1538"/>
      <c r="B1913" s="1981"/>
      <c r="C1913" s="757"/>
      <c r="E1913" s="758"/>
      <c r="G1913" s="754"/>
    </row>
    <row r="1914" spans="1:7" ht="12.75" customHeight="1">
      <c r="A1914" s="1538"/>
      <c r="B1914" s="1981"/>
      <c r="C1914" s="757"/>
      <c r="E1914" s="758"/>
      <c r="G1914" s="754"/>
    </row>
    <row r="1915" spans="1:7" ht="12.75" customHeight="1">
      <c r="A1915" s="1538"/>
      <c r="B1915" s="1981"/>
      <c r="C1915" s="757"/>
      <c r="E1915" s="758"/>
      <c r="G1915" s="754"/>
    </row>
    <row r="1916" spans="1:7" ht="12.75" customHeight="1">
      <c r="A1916" s="1538"/>
      <c r="B1916" s="1981"/>
      <c r="C1916" s="757"/>
      <c r="E1916" s="758"/>
      <c r="G1916" s="754"/>
    </row>
    <row r="1917" spans="1:7" ht="12.75" customHeight="1">
      <c r="A1917" s="1538"/>
      <c r="B1917" s="1981"/>
      <c r="C1917" s="757"/>
      <c r="E1917" s="758"/>
      <c r="G1917" s="754"/>
    </row>
    <row r="1918" spans="1:7" ht="12.75" customHeight="1">
      <c r="A1918" s="1538"/>
      <c r="B1918" s="1981"/>
      <c r="C1918" s="757"/>
      <c r="E1918" s="758"/>
      <c r="G1918" s="754"/>
    </row>
    <row r="1919" spans="1:7" ht="12.75" customHeight="1">
      <c r="A1919" s="1538"/>
      <c r="B1919" s="1981"/>
      <c r="C1919" s="757"/>
      <c r="E1919" s="758"/>
      <c r="G1919" s="754"/>
    </row>
    <row r="1920" spans="1:7" ht="12.75" customHeight="1">
      <c r="A1920" s="1538"/>
      <c r="B1920" s="1981"/>
      <c r="C1920" s="757"/>
      <c r="E1920" s="758"/>
      <c r="G1920" s="754"/>
    </row>
    <row r="1921" spans="1:7" ht="12.75" customHeight="1">
      <c r="A1921" s="1538"/>
      <c r="B1921" s="1981"/>
      <c r="C1921" s="757"/>
      <c r="E1921" s="758"/>
      <c r="G1921" s="754"/>
    </row>
    <row r="1922" spans="1:7" ht="12.75" customHeight="1">
      <c r="A1922" s="1538"/>
      <c r="B1922" s="1981"/>
      <c r="C1922" s="757"/>
      <c r="E1922" s="758"/>
      <c r="G1922" s="754"/>
    </row>
    <row r="1923" spans="1:7" ht="12.75" customHeight="1">
      <c r="A1923" s="1538"/>
      <c r="B1923" s="1981"/>
      <c r="C1923" s="757"/>
      <c r="E1923" s="758"/>
      <c r="G1923" s="754"/>
    </row>
    <row r="1924" spans="1:7" ht="12.75" customHeight="1">
      <c r="A1924" s="1538"/>
      <c r="B1924" s="1981"/>
      <c r="C1924" s="757"/>
      <c r="E1924" s="758"/>
      <c r="G1924" s="754"/>
    </row>
    <row r="1925" spans="1:7" ht="12.75" customHeight="1">
      <c r="A1925" s="1538"/>
      <c r="B1925" s="1981"/>
      <c r="C1925" s="757"/>
      <c r="E1925" s="758"/>
      <c r="G1925" s="754"/>
    </row>
    <row r="1926" spans="1:7" ht="12.75" customHeight="1">
      <c r="A1926" s="1538"/>
      <c r="B1926" s="1981"/>
      <c r="C1926" s="757"/>
      <c r="E1926" s="758"/>
      <c r="G1926" s="754"/>
    </row>
    <row r="1927" spans="1:7" ht="12.75" customHeight="1">
      <c r="A1927" s="1538"/>
      <c r="B1927" s="1981"/>
      <c r="C1927" s="757"/>
      <c r="E1927" s="758"/>
      <c r="G1927" s="754"/>
    </row>
    <row r="1928" spans="1:7" ht="12.75" customHeight="1">
      <c r="A1928" s="1538"/>
      <c r="B1928" s="1981"/>
      <c r="C1928" s="757"/>
      <c r="E1928" s="758"/>
      <c r="G1928" s="754"/>
    </row>
    <row r="1929" spans="1:7" ht="12.75" customHeight="1">
      <c r="A1929" s="1538"/>
      <c r="B1929" s="1981"/>
      <c r="C1929" s="757"/>
      <c r="E1929" s="758"/>
      <c r="G1929" s="754"/>
    </row>
    <row r="1930" spans="1:7" ht="12.75" customHeight="1">
      <c r="A1930" s="1538"/>
      <c r="B1930" s="1981"/>
      <c r="C1930" s="757"/>
      <c r="E1930" s="758"/>
      <c r="G1930" s="754"/>
    </row>
    <row r="1931" spans="1:7" ht="12.75" customHeight="1">
      <c r="A1931" s="1538"/>
      <c r="B1931" s="1981"/>
      <c r="C1931" s="757"/>
      <c r="E1931" s="758"/>
      <c r="G1931" s="754"/>
    </row>
    <row r="1932" spans="1:7" ht="12.75" customHeight="1">
      <c r="A1932" s="1538"/>
      <c r="B1932" s="1981"/>
      <c r="C1932" s="757"/>
      <c r="E1932" s="758"/>
      <c r="G1932" s="754"/>
    </row>
    <row r="1933" spans="1:7" ht="12.75" customHeight="1">
      <c r="A1933" s="1538"/>
      <c r="B1933" s="1981"/>
      <c r="C1933" s="757"/>
      <c r="E1933" s="758"/>
      <c r="G1933" s="754"/>
    </row>
    <row r="1934" spans="1:7" ht="12.75" customHeight="1">
      <c r="A1934" s="1538"/>
      <c r="B1934" s="1981"/>
      <c r="C1934" s="757"/>
      <c r="E1934" s="758"/>
      <c r="G1934" s="754"/>
    </row>
    <row r="1935" spans="1:7" ht="12.75" customHeight="1">
      <c r="A1935" s="1538"/>
      <c r="B1935" s="1981"/>
      <c r="C1935" s="757"/>
      <c r="E1935" s="758"/>
      <c r="G1935" s="754"/>
    </row>
    <row r="1936" spans="1:7" ht="12.75" customHeight="1">
      <c r="A1936" s="1538"/>
      <c r="B1936" s="1981"/>
      <c r="C1936" s="757"/>
      <c r="E1936" s="758"/>
      <c r="G1936" s="754"/>
    </row>
    <row r="1937" spans="1:7" ht="12.75" customHeight="1">
      <c r="A1937" s="1538"/>
      <c r="B1937" s="1981"/>
      <c r="C1937" s="757"/>
      <c r="E1937" s="758"/>
      <c r="G1937" s="754"/>
    </row>
    <row r="1938" spans="1:7" ht="12.75" customHeight="1">
      <c r="A1938" s="1538"/>
      <c r="B1938" s="1981"/>
      <c r="C1938" s="757"/>
      <c r="E1938" s="758"/>
      <c r="G1938" s="754"/>
    </row>
    <row r="1939" spans="1:7" ht="12.75" customHeight="1">
      <c r="A1939" s="1538"/>
      <c r="B1939" s="1981"/>
      <c r="C1939" s="757"/>
      <c r="E1939" s="758"/>
      <c r="G1939" s="754"/>
    </row>
    <row r="1940" spans="1:7" ht="12.75" customHeight="1">
      <c r="A1940" s="1538"/>
      <c r="B1940" s="1981"/>
      <c r="C1940" s="757"/>
      <c r="E1940" s="758"/>
      <c r="G1940" s="754"/>
    </row>
    <row r="1941" spans="1:7" ht="12.75" customHeight="1">
      <c r="A1941" s="1538"/>
      <c r="B1941" s="1981"/>
      <c r="C1941" s="757"/>
      <c r="E1941" s="758"/>
      <c r="G1941" s="754"/>
    </row>
    <row r="1942" spans="1:7" ht="12.75" customHeight="1">
      <c r="A1942" s="1538"/>
      <c r="B1942" s="1981"/>
      <c r="C1942" s="757"/>
      <c r="E1942" s="758"/>
      <c r="G1942" s="754"/>
    </row>
    <row r="1943" spans="1:7" ht="12.75" customHeight="1">
      <c r="A1943" s="1538"/>
      <c r="B1943" s="1981"/>
      <c r="C1943" s="757"/>
      <c r="E1943" s="758"/>
      <c r="G1943" s="754"/>
    </row>
    <row r="1944" spans="1:7" ht="12.75" customHeight="1">
      <c r="A1944" s="1538"/>
      <c r="B1944" s="1981"/>
      <c r="C1944" s="757"/>
      <c r="E1944" s="758"/>
      <c r="G1944" s="754"/>
    </row>
    <row r="1945" spans="1:7" ht="12.75" customHeight="1">
      <c r="A1945" s="1538"/>
      <c r="B1945" s="1981"/>
      <c r="C1945" s="757"/>
      <c r="E1945" s="758"/>
      <c r="G1945" s="754"/>
    </row>
    <row r="1946" spans="1:7" ht="12.75" customHeight="1">
      <c r="A1946" s="1538"/>
      <c r="B1946" s="1981"/>
      <c r="C1946" s="757"/>
      <c r="E1946" s="758"/>
      <c r="G1946" s="754"/>
    </row>
    <row r="1947" spans="1:7" ht="12.75" customHeight="1">
      <c r="A1947" s="1538"/>
      <c r="B1947" s="1981"/>
      <c r="C1947" s="757"/>
      <c r="E1947" s="758"/>
      <c r="G1947" s="754"/>
    </row>
    <row r="1948" spans="1:7" ht="12.75" customHeight="1">
      <c r="A1948" s="1538"/>
      <c r="B1948" s="1981"/>
      <c r="C1948" s="757"/>
      <c r="E1948" s="758"/>
      <c r="G1948" s="754"/>
    </row>
    <row r="1949" spans="1:7" ht="12.75" customHeight="1">
      <c r="A1949" s="1538"/>
      <c r="B1949" s="1981"/>
      <c r="C1949" s="757"/>
      <c r="E1949" s="758"/>
      <c r="G1949" s="754"/>
    </row>
    <row r="1950" spans="1:7" ht="12.75" customHeight="1">
      <c r="A1950" s="1538"/>
      <c r="B1950" s="1981"/>
      <c r="C1950" s="757"/>
      <c r="E1950" s="758"/>
      <c r="G1950" s="754"/>
    </row>
    <row r="1951" spans="1:7" ht="12.75" customHeight="1">
      <c r="A1951" s="1538"/>
      <c r="B1951" s="1981"/>
      <c r="C1951" s="757"/>
      <c r="E1951" s="758"/>
      <c r="G1951" s="754"/>
    </row>
    <row r="1952" spans="1:7" ht="12.75" customHeight="1">
      <c r="A1952" s="1538"/>
      <c r="B1952" s="1981"/>
      <c r="C1952" s="757"/>
      <c r="E1952" s="758"/>
      <c r="G1952" s="754"/>
    </row>
    <row r="1953" spans="1:7" ht="12.75" customHeight="1">
      <c r="A1953" s="1538"/>
      <c r="B1953" s="1981"/>
      <c r="C1953" s="757"/>
      <c r="E1953" s="758"/>
      <c r="G1953" s="754"/>
    </row>
    <row r="1954" spans="1:7" ht="12.75" customHeight="1">
      <c r="A1954" s="1538"/>
      <c r="B1954" s="1981"/>
      <c r="C1954" s="757"/>
      <c r="E1954" s="758"/>
      <c r="G1954" s="754"/>
    </row>
    <row r="1955" spans="1:7" ht="12.75" customHeight="1">
      <c r="A1955" s="1538"/>
      <c r="B1955" s="1981"/>
      <c r="C1955" s="757"/>
      <c r="E1955" s="758"/>
      <c r="G1955" s="754"/>
    </row>
    <row r="1956" spans="1:7" ht="12.75" customHeight="1">
      <c r="A1956" s="1538"/>
      <c r="B1956" s="1981"/>
      <c r="C1956" s="757"/>
      <c r="E1956" s="758"/>
      <c r="G1956" s="754"/>
    </row>
    <row r="1957" spans="1:7" ht="12.75" customHeight="1">
      <c r="A1957" s="1538"/>
      <c r="B1957" s="1981"/>
      <c r="C1957" s="757"/>
      <c r="E1957" s="758"/>
      <c r="G1957" s="754"/>
    </row>
    <row r="1958" spans="1:7" ht="12.75" customHeight="1">
      <c r="A1958" s="1538"/>
      <c r="B1958" s="1981"/>
      <c r="C1958" s="757"/>
      <c r="E1958" s="758"/>
      <c r="G1958" s="754"/>
    </row>
    <row r="1959" spans="1:7" ht="12.75" customHeight="1">
      <c r="A1959" s="1538"/>
      <c r="B1959" s="1981"/>
      <c r="C1959" s="757"/>
      <c r="E1959" s="758"/>
      <c r="G1959" s="754"/>
    </row>
    <row r="1960" spans="1:7" ht="12.75" customHeight="1">
      <c r="A1960" s="1538"/>
      <c r="B1960" s="1981"/>
      <c r="C1960" s="757"/>
      <c r="E1960" s="758"/>
      <c r="G1960" s="754"/>
    </row>
    <row r="1961" spans="1:7" ht="12.75" customHeight="1">
      <c r="A1961" s="1538"/>
      <c r="B1961" s="1981"/>
      <c r="C1961" s="757"/>
      <c r="E1961" s="758"/>
      <c r="G1961" s="754"/>
    </row>
    <row r="1962" spans="1:7" ht="12.75" customHeight="1">
      <c r="A1962" s="1538"/>
      <c r="B1962" s="1981"/>
      <c r="C1962" s="757"/>
      <c r="E1962" s="758"/>
      <c r="G1962" s="754"/>
    </row>
    <row r="1963" spans="1:7" ht="12.75" customHeight="1">
      <c r="A1963" s="1538"/>
      <c r="B1963" s="1981"/>
      <c r="C1963" s="757"/>
      <c r="E1963" s="758"/>
      <c r="G1963" s="754"/>
    </row>
    <row r="1964" spans="1:7" ht="12.75" customHeight="1">
      <c r="A1964" s="1538"/>
      <c r="B1964" s="1981"/>
      <c r="C1964" s="757"/>
      <c r="E1964" s="758"/>
      <c r="G1964" s="754"/>
    </row>
    <row r="1965" spans="1:7" ht="12.75" customHeight="1">
      <c r="A1965" s="1538"/>
      <c r="B1965" s="1981"/>
      <c r="C1965" s="757"/>
      <c r="E1965" s="758"/>
      <c r="G1965" s="754"/>
    </row>
    <row r="1966" spans="1:7" ht="12.75" customHeight="1">
      <c r="A1966" s="1538"/>
      <c r="B1966" s="1981"/>
      <c r="C1966" s="757"/>
      <c r="E1966" s="758"/>
      <c r="G1966" s="754"/>
    </row>
    <row r="1967" spans="1:7" ht="12.75" customHeight="1">
      <c r="A1967" s="1538"/>
      <c r="B1967" s="1981"/>
      <c r="C1967" s="757"/>
      <c r="E1967" s="758"/>
      <c r="G1967" s="754"/>
    </row>
    <row r="1968" spans="1:7" ht="12.75" customHeight="1">
      <c r="A1968" s="1538"/>
      <c r="B1968" s="1981"/>
      <c r="C1968" s="757"/>
      <c r="E1968" s="758"/>
      <c r="G1968" s="754"/>
    </row>
    <row r="1969" spans="1:7" ht="12.75" customHeight="1">
      <c r="A1969" s="1538"/>
      <c r="B1969" s="1981"/>
      <c r="C1969" s="757"/>
      <c r="E1969" s="758"/>
      <c r="G1969" s="754"/>
    </row>
    <row r="1970" spans="1:7" ht="12.75" customHeight="1">
      <c r="A1970" s="1538"/>
      <c r="B1970" s="1981"/>
      <c r="C1970" s="757"/>
      <c r="E1970" s="758"/>
      <c r="G1970" s="754"/>
    </row>
    <row r="1971" spans="1:7" ht="12.75" customHeight="1">
      <c r="A1971" s="1538"/>
      <c r="B1971" s="1981"/>
      <c r="C1971" s="757"/>
      <c r="E1971" s="758"/>
      <c r="G1971" s="754"/>
    </row>
    <row r="1972" spans="1:7" ht="12.75" customHeight="1">
      <c r="A1972" s="1538"/>
      <c r="B1972" s="1981"/>
      <c r="C1972" s="757"/>
      <c r="E1972" s="758"/>
      <c r="G1972" s="754"/>
    </row>
    <row r="1973" spans="1:7" ht="12.75" customHeight="1">
      <c r="A1973" s="1538"/>
      <c r="B1973" s="1981"/>
      <c r="C1973" s="757"/>
      <c r="E1973" s="758"/>
      <c r="G1973" s="754"/>
    </row>
    <row r="1974" spans="1:7" ht="12.75" customHeight="1">
      <c r="A1974" s="1538"/>
      <c r="B1974" s="1981"/>
      <c r="C1974" s="757"/>
      <c r="E1974" s="758"/>
      <c r="G1974" s="754"/>
    </row>
    <row r="1975" spans="1:7" ht="12.75" customHeight="1">
      <c r="A1975" s="1538"/>
      <c r="B1975" s="1981"/>
      <c r="C1975" s="757"/>
      <c r="E1975" s="758"/>
      <c r="G1975" s="754"/>
    </row>
    <row r="1976" spans="1:7" ht="12.75" customHeight="1">
      <c r="A1976" s="1538"/>
      <c r="B1976" s="1981"/>
      <c r="C1976" s="757"/>
      <c r="E1976" s="758"/>
      <c r="G1976" s="754"/>
    </row>
    <row r="1977" spans="1:7" ht="12.75" customHeight="1">
      <c r="A1977" s="1538"/>
      <c r="B1977" s="1981"/>
      <c r="C1977" s="757"/>
      <c r="E1977" s="758"/>
      <c r="G1977" s="754"/>
    </row>
    <row r="1978" spans="1:7" ht="12.75" customHeight="1">
      <c r="A1978" s="1538"/>
      <c r="B1978" s="1981"/>
      <c r="C1978" s="757"/>
      <c r="E1978" s="758"/>
      <c r="G1978" s="754"/>
    </row>
    <row r="1979" spans="1:7" ht="12.75" customHeight="1">
      <c r="A1979" s="1538"/>
      <c r="B1979" s="1981"/>
      <c r="C1979" s="757"/>
      <c r="E1979" s="758"/>
      <c r="G1979" s="754"/>
    </row>
    <row r="1980" spans="1:7" ht="12.75" customHeight="1">
      <c r="A1980" s="1538"/>
      <c r="B1980" s="1981"/>
      <c r="C1980" s="757"/>
      <c r="E1980" s="758"/>
      <c r="G1980" s="754"/>
    </row>
    <row r="1981" spans="1:7" ht="12.75" customHeight="1">
      <c r="A1981" s="1538"/>
      <c r="B1981" s="1981"/>
      <c r="C1981" s="757"/>
      <c r="E1981" s="758"/>
      <c r="G1981" s="754"/>
    </row>
    <row r="1982" spans="1:7" ht="12.75" customHeight="1">
      <c r="A1982" s="1538"/>
      <c r="B1982" s="1981"/>
      <c r="C1982" s="757"/>
      <c r="E1982" s="758"/>
      <c r="G1982" s="754"/>
    </row>
    <row r="1983" spans="1:7" ht="12.75" customHeight="1">
      <c r="A1983" s="1538"/>
      <c r="B1983" s="1981"/>
      <c r="C1983" s="757"/>
      <c r="E1983" s="758"/>
      <c r="G1983" s="754"/>
    </row>
    <row r="1984" spans="1:7" ht="12.75" customHeight="1">
      <c r="A1984" s="1538"/>
      <c r="B1984" s="1981"/>
      <c r="C1984" s="757"/>
      <c r="E1984" s="758"/>
      <c r="G1984" s="754"/>
    </row>
    <row r="1985" spans="1:7" ht="12.75" customHeight="1">
      <c r="A1985" s="1538"/>
      <c r="B1985" s="1981"/>
      <c r="C1985" s="757"/>
      <c r="E1985" s="758"/>
      <c r="G1985" s="754"/>
    </row>
    <row r="1986" spans="1:7" ht="12.75" customHeight="1">
      <c r="A1986" s="1538"/>
      <c r="B1986" s="1981"/>
      <c r="C1986" s="757"/>
      <c r="E1986" s="758"/>
      <c r="G1986" s="754"/>
    </row>
    <row r="1987" spans="1:7" ht="12.75" customHeight="1">
      <c r="A1987" s="1538"/>
      <c r="B1987" s="1981"/>
      <c r="C1987" s="757"/>
      <c r="E1987" s="758"/>
      <c r="G1987" s="754"/>
    </row>
    <row r="1988" spans="1:7" ht="12.75" customHeight="1">
      <c r="A1988" s="1538"/>
      <c r="B1988" s="1981"/>
      <c r="C1988" s="757"/>
      <c r="E1988" s="758"/>
      <c r="G1988" s="754"/>
    </row>
    <row r="1989" spans="1:7" ht="12.75" customHeight="1">
      <c r="A1989" s="1538"/>
      <c r="B1989" s="1981"/>
      <c r="C1989" s="757"/>
      <c r="E1989" s="758"/>
      <c r="G1989" s="754"/>
    </row>
    <row r="1990" spans="1:7" ht="12.75" customHeight="1">
      <c r="A1990" s="1538"/>
      <c r="B1990" s="1981"/>
      <c r="C1990" s="757"/>
      <c r="E1990" s="758"/>
      <c r="G1990" s="754"/>
    </row>
    <row r="1991" spans="1:7" ht="12.75" customHeight="1">
      <c r="A1991" s="1538"/>
      <c r="B1991" s="1981"/>
      <c r="C1991" s="757"/>
      <c r="E1991" s="758"/>
      <c r="G1991" s="754"/>
    </row>
    <row r="1992" spans="1:7" ht="12.75" customHeight="1">
      <c r="A1992" s="1538"/>
      <c r="B1992" s="1981"/>
      <c r="C1992" s="757"/>
      <c r="E1992" s="758"/>
      <c r="G1992" s="754"/>
    </row>
    <row r="1993" spans="1:7" ht="12.75" customHeight="1">
      <c r="A1993" s="1538"/>
      <c r="B1993" s="1981"/>
      <c r="C1993" s="757"/>
      <c r="E1993" s="758"/>
      <c r="G1993" s="754"/>
    </row>
    <row r="1994" spans="1:7" ht="12.75" customHeight="1">
      <c r="A1994" s="1538"/>
      <c r="B1994" s="1981"/>
      <c r="C1994" s="757"/>
      <c r="E1994" s="758"/>
      <c r="G1994" s="754"/>
    </row>
    <row r="1995" spans="1:7" ht="12.75" customHeight="1">
      <c r="A1995" s="1538"/>
      <c r="B1995" s="1981"/>
      <c r="C1995" s="757"/>
      <c r="E1995" s="758"/>
      <c r="G1995" s="754"/>
    </row>
    <row r="1996" spans="1:7" ht="12.75" customHeight="1">
      <c r="A1996" s="1538"/>
      <c r="B1996" s="1981"/>
      <c r="C1996" s="757"/>
      <c r="E1996" s="758"/>
      <c r="G1996" s="754"/>
    </row>
    <row r="1997" spans="1:7" ht="12.75" customHeight="1">
      <c r="A1997" s="1538"/>
      <c r="B1997" s="1981"/>
      <c r="C1997" s="757"/>
      <c r="E1997" s="758"/>
      <c r="G1997" s="754"/>
    </row>
    <row r="1998" spans="1:7" ht="12.75" customHeight="1">
      <c r="A1998" s="1538"/>
      <c r="B1998" s="1981"/>
      <c r="C1998" s="757"/>
      <c r="E1998" s="758"/>
      <c r="G1998" s="754"/>
    </row>
    <row r="1999" spans="1:7" ht="12.75" customHeight="1">
      <c r="A1999" s="1538"/>
      <c r="B1999" s="1981"/>
      <c r="C1999" s="757"/>
      <c r="E1999" s="758"/>
      <c r="G1999" s="754"/>
    </row>
    <row r="2000" spans="1:7" ht="12.75" customHeight="1">
      <c r="A2000" s="1538"/>
      <c r="B2000" s="1981"/>
      <c r="C2000" s="757"/>
      <c r="E2000" s="758"/>
      <c r="G2000" s="754"/>
    </row>
    <row r="2001" spans="1:7" ht="12.75" customHeight="1">
      <c r="A2001" s="1538"/>
      <c r="B2001" s="1981"/>
      <c r="C2001" s="757"/>
      <c r="E2001" s="758"/>
      <c r="G2001" s="754"/>
    </row>
    <row r="2002" spans="1:7" ht="12.75" customHeight="1">
      <c r="A2002" s="1538"/>
      <c r="B2002" s="1981"/>
      <c r="C2002" s="757"/>
      <c r="E2002" s="758"/>
      <c r="G2002" s="754"/>
    </row>
    <row r="2003" spans="1:7" ht="12.75" customHeight="1">
      <c r="A2003" s="1538"/>
      <c r="B2003" s="1981"/>
      <c r="C2003" s="757"/>
      <c r="E2003" s="758"/>
      <c r="G2003" s="754"/>
    </row>
    <row r="2004" spans="1:7" ht="12.75" customHeight="1">
      <c r="A2004" s="1538"/>
      <c r="B2004" s="1981"/>
      <c r="C2004" s="757"/>
      <c r="E2004" s="758"/>
      <c r="G2004" s="754"/>
    </row>
    <row r="2005" spans="1:7" ht="12.75" customHeight="1">
      <c r="A2005" s="1538"/>
      <c r="B2005" s="1981"/>
      <c r="C2005" s="757"/>
      <c r="E2005" s="758"/>
      <c r="G2005" s="754"/>
    </row>
    <row r="2006" spans="1:7" ht="12.75" customHeight="1">
      <c r="A2006" s="1538"/>
      <c r="B2006" s="1981"/>
      <c r="C2006" s="757"/>
      <c r="E2006" s="758"/>
      <c r="G2006" s="754"/>
    </row>
    <row r="2007" spans="1:7" ht="12.75" customHeight="1">
      <c r="A2007" s="1538"/>
      <c r="B2007" s="1981"/>
      <c r="C2007" s="757"/>
      <c r="E2007" s="758"/>
      <c r="G2007" s="754"/>
    </row>
    <row r="2008" spans="1:7" ht="12.75" customHeight="1">
      <c r="A2008" s="1538"/>
      <c r="B2008" s="1981"/>
      <c r="C2008" s="757"/>
      <c r="E2008" s="758"/>
      <c r="G2008" s="754"/>
    </row>
    <row r="2009" spans="1:7" ht="12.75" customHeight="1">
      <c r="A2009" s="1538"/>
      <c r="B2009" s="1981"/>
      <c r="C2009" s="757"/>
      <c r="E2009" s="758"/>
      <c r="G2009" s="754"/>
    </row>
    <row r="2010" spans="1:7" ht="12.75" customHeight="1">
      <c r="A2010" s="1538"/>
      <c r="B2010" s="1981"/>
      <c r="C2010" s="757"/>
      <c r="E2010" s="758"/>
      <c r="G2010" s="754"/>
    </row>
    <row r="2011" spans="1:7" ht="12.75" customHeight="1">
      <c r="A2011" s="1538"/>
      <c r="B2011" s="1981"/>
      <c r="C2011" s="757"/>
      <c r="E2011" s="758"/>
      <c r="G2011" s="754"/>
    </row>
    <row r="2012" spans="1:7" ht="12.75" customHeight="1">
      <c r="A2012" s="1538"/>
      <c r="B2012" s="1981"/>
      <c r="C2012" s="757"/>
      <c r="E2012" s="758"/>
      <c r="G2012" s="754"/>
    </row>
    <row r="2013" spans="1:7" ht="12.75" customHeight="1">
      <c r="A2013" s="1538"/>
      <c r="B2013" s="1981"/>
      <c r="C2013" s="757"/>
      <c r="E2013" s="758"/>
      <c r="G2013" s="754"/>
    </row>
    <row r="2014" spans="1:7" ht="12.75" customHeight="1">
      <c r="A2014" s="1538"/>
      <c r="B2014" s="1981"/>
      <c r="C2014" s="757"/>
      <c r="E2014" s="758"/>
      <c r="G2014" s="754"/>
    </row>
    <row r="2015" spans="1:7" ht="12.75" customHeight="1">
      <c r="A2015" s="1538"/>
      <c r="B2015" s="1981"/>
      <c r="C2015" s="757"/>
      <c r="E2015" s="758"/>
      <c r="G2015" s="754"/>
    </row>
    <row r="2016" spans="1:7" ht="12.75" customHeight="1">
      <c r="A2016" s="1538"/>
      <c r="B2016" s="1981"/>
      <c r="C2016" s="757"/>
      <c r="E2016" s="758"/>
      <c r="G2016" s="754"/>
    </row>
    <row r="2017" spans="1:7" ht="12.75" customHeight="1">
      <c r="A2017" s="1538"/>
      <c r="B2017" s="1981"/>
      <c r="C2017" s="757"/>
      <c r="E2017" s="758"/>
      <c r="G2017" s="754"/>
    </row>
    <row r="2018" spans="1:7" ht="12.75" customHeight="1">
      <c r="A2018" s="1538"/>
      <c r="B2018" s="1981"/>
      <c r="C2018" s="757"/>
      <c r="E2018" s="758"/>
      <c r="G2018" s="754"/>
    </row>
    <row r="2019" spans="1:7" ht="12.75" customHeight="1">
      <c r="A2019" s="1538"/>
      <c r="B2019" s="1981"/>
      <c r="C2019" s="757"/>
      <c r="E2019" s="758"/>
      <c r="G2019" s="754"/>
    </row>
    <row r="2020" spans="1:7" ht="12.75" customHeight="1">
      <c r="A2020" s="1538"/>
      <c r="B2020" s="1981"/>
      <c r="C2020" s="757"/>
      <c r="E2020" s="758"/>
      <c r="G2020" s="754"/>
    </row>
    <row r="2021" spans="1:7" ht="12.75" customHeight="1">
      <c r="A2021" s="1538"/>
      <c r="B2021" s="1981"/>
      <c r="C2021" s="757"/>
      <c r="E2021" s="758"/>
      <c r="G2021" s="754"/>
    </row>
    <row r="2022" spans="1:7" ht="12.75" customHeight="1">
      <c r="A2022" s="1538"/>
      <c r="B2022" s="1981"/>
      <c r="C2022" s="757"/>
      <c r="E2022" s="758"/>
      <c r="G2022" s="754"/>
    </row>
    <row r="2023" spans="1:7" ht="12.75" customHeight="1">
      <c r="A2023" s="1538"/>
      <c r="B2023" s="1981"/>
      <c r="C2023" s="757"/>
      <c r="E2023" s="758"/>
      <c r="G2023" s="754"/>
    </row>
    <row r="2024" spans="1:7" ht="12.75" customHeight="1">
      <c r="A2024" s="1538"/>
      <c r="B2024" s="1981"/>
      <c r="C2024" s="757"/>
      <c r="E2024" s="758"/>
      <c r="G2024" s="754"/>
    </row>
    <row r="2025" spans="1:7" ht="12.75" customHeight="1">
      <c r="A2025" s="1538"/>
      <c r="B2025" s="1981"/>
      <c r="C2025" s="757"/>
      <c r="E2025" s="758"/>
      <c r="G2025" s="754"/>
    </row>
    <row r="2026" spans="1:7" ht="12.75" customHeight="1">
      <c r="A2026" s="1538"/>
      <c r="B2026" s="1981"/>
      <c r="C2026" s="757"/>
      <c r="E2026" s="758"/>
      <c r="G2026" s="754"/>
    </row>
    <row r="2027" spans="1:7" ht="12.75" customHeight="1">
      <c r="A2027" s="1538"/>
      <c r="B2027" s="1981"/>
      <c r="C2027" s="757"/>
      <c r="E2027" s="758"/>
      <c r="G2027" s="754"/>
    </row>
    <row r="2028" spans="1:7" ht="12.75" customHeight="1">
      <c r="A2028" s="1538"/>
      <c r="B2028" s="1981"/>
      <c r="C2028" s="757"/>
      <c r="E2028" s="758"/>
      <c r="G2028" s="754"/>
    </row>
    <row r="2029" spans="1:7" ht="12.75" customHeight="1">
      <c r="A2029" s="1538"/>
      <c r="B2029" s="1981"/>
      <c r="C2029" s="757"/>
      <c r="E2029" s="758"/>
      <c r="G2029" s="754"/>
    </row>
    <row r="2030" spans="1:7" ht="12.75" customHeight="1">
      <c r="A2030" s="1538"/>
      <c r="B2030" s="1981"/>
      <c r="C2030" s="757"/>
      <c r="E2030" s="758"/>
      <c r="G2030" s="754"/>
    </row>
    <row r="2031" spans="1:7" ht="12.75" customHeight="1">
      <c r="A2031" s="1538"/>
      <c r="B2031" s="1981"/>
      <c r="C2031" s="757"/>
      <c r="E2031" s="758"/>
      <c r="G2031" s="754"/>
    </row>
    <row r="2032" spans="1:7" ht="12.75" customHeight="1">
      <c r="A2032" s="1538"/>
      <c r="B2032" s="1981"/>
      <c r="C2032" s="757"/>
      <c r="E2032" s="758"/>
      <c r="G2032" s="754"/>
    </row>
    <row r="2033" spans="1:7" ht="12.75" customHeight="1">
      <c r="A2033" s="1538"/>
      <c r="B2033" s="1981"/>
      <c r="C2033" s="757"/>
      <c r="E2033" s="758"/>
      <c r="G2033" s="754"/>
    </row>
    <row r="2034" spans="1:7" ht="12.75" customHeight="1">
      <c r="A2034" s="1538"/>
      <c r="B2034" s="1981"/>
      <c r="C2034" s="757"/>
      <c r="E2034" s="758"/>
      <c r="G2034" s="754"/>
    </row>
    <row r="2035" spans="1:7" ht="12.75" customHeight="1">
      <c r="A2035" s="1538"/>
      <c r="B2035" s="1981"/>
      <c r="C2035" s="757"/>
      <c r="E2035" s="758"/>
      <c r="G2035" s="754"/>
    </row>
    <row r="2036" spans="1:7" ht="12.75" customHeight="1">
      <c r="A2036" s="1538"/>
      <c r="B2036" s="1981"/>
      <c r="C2036" s="757"/>
      <c r="E2036" s="758"/>
      <c r="G2036" s="754"/>
    </row>
    <row r="2037" spans="1:7" ht="12.75" customHeight="1">
      <c r="A2037" s="1538"/>
      <c r="B2037" s="1981"/>
      <c r="C2037" s="757"/>
      <c r="E2037" s="758"/>
      <c r="G2037" s="754"/>
    </row>
    <row r="2038" spans="1:7" ht="12.75" customHeight="1">
      <c r="A2038" s="1538"/>
      <c r="B2038" s="1981"/>
      <c r="C2038" s="757"/>
      <c r="E2038" s="758"/>
      <c r="G2038" s="754"/>
    </row>
    <row r="2039" spans="1:7" ht="12.75" customHeight="1">
      <c r="A2039" s="1538"/>
      <c r="B2039" s="1981"/>
      <c r="C2039" s="757"/>
      <c r="E2039" s="758"/>
      <c r="G2039" s="754"/>
    </row>
    <row r="2040" spans="1:7" ht="12.75" customHeight="1">
      <c r="A2040" s="1538"/>
      <c r="B2040" s="1981"/>
      <c r="C2040" s="757"/>
      <c r="E2040" s="758"/>
      <c r="G2040" s="754"/>
    </row>
    <row r="2041" spans="1:7" ht="12.75" customHeight="1">
      <c r="A2041" s="1538"/>
      <c r="B2041" s="1981"/>
      <c r="C2041" s="757"/>
      <c r="E2041" s="758"/>
      <c r="G2041" s="754"/>
    </row>
    <row r="2042" spans="1:7" ht="12.75" customHeight="1">
      <c r="A2042" s="1538"/>
      <c r="B2042" s="1981"/>
      <c r="C2042" s="757"/>
      <c r="E2042" s="758"/>
      <c r="G2042" s="754"/>
    </row>
    <row r="2043" spans="1:7" ht="12.75" customHeight="1">
      <c r="A2043" s="1538"/>
      <c r="B2043" s="1981"/>
      <c r="C2043" s="757"/>
      <c r="E2043" s="758"/>
      <c r="G2043" s="754"/>
    </row>
    <row r="2044" spans="1:7" ht="12.75" customHeight="1">
      <c r="A2044" s="1538"/>
      <c r="B2044" s="1981"/>
      <c r="C2044" s="757"/>
      <c r="E2044" s="758"/>
      <c r="G2044" s="754"/>
    </row>
    <row r="2045" spans="1:7" ht="12.75" customHeight="1">
      <c r="A2045" s="1538"/>
      <c r="B2045" s="1981"/>
      <c r="C2045" s="757"/>
      <c r="E2045" s="758"/>
      <c r="G2045" s="754"/>
    </row>
    <row r="2046" spans="1:7" ht="12.75" customHeight="1">
      <c r="A2046" s="1538"/>
      <c r="B2046" s="1981"/>
      <c r="C2046" s="757"/>
      <c r="E2046" s="758"/>
      <c r="G2046" s="754"/>
    </row>
    <row r="2047" spans="1:7" ht="12.75" customHeight="1">
      <c r="A2047" s="1538"/>
      <c r="B2047" s="1981"/>
      <c r="C2047" s="757"/>
      <c r="E2047" s="758"/>
      <c r="G2047" s="754"/>
    </row>
    <row r="2048" spans="1:7" ht="12.75" customHeight="1">
      <c r="A2048" s="1538"/>
      <c r="B2048" s="1981"/>
      <c r="C2048" s="757"/>
      <c r="E2048" s="758"/>
      <c r="G2048" s="754"/>
    </row>
    <row r="2049" spans="1:7" ht="12.75" customHeight="1">
      <c r="A2049" s="1538"/>
      <c r="B2049" s="1981"/>
      <c r="C2049" s="757"/>
      <c r="E2049" s="758"/>
      <c r="G2049" s="754"/>
    </row>
    <row r="2050" spans="1:7" ht="12.75" customHeight="1">
      <c r="A2050" s="1538"/>
      <c r="B2050" s="1981"/>
      <c r="C2050" s="757"/>
      <c r="E2050" s="758"/>
      <c r="G2050" s="754"/>
    </row>
    <row r="2051" spans="1:7" ht="12.75" customHeight="1">
      <c r="A2051" s="1538"/>
      <c r="B2051" s="1981"/>
      <c r="C2051" s="757"/>
      <c r="E2051" s="758"/>
      <c r="G2051" s="754"/>
    </row>
    <row r="2052" spans="1:7" ht="12.75" customHeight="1">
      <c r="A2052" s="1538"/>
      <c r="B2052" s="1981"/>
      <c r="C2052" s="757"/>
      <c r="E2052" s="758"/>
      <c r="G2052" s="754"/>
    </row>
    <row r="2053" spans="1:7" ht="12.75" customHeight="1">
      <c r="A2053" s="1538"/>
      <c r="B2053" s="1981"/>
      <c r="C2053" s="757"/>
      <c r="E2053" s="758"/>
      <c r="G2053" s="754"/>
    </row>
    <row r="2054" spans="1:7" ht="12.75" customHeight="1">
      <c r="A2054" s="1538"/>
      <c r="B2054" s="1981"/>
      <c r="C2054" s="757"/>
      <c r="E2054" s="758"/>
      <c r="G2054" s="754"/>
    </row>
    <row r="2055" spans="1:7" ht="12.75" customHeight="1">
      <c r="A2055" s="1538"/>
      <c r="B2055" s="1981"/>
      <c r="C2055" s="757"/>
      <c r="E2055" s="758"/>
      <c r="G2055" s="754"/>
    </row>
    <row r="2056" spans="1:7" ht="12.75" customHeight="1">
      <c r="A2056" s="1538"/>
      <c r="B2056" s="1981"/>
      <c r="C2056" s="757"/>
      <c r="E2056" s="758"/>
      <c r="G2056" s="754"/>
    </row>
    <row r="2057" spans="1:7" ht="12.75" customHeight="1">
      <c r="A2057" s="1538"/>
      <c r="B2057" s="1981"/>
      <c r="C2057" s="757"/>
      <c r="E2057" s="758"/>
      <c r="G2057" s="754"/>
    </row>
    <row r="2058" spans="1:7" ht="12.75" customHeight="1">
      <c r="A2058" s="1538"/>
      <c r="B2058" s="1981"/>
      <c r="C2058" s="757"/>
      <c r="E2058" s="758"/>
      <c r="G2058" s="754"/>
    </row>
    <row r="2059" spans="1:7" ht="12.75" customHeight="1">
      <c r="A2059" s="1538"/>
      <c r="B2059" s="1981"/>
      <c r="C2059" s="757"/>
      <c r="E2059" s="758"/>
      <c r="G2059" s="754"/>
    </row>
    <row r="2060" spans="1:7" ht="12.75" customHeight="1">
      <c r="A2060" s="1538"/>
      <c r="B2060" s="1981"/>
      <c r="C2060" s="757"/>
      <c r="E2060" s="758"/>
      <c r="G2060" s="754"/>
    </row>
    <row r="2061" spans="1:7" ht="12.75" customHeight="1">
      <c r="A2061" s="1538"/>
      <c r="B2061" s="1981"/>
      <c r="C2061" s="757"/>
      <c r="E2061" s="758"/>
      <c r="G2061" s="754"/>
    </row>
    <row r="2062" spans="1:7" ht="12.75" customHeight="1">
      <c r="A2062" s="1538"/>
      <c r="B2062" s="1981"/>
      <c r="C2062" s="757"/>
      <c r="E2062" s="758"/>
      <c r="G2062" s="754"/>
    </row>
    <row r="2063" spans="1:7" ht="12.75" customHeight="1">
      <c r="A2063" s="1538"/>
      <c r="B2063" s="1981"/>
      <c r="C2063" s="757"/>
      <c r="E2063" s="758"/>
      <c r="G2063" s="754"/>
    </row>
    <row r="2064" spans="1:7" ht="12.75" customHeight="1">
      <c r="A2064" s="1538"/>
      <c r="B2064" s="1981"/>
      <c r="C2064" s="757"/>
      <c r="E2064" s="758"/>
      <c r="G2064" s="754"/>
    </row>
    <row r="2065" spans="1:7" ht="12.75" customHeight="1">
      <c r="A2065" s="1538"/>
      <c r="B2065" s="1981"/>
      <c r="C2065" s="757"/>
      <c r="E2065" s="758"/>
      <c r="G2065" s="754"/>
    </row>
    <row r="2066" spans="1:7" ht="12.75" customHeight="1">
      <c r="A2066" s="1538"/>
      <c r="B2066" s="1981"/>
      <c r="C2066" s="757"/>
      <c r="E2066" s="758"/>
      <c r="G2066" s="754"/>
    </row>
    <row r="2067" spans="1:7" ht="12.75" customHeight="1">
      <c r="A2067" s="1538"/>
      <c r="B2067" s="1981"/>
      <c r="C2067" s="757"/>
      <c r="E2067" s="758"/>
      <c r="G2067" s="754"/>
    </row>
    <row r="2068" spans="1:7" ht="12.75" customHeight="1">
      <c r="A2068" s="1538"/>
      <c r="B2068" s="1981"/>
      <c r="C2068" s="757"/>
      <c r="E2068" s="758"/>
      <c r="G2068" s="754"/>
    </row>
    <row r="2069" spans="1:7" ht="12.75" customHeight="1">
      <c r="A2069" s="1538"/>
      <c r="B2069" s="1981"/>
      <c r="C2069" s="757"/>
      <c r="E2069" s="758"/>
      <c r="G2069" s="754"/>
    </row>
    <row r="2070" spans="1:7" ht="12.75" customHeight="1">
      <c r="A2070" s="1538"/>
      <c r="B2070" s="1981"/>
      <c r="C2070" s="757"/>
      <c r="E2070" s="758"/>
      <c r="G2070" s="754"/>
    </row>
    <row r="2071" spans="1:7" ht="12.75" customHeight="1">
      <c r="A2071" s="1538"/>
      <c r="B2071" s="1981"/>
      <c r="C2071" s="757"/>
      <c r="E2071" s="758"/>
      <c r="G2071" s="754"/>
    </row>
    <row r="2072" spans="1:7" ht="12.75" customHeight="1">
      <c r="A2072" s="1538"/>
      <c r="B2072" s="1981"/>
      <c r="C2072" s="757"/>
      <c r="E2072" s="758"/>
      <c r="G2072" s="754"/>
    </row>
    <row r="2073" spans="1:7" ht="12.75" customHeight="1">
      <c r="A2073" s="1538"/>
      <c r="B2073" s="1981"/>
      <c r="C2073" s="757"/>
      <c r="E2073" s="758"/>
      <c r="G2073" s="754"/>
    </row>
    <row r="2074" spans="1:7" ht="12.75" customHeight="1">
      <c r="A2074" s="1538"/>
      <c r="B2074" s="1981"/>
      <c r="C2074" s="757"/>
      <c r="E2074" s="758"/>
      <c r="G2074" s="754"/>
    </row>
    <row r="2075" spans="1:7" ht="12.75" customHeight="1">
      <c r="A2075" s="1538"/>
      <c r="B2075" s="1981"/>
      <c r="C2075" s="757"/>
      <c r="E2075" s="758"/>
      <c r="G2075" s="754"/>
    </row>
    <row r="2076" spans="1:7" ht="12.75" customHeight="1">
      <c r="A2076" s="1538"/>
      <c r="B2076" s="1981"/>
      <c r="C2076" s="757"/>
      <c r="E2076" s="758"/>
      <c r="G2076" s="754"/>
    </row>
    <row r="2077" spans="1:7" ht="12.75" customHeight="1">
      <c r="A2077" s="1538"/>
      <c r="B2077" s="1981"/>
      <c r="C2077" s="757"/>
      <c r="E2077" s="758"/>
      <c r="G2077" s="754"/>
    </row>
    <row r="2078" spans="1:7" ht="12.75" customHeight="1">
      <c r="A2078" s="1538"/>
      <c r="B2078" s="1981"/>
      <c r="C2078" s="757"/>
      <c r="E2078" s="758"/>
      <c r="G2078" s="754"/>
    </row>
    <row r="2079" spans="1:7" ht="12.75" customHeight="1">
      <c r="A2079" s="1538"/>
      <c r="B2079" s="1981"/>
      <c r="C2079" s="757"/>
      <c r="E2079" s="758"/>
      <c r="G2079" s="754"/>
    </row>
    <row r="2080" spans="1:7" ht="12.75" customHeight="1">
      <c r="A2080" s="1538"/>
      <c r="B2080" s="1981"/>
      <c r="C2080" s="757"/>
      <c r="E2080" s="758"/>
      <c r="G2080" s="754"/>
    </row>
    <row r="2081" spans="1:7" ht="12.75" customHeight="1">
      <c r="A2081" s="1538"/>
      <c r="B2081" s="1981"/>
      <c r="C2081" s="757"/>
      <c r="E2081" s="758"/>
      <c r="G2081" s="754"/>
    </row>
    <row r="2082" spans="1:7" ht="12.75" customHeight="1">
      <c r="A2082" s="1538"/>
      <c r="B2082" s="1981"/>
      <c r="C2082" s="757"/>
      <c r="E2082" s="758"/>
      <c r="G2082" s="754"/>
    </row>
    <row r="2083" spans="1:7" ht="12.75" customHeight="1">
      <c r="A2083" s="1538"/>
      <c r="B2083" s="1981"/>
      <c r="C2083" s="757"/>
      <c r="E2083" s="758"/>
      <c r="G2083" s="754"/>
    </row>
    <row r="2084" spans="1:7" ht="12.75" customHeight="1">
      <c r="A2084" s="1538"/>
      <c r="B2084" s="1981"/>
      <c r="C2084" s="757"/>
      <c r="E2084" s="758"/>
      <c r="G2084" s="754"/>
    </row>
    <row r="2085" spans="1:7" ht="12.75" customHeight="1">
      <c r="A2085" s="1538"/>
      <c r="B2085" s="1981"/>
      <c r="C2085" s="757"/>
      <c r="E2085" s="758"/>
      <c r="G2085" s="754"/>
    </row>
    <row r="2086" spans="1:7" ht="12.75" customHeight="1">
      <c r="A2086" s="1538"/>
      <c r="B2086" s="1981"/>
      <c r="C2086" s="757"/>
      <c r="E2086" s="758"/>
      <c r="G2086" s="754"/>
    </row>
    <row r="2087" spans="1:7" ht="12.75" customHeight="1">
      <c r="A2087" s="1538"/>
      <c r="B2087" s="1981"/>
      <c r="C2087" s="757"/>
      <c r="E2087" s="758"/>
      <c r="G2087" s="754"/>
    </row>
    <row r="2088" spans="1:7" ht="12.75" customHeight="1">
      <c r="A2088" s="1538"/>
      <c r="B2088" s="1981"/>
      <c r="C2088" s="757"/>
      <c r="E2088" s="758"/>
      <c r="G2088" s="754"/>
    </row>
    <row r="2089" spans="1:7" ht="12.75" customHeight="1">
      <c r="A2089" s="1538"/>
      <c r="B2089" s="1981"/>
      <c r="C2089" s="757"/>
      <c r="E2089" s="758"/>
      <c r="G2089" s="754"/>
    </row>
    <row r="2090" spans="1:7" ht="12.75" customHeight="1">
      <c r="A2090" s="1538"/>
      <c r="B2090" s="1981"/>
      <c r="C2090" s="757"/>
      <c r="E2090" s="758"/>
      <c r="G2090" s="754"/>
    </row>
    <row r="2091" spans="1:7" ht="12.75" customHeight="1">
      <c r="A2091" s="1538"/>
      <c r="B2091" s="1981"/>
      <c r="C2091" s="757"/>
      <c r="E2091" s="758"/>
      <c r="G2091" s="754"/>
    </row>
    <row r="2092" spans="1:7" ht="12.75" customHeight="1">
      <c r="A2092" s="1538"/>
      <c r="B2092" s="1981"/>
      <c r="C2092" s="757"/>
      <c r="E2092" s="758"/>
      <c r="G2092" s="754"/>
    </row>
    <row r="2093" spans="1:7" ht="12.75" customHeight="1">
      <c r="A2093" s="1538"/>
      <c r="B2093" s="1981"/>
      <c r="C2093" s="757"/>
      <c r="E2093" s="758"/>
      <c r="G2093" s="754"/>
    </row>
    <row r="2094" spans="1:7" ht="12.75" customHeight="1">
      <c r="A2094" s="1538"/>
      <c r="B2094" s="1981"/>
      <c r="C2094" s="757"/>
      <c r="E2094" s="758"/>
      <c r="G2094" s="754"/>
    </row>
    <row r="2095" spans="1:7" ht="12.75" customHeight="1">
      <c r="A2095" s="1538"/>
      <c r="B2095" s="1981"/>
      <c r="C2095" s="757"/>
      <c r="E2095" s="758"/>
      <c r="G2095" s="754"/>
    </row>
    <row r="2096" spans="1:7" ht="12.75" customHeight="1">
      <c r="A2096" s="1538"/>
      <c r="B2096" s="1981"/>
      <c r="C2096" s="757"/>
      <c r="E2096" s="758"/>
      <c r="G2096" s="754"/>
    </row>
    <row r="2097" spans="1:7" ht="12.75" customHeight="1">
      <c r="A2097" s="1538"/>
      <c r="B2097" s="1981"/>
      <c r="C2097" s="757"/>
      <c r="E2097" s="758"/>
      <c r="G2097" s="754"/>
    </row>
    <row r="2098" spans="1:7" ht="12.75" customHeight="1">
      <c r="A2098" s="1538"/>
      <c r="B2098" s="1981"/>
      <c r="C2098" s="757"/>
      <c r="E2098" s="758"/>
      <c r="G2098" s="754"/>
    </row>
    <row r="2099" spans="1:7" ht="12.75" customHeight="1">
      <c r="A2099" s="1538"/>
      <c r="B2099" s="1981"/>
      <c r="C2099" s="757"/>
      <c r="E2099" s="758"/>
      <c r="G2099" s="754"/>
    </row>
    <row r="2100" spans="1:7" ht="12.75" customHeight="1">
      <c r="A2100" s="1538"/>
      <c r="B2100" s="1981"/>
      <c r="C2100" s="757"/>
      <c r="E2100" s="758"/>
      <c r="G2100" s="754"/>
    </row>
    <row r="2101" spans="1:7" ht="12.75" customHeight="1">
      <c r="A2101" s="1538"/>
      <c r="B2101" s="1981"/>
      <c r="C2101" s="757"/>
      <c r="E2101" s="758"/>
      <c r="G2101" s="754"/>
    </row>
    <row r="2102" spans="1:7" ht="12.75" customHeight="1">
      <c r="A2102" s="1538"/>
      <c r="B2102" s="1981"/>
      <c r="C2102" s="757"/>
      <c r="E2102" s="758"/>
      <c r="G2102" s="754"/>
    </row>
    <row r="2103" spans="1:7" ht="12.75" customHeight="1">
      <c r="A2103" s="1538"/>
      <c r="B2103" s="1981"/>
      <c r="C2103" s="757"/>
      <c r="E2103" s="758"/>
      <c r="G2103" s="754"/>
    </row>
    <row r="2104" spans="1:7" ht="12.75" customHeight="1">
      <c r="A2104" s="1538"/>
      <c r="B2104" s="1981"/>
      <c r="C2104" s="757"/>
      <c r="E2104" s="758"/>
      <c r="G2104" s="754"/>
    </row>
    <row r="2105" spans="1:7" ht="12.75" customHeight="1">
      <c r="A2105" s="1538"/>
      <c r="B2105" s="1981"/>
      <c r="C2105" s="757"/>
      <c r="E2105" s="758"/>
      <c r="G2105" s="754"/>
    </row>
    <row r="2106" spans="1:7" ht="12.75" customHeight="1">
      <c r="A2106" s="1538"/>
      <c r="B2106" s="1981"/>
      <c r="C2106" s="757"/>
      <c r="E2106" s="758"/>
      <c r="G2106" s="754"/>
    </row>
    <row r="2107" spans="1:7" ht="12.75" customHeight="1">
      <c r="A2107" s="1538"/>
      <c r="B2107" s="1981"/>
      <c r="C2107" s="757"/>
      <c r="E2107" s="758"/>
      <c r="G2107" s="754"/>
    </row>
    <row r="2108" spans="1:7" ht="12.75" customHeight="1">
      <c r="A2108" s="1538"/>
      <c r="B2108" s="1981"/>
      <c r="C2108" s="757"/>
      <c r="E2108" s="758"/>
      <c r="G2108" s="754"/>
    </row>
    <row r="2109" spans="1:7" ht="12.75" customHeight="1">
      <c r="A2109" s="1538"/>
      <c r="B2109" s="1981"/>
      <c r="C2109" s="757"/>
      <c r="E2109" s="758"/>
      <c r="G2109" s="754"/>
    </row>
    <row r="2110" spans="1:7" ht="12.75" customHeight="1">
      <c r="A2110" s="1538"/>
      <c r="B2110" s="1981"/>
      <c r="C2110" s="757"/>
      <c r="E2110" s="758"/>
      <c r="G2110" s="754"/>
    </row>
    <row r="2111" spans="1:7" ht="12.75" customHeight="1">
      <c r="A2111" s="1538"/>
      <c r="B2111" s="1981"/>
      <c r="C2111" s="757"/>
      <c r="E2111" s="758"/>
      <c r="G2111" s="754"/>
    </row>
    <row r="2112" spans="1:7" ht="12.75" customHeight="1">
      <c r="A2112" s="1538"/>
      <c r="B2112" s="1981"/>
      <c r="C2112" s="757"/>
      <c r="E2112" s="758"/>
      <c r="G2112" s="754"/>
    </row>
    <row r="2113" spans="1:7" ht="12.75" customHeight="1">
      <c r="A2113" s="1538"/>
      <c r="B2113" s="1981"/>
      <c r="C2113" s="757"/>
      <c r="E2113" s="758"/>
      <c r="G2113" s="754"/>
    </row>
    <row r="2114" spans="1:7" ht="12.75" customHeight="1">
      <c r="A2114" s="1538"/>
      <c r="B2114" s="1981"/>
      <c r="C2114" s="757"/>
      <c r="E2114" s="758"/>
      <c r="G2114" s="754"/>
    </row>
    <row r="2115" spans="1:7" ht="12.75" customHeight="1">
      <c r="A2115" s="1538"/>
      <c r="B2115" s="1981"/>
      <c r="C2115" s="757"/>
      <c r="E2115" s="758"/>
      <c r="G2115" s="754"/>
    </row>
    <row r="2116" spans="1:7" ht="12.75" customHeight="1">
      <c r="A2116" s="1538"/>
      <c r="B2116" s="1981"/>
      <c r="C2116" s="757"/>
      <c r="E2116" s="758"/>
      <c r="G2116" s="754"/>
    </row>
    <row r="2117" spans="1:7" ht="12.75" customHeight="1">
      <c r="A2117" s="1538"/>
      <c r="B2117" s="1981"/>
      <c r="C2117" s="757"/>
      <c r="E2117" s="758"/>
      <c r="G2117" s="754"/>
    </row>
    <row r="2118" spans="1:7" ht="12.75" customHeight="1">
      <c r="A2118" s="1538"/>
      <c r="B2118" s="1981"/>
      <c r="C2118" s="757"/>
      <c r="E2118" s="758"/>
      <c r="G2118" s="754"/>
    </row>
    <row r="2119" spans="1:7" ht="12.75" customHeight="1">
      <c r="A2119" s="1538"/>
      <c r="B2119" s="1981"/>
      <c r="C2119" s="757"/>
      <c r="E2119" s="758"/>
      <c r="G2119" s="754"/>
    </row>
    <row r="2120" spans="1:7" ht="12.75" customHeight="1">
      <c r="A2120" s="1538"/>
      <c r="B2120" s="1981"/>
      <c r="C2120" s="757"/>
      <c r="E2120" s="758"/>
      <c r="G2120" s="754"/>
    </row>
    <row r="2121" spans="1:7" ht="12.75" customHeight="1">
      <c r="A2121" s="1538"/>
      <c r="B2121" s="1981"/>
      <c r="C2121" s="757"/>
      <c r="E2121" s="758"/>
      <c r="G2121" s="754"/>
    </row>
    <row r="2122" spans="1:7" ht="12.75" customHeight="1">
      <c r="A2122" s="1538"/>
      <c r="B2122" s="1981"/>
      <c r="C2122" s="757"/>
      <c r="E2122" s="758"/>
      <c r="G2122" s="754"/>
    </row>
    <row r="2123" spans="1:7" ht="12.75" customHeight="1">
      <c r="A2123" s="1538"/>
      <c r="B2123" s="1981"/>
      <c r="C2123" s="757"/>
      <c r="E2123" s="758"/>
      <c r="G2123" s="754"/>
    </row>
    <row r="2124" spans="1:7" ht="12.75" customHeight="1">
      <c r="A2124" s="1538"/>
      <c r="B2124" s="1981"/>
      <c r="C2124" s="757"/>
      <c r="E2124" s="758"/>
      <c r="G2124" s="754"/>
    </row>
    <row r="2125" spans="1:7" ht="12.75" customHeight="1">
      <c r="A2125" s="1538"/>
      <c r="B2125" s="1981"/>
      <c r="C2125" s="757"/>
      <c r="E2125" s="758"/>
      <c r="G2125" s="754"/>
    </row>
    <row r="2126" spans="1:7" ht="12.75" customHeight="1">
      <c r="A2126" s="1538"/>
      <c r="B2126" s="1981"/>
      <c r="C2126" s="757"/>
      <c r="E2126" s="758"/>
      <c r="G2126" s="754"/>
    </row>
    <row r="2127" spans="1:7" ht="12.75" customHeight="1">
      <c r="A2127" s="1538"/>
      <c r="B2127" s="1981"/>
      <c r="C2127" s="757"/>
      <c r="E2127" s="758"/>
      <c r="G2127" s="754"/>
    </row>
    <row r="2128" spans="1:7" ht="12.75" customHeight="1">
      <c r="A2128" s="1538"/>
      <c r="B2128" s="1981"/>
      <c r="C2128" s="757"/>
      <c r="E2128" s="758"/>
      <c r="G2128" s="754"/>
    </row>
    <row r="2129" spans="1:7" ht="12.75" customHeight="1">
      <c r="A2129" s="1538"/>
      <c r="B2129" s="1981"/>
      <c r="C2129" s="757"/>
      <c r="E2129" s="758"/>
      <c r="G2129" s="754"/>
    </row>
    <row r="2130" spans="1:7" ht="12.75" customHeight="1">
      <c r="A2130" s="1538"/>
      <c r="B2130" s="1981"/>
      <c r="C2130" s="757"/>
      <c r="E2130" s="758"/>
      <c r="G2130" s="754"/>
    </row>
    <row r="2131" spans="1:7" ht="12.75" customHeight="1">
      <c r="A2131" s="1538"/>
      <c r="B2131" s="1981"/>
      <c r="C2131" s="757"/>
      <c r="E2131" s="758"/>
      <c r="G2131" s="754"/>
    </row>
    <row r="2132" spans="1:7" ht="12.75" customHeight="1">
      <c r="A2132" s="1538"/>
      <c r="B2132" s="1981"/>
      <c r="C2132" s="757"/>
      <c r="E2132" s="758"/>
      <c r="G2132" s="754"/>
    </row>
    <row r="2133" spans="1:7" ht="12.75" customHeight="1">
      <c r="A2133" s="1538"/>
      <c r="B2133" s="1981"/>
      <c r="C2133" s="757"/>
      <c r="E2133" s="758"/>
      <c r="G2133" s="754"/>
    </row>
    <row r="2134" spans="1:7" ht="12.75" customHeight="1">
      <c r="A2134" s="1538"/>
      <c r="B2134" s="1981"/>
      <c r="C2134" s="757"/>
      <c r="E2134" s="758"/>
      <c r="G2134" s="754"/>
    </row>
    <row r="2135" spans="1:7" ht="12.75" customHeight="1">
      <c r="A2135" s="1538"/>
      <c r="B2135" s="1981"/>
      <c r="C2135" s="757"/>
      <c r="E2135" s="758"/>
      <c r="G2135" s="754"/>
    </row>
    <row r="2136" spans="1:7" ht="12.75" customHeight="1">
      <c r="A2136" s="1538"/>
      <c r="B2136" s="1981"/>
      <c r="C2136" s="757"/>
      <c r="E2136" s="758"/>
      <c r="G2136" s="754"/>
    </row>
    <row r="2137" spans="1:7" ht="12.75" customHeight="1">
      <c r="A2137" s="1538"/>
      <c r="B2137" s="1981"/>
      <c r="C2137" s="757"/>
      <c r="E2137" s="758"/>
      <c r="G2137" s="754"/>
    </row>
    <row r="2138" spans="1:7" ht="12.75" customHeight="1">
      <c r="A2138" s="1538"/>
      <c r="B2138" s="1981"/>
      <c r="C2138" s="757"/>
      <c r="E2138" s="758"/>
      <c r="G2138" s="754"/>
    </row>
    <row r="2139" spans="1:7" ht="12.75" customHeight="1">
      <c r="A2139" s="1538"/>
      <c r="B2139" s="1981"/>
      <c r="C2139" s="757"/>
      <c r="E2139" s="758"/>
      <c r="G2139" s="754"/>
    </row>
    <row r="2140" spans="1:7" ht="12.75" customHeight="1">
      <c r="A2140" s="1538"/>
      <c r="B2140" s="1981"/>
      <c r="C2140" s="757"/>
      <c r="E2140" s="758"/>
      <c r="G2140" s="754"/>
    </row>
    <row r="2141" spans="1:7" ht="12.75" customHeight="1">
      <c r="A2141" s="1538"/>
      <c r="B2141" s="1981"/>
      <c r="C2141" s="757"/>
      <c r="E2141" s="758"/>
      <c r="G2141" s="754"/>
    </row>
    <row r="2142" spans="1:7" ht="12.75" customHeight="1">
      <c r="A2142" s="1538"/>
      <c r="B2142" s="1981"/>
      <c r="C2142" s="757"/>
      <c r="E2142" s="758"/>
      <c r="G2142" s="754"/>
    </row>
    <row r="2143" spans="1:7" ht="12.75" customHeight="1">
      <c r="A2143" s="1538"/>
      <c r="B2143" s="1981"/>
      <c r="C2143" s="757"/>
      <c r="E2143" s="758"/>
      <c r="G2143" s="754"/>
    </row>
    <row r="2144" spans="1:7" ht="12.75" customHeight="1">
      <c r="A2144" s="1538"/>
      <c r="B2144" s="1981"/>
      <c r="C2144" s="757"/>
      <c r="E2144" s="758"/>
      <c r="G2144" s="754"/>
    </row>
    <row r="2145" spans="1:7" ht="12.75" customHeight="1">
      <c r="A2145" s="1538"/>
      <c r="B2145" s="1981"/>
      <c r="C2145" s="757"/>
      <c r="E2145" s="758"/>
      <c r="G2145" s="754"/>
    </row>
    <row r="2146" spans="1:7" ht="12.75" customHeight="1">
      <c r="A2146" s="1538"/>
      <c r="B2146" s="1981"/>
      <c r="C2146" s="757"/>
      <c r="E2146" s="758"/>
      <c r="G2146" s="754"/>
    </row>
    <row r="2147" spans="1:7" ht="12.75" customHeight="1">
      <c r="A2147" s="1538"/>
      <c r="B2147" s="1981"/>
      <c r="C2147" s="757"/>
      <c r="E2147" s="758"/>
      <c r="G2147" s="754"/>
    </row>
    <row r="2148" spans="1:7" ht="12.75" customHeight="1">
      <c r="A2148" s="1538"/>
      <c r="B2148" s="1981"/>
      <c r="C2148" s="757"/>
      <c r="E2148" s="758"/>
      <c r="G2148" s="754"/>
    </row>
    <row r="2149" spans="1:7" ht="12.75" customHeight="1">
      <c r="A2149" s="1538"/>
      <c r="B2149" s="1981"/>
      <c r="C2149" s="757"/>
      <c r="E2149" s="758"/>
      <c r="G2149" s="754"/>
    </row>
    <row r="2150" spans="1:7" ht="12.75" customHeight="1">
      <c r="A2150" s="1538"/>
      <c r="B2150" s="1981"/>
      <c r="C2150" s="757"/>
      <c r="E2150" s="758"/>
      <c r="G2150" s="754"/>
    </row>
    <row r="2151" spans="1:7" ht="12.75" customHeight="1">
      <c r="A2151" s="1538"/>
      <c r="B2151" s="1981"/>
      <c r="C2151" s="757"/>
      <c r="E2151" s="758"/>
      <c r="G2151" s="754"/>
    </row>
    <row r="2152" spans="1:7" ht="12.75" customHeight="1">
      <c r="A2152" s="1538"/>
      <c r="B2152" s="1981"/>
      <c r="C2152" s="757"/>
      <c r="E2152" s="758"/>
      <c r="G2152" s="754"/>
    </row>
    <row r="2153" spans="1:7" ht="12.75" customHeight="1">
      <c r="A2153" s="1538"/>
      <c r="B2153" s="1981"/>
      <c r="C2153" s="757"/>
      <c r="E2153" s="758"/>
      <c r="G2153" s="754"/>
    </row>
    <row r="2154" spans="1:7" ht="12.75" customHeight="1">
      <c r="A2154" s="1538"/>
      <c r="B2154" s="1981"/>
      <c r="C2154" s="757"/>
      <c r="E2154" s="758"/>
      <c r="G2154" s="754"/>
    </row>
    <row r="2155" spans="1:7" ht="12.75" customHeight="1">
      <c r="A2155" s="1538"/>
      <c r="B2155" s="1981"/>
      <c r="C2155" s="757"/>
      <c r="E2155" s="758"/>
      <c r="G2155" s="754"/>
    </row>
    <row r="2156" spans="1:7" ht="12.75" customHeight="1">
      <c r="A2156" s="1538"/>
      <c r="B2156" s="1981"/>
      <c r="C2156" s="757"/>
      <c r="E2156" s="758"/>
      <c r="G2156" s="754"/>
    </row>
    <row r="2157" spans="1:7" ht="12.75" customHeight="1">
      <c r="A2157" s="1538"/>
      <c r="B2157" s="1981"/>
      <c r="C2157" s="757"/>
      <c r="E2157" s="758"/>
      <c r="G2157" s="754"/>
    </row>
    <row r="2158" spans="1:7" ht="12.75" customHeight="1">
      <c r="A2158" s="1538"/>
      <c r="B2158" s="1981"/>
      <c r="C2158" s="757"/>
      <c r="E2158" s="758"/>
      <c r="G2158" s="754"/>
    </row>
    <row r="2159" spans="1:7" ht="12.75" customHeight="1">
      <c r="A2159" s="1538"/>
      <c r="B2159" s="1981"/>
      <c r="C2159" s="757"/>
      <c r="E2159" s="758"/>
      <c r="G2159" s="754"/>
    </row>
    <row r="2160" spans="1:7" ht="12.75" customHeight="1">
      <c r="A2160" s="1538"/>
      <c r="B2160" s="1981"/>
      <c r="C2160" s="757"/>
      <c r="E2160" s="758"/>
      <c r="G2160" s="754"/>
    </row>
    <row r="2161" spans="1:7" ht="12.75" customHeight="1">
      <c r="A2161" s="1538"/>
      <c r="B2161" s="1981"/>
      <c r="C2161" s="757"/>
      <c r="E2161" s="758"/>
      <c r="G2161" s="754"/>
    </row>
    <row r="2162" spans="1:7" ht="12.75" customHeight="1">
      <c r="A2162" s="1538"/>
      <c r="B2162" s="1981"/>
      <c r="C2162" s="757"/>
      <c r="E2162" s="758"/>
      <c r="G2162" s="754"/>
    </row>
    <row r="2163" spans="1:7" ht="12.75" customHeight="1">
      <c r="A2163" s="1538"/>
      <c r="B2163" s="1981"/>
      <c r="C2163" s="757"/>
      <c r="E2163" s="758"/>
      <c r="G2163" s="754"/>
    </row>
    <row r="2164" spans="1:7" ht="12.75" customHeight="1">
      <c r="A2164" s="1538"/>
      <c r="B2164" s="1981"/>
      <c r="C2164" s="757"/>
      <c r="E2164" s="758"/>
      <c r="G2164" s="754"/>
    </row>
    <row r="2165" spans="1:7" ht="12.75" customHeight="1">
      <c r="A2165" s="1538"/>
      <c r="B2165" s="1981"/>
      <c r="C2165" s="757"/>
      <c r="E2165" s="758"/>
      <c r="G2165" s="754"/>
    </row>
    <row r="2166" spans="1:7" ht="12.75" customHeight="1">
      <c r="A2166" s="1538"/>
      <c r="B2166" s="1981"/>
      <c r="C2166" s="757"/>
      <c r="E2166" s="758"/>
      <c r="G2166" s="754"/>
    </row>
    <row r="2167" spans="1:7" ht="12.75" customHeight="1">
      <c r="A2167" s="1538"/>
      <c r="B2167" s="1981"/>
      <c r="C2167" s="757"/>
      <c r="E2167" s="758"/>
      <c r="G2167" s="754"/>
    </row>
    <row r="2168" spans="1:7" ht="12.75" customHeight="1">
      <c r="A2168" s="1538"/>
      <c r="B2168" s="1981"/>
      <c r="C2168" s="757"/>
      <c r="E2168" s="758"/>
      <c r="G2168" s="754"/>
    </row>
    <row r="2169" spans="1:7" ht="12.75" customHeight="1">
      <c r="A2169" s="1538"/>
      <c r="B2169" s="1981"/>
      <c r="C2169" s="757"/>
      <c r="E2169" s="758"/>
      <c r="G2169" s="754"/>
    </row>
    <row r="2170" spans="1:7" ht="12.75" customHeight="1">
      <c r="A2170" s="1538"/>
      <c r="B2170" s="1981"/>
      <c r="C2170" s="757"/>
      <c r="E2170" s="758"/>
      <c r="G2170" s="754"/>
    </row>
    <row r="2171" spans="1:7" ht="12.75" customHeight="1">
      <c r="A2171" s="1538"/>
      <c r="B2171" s="1981"/>
      <c r="C2171" s="757"/>
      <c r="E2171" s="758"/>
      <c r="G2171" s="754"/>
    </row>
    <row r="2172" spans="1:7" ht="12.75" customHeight="1">
      <c r="A2172" s="1538"/>
      <c r="B2172" s="1981"/>
      <c r="C2172" s="757"/>
      <c r="E2172" s="758"/>
      <c r="G2172" s="754"/>
    </row>
    <row r="2173" spans="1:7" ht="12.75" customHeight="1">
      <c r="A2173" s="1538"/>
      <c r="B2173" s="1981"/>
      <c r="C2173" s="757"/>
      <c r="E2173" s="758"/>
      <c r="G2173" s="754"/>
    </row>
    <row r="2174" spans="1:7" ht="12.75" customHeight="1">
      <c r="A2174" s="1538"/>
      <c r="B2174" s="1981"/>
      <c r="C2174" s="757"/>
      <c r="E2174" s="758"/>
      <c r="G2174" s="754"/>
    </row>
    <row r="2175" spans="1:7" ht="12.75" customHeight="1">
      <c r="A2175" s="1538"/>
      <c r="B2175" s="1981"/>
      <c r="C2175" s="757"/>
      <c r="E2175" s="758"/>
      <c r="G2175" s="754"/>
    </row>
    <row r="2176" spans="1:7" ht="12.75" customHeight="1">
      <c r="A2176" s="1538"/>
      <c r="B2176" s="1981"/>
      <c r="C2176" s="757"/>
      <c r="E2176" s="758"/>
      <c r="G2176" s="754"/>
    </row>
  </sheetData>
  <mergeCells count="1">
    <mergeCell ref="J566:J568"/>
  </mergeCells>
  <pageMargins left="0.75" right="0.75" top="1" bottom="1" header="0.5" footer="0.5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45.33203125" customWidth="1"/>
    <col min="2" max="2" width="5.6640625" customWidth="1"/>
    <col min="3" max="3" width="5.1640625" customWidth="1"/>
    <col min="4" max="4" width="22.83203125" customWidth="1"/>
    <col min="5" max="5" width="5.6640625" hidden="1" customWidth="1"/>
    <col min="6" max="6" width="14.1640625" hidden="1" customWidth="1"/>
    <col min="7" max="7" width="36.6640625" hidden="1" customWidth="1"/>
    <col min="8" max="8" width="17.5" customWidth="1"/>
    <col min="9" max="10" width="17.83203125" hidden="1" customWidth="1"/>
    <col min="11" max="11" width="11.5" hidden="1" customWidth="1"/>
    <col min="12" max="12" width="5.33203125" hidden="1" customWidth="1"/>
    <col min="13" max="13" width="49.1640625" hidden="1" customWidth="1"/>
    <col min="14" max="15" width="17.33203125" hidden="1" customWidth="1"/>
    <col min="16" max="22" width="17.33203125" customWidth="1"/>
  </cols>
  <sheetData>
    <row r="1" spans="1:22" ht="36">
      <c r="A1" s="936" t="s">
        <v>2</v>
      </c>
      <c r="B1" s="16" t="s">
        <v>2888</v>
      </c>
      <c r="C1" s="18"/>
      <c r="D1" s="16" t="s">
        <v>31</v>
      </c>
      <c r="E1" s="16" t="s">
        <v>36</v>
      </c>
      <c r="F1" s="16" t="s">
        <v>37</v>
      </c>
      <c r="G1" s="16" t="s">
        <v>38</v>
      </c>
      <c r="H1" s="16" t="s">
        <v>39</v>
      </c>
      <c r="I1" s="16" t="s">
        <v>40</v>
      </c>
      <c r="J1" s="16" t="s">
        <v>2889</v>
      </c>
      <c r="K1" s="16" t="s">
        <v>42</v>
      </c>
      <c r="L1" s="16" t="s">
        <v>43</v>
      </c>
      <c r="M1" s="16" t="s">
        <v>44</v>
      </c>
      <c r="N1" s="16" t="s">
        <v>45</v>
      </c>
      <c r="O1" s="16" t="s">
        <v>46</v>
      </c>
      <c r="P1" s="16" t="s">
        <v>2890</v>
      </c>
      <c r="Q1" s="938"/>
      <c r="R1" s="18"/>
      <c r="S1" s="18"/>
      <c r="T1" s="18"/>
      <c r="U1" s="18"/>
      <c r="V1" s="18"/>
    </row>
    <row r="2" spans="1:22" ht="17">
      <c r="A2" s="940" t="s">
        <v>2891</v>
      </c>
      <c r="B2" s="942"/>
      <c r="P2" s="944"/>
      <c r="Q2" s="946"/>
      <c r="R2" s="947"/>
    </row>
    <row r="3" spans="1:22" ht="12">
      <c r="A3" s="948"/>
      <c r="B3" s="18"/>
      <c r="Q3" s="948"/>
    </row>
    <row r="4" spans="1:22" ht="12">
      <c r="B4" s="18"/>
    </row>
    <row r="5" spans="1:22" ht="24">
      <c r="A5" s="873" t="s">
        <v>2894</v>
      </c>
      <c r="B5" s="949">
        <v>338</v>
      </c>
      <c r="C5" s="949" t="s">
        <v>315</v>
      </c>
      <c r="D5" s="879"/>
      <c r="E5" s="879"/>
      <c r="F5" s="879"/>
      <c r="G5" s="879"/>
      <c r="H5" s="873">
        <v>120</v>
      </c>
      <c r="I5" s="873" t="s">
        <v>583</v>
      </c>
      <c r="J5" s="873" t="s">
        <v>881</v>
      </c>
      <c r="K5" s="873" t="s">
        <v>111</v>
      </c>
      <c r="L5" s="873" t="s">
        <v>782</v>
      </c>
      <c r="M5" s="873" t="s">
        <v>1251</v>
      </c>
      <c r="P5" s="50" t="s">
        <v>2895</v>
      </c>
    </row>
    <row r="6" spans="1:22" ht="24">
      <c r="A6" s="873" t="s">
        <v>2896</v>
      </c>
      <c r="B6" s="949">
        <v>365</v>
      </c>
      <c r="C6" s="949" t="s">
        <v>315</v>
      </c>
      <c r="D6" s="879"/>
      <c r="E6" s="879"/>
      <c r="F6" s="879"/>
      <c r="G6" s="879"/>
      <c r="H6" s="873">
        <v>338</v>
      </c>
      <c r="I6" s="873" t="s">
        <v>1303</v>
      </c>
      <c r="J6" s="873" t="s">
        <v>881</v>
      </c>
      <c r="K6" s="873" t="s">
        <v>111</v>
      </c>
      <c r="L6" s="873" t="s">
        <v>782</v>
      </c>
      <c r="M6" s="873" t="s">
        <v>1429</v>
      </c>
      <c r="P6" s="50" t="s">
        <v>2895</v>
      </c>
    </row>
    <row r="7" spans="1:22" ht="12">
      <c r="A7" s="873" t="s">
        <v>1027</v>
      </c>
      <c r="B7" s="949">
        <v>517</v>
      </c>
      <c r="C7" s="949" t="s">
        <v>315</v>
      </c>
      <c r="D7" s="879"/>
      <c r="E7" s="879"/>
      <c r="F7" s="879"/>
      <c r="G7" s="879"/>
      <c r="H7" s="873">
        <v>338</v>
      </c>
    </row>
    <row r="8" spans="1:22" ht="12">
      <c r="A8" s="951" t="s">
        <v>2897</v>
      </c>
      <c r="B8" s="949">
        <v>368</v>
      </c>
      <c r="C8" s="873" t="s">
        <v>137</v>
      </c>
      <c r="D8" s="879"/>
      <c r="E8" s="879"/>
      <c r="F8" s="879"/>
      <c r="G8" s="879"/>
      <c r="H8" s="873">
        <v>190</v>
      </c>
      <c r="P8" s="50" t="s">
        <v>2895</v>
      </c>
    </row>
    <row r="9" spans="1:22" ht="24">
      <c r="A9" s="953" t="s">
        <v>2898</v>
      </c>
      <c r="B9" s="949">
        <v>359</v>
      </c>
      <c r="C9" s="873" t="s">
        <v>137</v>
      </c>
      <c r="D9" s="879"/>
      <c r="E9" s="879"/>
      <c r="F9" s="873" t="s">
        <v>400</v>
      </c>
      <c r="G9" s="955">
        <v>41696</v>
      </c>
      <c r="H9" s="873">
        <v>301</v>
      </c>
      <c r="I9" s="873" t="s">
        <v>1303</v>
      </c>
      <c r="J9" s="873" t="s">
        <v>881</v>
      </c>
      <c r="K9" s="873" t="s">
        <v>111</v>
      </c>
      <c r="L9" s="873" t="s">
        <v>782</v>
      </c>
      <c r="M9" s="873" t="s">
        <v>1381</v>
      </c>
      <c r="P9" s="50" t="s">
        <v>2895</v>
      </c>
    </row>
    <row r="10" spans="1:22" ht="24">
      <c r="A10" s="953" t="s">
        <v>2899</v>
      </c>
      <c r="B10" s="949">
        <v>384</v>
      </c>
      <c r="C10" s="873" t="s">
        <v>137</v>
      </c>
      <c r="D10" s="879"/>
      <c r="E10" s="879"/>
      <c r="F10" s="879"/>
      <c r="G10" s="879"/>
      <c r="H10" s="873">
        <v>190</v>
      </c>
      <c r="I10" s="873" t="s">
        <v>583</v>
      </c>
      <c r="J10" s="873" t="s">
        <v>881</v>
      </c>
      <c r="K10" s="873" t="s">
        <v>111</v>
      </c>
      <c r="L10" s="879"/>
      <c r="M10" s="873" t="s">
        <v>1485</v>
      </c>
      <c r="P10" s="50" t="s">
        <v>2895</v>
      </c>
    </row>
    <row r="11" spans="1:22" ht="24">
      <c r="A11" s="873" t="s">
        <v>1530</v>
      </c>
      <c r="B11" s="949">
        <v>396</v>
      </c>
      <c r="C11" s="879"/>
      <c r="D11" s="879"/>
      <c r="E11" s="879"/>
      <c r="F11" s="879"/>
      <c r="G11" s="879"/>
      <c r="H11" s="879"/>
      <c r="I11" s="873" t="s">
        <v>583</v>
      </c>
      <c r="J11" s="873" t="s">
        <v>2900</v>
      </c>
      <c r="K11" s="873" t="s">
        <v>111</v>
      </c>
      <c r="L11" s="873" t="s">
        <v>796</v>
      </c>
      <c r="M11" s="879"/>
      <c r="P11" s="50" t="s">
        <v>2895</v>
      </c>
    </row>
    <row r="12" spans="1:22" ht="24">
      <c r="A12" s="873" t="s">
        <v>1532</v>
      </c>
      <c r="B12" s="949">
        <v>397</v>
      </c>
      <c r="C12" s="879"/>
      <c r="D12" s="879"/>
      <c r="E12" s="879"/>
      <c r="F12" s="879"/>
      <c r="G12" s="879"/>
      <c r="H12" s="879"/>
      <c r="I12" s="873" t="s">
        <v>583</v>
      </c>
      <c r="J12" s="873" t="s">
        <v>2900</v>
      </c>
      <c r="K12" s="873" t="s">
        <v>111</v>
      </c>
      <c r="L12" s="873" t="s">
        <v>796</v>
      </c>
      <c r="M12" s="879"/>
      <c r="P12" s="50" t="s">
        <v>2895</v>
      </c>
    </row>
    <row r="13" spans="1:22" ht="12">
      <c r="A13" s="873" t="s">
        <v>1858</v>
      </c>
      <c r="B13" s="949">
        <v>530</v>
      </c>
      <c r="C13" s="873" t="s">
        <v>137</v>
      </c>
      <c r="D13" s="879"/>
      <c r="E13" s="879"/>
      <c r="F13" s="879"/>
      <c r="G13" s="879"/>
      <c r="H13" s="873">
        <v>190</v>
      </c>
      <c r="P13" s="50" t="s">
        <v>2895</v>
      </c>
    </row>
    <row r="14" spans="1:22" ht="12">
      <c r="A14" s="873" t="s">
        <v>1865</v>
      </c>
      <c r="B14" s="949">
        <v>531</v>
      </c>
      <c r="C14" s="873" t="s">
        <v>137</v>
      </c>
      <c r="D14" s="879"/>
      <c r="E14" s="879"/>
      <c r="F14" s="879"/>
      <c r="G14" s="879"/>
      <c r="H14" s="873">
        <v>368</v>
      </c>
      <c r="P14" s="50" t="s">
        <v>2895</v>
      </c>
    </row>
    <row r="15" spans="1:22" ht="12">
      <c r="B15" s="18"/>
    </row>
    <row r="16" spans="1:22" ht="24">
      <c r="A16" s="960" t="s">
        <v>1081</v>
      </c>
      <c r="B16" s="962">
        <v>288</v>
      </c>
      <c r="C16" s="963"/>
      <c r="D16" s="960" t="s">
        <v>1082</v>
      </c>
      <c r="E16" s="963"/>
      <c r="F16" s="963"/>
      <c r="G16" s="963"/>
      <c r="H16" s="963"/>
      <c r="I16" s="963"/>
      <c r="J16" s="963"/>
      <c r="K16" s="963"/>
      <c r="L16" s="963"/>
      <c r="M16" s="963"/>
      <c r="P16" s="50" t="s">
        <v>2895</v>
      </c>
    </row>
    <row r="17" spans="1:16" ht="24">
      <c r="A17" s="964" t="s">
        <v>2903</v>
      </c>
      <c r="B17" s="962">
        <v>369</v>
      </c>
      <c r="C17" s="960" t="s">
        <v>137</v>
      </c>
      <c r="D17" s="963"/>
      <c r="E17" s="963"/>
      <c r="F17" s="963"/>
      <c r="G17" s="963"/>
      <c r="H17" s="960">
        <v>231</v>
      </c>
      <c r="I17" s="960" t="s">
        <v>1434</v>
      </c>
      <c r="J17" s="960" t="s">
        <v>881</v>
      </c>
      <c r="K17" s="960" t="s">
        <v>111</v>
      </c>
      <c r="L17" s="960" t="s">
        <v>782</v>
      </c>
      <c r="M17" s="960" t="s">
        <v>1435</v>
      </c>
      <c r="P17" s="50" t="s">
        <v>2895</v>
      </c>
    </row>
    <row r="18" spans="1:16" ht="24">
      <c r="A18" s="960" t="s">
        <v>2904</v>
      </c>
      <c r="B18" s="962">
        <v>337</v>
      </c>
      <c r="C18" s="960" t="s">
        <v>315</v>
      </c>
      <c r="D18" s="963"/>
      <c r="E18" s="963"/>
      <c r="F18" s="963"/>
      <c r="G18" s="963"/>
      <c r="H18" s="960">
        <v>120</v>
      </c>
      <c r="I18" s="960" t="s">
        <v>583</v>
      </c>
      <c r="J18" s="960" t="s">
        <v>881</v>
      </c>
      <c r="K18" s="960" t="s">
        <v>111</v>
      </c>
      <c r="L18" s="960" t="s">
        <v>782</v>
      </c>
      <c r="M18" s="960" t="s">
        <v>1233</v>
      </c>
      <c r="P18" s="50" t="s">
        <v>2895</v>
      </c>
    </row>
    <row r="19" spans="1:16" ht="24">
      <c r="A19" s="965" t="s">
        <v>2905</v>
      </c>
      <c r="B19" s="962">
        <v>361</v>
      </c>
      <c r="C19" s="960" t="s">
        <v>137</v>
      </c>
      <c r="D19" s="963"/>
      <c r="E19" s="963"/>
      <c r="F19" s="963"/>
      <c r="G19" s="963"/>
      <c r="H19" s="960">
        <v>301</v>
      </c>
      <c r="I19" s="960" t="s">
        <v>1303</v>
      </c>
      <c r="J19" s="960" t="s">
        <v>881</v>
      </c>
      <c r="K19" s="960" t="s">
        <v>111</v>
      </c>
      <c r="L19" s="960" t="s">
        <v>782</v>
      </c>
      <c r="M19" s="960" t="s">
        <v>1388</v>
      </c>
      <c r="P19" s="50" t="s">
        <v>2895</v>
      </c>
    </row>
    <row r="20" spans="1:16" ht="24">
      <c r="A20" s="965" t="s">
        <v>2906</v>
      </c>
      <c r="B20" s="962">
        <v>383</v>
      </c>
      <c r="C20" s="960" t="s">
        <v>137</v>
      </c>
      <c r="D20" s="963"/>
      <c r="E20" s="963"/>
      <c r="F20" s="963"/>
      <c r="G20" s="963"/>
      <c r="H20" s="960">
        <v>231</v>
      </c>
      <c r="I20" s="960" t="s">
        <v>583</v>
      </c>
      <c r="J20" s="960" t="s">
        <v>881</v>
      </c>
      <c r="K20" s="960" t="s">
        <v>111</v>
      </c>
      <c r="L20" s="963"/>
      <c r="M20" s="960" t="s">
        <v>1482</v>
      </c>
      <c r="P20" s="50" t="s">
        <v>2895</v>
      </c>
    </row>
    <row r="21" spans="1:16" ht="24">
      <c r="A21" s="960" t="s">
        <v>779</v>
      </c>
      <c r="B21" s="962">
        <v>231</v>
      </c>
      <c r="C21" s="963"/>
      <c r="D21" s="960" t="s">
        <v>780</v>
      </c>
      <c r="E21" s="963"/>
      <c r="F21" s="963"/>
      <c r="G21" s="963"/>
      <c r="H21" s="963"/>
      <c r="I21" s="963"/>
      <c r="J21" s="968" t="s">
        <v>781</v>
      </c>
      <c r="K21" s="963"/>
      <c r="L21" s="960" t="s">
        <v>782</v>
      </c>
      <c r="M21" s="963"/>
      <c r="P21" s="50" t="s">
        <v>2895</v>
      </c>
    </row>
    <row r="22" spans="1:16" ht="12">
      <c r="B22" s="18"/>
    </row>
    <row r="23" spans="1:16" ht="12">
      <c r="B23" s="18"/>
    </row>
    <row r="24" spans="1:16" ht="1.5" customHeight="1">
      <c r="A24" s="773" t="s">
        <v>2907</v>
      </c>
      <c r="B24" s="970">
        <v>100</v>
      </c>
      <c r="C24" s="970" t="s">
        <v>137</v>
      </c>
      <c r="D24" s="777"/>
      <c r="E24" s="777"/>
      <c r="F24" s="777"/>
      <c r="G24" s="777"/>
      <c r="H24" s="777"/>
      <c r="I24" s="773" t="s">
        <v>433</v>
      </c>
      <c r="J24" s="773" t="s">
        <v>434</v>
      </c>
      <c r="K24" s="773" t="s">
        <v>96</v>
      </c>
      <c r="L24" s="773" t="s">
        <v>82</v>
      </c>
      <c r="M24" s="773" t="s">
        <v>435</v>
      </c>
      <c r="N24" s="50" t="s">
        <v>436</v>
      </c>
      <c r="O24" s="50">
        <v>1.45</v>
      </c>
      <c r="P24" s="50" t="s">
        <v>2908</v>
      </c>
    </row>
    <row r="25" spans="1:16" ht="1.5" customHeight="1">
      <c r="A25" s="773" t="s">
        <v>2910</v>
      </c>
      <c r="B25" s="970">
        <v>13</v>
      </c>
      <c r="C25" s="970" t="s">
        <v>137</v>
      </c>
      <c r="D25" s="777"/>
      <c r="E25" s="777"/>
      <c r="F25" s="777"/>
      <c r="G25" s="777"/>
      <c r="H25" s="777"/>
      <c r="I25" s="773" t="s">
        <v>141</v>
      </c>
      <c r="J25" s="773" t="s">
        <v>142</v>
      </c>
      <c r="K25" s="773" t="s">
        <v>96</v>
      </c>
      <c r="L25" s="773">
        <v>1</v>
      </c>
      <c r="M25" s="773" t="s">
        <v>144</v>
      </c>
      <c r="N25" s="50" t="s">
        <v>145</v>
      </c>
      <c r="O25" s="50">
        <v>0.46</v>
      </c>
      <c r="P25" s="50" t="s">
        <v>2908</v>
      </c>
    </row>
    <row r="26" spans="1:16" ht="1.5" customHeight="1">
      <c r="A26" s="773" t="s">
        <v>2911</v>
      </c>
      <c r="B26" s="970">
        <v>101</v>
      </c>
      <c r="C26" s="970" t="s">
        <v>137</v>
      </c>
      <c r="D26" s="777"/>
      <c r="E26" s="777"/>
      <c r="F26" s="777"/>
      <c r="G26" s="777"/>
      <c r="H26" s="777"/>
      <c r="I26" s="773" t="s">
        <v>141</v>
      </c>
      <c r="J26" s="773" t="s">
        <v>438</v>
      </c>
      <c r="K26" s="773" t="s">
        <v>96</v>
      </c>
      <c r="L26" s="773" t="s">
        <v>82</v>
      </c>
      <c r="M26" s="773" t="s">
        <v>381</v>
      </c>
      <c r="N26" s="73">
        <v>40164</v>
      </c>
      <c r="O26" s="50">
        <v>2.4500000000000002</v>
      </c>
      <c r="P26" s="50" t="s">
        <v>2908</v>
      </c>
    </row>
    <row r="27" spans="1:16" ht="14.25" customHeight="1">
      <c r="A27" s="773" t="s">
        <v>2912</v>
      </c>
      <c r="B27" s="970">
        <v>258</v>
      </c>
      <c r="C27" s="970" t="s">
        <v>137</v>
      </c>
      <c r="D27" s="773" t="s">
        <v>885</v>
      </c>
      <c r="E27" s="777"/>
      <c r="F27" s="777"/>
      <c r="G27" s="777"/>
      <c r="H27" s="777"/>
      <c r="I27" s="777"/>
      <c r="J27" s="773" t="s">
        <v>887</v>
      </c>
      <c r="K27" s="777"/>
      <c r="L27" s="777"/>
      <c r="M27" s="777"/>
      <c r="P27" s="50" t="s">
        <v>2908</v>
      </c>
    </row>
    <row r="28" spans="1:16" ht="12">
      <c r="A28" s="773" t="s">
        <v>2913</v>
      </c>
      <c r="B28" s="970">
        <v>243</v>
      </c>
      <c r="C28" s="970" t="s">
        <v>137</v>
      </c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P28" s="50" t="s">
        <v>2908</v>
      </c>
    </row>
    <row r="29" spans="1:16" ht="12">
      <c r="A29" s="773" t="s">
        <v>1585</v>
      </c>
      <c r="B29" s="970">
        <v>420</v>
      </c>
      <c r="C29" s="970" t="s">
        <v>137</v>
      </c>
      <c r="D29" s="777"/>
      <c r="E29" s="777"/>
      <c r="F29" s="777"/>
      <c r="G29" s="777"/>
      <c r="H29" s="773">
        <v>389</v>
      </c>
      <c r="I29" s="777"/>
      <c r="J29" s="777"/>
      <c r="K29" s="777"/>
      <c r="L29" s="777"/>
      <c r="M29" s="777"/>
      <c r="P29" s="50" t="s">
        <v>2908</v>
      </c>
    </row>
    <row r="30" spans="1:16" ht="12">
      <c r="A30" s="773" t="s">
        <v>1586</v>
      </c>
      <c r="B30" s="970">
        <v>421</v>
      </c>
      <c r="C30" s="970" t="s">
        <v>137</v>
      </c>
      <c r="D30" s="777"/>
      <c r="E30" s="777"/>
      <c r="F30" s="777"/>
      <c r="G30" s="777"/>
      <c r="H30" s="773">
        <v>389</v>
      </c>
      <c r="I30" s="777"/>
      <c r="J30" s="777"/>
      <c r="K30" s="777"/>
      <c r="L30" s="777"/>
      <c r="M30" s="777"/>
      <c r="P30" s="50" t="s">
        <v>2908</v>
      </c>
    </row>
    <row r="31" spans="1:16" ht="12">
      <c r="A31" s="773" t="s">
        <v>2914</v>
      </c>
      <c r="B31" s="970">
        <v>341</v>
      </c>
      <c r="C31" s="970" t="s">
        <v>137</v>
      </c>
      <c r="D31" s="773" t="s">
        <v>1263</v>
      </c>
      <c r="E31" s="777"/>
      <c r="F31" s="777"/>
      <c r="G31" s="777"/>
      <c r="H31" s="773">
        <v>285</v>
      </c>
      <c r="I31" s="777"/>
      <c r="J31" s="777"/>
      <c r="K31" s="777"/>
      <c r="L31" s="777"/>
      <c r="M31" s="777"/>
      <c r="P31" s="50" t="s">
        <v>2908</v>
      </c>
    </row>
    <row r="32" spans="1:16" ht="12">
      <c r="A32" s="773" t="s">
        <v>1638</v>
      </c>
      <c r="B32" s="970">
        <v>443</v>
      </c>
      <c r="C32" s="970" t="s">
        <v>137</v>
      </c>
      <c r="D32" s="777"/>
      <c r="E32" s="777"/>
      <c r="F32" s="777"/>
      <c r="G32" s="777"/>
      <c r="H32" s="773">
        <v>276</v>
      </c>
      <c r="I32" s="777"/>
      <c r="J32" s="777"/>
      <c r="K32" s="777"/>
      <c r="L32" s="777"/>
      <c r="M32" s="777"/>
      <c r="P32" s="50" t="s">
        <v>2908</v>
      </c>
    </row>
    <row r="33" spans="1:16" ht="12">
      <c r="A33" s="773" t="s">
        <v>981</v>
      </c>
      <c r="B33" s="970">
        <v>472</v>
      </c>
      <c r="C33" s="970" t="s">
        <v>137</v>
      </c>
      <c r="D33" s="777"/>
      <c r="E33" s="777"/>
      <c r="F33" s="777"/>
      <c r="G33" s="777"/>
      <c r="H33" s="773">
        <v>290</v>
      </c>
      <c r="I33" s="777"/>
      <c r="J33" s="777"/>
      <c r="K33" s="777"/>
      <c r="L33" s="777"/>
      <c r="M33" s="777"/>
      <c r="P33" s="50" t="s">
        <v>2908</v>
      </c>
    </row>
    <row r="34" spans="1:16" ht="24">
      <c r="A34" s="773" t="s">
        <v>989</v>
      </c>
      <c r="B34" s="970">
        <v>479</v>
      </c>
      <c r="C34" s="970" t="s">
        <v>137</v>
      </c>
      <c r="D34" s="777"/>
      <c r="E34" s="777"/>
      <c r="F34" s="777"/>
      <c r="G34" s="777"/>
      <c r="H34" s="773" t="s">
        <v>983</v>
      </c>
      <c r="I34" s="773" t="s">
        <v>983</v>
      </c>
      <c r="J34" s="773" t="s">
        <v>983</v>
      </c>
      <c r="K34" s="773" t="s">
        <v>983</v>
      </c>
      <c r="L34" s="773" t="s">
        <v>983</v>
      </c>
      <c r="M34" s="773" t="s">
        <v>983</v>
      </c>
      <c r="N34" s="773" t="s">
        <v>983</v>
      </c>
      <c r="O34" s="773" t="s">
        <v>983</v>
      </c>
      <c r="P34" s="50" t="s">
        <v>2908</v>
      </c>
    </row>
    <row r="35" spans="1:16" ht="12">
      <c r="A35" s="773" t="s">
        <v>992</v>
      </c>
      <c r="B35" s="970">
        <v>480</v>
      </c>
      <c r="C35" s="970" t="s">
        <v>137</v>
      </c>
      <c r="D35" s="777"/>
      <c r="E35" s="777"/>
      <c r="F35" s="777"/>
      <c r="G35" s="777"/>
      <c r="H35" s="773" t="s">
        <v>983</v>
      </c>
      <c r="I35" s="777"/>
      <c r="J35" s="777"/>
      <c r="K35" s="777"/>
      <c r="L35" s="777"/>
      <c r="M35" s="777"/>
      <c r="P35" s="50" t="s">
        <v>2908</v>
      </c>
    </row>
    <row r="36" spans="1:16" ht="12">
      <c r="A36" s="773" t="s">
        <v>994</v>
      </c>
      <c r="B36" s="970">
        <v>481</v>
      </c>
      <c r="C36" s="970" t="s">
        <v>137</v>
      </c>
      <c r="D36" s="777"/>
      <c r="E36" s="777"/>
      <c r="F36" s="777"/>
      <c r="G36" s="777"/>
      <c r="H36" s="773" t="s">
        <v>983</v>
      </c>
      <c r="I36" s="777"/>
      <c r="J36" s="777"/>
      <c r="K36" s="777"/>
      <c r="L36" s="777"/>
      <c r="M36" s="777"/>
      <c r="P36" s="50" t="s">
        <v>2908</v>
      </c>
    </row>
    <row r="37" spans="1:16" ht="12">
      <c r="A37" s="773" t="s">
        <v>996</v>
      </c>
      <c r="B37" s="970">
        <v>487</v>
      </c>
      <c r="C37" s="970" t="s">
        <v>137</v>
      </c>
      <c r="D37" s="773" t="s">
        <v>1742</v>
      </c>
      <c r="E37" s="777"/>
      <c r="F37" s="777"/>
      <c r="G37" s="777"/>
      <c r="H37" s="773">
        <v>290</v>
      </c>
      <c r="I37" s="777"/>
      <c r="J37" s="777"/>
      <c r="K37" s="777"/>
      <c r="L37" s="777"/>
      <c r="M37" s="777"/>
      <c r="P37" s="50" t="s">
        <v>2908</v>
      </c>
    </row>
    <row r="38" spans="1:16" ht="12">
      <c r="A38" s="773" t="s">
        <v>1022</v>
      </c>
      <c r="B38" s="970">
        <v>515</v>
      </c>
      <c r="C38" s="970" t="s">
        <v>137</v>
      </c>
      <c r="D38" s="773" t="s">
        <v>1825</v>
      </c>
      <c r="E38" s="777"/>
      <c r="F38" s="777"/>
      <c r="G38" s="777"/>
      <c r="H38" s="773">
        <v>487</v>
      </c>
      <c r="I38" s="777"/>
      <c r="J38" s="777"/>
      <c r="K38" s="777"/>
      <c r="L38" s="777"/>
      <c r="M38" s="777"/>
      <c r="P38" s="50" t="s">
        <v>2908</v>
      </c>
    </row>
    <row r="39" spans="1:16" ht="24">
      <c r="A39" s="773" t="s">
        <v>1851</v>
      </c>
      <c r="B39" s="970">
        <v>528</v>
      </c>
      <c r="C39" s="970" t="s">
        <v>137</v>
      </c>
      <c r="D39" s="773" t="s">
        <v>1852</v>
      </c>
      <c r="E39" s="777"/>
      <c r="F39" s="777"/>
      <c r="G39" s="777"/>
      <c r="H39" s="773">
        <v>479</v>
      </c>
      <c r="I39" s="777"/>
      <c r="J39" s="777"/>
      <c r="K39" s="777"/>
      <c r="L39" s="777"/>
      <c r="M39" s="777"/>
      <c r="P39" s="50" t="s">
        <v>2908</v>
      </c>
    </row>
    <row r="40" spans="1:16" ht="24">
      <c r="A40" s="773" t="s">
        <v>1855</v>
      </c>
      <c r="B40" s="970">
        <v>529</v>
      </c>
      <c r="C40" s="970" t="s">
        <v>137</v>
      </c>
      <c r="D40" s="773" t="s">
        <v>1856</v>
      </c>
      <c r="E40" s="777"/>
      <c r="F40" s="777"/>
      <c r="G40" s="777"/>
      <c r="H40" s="773">
        <v>480</v>
      </c>
      <c r="I40" s="777"/>
      <c r="J40" s="777"/>
      <c r="K40" s="777"/>
      <c r="L40" s="777"/>
      <c r="M40" s="777"/>
      <c r="P40" s="50" t="s">
        <v>2908</v>
      </c>
    </row>
    <row r="41" spans="1:16" ht="12">
      <c r="A41" s="773" t="s">
        <v>1871</v>
      </c>
      <c r="B41" s="970">
        <v>534</v>
      </c>
      <c r="C41" s="970" t="s">
        <v>137</v>
      </c>
      <c r="D41" s="777"/>
      <c r="E41" s="777"/>
      <c r="F41" s="777"/>
      <c r="G41" s="777"/>
      <c r="H41" s="773">
        <v>518</v>
      </c>
      <c r="I41" s="777"/>
      <c r="J41" s="777"/>
      <c r="K41" s="777"/>
      <c r="L41" s="777"/>
      <c r="M41" s="777"/>
      <c r="P41" s="50" t="s">
        <v>2908</v>
      </c>
    </row>
    <row r="42" spans="1:16" ht="12">
      <c r="A42" s="777"/>
      <c r="B42" s="980"/>
      <c r="C42" s="777"/>
      <c r="D42" s="777"/>
      <c r="E42" s="777"/>
      <c r="F42" s="777"/>
      <c r="G42" s="777"/>
      <c r="H42" s="777"/>
      <c r="I42" s="777"/>
      <c r="J42" s="777"/>
      <c r="K42" s="777"/>
      <c r="L42" s="777"/>
      <c r="M42" s="777"/>
    </row>
    <row r="43" spans="1:16" ht="24">
      <c r="A43" s="773" t="s">
        <v>2915</v>
      </c>
      <c r="B43" s="970">
        <v>354</v>
      </c>
      <c r="C43" s="773" t="s">
        <v>315</v>
      </c>
      <c r="D43" s="777"/>
      <c r="E43" s="777"/>
      <c r="F43" s="773" t="s">
        <v>400</v>
      </c>
      <c r="G43" s="773" t="s">
        <v>1332</v>
      </c>
      <c r="H43" s="773">
        <v>120</v>
      </c>
      <c r="I43" s="773" t="s">
        <v>1303</v>
      </c>
      <c r="J43" s="773" t="s">
        <v>881</v>
      </c>
      <c r="K43" s="773" t="s">
        <v>111</v>
      </c>
      <c r="L43" s="773" t="s">
        <v>782</v>
      </c>
      <c r="M43" s="773" t="s">
        <v>1335</v>
      </c>
      <c r="N43" s="50" t="s">
        <v>1336</v>
      </c>
      <c r="P43" s="50" t="s">
        <v>2908</v>
      </c>
    </row>
    <row r="44" spans="1:16" ht="24">
      <c r="A44" s="773" t="s">
        <v>2916</v>
      </c>
      <c r="B44" s="970">
        <v>355</v>
      </c>
      <c r="C44" s="773" t="s">
        <v>315</v>
      </c>
      <c r="D44" s="773" t="s">
        <v>1337</v>
      </c>
      <c r="E44" s="777"/>
      <c r="F44" s="773" t="s">
        <v>400</v>
      </c>
      <c r="G44" s="773" t="s">
        <v>1332</v>
      </c>
      <c r="H44" s="773">
        <v>120</v>
      </c>
      <c r="I44" s="773" t="s">
        <v>1303</v>
      </c>
      <c r="J44" s="773" t="s">
        <v>881</v>
      </c>
      <c r="K44" s="773" t="s">
        <v>111</v>
      </c>
      <c r="L44" s="773" t="s">
        <v>782</v>
      </c>
      <c r="M44" s="773" t="s">
        <v>1339</v>
      </c>
      <c r="P44" s="50" t="s">
        <v>2908</v>
      </c>
    </row>
    <row r="45" spans="1:16" ht="24">
      <c r="A45" s="773" t="s">
        <v>2917</v>
      </c>
      <c r="B45" s="970">
        <v>295</v>
      </c>
      <c r="C45" s="773" t="s">
        <v>315</v>
      </c>
      <c r="D45" s="777"/>
      <c r="E45" s="777"/>
      <c r="F45" s="777"/>
      <c r="G45" s="777"/>
      <c r="H45" s="773">
        <v>120</v>
      </c>
      <c r="I45" s="773" t="s">
        <v>583</v>
      </c>
      <c r="J45" s="773" t="s">
        <v>881</v>
      </c>
      <c r="K45" s="773" t="s">
        <v>111</v>
      </c>
      <c r="L45" s="773" t="s">
        <v>782</v>
      </c>
      <c r="M45" s="773" t="s">
        <v>1117</v>
      </c>
      <c r="P45" s="50" t="s">
        <v>2908</v>
      </c>
    </row>
    <row r="46" spans="1:16" ht="24">
      <c r="A46" s="982" t="s">
        <v>2918</v>
      </c>
      <c r="B46" s="970">
        <v>389</v>
      </c>
      <c r="C46" s="773" t="s">
        <v>315</v>
      </c>
      <c r="D46" s="773" t="s">
        <v>1459</v>
      </c>
      <c r="E46" s="777"/>
      <c r="F46" s="777"/>
      <c r="G46" s="777"/>
      <c r="H46" s="773">
        <v>355</v>
      </c>
      <c r="I46" s="773" t="s">
        <v>583</v>
      </c>
      <c r="J46" s="773" t="s">
        <v>881</v>
      </c>
      <c r="K46" s="773" t="s">
        <v>111</v>
      </c>
      <c r="L46" s="773" t="s">
        <v>1453</v>
      </c>
      <c r="M46" s="773" t="s">
        <v>1507</v>
      </c>
      <c r="P46" s="50" t="s">
        <v>2908</v>
      </c>
    </row>
    <row r="47" spans="1:16" ht="24">
      <c r="A47" s="982" t="s">
        <v>2921</v>
      </c>
      <c r="B47" s="970">
        <v>388</v>
      </c>
      <c r="C47" s="773" t="s">
        <v>315</v>
      </c>
      <c r="D47" s="982" t="s">
        <v>2922</v>
      </c>
      <c r="E47" s="777"/>
      <c r="F47" s="777"/>
      <c r="G47" s="777"/>
      <c r="H47" s="773">
        <v>295</v>
      </c>
      <c r="I47" s="773" t="s">
        <v>583</v>
      </c>
      <c r="J47" s="773" t="s">
        <v>881</v>
      </c>
      <c r="K47" s="773" t="s">
        <v>111</v>
      </c>
      <c r="L47" s="773" t="s">
        <v>1453</v>
      </c>
      <c r="M47" s="773" t="s">
        <v>2923</v>
      </c>
      <c r="P47" s="50" t="s">
        <v>2908</v>
      </c>
    </row>
    <row r="48" spans="1:16" ht="24">
      <c r="A48" s="985" t="s">
        <v>2924</v>
      </c>
      <c r="B48" s="970">
        <v>371</v>
      </c>
      <c r="C48" s="773" t="s">
        <v>315</v>
      </c>
      <c r="D48" s="777"/>
      <c r="E48" s="777"/>
      <c r="F48" s="777"/>
      <c r="G48" s="777"/>
      <c r="H48" s="773">
        <v>120</v>
      </c>
      <c r="I48" s="773" t="s">
        <v>1303</v>
      </c>
      <c r="J48" s="773" t="s">
        <v>881</v>
      </c>
      <c r="K48" s="773" t="s">
        <v>111</v>
      </c>
      <c r="L48" s="773" t="s">
        <v>782</v>
      </c>
      <c r="M48" s="773" t="s">
        <v>1439</v>
      </c>
      <c r="P48" s="50" t="s">
        <v>2908</v>
      </c>
    </row>
    <row r="49" spans="1:16" ht="12">
      <c r="A49" s="773" t="s">
        <v>2926</v>
      </c>
      <c r="B49" s="970">
        <v>237</v>
      </c>
      <c r="C49" s="773" t="s">
        <v>315</v>
      </c>
      <c r="D49" s="777"/>
      <c r="E49" s="777"/>
      <c r="F49" s="777"/>
      <c r="G49" s="777"/>
      <c r="H49" s="777"/>
      <c r="I49" s="777"/>
      <c r="J49" s="773" t="s">
        <v>795</v>
      </c>
      <c r="K49" s="777"/>
      <c r="L49" s="773" t="s">
        <v>796</v>
      </c>
      <c r="M49" s="777"/>
      <c r="P49" s="50" t="s">
        <v>2908</v>
      </c>
    </row>
    <row r="50" spans="1:16" ht="12">
      <c r="A50" s="773" t="s">
        <v>2927</v>
      </c>
      <c r="B50" s="970">
        <v>238</v>
      </c>
      <c r="C50" s="773" t="s">
        <v>315</v>
      </c>
      <c r="D50" s="777"/>
      <c r="E50" s="777"/>
      <c r="F50" s="777"/>
      <c r="G50" s="777"/>
      <c r="H50" s="777"/>
      <c r="I50" s="777"/>
      <c r="J50" s="773" t="s">
        <v>795</v>
      </c>
      <c r="K50" s="777"/>
      <c r="L50" s="773" t="s">
        <v>796</v>
      </c>
      <c r="M50" s="777"/>
      <c r="P50" s="50" t="s">
        <v>2908</v>
      </c>
    </row>
    <row r="51" spans="1:16" ht="1.5" customHeight="1">
      <c r="A51" s="773" t="s">
        <v>2928</v>
      </c>
      <c r="B51" s="970">
        <v>220</v>
      </c>
      <c r="C51" s="773" t="s">
        <v>315</v>
      </c>
      <c r="D51" s="773" t="s">
        <v>734</v>
      </c>
      <c r="E51" s="777"/>
      <c r="F51" s="777"/>
      <c r="G51" s="777"/>
      <c r="H51" s="777"/>
      <c r="I51" s="777"/>
      <c r="J51" s="777"/>
      <c r="K51" s="777"/>
      <c r="L51" s="777"/>
      <c r="M51" s="777"/>
      <c r="P51" s="50" t="s">
        <v>2908</v>
      </c>
    </row>
    <row r="52" spans="1:16" ht="1.5" customHeight="1">
      <c r="A52" s="773" t="s">
        <v>2929</v>
      </c>
      <c r="B52" s="970">
        <v>221</v>
      </c>
      <c r="C52" s="773" t="s">
        <v>315</v>
      </c>
      <c r="D52" s="773" t="s">
        <v>734</v>
      </c>
      <c r="E52" s="777"/>
      <c r="F52" s="777"/>
      <c r="G52" s="777"/>
      <c r="H52" s="777"/>
      <c r="I52" s="777"/>
      <c r="J52" s="777"/>
      <c r="K52" s="777"/>
      <c r="L52" s="777"/>
      <c r="M52" s="777"/>
      <c r="P52" s="50" t="s">
        <v>2908</v>
      </c>
    </row>
    <row r="53" spans="1:16" ht="24">
      <c r="A53" s="773" t="s">
        <v>2930</v>
      </c>
      <c r="B53" s="970">
        <v>358</v>
      </c>
      <c r="C53" s="773" t="s">
        <v>315</v>
      </c>
      <c r="D53" s="777"/>
      <c r="E53" s="777"/>
      <c r="F53" s="773" t="s">
        <v>400</v>
      </c>
      <c r="G53" s="993">
        <v>41684</v>
      </c>
      <c r="H53" s="773">
        <v>120</v>
      </c>
      <c r="I53" s="773" t="s">
        <v>1303</v>
      </c>
      <c r="J53" s="773" t="s">
        <v>881</v>
      </c>
      <c r="K53" s="773" t="s">
        <v>111</v>
      </c>
      <c r="L53" s="773" t="s">
        <v>782</v>
      </c>
      <c r="M53" s="773" t="s">
        <v>1365</v>
      </c>
      <c r="P53" s="50" t="s">
        <v>2908</v>
      </c>
    </row>
    <row r="54" spans="1:16" ht="24">
      <c r="A54" s="773" t="s">
        <v>2931</v>
      </c>
      <c r="B54" s="970">
        <v>296</v>
      </c>
      <c r="C54" s="773" t="s">
        <v>315</v>
      </c>
      <c r="D54" s="773" t="s">
        <v>1119</v>
      </c>
      <c r="E54" s="777"/>
      <c r="F54" s="777"/>
      <c r="G54" s="777"/>
      <c r="H54" s="773">
        <v>120</v>
      </c>
      <c r="I54" s="773" t="s">
        <v>583</v>
      </c>
      <c r="J54" s="773" t="s">
        <v>881</v>
      </c>
      <c r="K54" s="773" t="s">
        <v>111</v>
      </c>
      <c r="L54" s="773" t="s">
        <v>782</v>
      </c>
      <c r="M54" s="773" t="s">
        <v>1120</v>
      </c>
      <c r="P54" s="50" t="s">
        <v>2908</v>
      </c>
    </row>
    <row r="55" spans="1:16" ht="24">
      <c r="A55" s="773" t="s">
        <v>2932</v>
      </c>
      <c r="B55" s="970">
        <v>297</v>
      </c>
      <c r="C55" s="773" t="s">
        <v>315</v>
      </c>
      <c r="D55" s="773" t="s">
        <v>1119</v>
      </c>
      <c r="E55" s="777"/>
      <c r="F55" s="777"/>
      <c r="G55" s="777"/>
      <c r="H55" s="773">
        <v>120</v>
      </c>
      <c r="I55" s="773" t="s">
        <v>583</v>
      </c>
      <c r="J55" s="773" t="s">
        <v>881</v>
      </c>
      <c r="K55" s="773" t="s">
        <v>111</v>
      </c>
      <c r="L55" s="773" t="s">
        <v>782</v>
      </c>
      <c r="M55" s="773" t="s">
        <v>1123</v>
      </c>
      <c r="P55" s="50" t="s">
        <v>2908</v>
      </c>
    </row>
    <row r="56" spans="1:16" ht="24">
      <c r="A56" s="773" t="s">
        <v>2933</v>
      </c>
      <c r="B56" s="970">
        <v>353</v>
      </c>
      <c r="C56" s="773" t="s">
        <v>315</v>
      </c>
      <c r="D56" s="777"/>
      <c r="E56" s="777"/>
      <c r="F56" s="773" t="s">
        <v>400</v>
      </c>
      <c r="G56" s="773" t="s">
        <v>1332</v>
      </c>
      <c r="H56" s="773">
        <v>120</v>
      </c>
      <c r="I56" s="773" t="s">
        <v>1303</v>
      </c>
      <c r="J56" s="773" t="s">
        <v>881</v>
      </c>
      <c r="K56" s="773" t="s">
        <v>111</v>
      </c>
      <c r="L56" s="773" t="s">
        <v>796</v>
      </c>
      <c r="M56" s="982" t="s">
        <v>1333</v>
      </c>
      <c r="P56" s="50" t="s">
        <v>2908</v>
      </c>
    </row>
    <row r="57" spans="1:16" ht="12">
      <c r="A57" s="985" t="s">
        <v>1665</v>
      </c>
      <c r="B57" s="970">
        <v>454</v>
      </c>
      <c r="C57" s="773" t="s">
        <v>315</v>
      </c>
      <c r="D57" s="777"/>
      <c r="E57" s="777"/>
      <c r="F57" s="777"/>
      <c r="G57" s="777"/>
      <c r="H57" s="773">
        <v>120</v>
      </c>
      <c r="I57" s="773" t="s">
        <v>82</v>
      </c>
      <c r="J57" s="773" t="s">
        <v>52</v>
      </c>
      <c r="K57" s="773" t="s">
        <v>82</v>
      </c>
      <c r="L57" s="773" t="s">
        <v>82</v>
      </c>
      <c r="M57" s="773" t="s">
        <v>82</v>
      </c>
      <c r="N57" s="50" t="s">
        <v>82</v>
      </c>
      <c r="O57" s="50" t="s">
        <v>82</v>
      </c>
      <c r="P57" s="50" t="s">
        <v>2908</v>
      </c>
    </row>
    <row r="58" spans="1:16" ht="12">
      <c r="A58" s="985" t="s">
        <v>1668</v>
      </c>
      <c r="B58" s="970">
        <v>455</v>
      </c>
      <c r="C58" s="773" t="s">
        <v>315</v>
      </c>
      <c r="D58" s="777"/>
      <c r="E58" s="773">
        <v>5.7</v>
      </c>
      <c r="F58" s="777"/>
      <c r="G58" s="777"/>
      <c r="H58" s="773">
        <v>120</v>
      </c>
      <c r="I58" s="777"/>
      <c r="J58" s="773" t="s">
        <v>52</v>
      </c>
      <c r="K58" s="777"/>
      <c r="L58" s="777"/>
      <c r="M58" s="773" t="s">
        <v>474</v>
      </c>
      <c r="N58" s="50" t="s">
        <v>446</v>
      </c>
      <c r="O58" s="50">
        <v>0.38100000000000001</v>
      </c>
      <c r="P58" s="50" t="s">
        <v>2908</v>
      </c>
    </row>
    <row r="59" spans="1:16" ht="12">
      <c r="A59" s="773" t="s">
        <v>1721</v>
      </c>
      <c r="B59" s="970">
        <v>477</v>
      </c>
      <c r="C59" s="773" t="s">
        <v>315</v>
      </c>
      <c r="D59" s="777"/>
      <c r="E59" s="777"/>
      <c r="F59" s="777"/>
      <c r="G59" s="777"/>
      <c r="H59" s="773">
        <v>120</v>
      </c>
      <c r="I59" s="777"/>
      <c r="J59" s="777"/>
      <c r="K59" s="777"/>
      <c r="L59" s="777"/>
      <c r="M59" s="777"/>
      <c r="P59" s="50" t="s">
        <v>2908</v>
      </c>
    </row>
    <row r="60" spans="1:16" ht="12">
      <c r="A60" s="773" t="s">
        <v>398</v>
      </c>
      <c r="B60" s="970">
        <v>83</v>
      </c>
      <c r="C60" s="773" t="s">
        <v>315</v>
      </c>
      <c r="D60" s="777"/>
      <c r="E60" s="777"/>
      <c r="F60" s="777"/>
      <c r="G60" s="777"/>
      <c r="H60" s="777"/>
      <c r="I60" s="777"/>
      <c r="J60" s="777"/>
      <c r="K60" s="777"/>
      <c r="L60" s="777"/>
      <c r="M60" s="777"/>
      <c r="P60" s="50" t="s">
        <v>2908</v>
      </c>
    </row>
    <row r="61" spans="1:16" ht="12">
      <c r="A61" s="773" t="s">
        <v>473</v>
      </c>
      <c r="B61" s="970">
        <v>120</v>
      </c>
      <c r="C61" s="773" t="s">
        <v>315</v>
      </c>
      <c r="D61" s="777"/>
      <c r="E61" s="777"/>
      <c r="F61" s="777"/>
      <c r="G61" s="777"/>
      <c r="H61" s="777"/>
      <c r="I61" s="777"/>
      <c r="J61" s="777"/>
      <c r="K61" s="777"/>
      <c r="L61" s="777"/>
      <c r="M61" s="777"/>
      <c r="P61" s="50" t="s">
        <v>2908</v>
      </c>
    </row>
    <row r="62" spans="1:16" ht="12">
      <c r="A62" s="773" t="s">
        <v>399</v>
      </c>
      <c r="B62" s="970">
        <v>84</v>
      </c>
      <c r="C62" s="773" t="s">
        <v>315</v>
      </c>
      <c r="D62" s="777"/>
      <c r="E62" s="777"/>
      <c r="F62" s="777"/>
      <c r="G62" s="777"/>
      <c r="H62" s="777"/>
      <c r="I62" s="777"/>
      <c r="J62" s="777"/>
      <c r="K62" s="777"/>
      <c r="L62" s="777"/>
      <c r="M62" s="777"/>
      <c r="P62" s="50" t="s">
        <v>2908</v>
      </c>
    </row>
    <row r="63" spans="1:16" ht="12">
      <c r="A63" s="773" t="s">
        <v>492</v>
      </c>
      <c r="B63" s="970">
        <v>130</v>
      </c>
      <c r="C63" s="773" t="s">
        <v>315</v>
      </c>
      <c r="D63" s="777"/>
      <c r="E63" s="777"/>
      <c r="F63" s="777"/>
      <c r="G63" s="777"/>
      <c r="H63" s="777"/>
      <c r="I63" s="777"/>
      <c r="J63" s="773" t="s">
        <v>52</v>
      </c>
      <c r="K63" s="777"/>
      <c r="L63" s="777"/>
      <c r="M63" s="777"/>
      <c r="N63" s="50" t="s">
        <v>446</v>
      </c>
      <c r="O63" s="50">
        <v>0.48199999999999998</v>
      </c>
      <c r="P63" s="50" t="s">
        <v>2908</v>
      </c>
    </row>
    <row r="64" spans="1:16" ht="12">
      <c r="A64" s="773" t="s">
        <v>1266</v>
      </c>
      <c r="B64" s="970">
        <v>342</v>
      </c>
      <c r="C64" s="773" t="s">
        <v>315</v>
      </c>
      <c r="D64" s="777"/>
      <c r="E64" s="777"/>
      <c r="F64" s="773" t="s">
        <v>400</v>
      </c>
      <c r="G64" s="773" t="s">
        <v>1267</v>
      </c>
      <c r="H64" s="777"/>
      <c r="I64" s="777"/>
      <c r="J64" s="773" t="s">
        <v>1268</v>
      </c>
      <c r="K64" s="777"/>
      <c r="L64" s="777"/>
      <c r="M64" s="777"/>
      <c r="P64" s="50" t="s">
        <v>2908</v>
      </c>
    </row>
    <row r="65" spans="1:16" ht="12">
      <c r="A65" s="773" t="s">
        <v>1270</v>
      </c>
      <c r="B65" s="970">
        <v>344</v>
      </c>
      <c r="C65" s="773" t="s">
        <v>315</v>
      </c>
      <c r="D65" s="777"/>
      <c r="E65" s="777"/>
      <c r="F65" s="777"/>
      <c r="G65" s="777"/>
      <c r="H65" s="777"/>
      <c r="I65" s="777"/>
      <c r="J65" s="773" t="s">
        <v>1271</v>
      </c>
      <c r="K65" s="777"/>
      <c r="L65" s="777"/>
      <c r="M65" s="777"/>
      <c r="P65" s="50" t="s">
        <v>2908</v>
      </c>
    </row>
    <row r="66" spans="1:16" ht="12">
      <c r="A66" s="773" t="s">
        <v>1272</v>
      </c>
      <c r="B66" s="970">
        <v>345</v>
      </c>
      <c r="C66" s="773" t="s">
        <v>315</v>
      </c>
      <c r="D66" s="777"/>
      <c r="E66" s="777"/>
      <c r="F66" s="777"/>
      <c r="G66" s="777"/>
      <c r="H66" s="777"/>
      <c r="I66" s="777"/>
      <c r="J66" s="773" t="s">
        <v>1271</v>
      </c>
      <c r="K66" s="777"/>
      <c r="L66" s="777"/>
      <c r="M66" s="777"/>
      <c r="P66" s="50" t="s">
        <v>2908</v>
      </c>
    </row>
    <row r="67" spans="1:16" ht="12">
      <c r="A67" s="773" t="s">
        <v>1269</v>
      </c>
      <c r="B67" s="970">
        <v>343</v>
      </c>
      <c r="C67" s="773" t="s">
        <v>315</v>
      </c>
      <c r="D67" s="777"/>
      <c r="E67" s="777"/>
      <c r="F67" s="773" t="s">
        <v>400</v>
      </c>
      <c r="G67" s="773" t="s">
        <v>1267</v>
      </c>
      <c r="H67" s="777"/>
      <c r="I67" s="777"/>
      <c r="J67" s="773" t="s">
        <v>1268</v>
      </c>
      <c r="K67" s="777"/>
      <c r="L67" s="777"/>
      <c r="M67" s="777"/>
      <c r="P67" s="50" t="s">
        <v>2908</v>
      </c>
    </row>
    <row r="68" spans="1:16" ht="24">
      <c r="A68" s="773" t="s">
        <v>486</v>
      </c>
      <c r="B68" s="970">
        <v>125</v>
      </c>
      <c r="C68" s="777"/>
      <c r="D68" s="777"/>
      <c r="E68" s="777"/>
      <c r="F68" s="777"/>
      <c r="G68" s="777"/>
      <c r="H68" s="777"/>
      <c r="I68" s="777"/>
      <c r="J68" s="773" t="s">
        <v>479</v>
      </c>
      <c r="K68" s="777"/>
      <c r="L68" s="777"/>
      <c r="M68" s="777"/>
      <c r="P68" s="50" t="s">
        <v>2908</v>
      </c>
    </row>
    <row r="69" spans="1:16" ht="24">
      <c r="A69" s="773" t="s">
        <v>2935</v>
      </c>
      <c r="B69" s="970">
        <v>333</v>
      </c>
      <c r="C69" s="777"/>
      <c r="D69" s="773" t="s">
        <v>1222</v>
      </c>
      <c r="E69" s="777"/>
      <c r="F69" s="777"/>
      <c r="G69" s="777"/>
      <c r="H69" s="777"/>
      <c r="I69" s="777"/>
      <c r="J69" s="773" t="s">
        <v>1214</v>
      </c>
      <c r="K69" s="777"/>
      <c r="L69" s="773" t="s">
        <v>782</v>
      </c>
      <c r="M69" s="777"/>
      <c r="P69" s="50" t="s">
        <v>2908</v>
      </c>
    </row>
    <row r="70" spans="1:16" ht="12">
      <c r="A70" s="773" t="s">
        <v>457</v>
      </c>
      <c r="B70" s="970">
        <v>109</v>
      </c>
      <c r="C70" s="773" t="s">
        <v>315</v>
      </c>
      <c r="D70" s="777"/>
      <c r="E70" s="777"/>
      <c r="F70" s="777"/>
      <c r="G70" s="777"/>
      <c r="H70" s="777"/>
      <c r="I70" s="777"/>
      <c r="J70" s="773" t="s">
        <v>52</v>
      </c>
      <c r="K70" s="777"/>
      <c r="L70" s="777"/>
      <c r="M70" s="777"/>
      <c r="P70" s="50" t="s">
        <v>2908</v>
      </c>
    </row>
    <row r="71" spans="1:16" ht="12">
      <c r="A71" s="773" t="s">
        <v>630</v>
      </c>
      <c r="B71" s="970">
        <v>185</v>
      </c>
      <c r="C71" s="773" t="s">
        <v>315</v>
      </c>
      <c r="D71" s="1002">
        <v>40752</v>
      </c>
      <c r="E71" s="777"/>
      <c r="F71" s="777"/>
      <c r="G71" s="777"/>
      <c r="H71" s="777"/>
      <c r="I71" s="777"/>
      <c r="J71" s="773" t="s">
        <v>52</v>
      </c>
      <c r="K71" s="777"/>
      <c r="L71" s="777"/>
      <c r="M71" s="777"/>
      <c r="P71" s="50" t="s">
        <v>2908</v>
      </c>
    </row>
    <row r="72" spans="1:16" ht="12">
      <c r="A72" s="773" t="s">
        <v>632</v>
      </c>
      <c r="B72" s="970">
        <v>186</v>
      </c>
      <c r="C72" s="773" t="s">
        <v>315</v>
      </c>
      <c r="D72" s="777"/>
      <c r="E72" s="777"/>
      <c r="F72" s="777"/>
      <c r="G72" s="777"/>
      <c r="H72" s="777"/>
      <c r="I72" s="777"/>
      <c r="J72" s="773" t="s">
        <v>52</v>
      </c>
      <c r="K72" s="777"/>
      <c r="L72" s="777"/>
      <c r="M72" s="777"/>
      <c r="P72" s="50" t="s">
        <v>2908</v>
      </c>
    </row>
    <row r="73" spans="1:16" ht="12">
      <c r="A73" s="773" t="s">
        <v>633</v>
      </c>
      <c r="B73" s="970">
        <v>187</v>
      </c>
      <c r="C73" s="773" t="s">
        <v>315</v>
      </c>
      <c r="D73" s="777"/>
      <c r="E73" s="777"/>
      <c r="F73" s="773" t="s">
        <v>400</v>
      </c>
      <c r="G73" s="773" t="s">
        <v>634</v>
      </c>
      <c r="H73" s="777"/>
      <c r="I73" s="777"/>
      <c r="J73" s="773" t="s">
        <v>52</v>
      </c>
      <c r="K73" s="777"/>
      <c r="L73" s="777"/>
      <c r="M73" s="777"/>
      <c r="P73" s="50" t="s">
        <v>2908</v>
      </c>
    </row>
    <row r="74" spans="1:16" ht="12">
      <c r="A74" s="773" t="s">
        <v>627</v>
      </c>
      <c r="B74" s="970">
        <v>183</v>
      </c>
      <c r="C74" s="773" t="s">
        <v>315</v>
      </c>
      <c r="D74" s="773" t="s">
        <v>628</v>
      </c>
      <c r="E74" s="777"/>
      <c r="F74" s="777"/>
      <c r="G74" s="777"/>
      <c r="H74" s="777"/>
      <c r="I74" s="777"/>
      <c r="J74" s="773" t="s">
        <v>52</v>
      </c>
      <c r="K74" s="777"/>
      <c r="L74" s="777"/>
      <c r="M74" s="777"/>
      <c r="P74" s="50" t="s">
        <v>2908</v>
      </c>
    </row>
    <row r="75" spans="1:16" ht="24">
      <c r="A75" s="773" t="s">
        <v>653</v>
      </c>
      <c r="B75" s="970">
        <v>191</v>
      </c>
      <c r="C75" s="777"/>
      <c r="D75" s="773" t="s">
        <v>654</v>
      </c>
      <c r="E75" s="777"/>
      <c r="F75" s="777"/>
      <c r="G75" s="777"/>
      <c r="H75" s="777"/>
      <c r="I75" s="777"/>
      <c r="J75" s="777"/>
      <c r="K75" s="777"/>
      <c r="L75" s="773">
        <v>4</v>
      </c>
      <c r="M75" s="773" t="s">
        <v>474</v>
      </c>
      <c r="P75" s="50" t="s">
        <v>2908</v>
      </c>
    </row>
    <row r="76" spans="1:16" ht="12">
      <c r="A76" s="773" t="s">
        <v>2936</v>
      </c>
      <c r="B76" s="970">
        <v>393</v>
      </c>
      <c r="C76" s="773" t="s">
        <v>315</v>
      </c>
      <c r="D76" s="777"/>
      <c r="E76" s="777"/>
      <c r="F76" s="777"/>
      <c r="G76" s="777"/>
      <c r="H76" s="777"/>
      <c r="I76" s="777"/>
      <c r="J76" s="773" t="s">
        <v>141</v>
      </c>
      <c r="K76" s="773" t="s">
        <v>141</v>
      </c>
      <c r="L76" s="773" t="s">
        <v>796</v>
      </c>
      <c r="M76" s="773" t="s">
        <v>1518</v>
      </c>
      <c r="P76" s="50" t="s">
        <v>2908</v>
      </c>
    </row>
    <row r="77" spans="1:16" ht="12">
      <c r="A77" s="982" t="s">
        <v>1498</v>
      </c>
      <c r="B77" s="970">
        <v>417</v>
      </c>
      <c r="C77" s="773" t="s">
        <v>315</v>
      </c>
      <c r="D77" s="777"/>
      <c r="E77" s="777"/>
      <c r="F77" s="777"/>
      <c r="G77" s="777"/>
      <c r="H77" s="777"/>
      <c r="P77" s="50" t="s">
        <v>2908</v>
      </c>
    </row>
    <row r="78" spans="1:16" ht="12">
      <c r="A78" s="1007" t="s">
        <v>845</v>
      </c>
      <c r="B78" s="1009">
        <v>435</v>
      </c>
      <c r="C78" s="773" t="s">
        <v>315</v>
      </c>
      <c r="D78" s="777"/>
      <c r="E78" s="777"/>
      <c r="F78" s="777"/>
      <c r="G78" s="777"/>
      <c r="H78" s="773">
        <v>242</v>
      </c>
      <c r="P78" s="50" t="s">
        <v>2908</v>
      </c>
    </row>
    <row r="79" spans="1:16" ht="12">
      <c r="A79" s="773" t="s">
        <v>2937</v>
      </c>
      <c r="B79" s="970">
        <v>437</v>
      </c>
      <c r="C79" s="773" t="s">
        <v>315</v>
      </c>
      <c r="D79" s="777"/>
      <c r="E79" s="777"/>
      <c r="F79" s="777"/>
      <c r="G79" s="777"/>
      <c r="H79" s="773">
        <v>417</v>
      </c>
      <c r="P79" s="50" t="s">
        <v>2908</v>
      </c>
    </row>
    <row r="80" spans="1:16" ht="12">
      <c r="A80" s="773" t="s">
        <v>1629</v>
      </c>
      <c r="B80" s="970">
        <v>438</v>
      </c>
      <c r="C80" s="773" t="s">
        <v>315</v>
      </c>
      <c r="D80" s="773" t="s">
        <v>1576</v>
      </c>
      <c r="E80" s="777"/>
      <c r="F80" s="777"/>
      <c r="G80" s="777"/>
      <c r="H80" s="773">
        <v>417</v>
      </c>
      <c r="P80" s="50" t="s">
        <v>2908</v>
      </c>
    </row>
    <row r="81" spans="1:16" ht="12">
      <c r="A81" s="773" t="s">
        <v>1629</v>
      </c>
      <c r="B81" s="970">
        <v>451</v>
      </c>
      <c r="C81" s="773" t="s">
        <v>315</v>
      </c>
      <c r="D81" s="773" t="s">
        <v>1658</v>
      </c>
      <c r="E81" s="777"/>
      <c r="F81" s="777"/>
      <c r="G81" s="777"/>
      <c r="H81" s="773">
        <v>438</v>
      </c>
      <c r="I81" s="50">
        <v>438</v>
      </c>
      <c r="P81" s="50" t="s">
        <v>2908</v>
      </c>
    </row>
    <row r="82" spans="1:16" ht="12">
      <c r="A82" s="985" t="s">
        <v>874</v>
      </c>
      <c r="B82" s="970">
        <v>460</v>
      </c>
      <c r="C82" s="773" t="s">
        <v>315</v>
      </c>
      <c r="D82" s="777"/>
      <c r="E82" s="777"/>
      <c r="F82" s="777"/>
      <c r="G82" s="777"/>
      <c r="H82" s="773">
        <v>120</v>
      </c>
      <c r="P82" s="50" t="s">
        <v>2908</v>
      </c>
    </row>
    <row r="83" spans="1:16" ht="12">
      <c r="A83" s="985" t="s">
        <v>1687</v>
      </c>
      <c r="B83" s="970">
        <v>461</v>
      </c>
      <c r="C83" s="773" t="s">
        <v>315</v>
      </c>
      <c r="D83" s="777"/>
      <c r="E83" s="777"/>
      <c r="F83" s="777"/>
      <c r="G83" s="777"/>
      <c r="H83" s="773">
        <v>120</v>
      </c>
      <c r="P83" s="50" t="s">
        <v>2908</v>
      </c>
    </row>
    <row r="84" spans="1:16" ht="12">
      <c r="A84" s="985" t="s">
        <v>1691</v>
      </c>
      <c r="B84" s="970">
        <v>462</v>
      </c>
      <c r="C84" s="773" t="s">
        <v>315</v>
      </c>
      <c r="D84" s="777"/>
      <c r="E84" s="777"/>
      <c r="F84" s="777"/>
      <c r="G84" s="777"/>
      <c r="H84" s="773">
        <v>120</v>
      </c>
      <c r="P84" s="50" t="s">
        <v>2908</v>
      </c>
    </row>
    <row r="85" spans="1:16" ht="12">
      <c r="A85" s="985" t="s">
        <v>1694</v>
      </c>
      <c r="B85" s="970">
        <v>463</v>
      </c>
      <c r="C85" s="773" t="s">
        <v>315</v>
      </c>
      <c r="D85" s="777"/>
      <c r="E85" s="777"/>
      <c r="F85" s="777"/>
      <c r="G85" s="777"/>
      <c r="H85" s="773">
        <v>120</v>
      </c>
      <c r="P85" s="50" t="s">
        <v>2908</v>
      </c>
    </row>
    <row r="86" spans="1:16" ht="12">
      <c r="A86" s="773" t="s">
        <v>1733</v>
      </c>
      <c r="B86" s="970">
        <v>482</v>
      </c>
      <c r="C86" s="773" t="s">
        <v>315</v>
      </c>
      <c r="D86" s="777"/>
      <c r="E86" s="777"/>
      <c r="F86" s="777"/>
      <c r="G86" s="777"/>
      <c r="H86" s="773" t="s">
        <v>635</v>
      </c>
      <c r="P86" s="50" t="s">
        <v>2908</v>
      </c>
    </row>
    <row r="87" spans="1:16" ht="12">
      <c r="A87" s="773" t="s">
        <v>1737</v>
      </c>
      <c r="B87" s="970">
        <v>483</v>
      </c>
      <c r="C87" s="773" t="s">
        <v>315</v>
      </c>
      <c r="D87" s="777"/>
      <c r="E87" s="777"/>
      <c r="F87" s="777"/>
      <c r="G87" s="777"/>
      <c r="H87" s="773">
        <v>417</v>
      </c>
      <c r="P87" s="50" t="s">
        <v>2908</v>
      </c>
    </row>
    <row r="88" spans="1:16" ht="12">
      <c r="A88" s="773" t="s">
        <v>1739</v>
      </c>
      <c r="B88" s="970">
        <v>484</v>
      </c>
      <c r="C88" s="773" t="s">
        <v>315</v>
      </c>
      <c r="D88" s="777"/>
      <c r="E88" s="777"/>
      <c r="F88" s="777"/>
      <c r="G88" s="777"/>
      <c r="H88" s="773">
        <v>389</v>
      </c>
      <c r="P88" s="50" t="s">
        <v>2908</v>
      </c>
    </row>
    <row r="89" spans="1:16" ht="12">
      <c r="A89" s="773" t="s">
        <v>1740</v>
      </c>
      <c r="B89" s="970">
        <v>485</v>
      </c>
      <c r="C89" s="773" t="s">
        <v>315</v>
      </c>
      <c r="D89" s="777"/>
      <c r="E89" s="777"/>
      <c r="F89" s="777"/>
      <c r="G89" s="777"/>
      <c r="H89" s="773">
        <v>417</v>
      </c>
      <c r="P89" s="50" t="s">
        <v>2908</v>
      </c>
    </row>
    <row r="90" spans="1:16" ht="12">
      <c r="A90" s="773" t="s">
        <v>1741</v>
      </c>
      <c r="B90" s="970">
        <v>486</v>
      </c>
      <c r="C90" s="773" t="s">
        <v>315</v>
      </c>
      <c r="D90" s="777"/>
      <c r="E90" s="777"/>
      <c r="F90" s="777"/>
      <c r="G90" s="777"/>
      <c r="H90" s="773">
        <v>389</v>
      </c>
      <c r="P90" s="50" t="s">
        <v>2908</v>
      </c>
    </row>
    <row r="91" spans="1:16" ht="12">
      <c r="A91" s="773" t="s">
        <v>1744</v>
      </c>
      <c r="B91" s="970">
        <v>488</v>
      </c>
      <c r="C91" s="773" t="s">
        <v>315</v>
      </c>
      <c r="D91" s="777"/>
      <c r="E91" s="777"/>
      <c r="F91" s="777"/>
      <c r="G91" s="777"/>
      <c r="H91" s="773">
        <v>120</v>
      </c>
      <c r="P91" s="50" t="s">
        <v>2908</v>
      </c>
    </row>
    <row r="92" spans="1:16" ht="12">
      <c r="A92" s="773" t="s">
        <v>877</v>
      </c>
      <c r="B92" s="970">
        <v>509</v>
      </c>
      <c r="C92" s="773" t="s">
        <v>315</v>
      </c>
      <c r="D92" s="773" t="s">
        <v>1804</v>
      </c>
      <c r="E92" s="777"/>
      <c r="F92" s="777"/>
      <c r="G92" s="777"/>
      <c r="H92" s="773">
        <v>120</v>
      </c>
      <c r="P92" s="50" t="s">
        <v>2908</v>
      </c>
    </row>
    <row r="93" spans="1:16" ht="12">
      <c r="A93" s="773" t="s">
        <v>1806</v>
      </c>
      <c r="B93" s="970">
        <v>510</v>
      </c>
      <c r="C93" s="773" t="s">
        <v>315</v>
      </c>
      <c r="D93" s="777"/>
      <c r="E93" s="777"/>
      <c r="F93" s="777"/>
      <c r="G93" s="777"/>
      <c r="H93" s="773">
        <v>120</v>
      </c>
      <c r="P93" s="50" t="s">
        <v>2908</v>
      </c>
    </row>
    <row r="94" spans="1:16" ht="13">
      <c r="A94" s="1017" t="s">
        <v>891</v>
      </c>
      <c r="B94" s="970">
        <v>513</v>
      </c>
      <c r="C94" s="773" t="s">
        <v>315</v>
      </c>
      <c r="D94" s="777"/>
      <c r="E94" s="777"/>
      <c r="F94" s="777"/>
      <c r="G94" s="777"/>
      <c r="H94" s="773">
        <v>120</v>
      </c>
      <c r="P94" s="50" t="s">
        <v>2908</v>
      </c>
    </row>
    <row r="95" spans="1:16" ht="12">
      <c r="A95" s="773" t="s">
        <v>2940</v>
      </c>
      <c r="B95" s="970">
        <v>514</v>
      </c>
      <c r="C95" s="773" t="s">
        <v>315</v>
      </c>
      <c r="D95" s="777"/>
      <c r="E95" s="777"/>
      <c r="F95" s="777"/>
      <c r="G95" s="777"/>
      <c r="H95" s="773">
        <v>120</v>
      </c>
      <c r="P95" s="50" t="s">
        <v>2908</v>
      </c>
    </row>
    <row r="96" spans="1:16" ht="12">
      <c r="A96" s="773" t="s">
        <v>1846</v>
      </c>
      <c r="B96" s="970">
        <v>524</v>
      </c>
      <c r="C96" s="773" t="s">
        <v>315</v>
      </c>
      <c r="D96" s="777"/>
      <c r="E96" s="777"/>
      <c r="F96" s="777"/>
      <c r="G96" s="777"/>
      <c r="H96" s="773">
        <v>120</v>
      </c>
      <c r="P96" s="50" t="s">
        <v>2908</v>
      </c>
    </row>
    <row r="97" spans="1:16" ht="12">
      <c r="A97" s="773" t="s">
        <v>2941</v>
      </c>
      <c r="B97" s="970">
        <v>545</v>
      </c>
      <c r="C97" s="773" t="s">
        <v>315</v>
      </c>
      <c r="D97" s="777"/>
      <c r="E97" s="777"/>
      <c r="F97" s="777"/>
      <c r="G97" s="777"/>
      <c r="H97" s="773">
        <v>120</v>
      </c>
      <c r="P97" s="50" t="s">
        <v>2908</v>
      </c>
    </row>
    <row r="98" spans="1:16" ht="24">
      <c r="A98" s="773" t="s">
        <v>2942</v>
      </c>
      <c r="B98" s="970">
        <v>546</v>
      </c>
      <c r="C98" s="773" t="s">
        <v>2943</v>
      </c>
      <c r="D98" s="777"/>
      <c r="E98" s="777"/>
      <c r="F98" s="777"/>
      <c r="G98" s="777"/>
      <c r="H98" s="773">
        <v>120</v>
      </c>
      <c r="P98" s="50" t="s">
        <v>2908</v>
      </c>
    </row>
    <row r="99" spans="1:16" ht="12">
      <c r="A99" s="773" t="s">
        <v>2944</v>
      </c>
      <c r="B99" s="970">
        <v>547</v>
      </c>
      <c r="C99" s="773" t="s">
        <v>315</v>
      </c>
      <c r="D99" s="777"/>
      <c r="E99" s="777"/>
      <c r="F99" s="777"/>
      <c r="G99" s="777"/>
      <c r="H99" s="773">
        <v>120</v>
      </c>
      <c r="P99" s="50" t="s">
        <v>2908</v>
      </c>
    </row>
    <row r="100" spans="1:16" ht="12">
      <c r="A100" s="773" t="s">
        <v>1873</v>
      </c>
      <c r="B100" s="970">
        <v>535</v>
      </c>
      <c r="C100" s="773" t="s">
        <v>315</v>
      </c>
      <c r="D100" s="777"/>
      <c r="H100" s="773">
        <v>120</v>
      </c>
      <c r="P100" s="50" t="s">
        <v>2908</v>
      </c>
    </row>
    <row r="101" spans="1:16" ht="12">
      <c r="A101" s="773" t="s">
        <v>1875</v>
      </c>
      <c r="B101" s="970">
        <v>536</v>
      </c>
      <c r="C101" s="773" t="s">
        <v>315</v>
      </c>
      <c r="D101" s="777"/>
      <c r="H101" s="773">
        <v>120</v>
      </c>
      <c r="P101" s="50" t="s">
        <v>2908</v>
      </c>
    </row>
    <row r="102" spans="1:16" ht="12">
      <c r="A102" s="773" t="s">
        <v>1879</v>
      </c>
      <c r="B102" s="970">
        <v>537</v>
      </c>
      <c r="C102" s="773" t="s">
        <v>315</v>
      </c>
      <c r="D102" s="777"/>
      <c r="H102" s="773">
        <v>120</v>
      </c>
      <c r="P102" s="50" t="s">
        <v>2908</v>
      </c>
    </row>
    <row r="103" spans="1:16" ht="12">
      <c r="A103" s="773" t="s">
        <v>2946</v>
      </c>
      <c r="B103" s="970">
        <v>538</v>
      </c>
      <c r="C103" s="773" t="s">
        <v>315</v>
      </c>
      <c r="D103" s="777"/>
      <c r="H103" s="773">
        <v>120</v>
      </c>
      <c r="P103" s="50" t="s">
        <v>2908</v>
      </c>
    </row>
    <row r="104" spans="1:16" ht="12">
      <c r="A104" s="773" t="s">
        <v>2947</v>
      </c>
      <c r="B104" s="970">
        <v>540</v>
      </c>
      <c r="C104" s="773" t="s">
        <v>315</v>
      </c>
      <c r="D104" s="777"/>
      <c r="H104" s="773">
        <v>120</v>
      </c>
      <c r="P104" s="50" t="s">
        <v>2908</v>
      </c>
    </row>
    <row r="105" spans="1:16" ht="12">
      <c r="A105" s="773" t="s">
        <v>1888</v>
      </c>
      <c r="B105" s="970">
        <v>541</v>
      </c>
      <c r="C105" s="773" t="s">
        <v>315</v>
      </c>
      <c r="D105" s="777"/>
      <c r="H105" s="773">
        <v>120</v>
      </c>
      <c r="P105" s="50" t="s">
        <v>2908</v>
      </c>
    </row>
    <row r="106" spans="1:16" ht="12">
      <c r="A106" s="773" t="s">
        <v>946</v>
      </c>
      <c r="B106" s="970">
        <v>545</v>
      </c>
      <c r="C106" s="773" t="s">
        <v>315</v>
      </c>
      <c r="D106" s="777"/>
      <c r="H106" s="773">
        <v>120</v>
      </c>
      <c r="P106" s="50" t="s">
        <v>2908</v>
      </c>
    </row>
    <row r="107" spans="1:16" ht="12">
      <c r="A107" s="773" t="s">
        <v>1901</v>
      </c>
      <c r="B107" s="970">
        <v>546</v>
      </c>
      <c r="C107" s="773" t="s">
        <v>315</v>
      </c>
      <c r="D107" s="777"/>
      <c r="H107" s="773">
        <v>120</v>
      </c>
      <c r="P107" s="50" t="s">
        <v>2908</v>
      </c>
    </row>
    <row r="108" spans="1:16" ht="12">
      <c r="A108" s="773" t="s">
        <v>1904</v>
      </c>
      <c r="B108" s="970">
        <v>547</v>
      </c>
      <c r="C108" s="773" t="s">
        <v>315</v>
      </c>
      <c r="D108" s="777"/>
      <c r="H108" s="773">
        <v>120</v>
      </c>
      <c r="P108" s="50" t="s">
        <v>2908</v>
      </c>
    </row>
    <row r="113" spans="1:16" ht="12">
      <c r="A113" s="823" t="s">
        <v>1414</v>
      </c>
      <c r="B113" s="1023">
        <v>367</v>
      </c>
      <c r="C113" s="823" t="s">
        <v>137</v>
      </c>
      <c r="D113" s="829"/>
      <c r="E113" s="829"/>
      <c r="F113" s="829"/>
      <c r="G113" s="829"/>
      <c r="H113" s="829"/>
      <c r="P113" s="50" t="s">
        <v>2908</v>
      </c>
    </row>
    <row r="114" spans="1:16" ht="12">
      <c r="A114" s="823" t="s">
        <v>1408</v>
      </c>
      <c r="B114" s="1023">
        <v>366</v>
      </c>
      <c r="C114" s="823" t="s">
        <v>137</v>
      </c>
      <c r="D114" s="829"/>
      <c r="E114" s="829"/>
      <c r="F114" s="829"/>
      <c r="G114" s="829"/>
      <c r="H114" s="829"/>
      <c r="P114" s="50" t="s">
        <v>2908</v>
      </c>
    </row>
    <row r="115" spans="1:16" ht="12">
      <c r="A115" s="823" t="s">
        <v>2948</v>
      </c>
      <c r="B115" s="1023">
        <v>267</v>
      </c>
      <c r="C115" s="823" t="s">
        <v>315</v>
      </c>
      <c r="D115" s="829"/>
      <c r="E115" s="829"/>
      <c r="F115" s="829"/>
      <c r="G115" s="829"/>
      <c r="H115" s="829"/>
      <c r="P115" s="50" t="s">
        <v>2908</v>
      </c>
    </row>
    <row r="116" spans="1:16" ht="12">
      <c r="A116" s="823" t="s">
        <v>449</v>
      </c>
      <c r="B116" s="1023">
        <v>105</v>
      </c>
      <c r="C116" s="829"/>
      <c r="D116" s="823" t="s">
        <v>450</v>
      </c>
      <c r="E116" s="829"/>
      <c r="F116" s="829"/>
      <c r="G116" s="829"/>
      <c r="H116" s="829"/>
      <c r="P116" s="50" t="s">
        <v>2908</v>
      </c>
    </row>
    <row r="117" spans="1:16" ht="12">
      <c r="A117" s="823" t="s">
        <v>1895</v>
      </c>
      <c r="B117" s="1023">
        <v>544</v>
      </c>
      <c r="C117" s="829"/>
      <c r="D117" s="829"/>
      <c r="E117" s="829"/>
      <c r="F117" s="829"/>
      <c r="G117" s="829"/>
      <c r="H117" s="829"/>
      <c r="P117" s="50" t="s">
        <v>2908</v>
      </c>
    </row>
    <row r="118" spans="1:16" ht="12">
      <c r="B118" s="18"/>
      <c r="P118" s="50" t="s">
        <v>2908</v>
      </c>
    </row>
    <row r="119" spans="1:16" ht="12">
      <c r="B119" s="18"/>
      <c r="P119" s="50" t="s">
        <v>2908</v>
      </c>
    </row>
    <row r="120" spans="1:16" ht="24">
      <c r="A120" s="1024" t="s">
        <v>1180</v>
      </c>
      <c r="B120" s="1025">
        <v>313</v>
      </c>
      <c r="C120" s="1026"/>
      <c r="D120" s="1026"/>
      <c r="E120" s="1026"/>
      <c r="F120" s="1026"/>
      <c r="G120" s="1026"/>
      <c r="H120" s="1026"/>
      <c r="I120" s="1033"/>
      <c r="J120" s="1034" t="s">
        <v>1174</v>
      </c>
      <c r="K120" s="1033"/>
      <c r="L120" s="1033"/>
      <c r="M120" s="1033"/>
      <c r="P120" s="50" t="s">
        <v>2908</v>
      </c>
    </row>
    <row r="121" spans="1:16" ht="24">
      <c r="A121" s="1024" t="s">
        <v>1181</v>
      </c>
      <c r="B121" s="1025">
        <v>314</v>
      </c>
      <c r="C121" s="1026"/>
      <c r="D121" s="1026"/>
      <c r="E121" s="1026"/>
      <c r="F121" s="1026"/>
      <c r="G121" s="1026"/>
      <c r="H121" s="1026"/>
      <c r="I121" s="1033"/>
      <c r="J121" s="1034" t="s">
        <v>1174</v>
      </c>
      <c r="K121" s="1033"/>
      <c r="L121" s="1033"/>
      <c r="M121" s="1033"/>
      <c r="P121" s="50" t="s">
        <v>2908</v>
      </c>
    </row>
    <row r="122" spans="1:16" ht="24">
      <c r="A122" s="1024" t="s">
        <v>1186</v>
      </c>
      <c r="B122" s="1025">
        <v>317</v>
      </c>
      <c r="C122" s="1026"/>
      <c r="D122" s="1026"/>
      <c r="E122" s="1026"/>
      <c r="F122" s="1026"/>
      <c r="G122" s="1026"/>
      <c r="H122" s="1026"/>
      <c r="I122" s="1033"/>
      <c r="J122" s="1034" t="s">
        <v>1174</v>
      </c>
      <c r="K122" s="1033"/>
      <c r="L122" s="1033"/>
      <c r="M122" s="1033"/>
      <c r="P122" s="50" t="s">
        <v>2908</v>
      </c>
    </row>
    <row r="123" spans="1:16" ht="24">
      <c r="A123" s="1024" t="s">
        <v>1210</v>
      </c>
      <c r="B123" s="1025">
        <v>328</v>
      </c>
      <c r="C123" s="1026"/>
      <c r="D123" s="1026"/>
      <c r="E123" s="1026"/>
      <c r="F123" s="1026"/>
      <c r="G123" s="1026"/>
      <c r="H123" s="1026"/>
      <c r="I123" s="1033"/>
      <c r="J123" s="1034" t="s">
        <v>1174</v>
      </c>
      <c r="K123" s="1033"/>
      <c r="L123" s="1033"/>
      <c r="M123" s="1033"/>
      <c r="P123" s="50" t="s">
        <v>2908</v>
      </c>
    </row>
    <row r="124" spans="1:16" ht="15.75" customHeight="1">
      <c r="A124" s="1024" t="s">
        <v>1190</v>
      </c>
      <c r="B124" s="1025">
        <v>318</v>
      </c>
      <c r="C124" s="1026"/>
      <c r="D124" s="1026"/>
      <c r="E124" s="1026"/>
      <c r="F124" s="1026"/>
      <c r="G124" s="1026"/>
      <c r="H124" s="1026"/>
      <c r="I124" s="1033"/>
      <c r="J124" s="1034" t="s">
        <v>1174</v>
      </c>
      <c r="K124" s="1033"/>
      <c r="L124" s="1033"/>
      <c r="M124" s="1033"/>
      <c r="P124" s="50" t="s">
        <v>2908</v>
      </c>
    </row>
    <row r="125" spans="1:16" ht="17.25" customHeight="1">
      <c r="A125" s="1024" t="s">
        <v>1192</v>
      </c>
      <c r="B125" s="1025">
        <v>319</v>
      </c>
      <c r="C125" s="1026"/>
      <c r="D125" s="1026"/>
      <c r="E125" s="1026"/>
      <c r="F125" s="1026"/>
      <c r="G125" s="1026"/>
      <c r="H125" s="1026"/>
      <c r="I125" s="1033"/>
      <c r="J125" s="1034" t="s">
        <v>1174</v>
      </c>
      <c r="K125" s="1033"/>
      <c r="L125" s="1033"/>
      <c r="M125" s="1033"/>
      <c r="P125" s="50" t="s">
        <v>2908</v>
      </c>
    </row>
    <row r="126" spans="1:16" ht="17.25" customHeight="1">
      <c r="A126" s="1024" t="s">
        <v>1199</v>
      </c>
      <c r="B126" s="1025">
        <v>322</v>
      </c>
      <c r="C126" s="1026"/>
      <c r="D126" s="1026"/>
      <c r="E126" s="1026"/>
      <c r="F126" s="1026"/>
      <c r="G126" s="1026"/>
      <c r="H126" s="1026"/>
      <c r="I126" s="1033"/>
      <c r="J126" s="1034" t="s">
        <v>1174</v>
      </c>
      <c r="K126" s="1033"/>
      <c r="L126" s="1033"/>
      <c r="M126" s="1033"/>
      <c r="P126" s="50" t="s">
        <v>2908</v>
      </c>
    </row>
    <row r="127" spans="1:16" ht="17.25" customHeight="1">
      <c r="A127" s="1024" t="s">
        <v>1200</v>
      </c>
      <c r="B127" s="1025">
        <v>323</v>
      </c>
      <c r="C127" s="1026"/>
      <c r="D127" s="1026"/>
      <c r="E127" s="1026"/>
      <c r="F127" s="1026"/>
      <c r="G127" s="1026"/>
      <c r="H127" s="1026"/>
      <c r="I127" s="1033"/>
      <c r="J127" s="1034" t="s">
        <v>1174</v>
      </c>
      <c r="K127" s="1033"/>
      <c r="L127" s="1033"/>
      <c r="M127" s="1033"/>
      <c r="P127" s="50" t="s">
        <v>2908</v>
      </c>
    </row>
    <row r="128" spans="1:16" ht="17.25" customHeight="1">
      <c r="A128" s="1024" t="s">
        <v>1176</v>
      </c>
      <c r="B128" s="1025">
        <v>309</v>
      </c>
      <c r="C128" s="1026"/>
      <c r="D128" s="1026"/>
      <c r="E128" s="1026"/>
      <c r="F128" s="1026"/>
      <c r="G128" s="1026"/>
      <c r="H128" s="1026"/>
      <c r="I128" s="1033"/>
      <c r="J128" s="1034" t="s">
        <v>1174</v>
      </c>
      <c r="K128" s="1033"/>
      <c r="L128" s="1033"/>
      <c r="M128" s="1033"/>
      <c r="P128" s="50" t="s">
        <v>2908</v>
      </c>
    </row>
    <row r="129" spans="1:16" ht="17.25" customHeight="1">
      <c r="A129" s="1024" t="s">
        <v>1173</v>
      </c>
      <c r="B129" s="1025">
        <v>307</v>
      </c>
      <c r="C129" s="1026"/>
      <c r="D129" s="1026"/>
      <c r="E129" s="1026"/>
      <c r="F129" s="1026"/>
      <c r="G129" s="1026"/>
      <c r="H129" s="1026"/>
      <c r="I129" s="1033"/>
      <c r="J129" s="1034" t="s">
        <v>1174</v>
      </c>
      <c r="K129" s="1033"/>
      <c r="L129" s="1033"/>
      <c r="M129" s="1033"/>
      <c r="P129" s="50" t="s">
        <v>2908</v>
      </c>
    </row>
    <row r="130" spans="1:16" ht="17.25" customHeight="1">
      <c r="A130" s="1024" t="s">
        <v>1175</v>
      </c>
      <c r="B130" s="1025">
        <v>308</v>
      </c>
      <c r="C130" s="1026"/>
      <c r="D130" s="1026"/>
      <c r="E130" s="1026"/>
      <c r="F130" s="1026"/>
      <c r="G130" s="1026"/>
      <c r="H130" s="1026"/>
      <c r="I130" s="1033"/>
      <c r="J130" s="1034" t="s">
        <v>1174</v>
      </c>
      <c r="K130" s="1033"/>
      <c r="L130" s="1033"/>
      <c r="M130" s="1033"/>
      <c r="P130" s="50" t="s">
        <v>2908</v>
      </c>
    </row>
    <row r="131" spans="1:16" ht="17.25" customHeight="1">
      <c r="A131" s="1024" t="s">
        <v>1205</v>
      </c>
      <c r="B131" s="1025">
        <v>325</v>
      </c>
      <c r="C131" s="1026"/>
      <c r="D131" s="1026"/>
      <c r="E131" s="1026"/>
      <c r="F131" s="1026"/>
      <c r="G131" s="1026"/>
      <c r="H131" s="1026"/>
      <c r="I131" s="1033"/>
      <c r="J131" s="1034" t="s">
        <v>1174</v>
      </c>
      <c r="K131" s="1033"/>
      <c r="L131" s="1033"/>
      <c r="M131" s="1033"/>
      <c r="P131" s="50" t="s">
        <v>2908</v>
      </c>
    </row>
    <row r="132" spans="1:16" ht="17.25" customHeight="1">
      <c r="A132" s="1024" t="s">
        <v>1211</v>
      </c>
      <c r="B132" s="1025">
        <v>329</v>
      </c>
      <c r="C132" s="1026"/>
      <c r="D132" s="1026"/>
      <c r="E132" s="1026"/>
      <c r="F132" s="1026"/>
      <c r="G132" s="1026"/>
      <c r="H132" s="1026"/>
      <c r="I132" s="1033"/>
      <c r="J132" s="1034" t="s">
        <v>1174</v>
      </c>
      <c r="K132" s="1033"/>
      <c r="L132" s="1033"/>
      <c r="M132" s="1033"/>
      <c r="P132" s="50" t="s">
        <v>2908</v>
      </c>
    </row>
    <row r="133" spans="1:16" ht="17.25" customHeight="1">
      <c r="A133" s="1024" t="s">
        <v>1208</v>
      </c>
      <c r="B133" s="1025">
        <v>326</v>
      </c>
      <c r="C133" s="1026"/>
      <c r="D133" s="1026"/>
      <c r="E133" s="1026"/>
      <c r="F133" s="1026"/>
      <c r="G133" s="1026"/>
      <c r="H133" s="1026"/>
      <c r="I133" s="1033"/>
      <c r="J133" s="1034" t="s">
        <v>1174</v>
      </c>
      <c r="K133" s="1033"/>
      <c r="L133" s="1033"/>
      <c r="M133" s="1033"/>
      <c r="P133" s="50" t="s">
        <v>2908</v>
      </c>
    </row>
    <row r="134" spans="1:16" ht="17.25" customHeight="1">
      <c r="A134" s="1024" t="s">
        <v>1177</v>
      </c>
      <c r="B134" s="1025">
        <v>310</v>
      </c>
      <c r="C134" s="1026"/>
      <c r="D134" s="1026"/>
      <c r="E134" s="1026"/>
      <c r="F134" s="1026"/>
      <c r="G134" s="1026"/>
      <c r="H134" s="1026"/>
      <c r="I134" s="1033"/>
      <c r="J134" s="1034" t="s">
        <v>1174</v>
      </c>
      <c r="K134" s="1033"/>
      <c r="L134" s="1033"/>
      <c r="M134" s="1033"/>
      <c r="P134" s="50" t="s">
        <v>2908</v>
      </c>
    </row>
    <row r="135" spans="1:16" ht="17.25" customHeight="1">
      <c r="A135" s="1024" t="s">
        <v>1209</v>
      </c>
      <c r="B135" s="1025">
        <v>327</v>
      </c>
      <c r="C135" s="1026"/>
      <c r="D135" s="1026"/>
      <c r="E135" s="1026"/>
      <c r="F135" s="1026"/>
      <c r="G135" s="1026"/>
      <c r="H135" s="1026"/>
      <c r="I135" s="1033"/>
      <c r="J135" s="1034" t="s">
        <v>1174</v>
      </c>
      <c r="K135" s="1033"/>
      <c r="L135" s="1033"/>
      <c r="M135" s="1033"/>
      <c r="P135" s="50" t="s">
        <v>2908</v>
      </c>
    </row>
    <row r="136" spans="1:16" ht="17.25" customHeight="1">
      <c r="A136" s="1024" t="s">
        <v>1179</v>
      </c>
      <c r="B136" s="1025">
        <v>312</v>
      </c>
      <c r="C136" s="1026"/>
      <c r="D136" s="1026"/>
      <c r="E136" s="1026"/>
      <c r="F136" s="1026"/>
      <c r="G136" s="1026"/>
      <c r="H136" s="1026"/>
      <c r="I136" s="1038"/>
      <c r="J136" s="1088" t="s">
        <v>1174</v>
      </c>
      <c r="K136" s="1038"/>
      <c r="L136" s="1038"/>
      <c r="M136" s="1038"/>
      <c r="P136" s="50" t="s">
        <v>2908</v>
      </c>
    </row>
    <row r="137" spans="1:16" ht="17.25" customHeight="1">
      <c r="A137" s="1024" t="s">
        <v>1178</v>
      </c>
      <c r="B137" s="1025">
        <v>311</v>
      </c>
      <c r="C137" s="1026"/>
      <c r="D137" s="1026"/>
      <c r="E137" s="1026"/>
      <c r="F137" s="1026"/>
      <c r="G137" s="1026"/>
      <c r="H137" s="1026"/>
      <c r="I137" s="1038"/>
      <c r="J137" s="1088" t="s">
        <v>1174</v>
      </c>
      <c r="K137" s="1038"/>
      <c r="L137" s="1038"/>
      <c r="M137" s="1038"/>
      <c r="P137" s="50" t="s">
        <v>2908</v>
      </c>
    </row>
    <row r="138" spans="1:16" ht="17.25" customHeight="1">
      <c r="A138" s="1024" t="s">
        <v>1511</v>
      </c>
      <c r="B138" s="1025">
        <v>391</v>
      </c>
      <c r="C138" s="1026"/>
      <c r="D138" s="1026"/>
      <c r="E138" s="1026"/>
      <c r="F138" s="1026"/>
      <c r="G138" s="1026"/>
      <c r="H138" s="1026"/>
      <c r="I138" s="1038"/>
      <c r="J138" s="1088" t="s">
        <v>2989</v>
      </c>
      <c r="K138" s="1088" t="s">
        <v>111</v>
      </c>
      <c r="L138" s="1088" t="s">
        <v>796</v>
      </c>
      <c r="M138" s="1088" t="s">
        <v>1513</v>
      </c>
      <c r="P138" s="50" t="s">
        <v>2908</v>
      </c>
    </row>
    <row r="139" spans="1:16" ht="17.25" customHeight="1">
      <c r="B139" s="18"/>
      <c r="P139" s="50" t="s">
        <v>2908</v>
      </c>
    </row>
    <row r="140" spans="1:16" ht="17.25" customHeight="1">
      <c r="A140" s="1091" t="s">
        <v>1216</v>
      </c>
      <c r="B140" s="1092">
        <v>331</v>
      </c>
      <c r="C140" s="1094"/>
      <c r="D140" s="1091" t="s">
        <v>1217</v>
      </c>
      <c r="E140" s="1094"/>
      <c r="F140" s="1094"/>
      <c r="G140" s="1094"/>
      <c r="H140" s="1094"/>
      <c r="I140" s="229"/>
      <c r="J140" s="231" t="s">
        <v>1214</v>
      </c>
      <c r="K140" s="229"/>
      <c r="L140" s="229"/>
      <c r="M140" s="231" t="s">
        <v>1215</v>
      </c>
      <c r="P140" s="50" t="s">
        <v>2908</v>
      </c>
    </row>
    <row r="141" spans="1:16" ht="17.25" customHeight="1">
      <c r="A141" s="1091" t="s">
        <v>1219</v>
      </c>
      <c r="B141" s="1092">
        <v>332</v>
      </c>
      <c r="C141" s="1094"/>
      <c r="D141" s="1091" t="s">
        <v>1220</v>
      </c>
      <c r="E141" s="1094"/>
      <c r="F141" s="1094"/>
      <c r="G141" s="1094"/>
      <c r="H141" s="1094"/>
      <c r="I141" s="229"/>
      <c r="J141" s="231" t="s">
        <v>1214</v>
      </c>
      <c r="K141" s="229"/>
      <c r="L141" s="231" t="s">
        <v>782</v>
      </c>
      <c r="M141" s="231" t="s">
        <v>1215</v>
      </c>
      <c r="P141" s="50" t="s">
        <v>2908</v>
      </c>
    </row>
    <row r="142" spans="1:16" ht="17.25" customHeight="1">
      <c r="A142" s="1091" t="s">
        <v>1212</v>
      </c>
      <c r="B142" s="1092">
        <v>330</v>
      </c>
      <c r="C142" s="1094"/>
      <c r="D142" s="1091" t="s">
        <v>1213</v>
      </c>
      <c r="E142" s="1094"/>
      <c r="F142" s="1094"/>
      <c r="G142" s="1094"/>
      <c r="H142" s="1094"/>
      <c r="I142" s="229"/>
      <c r="J142" s="231" t="s">
        <v>1214</v>
      </c>
      <c r="K142" s="229"/>
      <c r="L142" s="229"/>
      <c r="M142" s="231" t="s">
        <v>1215</v>
      </c>
      <c r="P142" s="50" t="s">
        <v>2908</v>
      </c>
    </row>
    <row r="143" spans="1:16" ht="17.25" customHeight="1">
      <c r="A143" s="1091" t="s">
        <v>1652</v>
      </c>
      <c r="B143" s="1092">
        <v>448</v>
      </c>
      <c r="C143" s="1094"/>
      <c r="D143" s="1091" t="s">
        <v>2991</v>
      </c>
      <c r="E143" s="1094"/>
      <c r="F143" s="1094"/>
      <c r="G143" s="1094"/>
      <c r="H143" s="1094"/>
    </row>
    <row r="144" spans="1:16" ht="16.5" customHeight="1">
      <c r="A144" s="1091" t="s">
        <v>1656</v>
      </c>
      <c r="B144" s="1092">
        <v>449</v>
      </c>
      <c r="C144" s="1094"/>
      <c r="D144" s="1091" t="s">
        <v>1657</v>
      </c>
      <c r="E144" s="1094"/>
      <c r="F144" s="1094"/>
      <c r="G144" s="1094"/>
      <c r="H144" s="1094"/>
    </row>
    <row r="145" spans="1:16" ht="14.25" customHeight="1">
      <c r="B145" s="18"/>
      <c r="P145" s="50" t="s">
        <v>2908</v>
      </c>
    </row>
    <row r="146" spans="1:16" ht="17.25" customHeight="1">
      <c r="A146" s="62" t="s">
        <v>2992</v>
      </c>
      <c r="B146" s="21">
        <v>262</v>
      </c>
      <c r="C146" s="62" t="s">
        <v>315</v>
      </c>
      <c r="D146" s="52"/>
      <c r="E146" s="52"/>
      <c r="F146" s="52"/>
      <c r="G146" s="52"/>
      <c r="H146" s="52"/>
      <c r="I146" s="52"/>
      <c r="J146" s="62" t="s">
        <v>890</v>
      </c>
      <c r="K146" s="52"/>
      <c r="L146" s="52"/>
      <c r="M146" s="52"/>
      <c r="P146" s="50" t="s">
        <v>2908</v>
      </c>
    </row>
    <row r="147" spans="1:16" ht="1.5" customHeight="1">
      <c r="A147" s="62" t="s">
        <v>2993</v>
      </c>
      <c r="B147" s="21">
        <v>261</v>
      </c>
      <c r="C147" s="62" t="s">
        <v>315</v>
      </c>
      <c r="D147" s="52"/>
      <c r="E147" s="52"/>
      <c r="F147" s="52"/>
      <c r="G147" s="52"/>
      <c r="H147" s="52"/>
      <c r="I147" s="52"/>
      <c r="J147" s="62" t="s">
        <v>890</v>
      </c>
      <c r="K147" s="52"/>
      <c r="L147" s="52"/>
      <c r="M147" s="52"/>
      <c r="P147" s="50" t="s">
        <v>2908</v>
      </c>
    </row>
    <row r="148" spans="1:16" ht="12">
      <c r="A148" s="62" t="s">
        <v>2994</v>
      </c>
      <c r="B148" s="21">
        <v>263</v>
      </c>
      <c r="C148" s="62" t="s">
        <v>315</v>
      </c>
      <c r="D148" s="52"/>
      <c r="E148" s="52"/>
      <c r="F148" s="52"/>
      <c r="G148" s="52"/>
      <c r="H148" s="52"/>
      <c r="I148" s="52"/>
      <c r="J148" s="62" t="s">
        <v>890</v>
      </c>
      <c r="K148" s="52"/>
      <c r="L148" s="52"/>
      <c r="M148" s="52"/>
      <c r="P148" s="50" t="s">
        <v>2908</v>
      </c>
    </row>
    <row r="149" spans="1:16" ht="12">
      <c r="B149" s="18"/>
      <c r="P149" s="50" t="s">
        <v>2908</v>
      </c>
    </row>
    <row r="150" spans="1:16" ht="12">
      <c r="A150" s="1096" t="s">
        <v>510</v>
      </c>
      <c r="B150" s="1102">
        <v>135</v>
      </c>
      <c r="C150" s="653" t="s">
        <v>477</v>
      </c>
      <c r="D150" s="655"/>
      <c r="E150" s="655"/>
      <c r="F150" s="655"/>
      <c r="G150" s="655"/>
      <c r="H150" s="655"/>
      <c r="I150" s="655"/>
      <c r="J150" s="1096" t="s">
        <v>52</v>
      </c>
      <c r="K150" s="655"/>
      <c r="L150" s="655"/>
      <c r="M150" s="655"/>
      <c r="N150" s="50" t="s">
        <v>446</v>
      </c>
      <c r="O150" s="50">
        <v>0.85499999999999998</v>
      </c>
      <c r="P150" s="50" t="s">
        <v>2908</v>
      </c>
    </row>
    <row r="151" spans="1:16" ht="1.5" customHeight="1">
      <c r="A151" s="1096" t="s">
        <v>851</v>
      </c>
      <c r="B151" s="1102">
        <v>256</v>
      </c>
      <c r="C151" s="655"/>
      <c r="D151" s="1096" t="s">
        <v>852</v>
      </c>
      <c r="E151" s="655"/>
      <c r="F151" s="1096" t="s">
        <v>854</v>
      </c>
      <c r="G151" s="1096" t="s">
        <v>855</v>
      </c>
      <c r="H151" s="655"/>
      <c r="I151" s="655"/>
      <c r="J151" s="1096" t="s">
        <v>856</v>
      </c>
      <c r="K151" s="655"/>
      <c r="L151" s="655"/>
      <c r="M151" s="655"/>
      <c r="P151" s="50" t="s">
        <v>2908</v>
      </c>
    </row>
    <row r="152" spans="1:16" ht="1.5" customHeight="1">
      <c r="A152" s="1096" t="s">
        <v>1056</v>
      </c>
      <c r="B152" s="1102">
        <v>284</v>
      </c>
      <c r="C152" s="655"/>
      <c r="D152" s="655"/>
      <c r="E152" s="655"/>
      <c r="F152" s="1096" t="s">
        <v>400</v>
      </c>
      <c r="G152" s="1096" t="s">
        <v>1057</v>
      </c>
      <c r="H152" s="1096">
        <v>202</v>
      </c>
      <c r="I152" s="1096" t="s">
        <v>583</v>
      </c>
      <c r="J152" s="1096" t="s">
        <v>881</v>
      </c>
      <c r="K152" s="1096" t="s">
        <v>111</v>
      </c>
      <c r="L152" s="1096" t="s">
        <v>782</v>
      </c>
      <c r="M152" s="1096" t="s">
        <v>2996</v>
      </c>
      <c r="P152" s="50" t="s">
        <v>2908</v>
      </c>
    </row>
    <row r="153" spans="1:16" ht="1.5" customHeight="1">
      <c r="A153" s="1096" t="s">
        <v>1063</v>
      </c>
      <c r="B153" s="1102">
        <v>285</v>
      </c>
      <c r="C153" s="655"/>
      <c r="D153" s="1096" t="s">
        <v>1064</v>
      </c>
      <c r="E153" s="655"/>
      <c r="F153" s="1096" t="s">
        <v>1067</v>
      </c>
      <c r="G153" s="1096" t="s">
        <v>1068</v>
      </c>
      <c r="H153" s="1096">
        <v>202</v>
      </c>
      <c r="I153" s="1096" t="s">
        <v>583</v>
      </c>
      <c r="J153" s="1096" t="s">
        <v>1070</v>
      </c>
      <c r="K153" s="1096" t="s">
        <v>111</v>
      </c>
      <c r="L153" s="1096" t="s">
        <v>782</v>
      </c>
      <c r="M153" s="1096" t="s">
        <v>2997</v>
      </c>
      <c r="P153" s="50" t="s">
        <v>2908</v>
      </c>
    </row>
    <row r="154" spans="1:16" ht="12">
      <c r="A154" s="1096" t="s">
        <v>2998</v>
      </c>
      <c r="B154" s="1102">
        <v>210</v>
      </c>
      <c r="C154" s="1096" t="s">
        <v>137</v>
      </c>
      <c r="D154" s="655"/>
      <c r="E154" s="655"/>
      <c r="F154" s="655"/>
      <c r="G154" s="655"/>
      <c r="H154" s="655"/>
      <c r="I154" s="1096" t="s">
        <v>714</v>
      </c>
      <c r="J154" s="655"/>
      <c r="K154" s="655"/>
      <c r="L154" s="655"/>
      <c r="M154" s="655"/>
      <c r="P154" s="50" t="s">
        <v>2908</v>
      </c>
    </row>
    <row r="155" spans="1:16" ht="12">
      <c r="A155" s="1096" t="s">
        <v>2999</v>
      </c>
      <c r="B155" s="1102">
        <v>211</v>
      </c>
      <c r="C155" s="1096" t="s">
        <v>137</v>
      </c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P155" s="50" t="s">
        <v>2908</v>
      </c>
    </row>
    <row r="156" spans="1:16" ht="36">
      <c r="A156" s="653" t="s">
        <v>3000</v>
      </c>
      <c r="B156" s="1102">
        <v>216</v>
      </c>
      <c r="C156" s="1096" t="s">
        <v>137</v>
      </c>
      <c r="D156" s="655"/>
      <c r="E156" s="655"/>
      <c r="F156" s="655"/>
      <c r="G156" s="655"/>
      <c r="H156" s="655"/>
      <c r="I156" s="655"/>
      <c r="J156" s="655"/>
      <c r="K156" s="655"/>
      <c r="L156" s="1096" t="s">
        <v>726</v>
      </c>
      <c r="M156" s="655"/>
      <c r="P156" s="50" t="s">
        <v>2908</v>
      </c>
    </row>
    <row r="157" spans="1:16" ht="1.5" customHeight="1">
      <c r="A157" s="1096" t="s">
        <v>3001</v>
      </c>
      <c r="B157" s="1102">
        <v>334</v>
      </c>
      <c r="C157" s="1096" t="s">
        <v>315</v>
      </c>
      <c r="D157" s="655"/>
      <c r="E157" s="655"/>
      <c r="F157" s="655"/>
      <c r="G157" s="655"/>
      <c r="H157" s="1096">
        <v>185</v>
      </c>
      <c r="I157" s="1096" t="s">
        <v>583</v>
      </c>
      <c r="J157" s="1096" t="s">
        <v>881</v>
      </c>
      <c r="K157" s="1096" t="s">
        <v>111</v>
      </c>
      <c r="L157" s="1096" t="s">
        <v>782</v>
      </c>
      <c r="M157" s="1096" t="s">
        <v>1224</v>
      </c>
      <c r="P157" s="50" t="s">
        <v>2908</v>
      </c>
    </row>
    <row r="158" spans="1:16" ht="1.5" customHeight="1">
      <c r="A158" s="1096" t="s">
        <v>3003</v>
      </c>
      <c r="B158" s="1102">
        <v>294</v>
      </c>
      <c r="C158" s="1096" t="s">
        <v>315</v>
      </c>
      <c r="D158" s="655"/>
      <c r="E158" s="655"/>
      <c r="F158" s="655"/>
      <c r="G158" s="655"/>
      <c r="H158" s="1096">
        <v>281</v>
      </c>
      <c r="I158" s="1096" t="s">
        <v>583</v>
      </c>
      <c r="J158" s="1096" t="s">
        <v>881</v>
      </c>
      <c r="K158" s="1096" t="s">
        <v>111</v>
      </c>
      <c r="L158" s="1096" t="s">
        <v>782</v>
      </c>
      <c r="M158" s="1096" t="s">
        <v>1114</v>
      </c>
      <c r="P158" s="50" t="s">
        <v>2908</v>
      </c>
    </row>
    <row r="159" spans="1:16" ht="1.5" customHeight="1">
      <c r="A159" s="1096" t="s">
        <v>3004</v>
      </c>
      <c r="B159" s="1102">
        <v>293</v>
      </c>
      <c r="C159" s="1096" t="s">
        <v>315</v>
      </c>
      <c r="D159" s="655"/>
      <c r="E159" s="655"/>
      <c r="F159" s="1096" t="s">
        <v>400</v>
      </c>
      <c r="G159" s="1096" t="s">
        <v>1106</v>
      </c>
      <c r="H159" s="1096">
        <v>280</v>
      </c>
      <c r="I159" s="1096" t="s">
        <v>583</v>
      </c>
      <c r="J159" s="1096" t="s">
        <v>881</v>
      </c>
      <c r="K159" s="1096" t="s">
        <v>111</v>
      </c>
      <c r="L159" s="1096" t="s">
        <v>782</v>
      </c>
      <c r="M159" s="1096" t="s">
        <v>1108</v>
      </c>
      <c r="P159" s="50" t="s">
        <v>2908</v>
      </c>
    </row>
    <row r="160" spans="1:16" ht="1.5" customHeight="1">
      <c r="A160" s="1096" t="s">
        <v>3007</v>
      </c>
      <c r="B160" s="1102">
        <v>22</v>
      </c>
      <c r="C160" s="653" t="s">
        <v>315</v>
      </c>
      <c r="D160" s="655"/>
      <c r="E160" s="1096">
        <v>5.8</v>
      </c>
      <c r="F160" s="1096" t="s">
        <v>186</v>
      </c>
      <c r="G160" s="1096" t="s">
        <v>188</v>
      </c>
      <c r="H160" s="655"/>
      <c r="I160" s="1096" t="s">
        <v>189</v>
      </c>
      <c r="J160" s="1096" t="s">
        <v>148</v>
      </c>
      <c r="K160" s="1096" t="s">
        <v>190</v>
      </c>
      <c r="L160" s="1096" t="s">
        <v>82</v>
      </c>
      <c r="M160" s="1096" t="s">
        <v>191</v>
      </c>
      <c r="N160" s="50" t="s">
        <v>193</v>
      </c>
      <c r="O160" s="50">
        <v>4.4000000000000004</v>
      </c>
      <c r="P160" s="50" t="s">
        <v>2908</v>
      </c>
    </row>
    <row r="161" spans="1:17" ht="12">
      <c r="A161" s="1096" t="s">
        <v>3007</v>
      </c>
      <c r="B161" s="1102">
        <v>79</v>
      </c>
      <c r="C161" s="1096" t="s">
        <v>315</v>
      </c>
      <c r="D161" s="655"/>
      <c r="E161" s="655"/>
      <c r="F161" s="655"/>
      <c r="G161" s="655"/>
      <c r="H161" s="655"/>
      <c r="I161" s="1096" t="s">
        <v>391</v>
      </c>
      <c r="J161" s="1096" t="s">
        <v>82</v>
      </c>
      <c r="K161" s="1096" t="s">
        <v>96</v>
      </c>
      <c r="L161" s="1096" t="s">
        <v>82</v>
      </c>
      <c r="M161" s="1096" t="s">
        <v>392</v>
      </c>
      <c r="N161" s="73">
        <v>40504</v>
      </c>
      <c r="O161" s="50">
        <v>0.52500000000000002</v>
      </c>
      <c r="P161" s="50" t="s">
        <v>2908</v>
      </c>
    </row>
    <row r="162" spans="1:17" ht="1.5" customHeight="1">
      <c r="A162" s="285" t="s">
        <v>3010</v>
      </c>
      <c r="B162" s="283">
        <v>212</v>
      </c>
      <c r="C162" s="285" t="s">
        <v>137</v>
      </c>
      <c r="D162" s="287"/>
      <c r="E162" s="287"/>
      <c r="F162" s="287"/>
      <c r="G162" s="287"/>
      <c r="H162" s="287"/>
      <c r="I162" s="287"/>
      <c r="J162" s="287"/>
      <c r="K162" s="287"/>
      <c r="L162" s="287"/>
      <c r="M162" s="287"/>
      <c r="N162" s="287"/>
      <c r="O162" s="287"/>
      <c r="P162" s="285" t="s">
        <v>2908</v>
      </c>
      <c r="Q162" s="395" t="s">
        <v>3012</v>
      </c>
    </row>
    <row r="163" spans="1:17" ht="1.5" customHeight="1">
      <c r="A163" s="1096" t="s">
        <v>3013</v>
      </c>
      <c r="B163" s="1102">
        <v>202</v>
      </c>
      <c r="C163" s="1096" t="s">
        <v>137</v>
      </c>
      <c r="D163" s="655"/>
      <c r="E163" s="1096">
        <v>7.35</v>
      </c>
      <c r="F163" s="655"/>
      <c r="G163" s="655"/>
      <c r="H163" s="655"/>
      <c r="I163" s="926"/>
      <c r="J163" s="659" t="s">
        <v>697</v>
      </c>
      <c r="K163" s="926"/>
      <c r="L163" s="926"/>
      <c r="M163" s="926"/>
      <c r="P163" s="50" t="s">
        <v>2908</v>
      </c>
    </row>
    <row r="164" spans="1:17" ht="1.5" customHeight="1">
      <c r="A164" s="1096" t="s">
        <v>1625</v>
      </c>
      <c r="B164" s="1102">
        <v>436</v>
      </c>
      <c r="C164" s="1096" t="s">
        <v>137</v>
      </c>
      <c r="D164" s="1096" t="s">
        <v>3014</v>
      </c>
      <c r="E164" s="655"/>
      <c r="F164" s="655"/>
      <c r="G164" s="655"/>
      <c r="H164" s="1096">
        <v>360</v>
      </c>
      <c r="I164" s="655"/>
      <c r="J164" s="655"/>
      <c r="K164" s="655"/>
      <c r="L164" s="655"/>
      <c r="M164" s="655"/>
      <c r="P164" s="50" t="s">
        <v>2908</v>
      </c>
    </row>
    <row r="165" spans="1:17" ht="12">
      <c r="A165" s="653" t="s">
        <v>3016</v>
      </c>
      <c r="B165" s="1102">
        <v>215</v>
      </c>
      <c r="C165" s="1096" t="s">
        <v>137</v>
      </c>
      <c r="D165" s="655"/>
      <c r="E165" s="655"/>
      <c r="F165" s="655"/>
      <c r="G165" s="655"/>
      <c r="H165" s="655"/>
      <c r="I165" s="655"/>
      <c r="J165" s="655"/>
      <c r="K165" s="655"/>
      <c r="L165" s="655"/>
      <c r="M165" s="655"/>
      <c r="P165" s="50" t="s">
        <v>2908</v>
      </c>
    </row>
    <row r="166" spans="1:17" ht="1.5" customHeight="1">
      <c r="A166" s="1096" t="s">
        <v>114</v>
      </c>
      <c r="B166" s="1102">
        <v>8</v>
      </c>
      <c r="C166" s="655"/>
      <c r="D166" s="655"/>
      <c r="E166" s="655"/>
      <c r="F166" s="655"/>
      <c r="G166" s="655"/>
      <c r="H166" s="655"/>
      <c r="I166" s="1096" t="s">
        <v>115</v>
      </c>
      <c r="J166" s="1096" t="s">
        <v>95</v>
      </c>
      <c r="K166" s="1096" t="s">
        <v>116</v>
      </c>
      <c r="L166" s="1096">
        <v>1</v>
      </c>
      <c r="M166" s="1096" t="s">
        <v>82</v>
      </c>
      <c r="N166" s="50" t="s">
        <v>117</v>
      </c>
      <c r="O166" s="50">
        <v>0.48499999999999999</v>
      </c>
      <c r="P166" s="50" t="s">
        <v>2908</v>
      </c>
    </row>
    <row r="167" spans="1:17" ht="1.5" customHeight="1">
      <c r="A167" s="1096" t="s">
        <v>93</v>
      </c>
      <c r="B167" s="1102">
        <v>3</v>
      </c>
      <c r="C167" s="655"/>
      <c r="D167" s="655"/>
      <c r="E167" s="655"/>
      <c r="F167" s="655"/>
      <c r="G167" s="655"/>
      <c r="H167" s="655"/>
      <c r="I167" s="1096" t="s">
        <v>94</v>
      </c>
      <c r="J167" s="1096" t="s">
        <v>95</v>
      </c>
      <c r="K167" s="1096" t="s">
        <v>96</v>
      </c>
      <c r="L167" s="1096">
        <v>1</v>
      </c>
      <c r="M167" s="1096" t="s">
        <v>82</v>
      </c>
      <c r="N167" s="50" t="s">
        <v>97</v>
      </c>
      <c r="O167" s="50">
        <v>0.34</v>
      </c>
      <c r="P167" s="50" t="s">
        <v>2908</v>
      </c>
    </row>
    <row r="168" spans="1:17" ht="24">
      <c r="A168" s="1096" t="s">
        <v>3018</v>
      </c>
      <c r="B168" s="1102">
        <v>346</v>
      </c>
      <c r="C168" s="1096" t="s">
        <v>315</v>
      </c>
      <c r="D168" s="655"/>
      <c r="E168" s="655"/>
      <c r="F168" s="655"/>
      <c r="G168" s="655"/>
      <c r="H168" s="1096">
        <v>293</v>
      </c>
      <c r="I168" s="1096" t="s">
        <v>1264</v>
      </c>
      <c r="J168" s="1096" t="s">
        <v>881</v>
      </c>
      <c r="K168" s="1096" t="s">
        <v>111</v>
      </c>
      <c r="L168" s="1096" t="s">
        <v>782</v>
      </c>
      <c r="M168" s="1096" t="s">
        <v>1276</v>
      </c>
      <c r="P168" s="50" t="s">
        <v>2908</v>
      </c>
    </row>
    <row r="169" spans="1:17" ht="1.5" customHeight="1">
      <c r="A169" s="1096" t="s">
        <v>3019</v>
      </c>
      <c r="B169" s="1102">
        <v>50</v>
      </c>
      <c r="C169" s="1096" t="s">
        <v>315</v>
      </c>
      <c r="D169" s="655"/>
      <c r="E169" s="655"/>
      <c r="F169" s="655"/>
      <c r="G169" s="655"/>
      <c r="H169" s="655"/>
      <c r="I169" s="1096" t="s">
        <v>82</v>
      </c>
      <c r="J169" s="1096" t="s">
        <v>82</v>
      </c>
      <c r="K169" s="1096" t="s">
        <v>318</v>
      </c>
      <c r="L169" s="1096">
        <v>2</v>
      </c>
      <c r="M169" s="1096" t="s">
        <v>82</v>
      </c>
      <c r="N169" s="50" t="s">
        <v>82</v>
      </c>
      <c r="O169" s="50" t="s">
        <v>82</v>
      </c>
      <c r="P169" s="50" t="s">
        <v>2908</v>
      </c>
    </row>
    <row r="170" spans="1:17" ht="1.5" customHeight="1">
      <c r="A170" s="1096" t="s">
        <v>3020</v>
      </c>
      <c r="B170" s="1102">
        <v>51</v>
      </c>
      <c r="C170" s="1096" t="s">
        <v>315</v>
      </c>
      <c r="D170" s="655"/>
      <c r="E170" s="655"/>
      <c r="F170" s="655"/>
      <c r="G170" s="655"/>
      <c r="H170" s="655"/>
      <c r="I170" s="1096" t="s">
        <v>82</v>
      </c>
      <c r="J170" s="1096" t="s">
        <v>82</v>
      </c>
      <c r="K170" s="1096" t="s">
        <v>318</v>
      </c>
      <c r="L170" s="1096">
        <v>2</v>
      </c>
      <c r="M170" s="1096" t="s">
        <v>82</v>
      </c>
      <c r="N170" s="50" t="s">
        <v>82</v>
      </c>
      <c r="O170" s="50" t="s">
        <v>82</v>
      </c>
      <c r="P170" s="50" t="s">
        <v>2908</v>
      </c>
    </row>
    <row r="171" spans="1:17" ht="1.5" customHeight="1">
      <c r="A171" s="1096" t="s">
        <v>1089</v>
      </c>
      <c r="B171" s="1102">
        <v>290</v>
      </c>
      <c r="C171" s="655"/>
      <c r="D171" s="655"/>
      <c r="E171" s="655"/>
      <c r="F171" s="1096" t="s">
        <v>400</v>
      </c>
      <c r="G171" s="1096" t="s">
        <v>1090</v>
      </c>
      <c r="H171" s="655"/>
      <c r="I171" s="655"/>
      <c r="J171" s="1096" t="s">
        <v>1091</v>
      </c>
      <c r="K171" s="655"/>
      <c r="L171" s="655"/>
      <c r="M171" s="655"/>
      <c r="P171" s="50" t="s">
        <v>2908</v>
      </c>
    </row>
    <row r="172" spans="1:17" ht="12">
      <c r="A172" s="1096" t="s">
        <v>733</v>
      </c>
      <c r="B172" s="1102">
        <v>219</v>
      </c>
      <c r="C172" s="655"/>
      <c r="D172" s="1096" t="s">
        <v>734</v>
      </c>
      <c r="E172" s="655"/>
      <c r="F172" s="655"/>
      <c r="G172" s="655"/>
      <c r="H172" s="655"/>
      <c r="I172" s="655"/>
      <c r="J172" s="1096" t="s">
        <v>735</v>
      </c>
      <c r="K172" s="655"/>
      <c r="L172" s="655"/>
      <c r="M172" s="655"/>
      <c r="P172" s="50" t="s">
        <v>2908</v>
      </c>
    </row>
    <row r="173" spans="1:17" ht="24">
      <c r="A173" s="1096" t="s">
        <v>110</v>
      </c>
      <c r="B173" s="1102">
        <v>7</v>
      </c>
      <c r="C173" s="655"/>
      <c r="D173" s="655"/>
      <c r="E173" s="655"/>
      <c r="F173" s="655"/>
      <c r="G173" s="655"/>
      <c r="H173" s="655"/>
      <c r="I173" s="1096" t="s">
        <v>82</v>
      </c>
      <c r="J173" s="1096" t="s">
        <v>95</v>
      </c>
      <c r="K173" s="1096" t="s">
        <v>111</v>
      </c>
      <c r="L173" s="1096" t="s">
        <v>82</v>
      </c>
      <c r="M173" s="1096" t="s">
        <v>112</v>
      </c>
      <c r="N173" s="50" t="s">
        <v>113</v>
      </c>
      <c r="O173" s="50">
        <v>0.46</v>
      </c>
      <c r="P173" s="50" t="s">
        <v>2908</v>
      </c>
    </row>
    <row r="174" spans="1:17" ht="12">
      <c r="A174" s="1096" t="s">
        <v>107</v>
      </c>
      <c r="B174" s="1102">
        <v>6</v>
      </c>
      <c r="C174" s="655"/>
      <c r="D174" s="655"/>
      <c r="E174" s="655"/>
      <c r="F174" s="655"/>
      <c r="G174" s="655"/>
      <c r="H174" s="655"/>
      <c r="I174" s="1096" t="s">
        <v>108</v>
      </c>
      <c r="J174" s="1096" t="s">
        <v>95</v>
      </c>
      <c r="K174" s="1096" t="s">
        <v>96</v>
      </c>
      <c r="L174" s="1096">
        <v>1</v>
      </c>
      <c r="M174" s="1096" t="s">
        <v>82</v>
      </c>
      <c r="N174" s="50" t="s">
        <v>109</v>
      </c>
      <c r="O174" s="50">
        <v>0.28999999999999998</v>
      </c>
      <c r="P174" s="50" t="s">
        <v>2908</v>
      </c>
    </row>
    <row r="175" spans="1:17" ht="12">
      <c r="A175" s="653" t="s">
        <v>832</v>
      </c>
      <c r="B175" s="1102">
        <v>250</v>
      </c>
      <c r="C175" s="655"/>
      <c r="D175" s="655"/>
      <c r="E175" s="655"/>
      <c r="F175" s="655"/>
      <c r="G175" s="655"/>
      <c r="H175" s="655"/>
      <c r="I175" s="655"/>
      <c r="J175" s="1096" t="s">
        <v>824</v>
      </c>
      <c r="K175" s="655"/>
      <c r="L175" s="655"/>
      <c r="M175" s="655"/>
      <c r="P175" s="50" t="s">
        <v>2908</v>
      </c>
    </row>
    <row r="176" spans="1:17" ht="12">
      <c r="A176" s="653" t="s">
        <v>830</v>
      </c>
      <c r="B176" s="1102">
        <v>249</v>
      </c>
      <c r="C176" s="655"/>
      <c r="D176" s="655"/>
      <c r="E176" s="655"/>
      <c r="F176" s="655"/>
      <c r="G176" s="655"/>
      <c r="H176" s="655"/>
      <c r="I176" s="655"/>
      <c r="J176" s="1096" t="s">
        <v>824</v>
      </c>
      <c r="K176" s="655"/>
      <c r="L176" s="655"/>
      <c r="M176" s="655"/>
      <c r="P176" s="50" t="s">
        <v>2908</v>
      </c>
    </row>
    <row r="177" spans="1:16" ht="12">
      <c r="A177" s="653" t="s">
        <v>838</v>
      </c>
      <c r="B177" s="1102">
        <v>252</v>
      </c>
      <c r="C177" s="655"/>
      <c r="D177" s="655"/>
      <c r="E177" s="655"/>
      <c r="F177" s="655"/>
      <c r="G177" s="655"/>
      <c r="H177" s="655"/>
      <c r="I177" s="655"/>
      <c r="J177" s="1096" t="s">
        <v>824</v>
      </c>
      <c r="K177" s="655"/>
      <c r="L177" s="655"/>
      <c r="M177" s="655"/>
      <c r="P177" s="50" t="s">
        <v>2908</v>
      </c>
    </row>
    <row r="178" spans="1:16" ht="12">
      <c r="A178" s="653" t="s">
        <v>834</v>
      </c>
      <c r="B178" s="1102">
        <v>251</v>
      </c>
      <c r="C178" s="655"/>
      <c r="D178" s="655"/>
      <c r="E178" s="655"/>
      <c r="F178" s="1096" t="s">
        <v>186</v>
      </c>
      <c r="G178" s="1096" t="s">
        <v>836</v>
      </c>
      <c r="H178" s="655"/>
      <c r="I178" s="655"/>
      <c r="J178" s="1096" t="s">
        <v>824</v>
      </c>
      <c r="K178" s="655"/>
      <c r="L178" s="655"/>
      <c r="M178" s="655"/>
      <c r="P178" s="50" t="s">
        <v>2908</v>
      </c>
    </row>
    <row r="179" spans="1:16" ht="12">
      <c r="A179" s="1096" t="s">
        <v>849</v>
      </c>
      <c r="B179" s="1102">
        <v>255</v>
      </c>
      <c r="C179" s="655"/>
      <c r="D179" s="655"/>
      <c r="E179" s="655"/>
      <c r="F179" s="655"/>
      <c r="G179" s="655"/>
      <c r="H179" s="655"/>
      <c r="I179" s="655"/>
      <c r="J179" s="1096" t="s">
        <v>850</v>
      </c>
      <c r="K179" s="655"/>
      <c r="L179" s="655"/>
      <c r="M179" s="655"/>
      <c r="P179" s="50" t="s">
        <v>2908</v>
      </c>
    </row>
    <row r="180" spans="1:16" ht="12">
      <c r="A180" s="1096" t="s">
        <v>402</v>
      </c>
      <c r="B180" s="1102">
        <v>85</v>
      </c>
      <c r="C180" s="655"/>
      <c r="D180" s="655"/>
      <c r="E180" s="655"/>
      <c r="F180" s="655"/>
      <c r="G180" s="655"/>
      <c r="H180" s="655"/>
      <c r="I180" s="1096" t="s">
        <v>82</v>
      </c>
      <c r="J180" s="1096" t="s">
        <v>82</v>
      </c>
      <c r="K180" s="1096" t="s">
        <v>121</v>
      </c>
      <c r="L180" s="1096" t="s">
        <v>82</v>
      </c>
      <c r="M180" s="1096" t="s">
        <v>82</v>
      </c>
      <c r="P180" s="50" t="s">
        <v>2908</v>
      </c>
    </row>
    <row r="181" spans="1:16" ht="24">
      <c r="A181" s="1096" t="s">
        <v>1048</v>
      </c>
      <c r="B181" s="1102">
        <v>282</v>
      </c>
      <c r="C181" s="655"/>
      <c r="D181" s="1118" t="s">
        <v>962</v>
      </c>
      <c r="E181" s="655"/>
      <c r="F181" s="655"/>
      <c r="G181" s="655"/>
      <c r="H181" s="655"/>
      <c r="I181" s="655"/>
      <c r="J181" s="1096" t="s">
        <v>1049</v>
      </c>
      <c r="K181" s="655"/>
      <c r="L181" s="1096" t="s">
        <v>782</v>
      </c>
      <c r="M181" s="1096" t="s">
        <v>965</v>
      </c>
      <c r="P181" s="50" t="s">
        <v>2908</v>
      </c>
    </row>
    <row r="182" spans="1:16" ht="24">
      <c r="A182" s="1096" t="s">
        <v>966</v>
      </c>
      <c r="B182" s="1102">
        <v>281</v>
      </c>
      <c r="C182" s="655"/>
      <c r="D182" s="1118" t="s">
        <v>962</v>
      </c>
      <c r="E182" s="655"/>
      <c r="F182" s="655"/>
      <c r="G182" s="655"/>
      <c r="H182" s="655"/>
      <c r="I182" s="655"/>
      <c r="J182" s="1096" t="s">
        <v>967</v>
      </c>
      <c r="K182" s="655"/>
      <c r="L182" s="1096" t="s">
        <v>782</v>
      </c>
      <c r="M182" s="1096" t="s">
        <v>965</v>
      </c>
      <c r="P182" s="50" t="s">
        <v>2908</v>
      </c>
    </row>
    <row r="183" spans="1:16" ht="17.25" customHeight="1">
      <c r="A183" s="1096" t="s">
        <v>960</v>
      </c>
      <c r="B183" s="1102">
        <v>280</v>
      </c>
      <c r="C183" s="655"/>
      <c r="D183" s="1118" t="s">
        <v>962</v>
      </c>
      <c r="E183" s="655"/>
      <c r="F183" s="655"/>
      <c r="G183" s="655"/>
      <c r="H183" s="655"/>
      <c r="I183" s="655"/>
      <c r="J183" s="1096" t="s">
        <v>964</v>
      </c>
      <c r="K183" s="655"/>
      <c r="L183" s="1096" t="s">
        <v>782</v>
      </c>
      <c r="M183" s="1096" t="s">
        <v>965</v>
      </c>
      <c r="P183" s="50" t="s">
        <v>2908</v>
      </c>
    </row>
    <row r="184" spans="1:16" ht="17.25" customHeight="1">
      <c r="A184" s="1096" t="s">
        <v>493</v>
      </c>
      <c r="B184" s="1102">
        <v>131</v>
      </c>
      <c r="C184" s="1096" t="s">
        <v>315</v>
      </c>
      <c r="D184" s="655"/>
      <c r="E184" s="655"/>
      <c r="F184" s="655"/>
      <c r="G184" s="655"/>
      <c r="H184" s="655"/>
      <c r="I184" s="655"/>
      <c r="J184" s="1096" t="s">
        <v>495</v>
      </c>
      <c r="K184" s="655"/>
      <c r="L184" s="655"/>
      <c r="M184" s="655"/>
      <c r="P184" s="50" t="s">
        <v>2908</v>
      </c>
    </row>
    <row r="185" spans="1:16" ht="17.25" customHeight="1">
      <c r="A185" s="1096" t="s">
        <v>3030</v>
      </c>
      <c r="B185" s="1102">
        <v>192</v>
      </c>
      <c r="C185" s="1096" t="s">
        <v>137</v>
      </c>
      <c r="D185" s="1096" t="s">
        <v>657</v>
      </c>
      <c r="E185" s="655"/>
      <c r="F185" s="1096" t="s">
        <v>400</v>
      </c>
      <c r="G185" s="1096" t="s">
        <v>188</v>
      </c>
      <c r="H185" s="655"/>
      <c r="I185" s="655"/>
      <c r="J185" s="655"/>
      <c r="K185" s="655"/>
      <c r="L185" s="655"/>
      <c r="M185" s="655"/>
      <c r="P185" s="50" t="s">
        <v>2908</v>
      </c>
    </row>
    <row r="186" spans="1:16" ht="17.25" customHeight="1">
      <c r="A186" s="1096" t="s">
        <v>1595</v>
      </c>
      <c r="B186" s="1102">
        <v>426</v>
      </c>
      <c r="C186" s="655"/>
      <c r="D186" s="655"/>
      <c r="E186" s="655"/>
      <c r="F186" s="655"/>
      <c r="G186" s="655"/>
      <c r="H186" s="655"/>
      <c r="P186" s="50" t="s">
        <v>2908</v>
      </c>
    </row>
    <row r="187" spans="1:16" ht="17.25" customHeight="1">
      <c r="A187" s="1096" t="s">
        <v>1605</v>
      </c>
      <c r="B187" s="1102">
        <v>429</v>
      </c>
      <c r="C187" s="655"/>
      <c r="D187" s="655"/>
      <c r="E187" s="655"/>
      <c r="F187" s="655"/>
      <c r="G187" s="655"/>
      <c r="H187" s="655"/>
      <c r="P187" s="50" t="s">
        <v>2908</v>
      </c>
    </row>
    <row r="188" spans="1:16" ht="17.25" customHeight="1">
      <c r="A188" s="1096" t="s">
        <v>1609</v>
      </c>
      <c r="B188" s="1102">
        <v>431</v>
      </c>
      <c r="C188" s="655"/>
      <c r="D188" s="655"/>
      <c r="E188" s="655"/>
      <c r="F188" s="655"/>
      <c r="G188" s="655"/>
      <c r="H188" s="655"/>
      <c r="P188" s="50" t="s">
        <v>2908</v>
      </c>
    </row>
    <row r="189" spans="1:16" ht="17.25" customHeight="1">
      <c r="A189" s="1096" t="s">
        <v>1634</v>
      </c>
      <c r="B189" s="1102">
        <v>440</v>
      </c>
      <c r="C189" s="655"/>
      <c r="D189" s="655"/>
      <c r="E189" s="655"/>
      <c r="F189" s="655"/>
      <c r="G189" s="655"/>
      <c r="H189" s="655"/>
      <c r="P189" s="50" t="s">
        <v>2908</v>
      </c>
    </row>
    <row r="190" spans="1:16" ht="17.25" customHeight="1">
      <c r="A190" s="1096" t="s">
        <v>1636</v>
      </c>
      <c r="B190" s="1102">
        <v>441</v>
      </c>
      <c r="C190" s="655"/>
      <c r="D190" s="655"/>
      <c r="E190" s="655"/>
      <c r="F190" s="655"/>
      <c r="G190" s="655"/>
      <c r="H190" s="655"/>
      <c r="P190" s="50" t="s">
        <v>2908</v>
      </c>
    </row>
    <row r="191" spans="1:16" ht="17.25" customHeight="1">
      <c r="A191" s="1096" t="s">
        <v>1637</v>
      </c>
      <c r="B191" s="1102">
        <v>442</v>
      </c>
      <c r="C191" s="655"/>
      <c r="D191" s="655"/>
      <c r="E191" s="655"/>
      <c r="F191" s="655"/>
      <c r="G191" s="655"/>
      <c r="H191" s="655"/>
      <c r="P191" s="50" t="s">
        <v>2908</v>
      </c>
    </row>
    <row r="192" spans="1:16" ht="17.25" customHeight="1">
      <c r="A192" s="1096" t="s">
        <v>1663</v>
      </c>
      <c r="B192" s="1102">
        <v>453</v>
      </c>
      <c r="C192" s="655"/>
      <c r="D192" s="655"/>
      <c r="E192" s="655"/>
      <c r="F192" s="655"/>
      <c r="G192" s="655"/>
      <c r="H192" s="655"/>
      <c r="P192" s="50" t="s">
        <v>2908</v>
      </c>
    </row>
    <row r="193" spans="1:18" ht="17.25" customHeight="1">
      <c r="A193" s="1096" t="s">
        <v>1661</v>
      </c>
      <c r="B193" s="1124">
        <v>452</v>
      </c>
      <c r="C193" s="1159"/>
      <c r="D193" s="1159"/>
      <c r="E193" s="1159"/>
      <c r="F193" s="1159"/>
      <c r="G193" s="1159"/>
      <c r="H193" s="1159"/>
      <c r="I193" s="1161"/>
      <c r="J193" s="1161"/>
      <c r="K193" s="1161"/>
      <c r="L193" s="1161"/>
      <c r="M193" s="1161"/>
      <c r="N193" s="1161"/>
      <c r="O193" s="1161"/>
      <c r="P193" s="1161"/>
      <c r="Q193" s="1161"/>
    </row>
    <row r="194" spans="1:18" ht="17.25" customHeight="1">
      <c r="A194" s="1162" t="s">
        <v>3057</v>
      </c>
      <c r="B194" s="1163">
        <v>33</v>
      </c>
      <c r="C194" s="1164"/>
      <c r="D194" s="1165" t="s">
        <v>3058</v>
      </c>
      <c r="E194" s="1164"/>
      <c r="F194" s="1165" t="s">
        <v>246</v>
      </c>
      <c r="G194" s="1165" t="s">
        <v>247</v>
      </c>
      <c r="H194" s="1164"/>
      <c r="I194" s="1167"/>
      <c r="J194" s="1167"/>
      <c r="K194" s="1167"/>
      <c r="L194" s="1167"/>
      <c r="M194" s="1167"/>
      <c r="N194" s="1167"/>
      <c r="O194" s="1167"/>
      <c r="P194" s="1169" t="s">
        <v>2908</v>
      </c>
      <c r="Q194" s="1170" t="s">
        <v>3060</v>
      </c>
      <c r="R194" s="380"/>
    </row>
    <row r="195" spans="1:18" ht="17.25" customHeight="1">
      <c r="A195" s="1162" t="s">
        <v>3061</v>
      </c>
      <c r="B195" s="168">
        <v>348</v>
      </c>
      <c r="C195" s="170" t="s">
        <v>137</v>
      </c>
      <c r="D195" s="170" t="s">
        <v>3062</v>
      </c>
      <c r="E195" s="174"/>
      <c r="F195" s="174"/>
      <c r="G195" s="174"/>
      <c r="H195" s="170">
        <v>335</v>
      </c>
      <c r="P195" s="50" t="s">
        <v>2908</v>
      </c>
      <c r="Q195" s="1172"/>
      <c r="R195" s="380"/>
    </row>
    <row r="196" spans="1:18" ht="17.25" customHeight="1">
      <c r="A196" s="1162" t="s">
        <v>3065</v>
      </c>
      <c r="B196" s="168">
        <v>257</v>
      </c>
      <c r="C196" s="170" t="s">
        <v>137</v>
      </c>
      <c r="D196" s="170" t="s">
        <v>3066</v>
      </c>
      <c r="E196" s="174"/>
      <c r="F196" s="170" t="s">
        <v>246</v>
      </c>
      <c r="G196" s="170" t="s">
        <v>880</v>
      </c>
      <c r="H196" s="170">
        <v>33</v>
      </c>
      <c r="P196" s="50" t="s">
        <v>2908</v>
      </c>
      <c r="Q196" s="1174"/>
      <c r="R196" s="380"/>
    </row>
    <row r="197" spans="1:18" ht="17.25" customHeight="1">
      <c r="A197" s="1162" t="s">
        <v>1259</v>
      </c>
      <c r="B197" s="168">
        <v>340</v>
      </c>
      <c r="C197" s="174"/>
      <c r="D197" s="174"/>
      <c r="E197" s="174"/>
      <c r="F197" s="174"/>
      <c r="G197" s="174"/>
      <c r="H197" s="170">
        <v>335</v>
      </c>
      <c r="P197" s="50" t="s">
        <v>2908</v>
      </c>
      <c r="Q197" s="1174"/>
      <c r="R197" s="380"/>
    </row>
    <row r="198" spans="1:18" ht="17.25" customHeight="1">
      <c r="A198" s="1162" t="s">
        <v>3068</v>
      </c>
      <c r="B198" s="168">
        <v>335</v>
      </c>
      <c r="C198" s="170" t="s">
        <v>137</v>
      </c>
      <c r="D198" s="174"/>
      <c r="E198" s="174"/>
      <c r="F198" s="170" t="s">
        <v>246</v>
      </c>
      <c r="G198" s="170" t="s">
        <v>1228</v>
      </c>
      <c r="H198" s="170">
        <v>257</v>
      </c>
      <c r="P198" s="50" t="s">
        <v>2908</v>
      </c>
      <c r="Q198" s="1174"/>
      <c r="R198" s="380"/>
    </row>
    <row r="199" spans="1:18" ht="1.5" customHeight="1">
      <c r="A199" s="1176" t="s">
        <v>3069</v>
      </c>
      <c r="B199" s="1178">
        <v>350</v>
      </c>
      <c r="C199" s="1180" t="s">
        <v>137</v>
      </c>
      <c r="D199" s="1180" t="s">
        <v>3074</v>
      </c>
      <c r="E199" s="1186"/>
      <c r="F199" s="1180" t="s">
        <v>246</v>
      </c>
      <c r="G199" s="1180" t="s">
        <v>1321</v>
      </c>
      <c r="H199" s="1180">
        <v>348</v>
      </c>
      <c r="I199" s="1161"/>
      <c r="J199" s="1161"/>
      <c r="K199" s="1161"/>
      <c r="L199" s="1161"/>
      <c r="M199" s="1161"/>
      <c r="N199" s="1161"/>
      <c r="O199" s="1161"/>
      <c r="P199" s="1187" t="s">
        <v>2908</v>
      </c>
      <c r="Q199" s="1188"/>
      <c r="R199" s="380"/>
    </row>
    <row r="200" spans="1:18" ht="12">
      <c r="A200" s="1167"/>
      <c r="B200" s="1189"/>
      <c r="C200" s="1167"/>
      <c r="D200" s="1167"/>
      <c r="E200" s="1167"/>
      <c r="F200" s="1167"/>
      <c r="G200" s="1167"/>
      <c r="H200" s="1167"/>
      <c r="I200" s="1167"/>
      <c r="J200" s="1167"/>
      <c r="K200" s="1167"/>
      <c r="L200" s="1167"/>
      <c r="M200" s="1167"/>
      <c r="N200" s="1167"/>
      <c r="O200" s="1167"/>
      <c r="P200" s="1167"/>
      <c r="Q200" s="1167"/>
    </row>
    <row r="201" spans="1:18" ht="12">
      <c r="B201" s="18"/>
    </row>
    <row r="202" spans="1:18" ht="12">
      <c r="A202" s="1190" t="s">
        <v>3076</v>
      </c>
      <c r="B202" s="1191">
        <v>99</v>
      </c>
      <c r="C202" s="1190" t="s">
        <v>137</v>
      </c>
      <c r="D202" s="1193"/>
      <c r="E202" s="1193"/>
      <c r="F202" s="1190" t="s">
        <v>186</v>
      </c>
      <c r="G202" s="1190" t="s">
        <v>188</v>
      </c>
      <c r="H202" s="1193"/>
      <c r="I202" s="1190" t="s">
        <v>206</v>
      </c>
      <c r="J202" s="1190" t="s">
        <v>142</v>
      </c>
      <c r="K202" s="1190" t="s">
        <v>96</v>
      </c>
      <c r="L202" s="1190">
        <v>3</v>
      </c>
      <c r="M202" s="1193"/>
      <c r="N202" s="50" t="s">
        <v>431</v>
      </c>
      <c r="O202" s="50">
        <v>0.49099999999999999</v>
      </c>
      <c r="P202" s="50" t="s">
        <v>2908</v>
      </c>
    </row>
    <row r="203" spans="1:18" ht="1.5" customHeight="1">
      <c r="A203" s="1190" t="s">
        <v>1182</v>
      </c>
      <c r="B203" s="1191">
        <v>315</v>
      </c>
      <c r="C203" s="1193"/>
      <c r="D203" s="1193"/>
      <c r="E203" s="1193"/>
      <c r="F203" s="1193"/>
      <c r="G203" s="1193"/>
      <c r="H203" s="1193"/>
      <c r="I203" s="1193"/>
      <c r="J203" s="1190" t="s">
        <v>1174</v>
      </c>
      <c r="K203" s="1193"/>
      <c r="L203" s="1193"/>
      <c r="M203" s="1193"/>
      <c r="P203" s="50" t="s">
        <v>2908</v>
      </c>
    </row>
    <row r="204" spans="1:18" ht="24">
      <c r="A204" s="1190" t="s">
        <v>1184</v>
      </c>
      <c r="B204" s="1191">
        <v>316</v>
      </c>
      <c r="C204" s="1193"/>
      <c r="D204" s="1193"/>
      <c r="E204" s="1193"/>
      <c r="F204" s="1193"/>
      <c r="G204" s="1193"/>
      <c r="H204" s="1193"/>
      <c r="I204" s="1193"/>
      <c r="J204" s="1190" t="s">
        <v>1174</v>
      </c>
      <c r="K204" s="1193"/>
      <c r="L204" s="1193"/>
      <c r="M204" s="1193"/>
      <c r="P204" s="50" t="s">
        <v>2908</v>
      </c>
    </row>
    <row r="205" spans="1:18" ht="24">
      <c r="A205" s="1190" t="s">
        <v>771</v>
      </c>
      <c r="B205" s="1191">
        <v>229</v>
      </c>
      <c r="C205" s="1193"/>
      <c r="D205" s="1190">
        <v>-26968</v>
      </c>
      <c r="E205" s="1193"/>
      <c r="F205" s="1193"/>
      <c r="G205" s="1193"/>
      <c r="H205" s="1193"/>
      <c r="I205" s="1193"/>
      <c r="J205" s="1190" t="s">
        <v>764</v>
      </c>
      <c r="K205" s="1193"/>
      <c r="L205" s="1193"/>
      <c r="M205" s="1193"/>
      <c r="P205" s="50" t="s">
        <v>2908</v>
      </c>
    </row>
    <row r="206" spans="1:18" ht="12">
      <c r="A206" s="1190" t="s">
        <v>648</v>
      </c>
      <c r="B206" s="1191">
        <v>189</v>
      </c>
      <c r="C206" s="1193"/>
      <c r="D206" s="1190" t="s">
        <v>650</v>
      </c>
      <c r="E206" s="1193"/>
      <c r="F206" s="1193"/>
      <c r="G206" s="1193"/>
      <c r="H206" s="1193"/>
      <c r="I206" s="1193"/>
      <c r="J206" s="1193"/>
      <c r="K206" s="1193"/>
      <c r="L206" s="1190">
        <v>4</v>
      </c>
      <c r="M206" s="1190" t="s">
        <v>474</v>
      </c>
      <c r="P206" s="50" t="s">
        <v>2908</v>
      </c>
    </row>
    <row r="207" spans="1:18" ht="1.5" customHeight="1">
      <c r="A207" s="1190" t="s">
        <v>1194</v>
      </c>
      <c r="B207" s="1191">
        <v>320</v>
      </c>
      <c r="C207" s="1193"/>
      <c r="D207" s="1193"/>
      <c r="E207" s="1193"/>
      <c r="F207" s="1193"/>
      <c r="G207" s="1193"/>
      <c r="H207" s="1193"/>
      <c r="I207" s="1193"/>
      <c r="J207" s="1190" t="s">
        <v>1174</v>
      </c>
      <c r="K207" s="1193"/>
      <c r="L207" s="1193"/>
      <c r="M207" s="1193"/>
      <c r="P207" s="50" t="s">
        <v>2908</v>
      </c>
    </row>
    <row r="208" spans="1:18" ht="24">
      <c r="A208" s="1190" t="s">
        <v>1196</v>
      </c>
      <c r="B208" s="1191">
        <v>321</v>
      </c>
      <c r="C208" s="1193"/>
      <c r="D208" s="1193"/>
      <c r="E208" s="1193"/>
      <c r="F208" s="1193"/>
      <c r="G208" s="1193"/>
      <c r="H208" s="1193"/>
      <c r="I208" s="1193"/>
      <c r="J208" s="1190" t="s">
        <v>1174</v>
      </c>
      <c r="K208" s="1193"/>
      <c r="L208" s="1193"/>
      <c r="M208" s="1193"/>
      <c r="P208" s="50" t="s">
        <v>2908</v>
      </c>
    </row>
    <row r="209" spans="1:16" ht="24">
      <c r="A209" s="1190" t="s">
        <v>1203</v>
      </c>
      <c r="B209" s="1191">
        <v>324</v>
      </c>
      <c r="C209" s="1193"/>
      <c r="D209" s="1193"/>
      <c r="E209" s="1193"/>
      <c r="F209" s="1193"/>
      <c r="G209" s="1193"/>
      <c r="H209" s="1193"/>
      <c r="I209" s="1193"/>
      <c r="J209" s="1190" t="s">
        <v>1174</v>
      </c>
      <c r="K209" s="1193"/>
      <c r="L209" s="1193"/>
      <c r="M209" s="1193"/>
      <c r="P209" s="50" t="s">
        <v>2908</v>
      </c>
    </row>
    <row r="210" spans="1:16" ht="12">
      <c r="A210" s="1190" t="s">
        <v>3079</v>
      </c>
      <c r="B210" s="1191">
        <v>203</v>
      </c>
      <c r="C210" s="1190" t="s">
        <v>137</v>
      </c>
      <c r="D210" s="1193"/>
      <c r="E210" s="1193"/>
      <c r="F210" s="1193"/>
      <c r="G210" s="1193"/>
      <c r="H210" s="1193"/>
      <c r="I210" s="1190" t="s">
        <v>699</v>
      </c>
      <c r="J210" s="1190" t="s">
        <v>95</v>
      </c>
      <c r="K210" s="1193"/>
      <c r="L210" s="1193"/>
      <c r="M210" s="1193"/>
      <c r="P210" s="50" t="s">
        <v>2908</v>
      </c>
    </row>
    <row r="211" spans="1:16" ht="12">
      <c r="A211" s="1190" t="s">
        <v>812</v>
      </c>
      <c r="B211" s="1191">
        <v>242</v>
      </c>
      <c r="C211" s="1193"/>
      <c r="D211" s="1193"/>
      <c r="E211" s="1190" t="s">
        <v>813</v>
      </c>
      <c r="F211" s="1193"/>
      <c r="G211" s="1193"/>
      <c r="H211" s="1193"/>
      <c r="I211" s="1193"/>
      <c r="J211" s="1190" t="s">
        <v>811</v>
      </c>
      <c r="K211" s="1193"/>
      <c r="L211" s="1193"/>
      <c r="M211" s="1193"/>
      <c r="P211" s="50" t="s">
        <v>2908</v>
      </c>
    </row>
    <row r="212" spans="1:16" ht="12">
      <c r="A212" s="1190" t="s">
        <v>808</v>
      </c>
      <c r="B212" s="1191">
        <v>241</v>
      </c>
      <c r="C212" s="1193"/>
      <c r="D212" s="1193"/>
      <c r="E212" s="1190" t="s">
        <v>810</v>
      </c>
      <c r="F212" s="1193"/>
      <c r="G212" s="1193"/>
      <c r="H212" s="1193"/>
      <c r="I212" s="1193"/>
      <c r="J212" s="1190" t="s">
        <v>811</v>
      </c>
      <c r="K212" s="1193"/>
      <c r="L212" s="1193"/>
      <c r="M212" s="1193"/>
      <c r="P212" s="50" t="s">
        <v>2908</v>
      </c>
    </row>
    <row r="213" spans="1:16" ht="12">
      <c r="A213" s="1190" t="s">
        <v>1591</v>
      </c>
      <c r="B213" s="1191">
        <v>423</v>
      </c>
      <c r="C213" s="1193"/>
      <c r="D213" s="1193"/>
      <c r="E213" s="1193"/>
      <c r="F213" s="1193"/>
      <c r="G213" s="1193"/>
      <c r="H213" s="1193"/>
      <c r="I213" s="1193"/>
      <c r="J213" s="1193"/>
      <c r="K213" s="1193"/>
      <c r="L213" s="1193"/>
      <c r="M213" s="1193"/>
      <c r="P213" s="50" t="s">
        <v>2908</v>
      </c>
    </row>
    <row r="214" spans="1:16" ht="12">
      <c r="A214" s="1190" t="s">
        <v>3083</v>
      </c>
      <c r="B214" s="1191">
        <v>244</v>
      </c>
      <c r="C214" s="1193"/>
      <c r="D214" s="1190" t="s">
        <v>820</v>
      </c>
      <c r="E214" s="1193"/>
      <c r="F214" s="1193"/>
      <c r="G214" s="1193"/>
      <c r="H214" s="1193"/>
      <c r="I214" s="1193"/>
      <c r="J214" s="1190" t="s">
        <v>821</v>
      </c>
      <c r="K214" s="1193"/>
      <c r="L214" s="1193"/>
      <c r="M214" s="1193"/>
      <c r="P214" s="50" t="s">
        <v>2908</v>
      </c>
    </row>
    <row r="215" spans="1:16" ht="12">
      <c r="A215" s="1190" t="s">
        <v>1599</v>
      </c>
      <c r="B215" s="1191">
        <v>427</v>
      </c>
      <c r="C215" s="1193"/>
      <c r="D215" s="1193"/>
      <c r="E215" s="1193"/>
      <c r="F215" s="1193"/>
      <c r="G215" s="1193"/>
      <c r="H215" s="1193"/>
      <c r="P215" s="50" t="s">
        <v>2908</v>
      </c>
    </row>
    <row r="216" spans="1:16" ht="12">
      <c r="A216" s="1190" t="s">
        <v>1602</v>
      </c>
      <c r="B216" s="1191">
        <v>428</v>
      </c>
      <c r="C216" s="1193"/>
      <c r="D216" s="1193"/>
      <c r="E216" s="1193"/>
      <c r="F216" s="1193"/>
      <c r="G216" s="1193"/>
      <c r="H216" s="1193"/>
      <c r="P216" s="50" t="s">
        <v>2908</v>
      </c>
    </row>
    <row r="217" spans="1:16" ht="12">
      <c r="A217" s="1190" t="s">
        <v>1763</v>
      </c>
      <c r="B217" s="1191">
        <v>492</v>
      </c>
      <c r="C217" s="1193"/>
      <c r="D217" s="1193"/>
      <c r="E217" s="1193"/>
      <c r="F217" s="1193"/>
      <c r="G217" s="1193"/>
      <c r="H217" s="1193"/>
    </row>
    <row r="218" spans="1:16" ht="12">
      <c r="B218" s="18"/>
    </row>
    <row r="219" spans="1:16" ht="12">
      <c r="B219" s="18"/>
    </row>
    <row r="220" spans="1:16" ht="12">
      <c r="A220" s="1198" t="s">
        <v>3084</v>
      </c>
      <c r="B220" s="1200">
        <v>265</v>
      </c>
      <c r="C220" s="1198" t="s">
        <v>315</v>
      </c>
      <c r="D220" s="1202"/>
      <c r="E220" s="1202"/>
      <c r="F220" s="1202"/>
      <c r="G220" s="1202"/>
      <c r="H220" s="1202"/>
      <c r="I220" s="859"/>
      <c r="J220" s="857" t="s">
        <v>890</v>
      </c>
      <c r="K220" s="859"/>
      <c r="L220" s="859"/>
      <c r="M220" s="859"/>
      <c r="P220" s="50" t="s">
        <v>2908</v>
      </c>
    </row>
    <row r="221" spans="1:16" ht="12">
      <c r="A221" s="1198" t="s">
        <v>3086</v>
      </c>
      <c r="B221" s="1200">
        <v>264</v>
      </c>
      <c r="C221" s="1198" t="s">
        <v>315</v>
      </c>
      <c r="D221" s="1202"/>
      <c r="E221" s="1202"/>
      <c r="F221" s="1202"/>
      <c r="G221" s="1202"/>
      <c r="H221" s="1202"/>
      <c r="I221" s="859"/>
      <c r="J221" s="857" t="s">
        <v>890</v>
      </c>
      <c r="K221" s="859"/>
      <c r="L221" s="859"/>
      <c r="M221" s="859"/>
      <c r="P221" s="50" t="s">
        <v>2908</v>
      </c>
    </row>
    <row r="222" spans="1:16" ht="12">
      <c r="A222" s="1198" t="s">
        <v>3087</v>
      </c>
      <c r="B222" s="1200">
        <v>266</v>
      </c>
      <c r="C222" s="1198" t="s">
        <v>315</v>
      </c>
      <c r="D222" s="1202"/>
      <c r="E222" s="1202"/>
      <c r="F222" s="1202"/>
      <c r="G222" s="1202"/>
      <c r="H222" s="1202"/>
      <c r="I222" s="859"/>
      <c r="J222" s="857" t="s">
        <v>890</v>
      </c>
      <c r="K222" s="859"/>
      <c r="L222" s="859"/>
      <c r="M222" s="859"/>
      <c r="P222" s="50" t="s">
        <v>2908</v>
      </c>
    </row>
    <row r="223" spans="1:16" ht="12">
      <c r="A223" s="1198" t="s">
        <v>3088</v>
      </c>
      <c r="B223" s="1200">
        <v>260</v>
      </c>
      <c r="C223" s="1198" t="s">
        <v>315</v>
      </c>
      <c r="D223" s="1202"/>
      <c r="E223" s="1202"/>
      <c r="F223" s="1202"/>
      <c r="G223" s="1202"/>
      <c r="H223" s="1202"/>
      <c r="I223" s="859"/>
      <c r="J223" s="857" t="s">
        <v>890</v>
      </c>
      <c r="K223" s="859"/>
      <c r="L223" s="859"/>
      <c r="M223" s="859"/>
      <c r="P223" s="50" t="s">
        <v>2908</v>
      </c>
    </row>
    <row r="224" spans="1:16" ht="12">
      <c r="A224" s="1198" t="s">
        <v>3089</v>
      </c>
      <c r="B224" s="1200">
        <v>259</v>
      </c>
      <c r="C224" s="1198" t="s">
        <v>315</v>
      </c>
      <c r="D224" s="1202"/>
      <c r="E224" s="1202"/>
      <c r="F224" s="1202"/>
      <c r="G224" s="1202"/>
      <c r="H224" s="1202"/>
      <c r="I224" s="859"/>
      <c r="J224" s="857" t="s">
        <v>890</v>
      </c>
      <c r="K224" s="859"/>
      <c r="L224" s="859"/>
      <c r="M224" s="859"/>
      <c r="P224" s="50" t="s">
        <v>2908</v>
      </c>
    </row>
    <row r="226" spans="1:16" ht="12">
      <c r="A226" s="50" t="s">
        <v>3090</v>
      </c>
    </row>
    <row r="227" spans="1:16" ht="12">
      <c r="A227" s="1205" t="s">
        <v>791</v>
      </c>
      <c r="B227" s="1207">
        <v>235</v>
      </c>
      <c r="C227" s="1208"/>
      <c r="D227" s="1208"/>
      <c r="E227" s="1208"/>
      <c r="F227" s="1208"/>
      <c r="G227" s="1208"/>
      <c r="H227" s="1208"/>
      <c r="I227" s="907"/>
      <c r="J227" s="907"/>
      <c r="K227" s="907"/>
      <c r="L227" s="907"/>
      <c r="M227" s="907"/>
      <c r="P227" s="50" t="s">
        <v>57</v>
      </c>
    </row>
    <row r="228" spans="1:16" ht="24">
      <c r="A228" s="1205" t="s">
        <v>3091</v>
      </c>
      <c r="B228" s="1207">
        <v>286</v>
      </c>
      <c r="C228" s="1205" t="s">
        <v>315</v>
      </c>
      <c r="D228" s="1208"/>
      <c r="E228" s="1208"/>
      <c r="F228" s="1205" t="s">
        <v>929</v>
      </c>
      <c r="G228" s="1205" t="s">
        <v>1075</v>
      </c>
      <c r="H228" s="1205">
        <v>120</v>
      </c>
      <c r="I228" s="903" t="s">
        <v>583</v>
      </c>
      <c r="J228" s="903" t="s">
        <v>1070</v>
      </c>
      <c r="K228" s="903" t="s">
        <v>111</v>
      </c>
      <c r="L228" s="903" t="s">
        <v>782</v>
      </c>
      <c r="M228" s="903" t="s">
        <v>1078</v>
      </c>
      <c r="P228" s="50" t="s">
        <v>57</v>
      </c>
    </row>
    <row r="229" spans="1:16" ht="60">
      <c r="A229" s="1205" t="s">
        <v>3092</v>
      </c>
      <c r="B229" s="1207">
        <v>301</v>
      </c>
      <c r="C229" s="1205" t="s">
        <v>137</v>
      </c>
      <c r="D229" s="1208"/>
      <c r="E229" s="1208"/>
      <c r="F229" s="1205" t="s">
        <v>1131</v>
      </c>
      <c r="G229" s="1205" t="s">
        <v>836</v>
      </c>
      <c r="H229" s="1205">
        <v>253</v>
      </c>
      <c r="I229" s="903" t="s">
        <v>583</v>
      </c>
      <c r="J229" s="903" t="s">
        <v>881</v>
      </c>
      <c r="K229" s="903" t="s">
        <v>111</v>
      </c>
      <c r="L229" s="903" t="s">
        <v>782</v>
      </c>
      <c r="M229" s="903" t="s">
        <v>1133</v>
      </c>
      <c r="P229" s="50" t="s">
        <v>57</v>
      </c>
    </row>
    <row r="230" spans="1:16" ht="24">
      <c r="A230" s="1205" t="s">
        <v>3093</v>
      </c>
      <c r="B230" s="1207">
        <v>302</v>
      </c>
      <c r="C230" s="1205" t="s">
        <v>137</v>
      </c>
      <c r="D230" s="1205" t="s">
        <v>1136</v>
      </c>
      <c r="E230" s="1208"/>
      <c r="F230" s="1205" t="s">
        <v>552</v>
      </c>
      <c r="G230" s="1205" t="s">
        <v>836</v>
      </c>
      <c r="H230" s="1205">
        <v>289</v>
      </c>
      <c r="I230" s="903" t="s">
        <v>583</v>
      </c>
      <c r="J230" s="903" t="s">
        <v>881</v>
      </c>
      <c r="K230" s="903" t="s">
        <v>111</v>
      </c>
      <c r="L230" s="903" t="s">
        <v>782</v>
      </c>
      <c r="M230" s="903" t="s">
        <v>1138</v>
      </c>
      <c r="P230" s="50" t="s">
        <v>57</v>
      </c>
    </row>
    <row r="231" spans="1:16" ht="24">
      <c r="A231" s="1209" t="s">
        <v>3094</v>
      </c>
      <c r="B231" s="1207">
        <v>385</v>
      </c>
      <c r="C231" s="1205" t="s">
        <v>137</v>
      </c>
      <c r="D231" s="1205" t="s">
        <v>1487</v>
      </c>
      <c r="E231" s="1208"/>
      <c r="F231" s="1208"/>
      <c r="G231" s="1208"/>
      <c r="H231" s="1205">
        <v>380</v>
      </c>
      <c r="I231" s="903" t="s">
        <v>583</v>
      </c>
      <c r="J231" s="903" t="s">
        <v>881</v>
      </c>
      <c r="K231" s="903" t="s">
        <v>111</v>
      </c>
      <c r="L231" s="907"/>
      <c r="M231" s="903" t="s">
        <v>1489</v>
      </c>
      <c r="P231" s="50" t="s">
        <v>57</v>
      </c>
    </row>
    <row r="232" spans="1:16" ht="24">
      <c r="A232" s="1209" t="s">
        <v>3095</v>
      </c>
      <c r="B232" s="1207">
        <v>380</v>
      </c>
      <c r="C232" s="1205" t="s">
        <v>137</v>
      </c>
      <c r="D232" s="1205" t="s">
        <v>1459</v>
      </c>
      <c r="E232" s="1208"/>
      <c r="F232" s="1208"/>
      <c r="G232" s="1208"/>
      <c r="H232" s="1205">
        <v>302</v>
      </c>
      <c r="I232" s="903" t="s">
        <v>583</v>
      </c>
      <c r="J232" s="903" t="s">
        <v>881</v>
      </c>
      <c r="K232" s="903" t="s">
        <v>111</v>
      </c>
      <c r="L232" s="903" t="s">
        <v>1453</v>
      </c>
      <c r="M232" s="903" t="s">
        <v>1464</v>
      </c>
      <c r="P232" s="50" t="s">
        <v>57</v>
      </c>
    </row>
    <row r="233" spans="1:16" ht="24">
      <c r="A233" s="1210" t="s">
        <v>3096</v>
      </c>
      <c r="B233" s="1207">
        <v>387</v>
      </c>
      <c r="C233" s="1205" t="s">
        <v>137</v>
      </c>
      <c r="D233" s="1205" t="s">
        <v>1496</v>
      </c>
      <c r="E233" s="1208"/>
      <c r="F233" s="1208"/>
      <c r="G233" s="1208"/>
      <c r="H233" s="1205">
        <v>301</v>
      </c>
      <c r="I233" s="903" t="s">
        <v>583</v>
      </c>
      <c r="J233" s="903" t="s">
        <v>881</v>
      </c>
      <c r="K233" s="903" t="s">
        <v>111</v>
      </c>
      <c r="L233" s="907"/>
      <c r="M233" s="903" t="s">
        <v>1497</v>
      </c>
      <c r="P233" s="50" t="s">
        <v>57</v>
      </c>
    </row>
    <row r="234" spans="1:16" ht="12">
      <c r="A234" s="1205" t="s">
        <v>927</v>
      </c>
      <c r="B234" s="1207">
        <v>274</v>
      </c>
      <c r="C234" s="1208"/>
      <c r="D234" s="1205" t="s">
        <v>928</v>
      </c>
      <c r="E234" s="1208"/>
      <c r="F234" s="1205" t="s">
        <v>929</v>
      </c>
      <c r="G234" s="1205" t="s">
        <v>930</v>
      </c>
      <c r="H234" s="1208"/>
      <c r="I234" s="907"/>
      <c r="J234" s="903" t="s">
        <v>872</v>
      </c>
      <c r="K234" s="907"/>
      <c r="L234" s="907"/>
      <c r="M234" s="907"/>
      <c r="P234" s="50" t="s">
        <v>57</v>
      </c>
    </row>
    <row r="235" spans="1:16" ht="12">
      <c r="A235" s="1205" t="s">
        <v>842</v>
      </c>
      <c r="B235" s="1207">
        <v>253</v>
      </c>
      <c r="C235" s="1208"/>
      <c r="D235" s="1205" t="s">
        <v>844</v>
      </c>
      <c r="E235" s="1208"/>
      <c r="F235" s="1208"/>
      <c r="G235" s="1208"/>
      <c r="H235" s="1205">
        <v>199</v>
      </c>
      <c r="I235" s="907"/>
      <c r="J235" s="903" t="s">
        <v>158</v>
      </c>
      <c r="K235" s="907"/>
      <c r="L235" s="907"/>
      <c r="M235" s="903" t="s">
        <v>846</v>
      </c>
      <c r="P235" s="50" t="s">
        <v>57</v>
      </c>
    </row>
    <row r="236" spans="1:16" ht="12">
      <c r="A236" s="1205" t="s">
        <v>3097</v>
      </c>
      <c r="B236" s="1207">
        <v>410</v>
      </c>
      <c r="C236" s="1208"/>
      <c r="D236" s="1208"/>
      <c r="E236" s="1208"/>
      <c r="F236" s="1208"/>
      <c r="G236" s="1208"/>
      <c r="H236" s="1208"/>
      <c r="P236" s="50" t="s">
        <v>57</v>
      </c>
    </row>
    <row r="237" spans="1:16" ht="12">
      <c r="A237" s="1205" t="s">
        <v>3098</v>
      </c>
      <c r="B237" s="1207">
        <v>411</v>
      </c>
      <c r="C237" s="1208"/>
      <c r="D237" s="1208"/>
      <c r="E237" s="1208"/>
      <c r="F237" s="1208"/>
      <c r="G237" s="1208"/>
      <c r="H237" s="1208"/>
      <c r="P237" s="50" t="s">
        <v>57</v>
      </c>
    </row>
    <row r="238" spans="1:16" ht="12">
      <c r="A238" s="1205" t="s">
        <v>3099</v>
      </c>
      <c r="B238" s="1207">
        <v>414</v>
      </c>
      <c r="C238" s="1208"/>
      <c r="D238" s="1208"/>
      <c r="E238" s="1208"/>
      <c r="F238" s="1208"/>
      <c r="G238" s="1208"/>
      <c r="H238" s="1208"/>
      <c r="P238" s="50" t="s">
        <v>57</v>
      </c>
    </row>
    <row r="239" spans="1:16" ht="12">
      <c r="A239" s="1205" t="s">
        <v>3100</v>
      </c>
      <c r="B239" s="1207">
        <v>415</v>
      </c>
      <c r="C239" s="1208"/>
      <c r="D239" s="1208"/>
      <c r="E239" s="1208"/>
      <c r="F239" s="1208"/>
      <c r="G239" s="1208"/>
      <c r="H239" s="1208"/>
      <c r="P239" s="50" t="s">
        <v>57</v>
      </c>
    </row>
    <row r="240" spans="1:16" ht="12">
      <c r="B240" s="18"/>
    </row>
    <row r="241" spans="1:16" ht="17.25" customHeight="1">
      <c r="A241" s="50" t="s">
        <v>3101</v>
      </c>
      <c r="B241" s="18"/>
    </row>
    <row r="242" spans="1:16" ht="10.5" customHeight="1">
      <c r="A242" s="1211" t="s">
        <v>3102</v>
      </c>
      <c r="B242" s="1212">
        <v>91</v>
      </c>
      <c r="C242" s="1211" t="s">
        <v>137</v>
      </c>
      <c r="D242" s="1213"/>
      <c r="E242" s="1213"/>
      <c r="F242" s="1213"/>
      <c r="G242" s="1213"/>
      <c r="H242" s="1213"/>
      <c r="I242" s="1211" t="s">
        <v>141</v>
      </c>
      <c r="J242" s="1211" t="s">
        <v>142</v>
      </c>
      <c r="K242" s="1211" t="s">
        <v>96</v>
      </c>
      <c r="L242" s="1211" t="s">
        <v>82</v>
      </c>
      <c r="M242" s="1213"/>
      <c r="P242" s="50" t="s">
        <v>57</v>
      </c>
    </row>
    <row r="243" spans="1:16" ht="12" customHeight="1">
      <c r="A243" s="1211" t="s">
        <v>783</v>
      </c>
      <c r="B243" s="1212">
        <v>232</v>
      </c>
      <c r="C243" s="1213"/>
      <c r="D243" s="1211" t="s">
        <v>784</v>
      </c>
      <c r="E243" s="1213"/>
      <c r="F243" s="1213"/>
      <c r="G243" s="1213"/>
      <c r="H243" s="1213"/>
      <c r="I243" s="1213"/>
      <c r="J243" s="1214" t="s">
        <v>781</v>
      </c>
      <c r="K243" s="1213"/>
      <c r="L243" s="1213"/>
      <c r="M243" s="1213"/>
      <c r="P243" s="50" t="s">
        <v>57</v>
      </c>
    </row>
    <row r="244" spans="1:16" ht="24">
      <c r="A244" s="1211" t="s">
        <v>3103</v>
      </c>
      <c r="B244" s="1212">
        <v>364</v>
      </c>
      <c r="C244" s="1211" t="s">
        <v>137</v>
      </c>
      <c r="D244" s="1213"/>
      <c r="E244" s="1213"/>
      <c r="F244" s="1213"/>
      <c r="G244" s="1213"/>
      <c r="H244" s="1211">
        <v>93</v>
      </c>
      <c r="I244" s="1211" t="s">
        <v>1303</v>
      </c>
      <c r="J244" s="1211" t="s">
        <v>881</v>
      </c>
      <c r="K244" s="1211" t="s">
        <v>111</v>
      </c>
      <c r="L244" s="1211" t="s">
        <v>782</v>
      </c>
      <c r="M244" s="1211" t="s">
        <v>1397</v>
      </c>
      <c r="P244" s="50" t="s">
        <v>57</v>
      </c>
    </row>
    <row r="245" spans="1:16" ht="24">
      <c r="A245" s="1211" t="s">
        <v>3104</v>
      </c>
      <c r="B245" s="1212">
        <v>287</v>
      </c>
      <c r="C245" s="1211" t="s">
        <v>315</v>
      </c>
      <c r="D245" s="1213"/>
      <c r="E245" s="1213"/>
      <c r="F245" s="1211" t="s">
        <v>929</v>
      </c>
      <c r="G245" s="1211" t="s">
        <v>1075</v>
      </c>
      <c r="H245" s="1211">
        <v>120</v>
      </c>
      <c r="I245" s="1211" t="s">
        <v>583</v>
      </c>
      <c r="J245" s="1211" t="s">
        <v>1070</v>
      </c>
      <c r="K245" s="1211" t="s">
        <v>111</v>
      </c>
      <c r="L245" s="1211" t="s">
        <v>782</v>
      </c>
      <c r="M245" s="1211" t="s">
        <v>1080</v>
      </c>
      <c r="P245" s="50" t="s">
        <v>57</v>
      </c>
    </row>
    <row r="246" spans="1:16" ht="12">
      <c r="A246" s="1211" t="s">
        <v>3105</v>
      </c>
      <c r="B246" s="1212">
        <v>199</v>
      </c>
      <c r="C246" s="1211" t="s">
        <v>137</v>
      </c>
      <c r="D246" s="1211" t="s">
        <v>683</v>
      </c>
      <c r="E246" s="1211">
        <v>6.2</v>
      </c>
      <c r="F246" s="1211" t="s">
        <v>552</v>
      </c>
      <c r="G246" s="1211" t="s">
        <v>684</v>
      </c>
      <c r="H246" s="1213"/>
      <c r="I246" s="1213"/>
      <c r="J246" s="1211" t="s">
        <v>95</v>
      </c>
      <c r="K246" s="1211" t="s">
        <v>686</v>
      </c>
      <c r="L246" s="1213"/>
      <c r="M246" s="1211" t="s">
        <v>687</v>
      </c>
      <c r="N246" s="73">
        <v>40578</v>
      </c>
      <c r="O246" s="50">
        <v>4.5</v>
      </c>
      <c r="P246" s="50" t="s">
        <v>57</v>
      </c>
    </row>
    <row r="247" spans="1:16" ht="12">
      <c r="A247" s="1211" t="s">
        <v>3106</v>
      </c>
      <c r="B247" s="1212">
        <v>92</v>
      </c>
      <c r="C247" s="1211" t="s">
        <v>137</v>
      </c>
      <c r="D247" s="1213"/>
      <c r="E247" s="1213"/>
      <c r="F247" s="1211" t="s">
        <v>400</v>
      </c>
      <c r="G247" s="1211" t="s">
        <v>418</v>
      </c>
      <c r="H247" s="1213"/>
      <c r="I247" s="1211" t="s">
        <v>141</v>
      </c>
      <c r="J247" s="1211" t="s">
        <v>142</v>
      </c>
      <c r="K247" s="1211" t="s">
        <v>96</v>
      </c>
      <c r="L247" s="1211" t="s">
        <v>82</v>
      </c>
      <c r="M247" s="1213"/>
      <c r="P247" s="50" t="s">
        <v>57</v>
      </c>
    </row>
    <row r="248" spans="1:16" ht="24">
      <c r="A248" s="1211" t="s">
        <v>3107</v>
      </c>
      <c r="B248" s="1212">
        <v>289</v>
      </c>
      <c r="C248" s="1211" t="s">
        <v>137</v>
      </c>
      <c r="D248" s="1211" t="s">
        <v>1084</v>
      </c>
      <c r="E248" s="1213"/>
      <c r="F248" s="1211" t="s">
        <v>400</v>
      </c>
      <c r="G248" s="1211" t="s">
        <v>1085</v>
      </c>
      <c r="H248" s="1211">
        <v>92</v>
      </c>
      <c r="I248" s="1213"/>
      <c r="J248" s="1211" t="s">
        <v>1086</v>
      </c>
      <c r="K248" s="1213"/>
      <c r="L248" s="1211" t="s">
        <v>782</v>
      </c>
      <c r="M248" s="1211" t="s">
        <v>1087</v>
      </c>
      <c r="P248" s="50" t="s">
        <v>57</v>
      </c>
    </row>
    <row r="249" spans="1:16" ht="24">
      <c r="A249" s="1214" t="s">
        <v>3108</v>
      </c>
      <c r="B249" s="1212">
        <v>378</v>
      </c>
      <c r="C249" s="1211" t="s">
        <v>137</v>
      </c>
      <c r="D249" s="1214" t="s">
        <v>1456</v>
      </c>
      <c r="E249" s="1213"/>
      <c r="F249" s="1213"/>
      <c r="G249" s="1213"/>
      <c r="H249" s="1211">
        <v>92</v>
      </c>
      <c r="I249" s="1211" t="s">
        <v>583</v>
      </c>
      <c r="J249" s="1211" t="s">
        <v>881</v>
      </c>
      <c r="K249" s="1211" t="s">
        <v>111</v>
      </c>
      <c r="L249" s="1211" t="s">
        <v>1453</v>
      </c>
      <c r="M249" s="1211" t="s">
        <v>1457</v>
      </c>
      <c r="P249" s="50" t="s">
        <v>57</v>
      </c>
    </row>
    <row r="250" spans="1:16" ht="24">
      <c r="A250" s="1214" t="s">
        <v>3109</v>
      </c>
      <c r="B250" s="1212">
        <v>386</v>
      </c>
      <c r="C250" s="1211" t="s">
        <v>137</v>
      </c>
      <c r="D250" s="1211" t="s">
        <v>1487</v>
      </c>
      <c r="E250" s="1213"/>
      <c r="F250" s="1213"/>
      <c r="G250" s="1213"/>
      <c r="H250" s="1211">
        <v>379</v>
      </c>
      <c r="I250" s="1211" t="s">
        <v>583</v>
      </c>
      <c r="J250" s="1211" t="s">
        <v>881</v>
      </c>
      <c r="K250" s="1211" t="s">
        <v>111</v>
      </c>
      <c r="L250" s="1213"/>
      <c r="M250" s="1211" t="s">
        <v>1491</v>
      </c>
      <c r="P250" s="50" t="s">
        <v>57</v>
      </c>
    </row>
    <row r="251" spans="1:16" ht="24">
      <c r="A251" s="1214" t="s">
        <v>3110</v>
      </c>
      <c r="B251" s="1212">
        <v>379</v>
      </c>
      <c r="C251" s="1211" t="s">
        <v>137</v>
      </c>
      <c r="D251" s="1211" t="s">
        <v>1459</v>
      </c>
      <c r="E251" s="1213"/>
      <c r="F251" s="1213"/>
      <c r="G251" s="1213"/>
      <c r="H251" s="1211">
        <v>289</v>
      </c>
      <c r="I251" s="1211" t="s">
        <v>583</v>
      </c>
      <c r="J251" s="1211" t="s">
        <v>881</v>
      </c>
      <c r="K251" s="1211" t="s">
        <v>111</v>
      </c>
      <c r="L251" s="1211" t="s">
        <v>1453</v>
      </c>
      <c r="M251" s="1211" t="s">
        <v>1460</v>
      </c>
      <c r="P251" s="50" t="s">
        <v>57</v>
      </c>
    </row>
    <row r="252" spans="1:16" ht="14.25" customHeight="1">
      <c r="A252" s="1211" t="s">
        <v>3111</v>
      </c>
      <c r="B252" s="1212">
        <v>93</v>
      </c>
      <c r="C252" s="1211" t="s">
        <v>137</v>
      </c>
      <c r="D252" s="1213"/>
      <c r="E252" s="1211">
        <v>5.2</v>
      </c>
      <c r="F252" s="1211" t="s">
        <v>186</v>
      </c>
      <c r="G252" s="1211" t="s">
        <v>188</v>
      </c>
      <c r="H252" s="1213"/>
      <c r="I252" s="1211" t="s">
        <v>141</v>
      </c>
      <c r="J252" s="1211" t="s">
        <v>142</v>
      </c>
      <c r="K252" s="1211" t="s">
        <v>96</v>
      </c>
      <c r="L252" s="1211" t="s">
        <v>82</v>
      </c>
      <c r="M252" s="1213"/>
      <c r="P252" s="50" t="s">
        <v>57</v>
      </c>
    </row>
    <row r="253" spans="1:16" ht="1.5" customHeight="1">
      <c r="A253" s="1211" t="s">
        <v>3112</v>
      </c>
      <c r="B253" s="1212">
        <v>89</v>
      </c>
      <c r="C253" s="1211" t="s">
        <v>137</v>
      </c>
      <c r="D253" s="1213"/>
      <c r="E253" s="1213"/>
      <c r="F253" s="1213"/>
      <c r="G253" s="1213"/>
      <c r="H253" s="1213"/>
      <c r="I253" s="1211" t="s">
        <v>141</v>
      </c>
      <c r="J253" s="1211" t="s">
        <v>142</v>
      </c>
      <c r="K253" s="1211" t="s">
        <v>96</v>
      </c>
      <c r="L253" s="1211" t="s">
        <v>82</v>
      </c>
      <c r="M253" s="1213"/>
      <c r="P253" s="50" t="s">
        <v>57</v>
      </c>
    </row>
    <row r="254" spans="1:16" ht="24">
      <c r="A254" s="1211" t="s">
        <v>800</v>
      </c>
      <c r="B254" s="1212">
        <v>239</v>
      </c>
      <c r="C254" s="1211" t="s">
        <v>137</v>
      </c>
      <c r="D254" s="1211" t="s">
        <v>801</v>
      </c>
      <c r="E254" s="1213"/>
      <c r="F254" s="1213"/>
      <c r="G254" s="1213"/>
      <c r="H254" s="1215" t="s">
        <v>803</v>
      </c>
      <c r="I254" s="1213"/>
      <c r="J254" s="1211" t="s">
        <v>804</v>
      </c>
      <c r="K254" s="1211" t="s">
        <v>111</v>
      </c>
      <c r="L254" s="1213"/>
      <c r="M254" s="1213"/>
      <c r="P254" s="50" t="s">
        <v>57</v>
      </c>
    </row>
    <row r="255" spans="1:16" ht="24">
      <c r="A255" s="1211" t="s">
        <v>806</v>
      </c>
      <c r="B255" s="1212">
        <v>240</v>
      </c>
      <c r="C255" s="1211" t="s">
        <v>137</v>
      </c>
      <c r="D255" s="1211" t="s">
        <v>807</v>
      </c>
      <c r="E255" s="1213"/>
      <c r="F255" s="1213"/>
      <c r="G255" s="1213"/>
      <c r="H255" s="1215" t="s">
        <v>803</v>
      </c>
      <c r="I255" s="1213"/>
      <c r="J255" s="1211" t="s">
        <v>804</v>
      </c>
      <c r="K255" s="1211" t="s">
        <v>111</v>
      </c>
      <c r="L255" s="1213"/>
      <c r="M255" s="1213"/>
      <c r="P255" s="50" t="s">
        <v>57</v>
      </c>
    </row>
    <row r="256" spans="1:16" ht="24">
      <c r="A256" s="1216" t="s">
        <v>3113</v>
      </c>
      <c r="B256" s="1212">
        <v>370</v>
      </c>
      <c r="C256" s="1211" t="s">
        <v>137</v>
      </c>
      <c r="D256" s="1213"/>
      <c r="E256" s="1213"/>
      <c r="F256" s="1213"/>
      <c r="G256" s="1213"/>
      <c r="H256" s="1211">
        <v>93</v>
      </c>
      <c r="I256" s="1211" t="s">
        <v>1303</v>
      </c>
      <c r="J256" s="1211" t="s">
        <v>881</v>
      </c>
      <c r="K256" s="1211" t="s">
        <v>111</v>
      </c>
      <c r="L256" s="1211" t="s">
        <v>782</v>
      </c>
      <c r="M256" s="1211" t="s">
        <v>1437</v>
      </c>
      <c r="N256" s="50" t="s">
        <v>415</v>
      </c>
      <c r="O256" s="50">
        <v>1.23</v>
      </c>
      <c r="P256" s="50" t="s">
        <v>57</v>
      </c>
    </row>
    <row r="257" spans="1:16" ht="12">
      <c r="A257" s="1211" t="s">
        <v>3114</v>
      </c>
      <c r="B257" s="1212">
        <v>90</v>
      </c>
      <c r="C257" s="1211" t="s">
        <v>137</v>
      </c>
      <c r="D257" s="1213"/>
      <c r="E257" s="1213"/>
      <c r="F257" s="1213"/>
      <c r="G257" s="1213"/>
      <c r="H257" s="1213"/>
      <c r="I257" s="1211" t="s">
        <v>141</v>
      </c>
      <c r="J257" s="1211" t="s">
        <v>142</v>
      </c>
      <c r="K257" s="1211" t="s">
        <v>96</v>
      </c>
      <c r="L257" s="1211" t="s">
        <v>82</v>
      </c>
      <c r="M257" s="1213"/>
      <c r="P257" s="50" t="s">
        <v>57</v>
      </c>
    </row>
    <row r="258" spans="1:16" ht="12">
      <c r="A258" s="1211" t="s">
        <v>711</v>
      </c>
      <c r="B258" s="1212">
        <v>209</v>
      </c>
      <c r="C258" s="1213"/>
      <c r="D258" s="1211" t="s">
        <v>712</v>
      </c>
      <c r="E258" s="1213"/>
      <c r="F258" s="1213"/>
      <c r="G258" s="1213"/>
      <c r="H258" s="1213"/>
      <c r="I258" s="1211" t="s">
        <v>699</v>
      </c>
      <c r="J258" s="1211" t="s">
        <v>95</v>
      </c>
      <c r="K258" s="1213"/>
      <c r="L258" s="1213"/>
      <c r="M258" s="1213"/>
      <c r="P258" s="50" t="s">
        <v>57</v>
      </c>
    </row>
    <row r="259" spans="1:16" ht="24">
      <c r="A259" s="1214" t="s">
        <v>1524</v>
      </c>
      <c r="B259" s="1212">
        <v>394</v>
      </c>
      <c r="C259" s="1211" t="s">
        <v>137</v>
      </c>
      <c r="D259" s="1211" t="s">
        <v>1525</v>
      </c>
      <c r="E259" s="1213"/>
      <c r="F259" s="1213"/>
      <c r="G259" s="1213"/>
      <c r="H259" s="1211">
        <v>387</v>
      </c>
      <c r="I259" s="1211" t="s">
        <v>583</v>
      </c>
      <c r="J259" s="1211" t="s">
        <v>881</v>
      </c>
      <c r="K259" s="1211" t="s">
        <v>111</v>
      </c>
      <c r="L259" s="1211" t="s">
        <v>1453</v>
      </c>
      <c r="M259" s="1211" t="s">
        <v>1526</v>
      </c>
      <c r="P259" s="50" t="s">
        <v>57</v>
      </c>
    </row>
    <row r="260" spans="1:16" ht="24">
      <c r="A260" s="1214" t="s">
        <v>3115</v>
      </c>
      <c r="B260" s="1212">
        <v>395</v>
      </c>
      <c r="C260" s="1211" t="s">
        <v>137</v>
      </c>
      <c r="D260" s="1211" t="s">
        <v>3116</v>
      </c>
      <c r="E260" s="1213"/>
      <c r="F260" s="1213"/>
      <c r="G260" s="1213"/>
      <c r="H260" s="1211">
        <v>380</v>
      </c>
      <c r="I260" s="1211" t="s">
        <v>583</v>
      </c>
      <c r="J260" s="1211" t="s">
        <v>881</v>
      </c>
      <c r="K260" s="1211" t="s">
        <v>111</v>
      </c>
      <c r="L260" s="1211" t="s">
        <v>1453</v>
      </c>
      <c r="M260" s="1211" t="s">
        <v>1529</v>
      </c>
      <c r="P260" s="50" t="s">
        <v>57</v>
      </c>
    </row>
    <row r="261" spans="1:16" ht="12">
      <c r="A261" s="1214" t="s">
        <v>1533</v>
      </c>
      <c r="B261" s="1212">
        <v>398</v>
      </c>
      <c r="C261" s="1211" t="s">
        <v>137</v>
      </c>
      <c r="D261" s="1211" t="s">
        <v>1525</v>
      </c>
      <c r="E261" s="1213"/>
      <c r="F261" s="1213"/>
      <c r="G261" s="1213"/>
      <c r="H261" s="1211">
        <v>378</v>
      </c>
      <c r="P261" s="50" t="s">
        <v>57</v>
      </c>
    </row>
    <row r="262" spans="1:16" ht="24">
      <c r="A262" s="1214" t="s">
        <v>1536</v>
      </c>
      <c r="B262" s="1212">
        <v>399</v>
      </c>
      <c r="C262" s="1211" t="s">
        <v>137</v>
      </c>
      <c r="D262" s="1211" t="s">
        <v>1537</v>
      </c>
      <c r="E262" s="1213"/>
      <c r="F262" s="1213"/>
      <c r="G262" s="1213"/>
      <c r="H262" s="1211">
        <v>379</v>
      </c>
      <c r="P262" s="50" t="s">
        <v>57</v>
      </c>
    </row>
    <row r="263" spans="1:16" ht="12">
      <c r="A263" s="1211" t="s">
        <v>1540</v>
      </c>
      <c r="B263" s="1212">
        <v>400</v>
      </c>
      <c r="C263" s="1211" t="s">
        <v>137</v>
      </c>
      <c r="D263" s="1211" t="s">
        <v>1496</v>
      </c>
      <c r="E263" s="1213"/>
      <c r="F263" s="1213"/>
      <c r="G263" s="1213"/>
      <c r="H263" s="1211">
        <v>92</v>
      </c>
      <c r="P263" s="50" t="s">
        <v>57</v>
      </c>
    </row>
    <row r="264" spans="1:16" ht="12">
      <c r="A264" s="1211" t="s">
        <v>3117</v>
      </c>
      <c r="B264" s="1212">
        <v>408</v>
      </c>
      <c r="C264" s="1213"/>
      <c r="D264" s="1213"/>
      <c r="E264" s="1213"/>
      <c r="F264" s="1213"/>
      <c r="G264" s="1213"/>
      <c r="H264" s="1213"/>
      <c r="P264" s="50" t="s">
        <v>57</v>
      </c>
    </row>
    <row r="265" spans="1:16" ht="12">
      <c r="A265" s="1211" t="s">
        <v>3118</v>
      </c>
      <c r="B265" s="1212">
        <v>409</v>
      </c>
      <c r="C265" s="1213"/>
      <c r="D265" s="1213"/>
      <c r="E265" s="1213"/>
      <c r="F265" s="1213"/>
      <c r="G265" s="1213"/>
      <c r="H265" s="1213"/>
      <c r="P265" s="50" t="s">
        <v>57</v>
      </c>
    </row>
    <row r="266" spans="1:16" ht="12">
      <c r="A266" s="1211" t="s">
        <v>3119</v>
      </c>
      <c r="B266" s="1212">
        <v>412</v>
      </c>
      <c r="C266" s="1213"/>
      <c r="D266" s="1213"/>
      <c r="E266" s="1213"/>
      <c r="F266" s="1213"/>
      <c r="G266" s="1213"/>
      <c r="H266" s="1213"/>
      <c r="P266" s="50" t="s">
        <v>57</v>
      </c>
    </row>
    <row r="267" spans="1:16" ht="12">
      <c r="A267" s="1211" t="s">
        <v>3120</v>
      </c>
      <c r="B267" s="1212">
        <v>413</v>
      </c>
      <c r="C267" s="1213"/>
      <c r="D267" s="1213"/>
      <c r="E267" s="1213"/>
      <c r="F267" s="1213"/>
      <c r="G267" s="1213"/>
      <c r="H267" s="1213"/>
      <c r="P267" s="50" t="s">
        <v>57</v>
      </c>
    </row>
    <row r="268" spans="1:16" ht="12">
      <c r="A268" s="1211" t="s">
        <v>3121</v>
      </c>
      <c r="B268" s="1212">
        <v>403</v>
      </c>
      <c r="C268" s="1211" t="s">
        <v>137</v>
      </c>
      <c r="D268" s="1213"/>
      <c r="E268" s="1213"/>
      <c r="F268" s="1213"/>
      <c r="G268" s="1211">
        <v>391</v>
      </c>
      <c r="H268" s="1211">
        <v>391</v>
      </c>
      <c r="P268" s="50" t="s">
        <v>57</v>
      </c>
    </row>
    <row r="269" spans="1:16" ht="12">
      <c r="A269" s="1217" t="s">
        <v>1583</v>
      </c>
      <c r="B269" s="1212">
        <v>419</v>
      </c>
      <c r="C269" s="1211" t="s">
        <v>137</v>
      </c>
      <c r="D269" s="1213"/>
      <c r="E269" s="1213"/>
      <c r="F269" s="1213"/>
      <c r="G269" s="1211">
        <v>304</v>
      </c>
      <c r="H269" s="1211">
        <v>304</v>
      </c>
      <c r="P269" s="50" t="s">
        <v>57</v>
      </c>
    </row>
    <row r="270" spans="1:16" ht="12">
      <c r="A270" s="1211" t="s">
        <v>1611</v>
      </c>
      <c r="B270" s="1212">
        <v>432</v>
      </c>
      <c r="C270" s="1211" t="s">
        <v>137</v>
      </c>
      <c r="D270" s="1213"/>
      <c r="E270" s="1213"/>
      <c r="F270" s="1213"/>
      <c r="G270" s="1213"/>
      <c r="H270" s="1211">
        <v>304</v>
      </c>
      <c r="P270" s="50" t="s">
        <v>57</v>
      </c>
    </row>
    <row r="271" spans="1:16" ht="12">
      <c r="A271" s="1211" t="s">
        <v>3122</v>
      </c>
      <c r="B271" s="1212">
        <v>433</v>
      </c>
      <c r="C271" s="1211" t="s">
        <v>137</v>
      </c>
      <c r="D271" s="1213"/>
      <c r="E271" s="1213"/>
      <c r="F271" s="1213"/>
      <c r="G271" s="1213"/>
      <c r="H271" s="1211">
        <v>364</v>
      </c>
      <c r="P271" s="50" t="s">
        <v>57</v>
      </c>
    </row>
    <row r="272" spans="1:16" ht="12">
      <c r="A272" s="1211" t="s">
        <v>3123</v>
      </c>
      <c r="B272" s="1212">
        <v>439</v>
      </c>
      <c r="C272" s="1211" t="s">
        <v>137</v>
      </c>
      <c r="D272" s="1211" t="s">
        <v>1632</v>
      </c>
      <c r="E272" s="1213"/>
      <c r="F272" s="1213"/>
      <c r="G272" s="1213"/>
      <c r="H272" s="1211">
        <v>433</v>
      </c>
      <c r="P272" s="50" t="s">
        <v>57</v>
      </c>
    </row>
    <row r="273" spans="1:17" ht="12">
      <c r="A273" s="1211" t="s">
        <v>1572</v>
      </c>
      <c r="B273" s="1212">
        <v>450</v>
      </c>
      <c r="C273" s="1211" t="s">
        <v>137</v>
      </c>
      <c r="D273" s="1211" t="s">
        <v>1658</v>
      </c>
      <c r="E273" s="1213"/>
      <c r="F273" s="1213"/>
      <c r="G273" s="1213"/>
      <c r="H273" s="1211">
        <v>413</v>
      </c>
      <c r="P273" s="50" t="s">
        <v>57</v>
      </c>
    </row>
    <row r="274" spans="1:17" ht="12">
      <c r="A274" s="1211" t="s">
        <v>1570</v>
      </c>
      <c r="B274" s="1212">
        <v>456</v>
      </c>
      <c r="C274" s="1211" t="s">
        <v>137</v>
      </c>
      <c r="D274" s="1211" t="s">
        <v>1658</v>
      </c>
      <c r="E274" s="1213"/>
      <c r="F274" s="1213"/>
      <c r="G274" s="1213"/>
      <c r="H274" s="1211">
        <v>412</v>
      </c>
      <c r="I274" s="50">
        <v>412</v>
      </c>
      <c r="P274" s="50" t="s">
        <v>57</v>
      </c>
    </row>
    <row r="275" spans="1:17" ht="13">
      <c r="A275" s="1218" t="s">
        <v>3124</v>
      </c>
      <c r="B275" s="1219">
        <v>457</v>
      </c>
      <c r="C275" s="1211" t="s">
        <v>137</v>
      </c>
      <c r="D275" s="1213"/>
      <c r="E275" s="1213"/>
      <c r="F275" s="1213"/>
      <c r="G275" s="1213"/>
      <c r="H275" s="1211">
        <v>93</v>
      </c>
      <c r="P275" s="50" t="s">
        <v>57</v>
      </c>
    </row>
    <row r="276" spans="1:17" ht="12">
      <c r="A276" s="1221" t="s">
        <v>1677</v>
      </c>
      <c r="B276" s="1212">
        <v>458</v>
      </c>
      <c r="C276" s="1211" t="s">
        <v>137</v>
      </c>
      <c r="D276" s="1213"/>
      <c r="E276" s="1213"/>
      <c r="F276" s="1213"/>
      <c r="G276" s="1213"/>
      <c r="H276" s="1211">
        <v>409</v>
      </c>
      <c r="P276" s="50" t="s">
        <v>57</v>
      </c>
    </row>
    <row r="277" spans="1:17" ht="12">
      <c r="A277" s="1211" t="s">
        <v>1704</v>
      </c>
      <c r="B277" s="1212">
        <v>467</v>
      </c>
      <c r="C277" s="1211" t="s">
        <v>137</v>
      </c>
      <c r="D277" s="1213"/>
      <c r="E277" s="1213"/>
      <c r="F277" s="1213"/>
      <c r="G277" s="1213"/>
      <c r="H277" s="1211">
        <v>408</v>
      </c>
      <c r="P277" s="50" t="s">
        <v>57</v>
      </c>
    </row>
    <row r="278" spans="1:17" ht="12">
      <c r="A278" s="1211" t="s">
        <v>1705</v>
      </c>
      <c r="B278" s="1212">
        <v>468</v>
      </c>
      <c r="C278" s="1211" t="s">
        <v>137</v>
      </c>
      <c r="D278" s="1213"/>
      <c r="E278" s="1213"/>
      <c r="F278" s="1213"/>
      <c r="G278" s="1213"/>
      <c r="H278" s="1211">
        <v>409</v>
      </c>
      <c r="P278" s="50" t="s">
        <v>57</v>
      </c>
    </row>
    <row r="279" spans="1:17" ht="12">
      <c r="A279" s="1211" t="s">
        <v>1707</v>
      </c>
      <c r="B279" s="1212">
        <v>470</v>
      </c>
      <c r="C279" s="1211" t="s">
        <v>137</v>
      </c>
      <c r="D279" s="1213"/>
      <c r="H279" s="1211">
        <v>408</v>
      </c>
      <c r="P279" s="50" t="s">
        <v>57</v>
      </c>
    </row>
    <row r="280" spans="1:17" ht="12">
      <c r="A280" s="1211" t="s">
        <v>1708</v>
      </c>
      <c r="B280" s="1212">
        <v>471</v>
      </c>
      <c r="C280" s="1211" t="s">
        <v>137</v>
      </c>
      <c r="D280" s="1213"/>
      <c r="E280" s="1213"/>
      <c r="F280" s="1213"/>
      <c r="G280" s="1213"/>
      <c r="H280" s="1211">
        <v>409</v>
      </c>
      <c r="P280" s="50" t="s">
        <v>57</v>
      </c>
    </row>
    <row r="281" spans="1:17" ht="12">
      <c r="A281" s="1211" t="s">
        <v>1013</v>
      </c>
      <c r="B281" s="1212">
        <v>500</v>
      </c>
      <c r="C281" s="1211" t="s">
        <v>137</v>
      </c>
      <c r="D281" s="1213"/>
      <c r="E281" s="1213"/>
      <c r="F281" s="1213"/>
      <c r="G281" s="1213"/>
      <c r="H281" s="1211">
        <v>93</v>
      </c>
      <c r="P281" s="50" t="s">
        <v>57</v>
      </c>
    </row>
    <row r="282" spans="1:17" ht="12">
      <c r="A282" s="1211" t="s">
        <v>1015</v>
      </c>
      <c r="B282" s="1212">
        <v>501</v>
      </c>
      <c r="C282" s="1211" t="s">
        <v>137</v>
      </c>
      <c r="D282" s="1213"/>
      <c r="E282" s="1213"/>
      <c r="F282" s="1213"/>
      <c r="G282" s="1213"/>
      <c r="H282" s="1211">
        <v>93</v>
      </c>
      <c r="P282" s="50" t="s">
        <v>57</v>
      </c>
    </row>
    <row r="283" spans="1:17" ht="12">
      <c r="A283" s="1211" t="s">
        <v>1017</v>
      </c>
      <c r="B283" s="1212">
        <v>502</v>
      </c>
      <c r="C283" s="1211" t="s">
        <v>137</v>
      </c>
      <c r="D283" s="1213"/>
      <c r="E283" s="1213"/>
      <c r="F283" s="1213"/>
      <c r="G283" s="1213"/>
      <c r="H283" s="1211">
        <v>364</v>
      </c>
      <c r="P283" s="50" t="s">
        <v>57</v>
      </c>
    </row>
    <row r="284" spans="1:17" ht="12">
      <c r="A284" s="1211" t="s">
        <v>1019</v>
      </c>
      <c r="B284" s="1212">
        <v>508</v>
      </c>
      <c r="C284" s="1211" t="s">
        <v>137</v>
      </c>
      <c r="D284" s="1213"/>
      <c r="E284" s="1213"/>
      <c r="F284" s="1213"/>
      <c r="G284" s="1213"/>
      <c r="H284" s="1211">
        <v>457</v>
      </c>
      <c r="P284" s="50" t="s">
        <v>57</v>
      </c>
    </row>
    <row r="285" spans="1:17" ht="13.5" customHeight="1">
      <c r="A285" s="1211" t="s">
        <v>1867</v>
      </c>
      <c r="B285" s="1212">
        <v>532</v>
      </c>
      <c r="C285" s="1211" t="s">
        <v>137</v>
      </c>
      <c r="D285" s="1213"/>
      <c r="E285" s="1213"/>
      <c r="F285" s="1213"/>
      <c r="G285" s="1213"/>
      <c r="H285" s="1211">
        <v>364</v>
      </c>
      <c r="P285" s="50" t="s">
        <v>57</v>
      </c>
    </row>
    <row r="287" spans="1:17" ht="12">
      <c r="A287" s="50" t="s">
        <v>3125</v>
      </c>
    </row>
    <row r="288" spans="1:17" ht="24">
      <c r="A288" s="838" t="s">
        <v>1465</v>
      </c>
      <c r="B288" s="1243">
        <v>381</v>
      </c>
      <c r="C288" s="842"/>
      <c r="D288" s="838" t="s">
        <v>1466</v>
      </c>
      <c r="E288" s="842"/>
      <c r="F288" s="842"/>
      <c r="G288" s="842"/>
      <c r="H288" s="842"/>
      <c r="I288" s="842"/>
      <c r="J288" s="838" t="s">
        <v>142</v>
      </c>
      <c r="K288" s="838" t="s">
        <v>111</v>
      </c>
      <c r="L288" s="838" t="s">
        <v>782</v>
      </c>
      <c r="M288" s="838" t="s">
        <v>1469</v>
      </c>
      <c r="P288" s="50" t="s">
        <v>3130</v>
      </c>
      <c r="Q288" s="50" t="s">
        <v>3131</v>
      </c>
    </row>
    <row r="289" spans="1:17" ht="24">
      <c r="A289" s="838" t="s">
        <v>3132</v>
      </c>
      <c r="B289" s="1243">
        <v>377</v>
      </c>
      <c r="C289" s="838" t="s">
        <v>137</v>
      </c>
      <c r="D289" s="838" t="s">
        <v>1452</v>
      </c>
      <c r="E289" s="842"/>
      <c r="F289" s="842"/>
      <c r="G289" s="842"/>
      <c r="H289" s="838">
        <v>360</v>
      </c>
      <c r="I289" s="838" t="s">
        <v>583</v>
      </c>
      <c r="J289" s="838" t="s">
        <v>881</v>
      </c>
      <c r="K289" s="838" t="s">
        <v>111</v>
      </c>
      <c r="L289" s="838" t="s">
        <v>1918</v>
      </c>
      <c r="M289" s="838" t="s">
        <v>1454</v>
      </c>
      <c r="N289" s="50" t="s">
        <v>171</v>
      </c>
      <c r="O289" s="50">
        <v>0.32</v>
      </c>
      <c r="P289" s="50" t="s">
        <v>3130</v>
      </c>
    </row>
    <row r="290" spans="1:17" ht="24">
      <c r="A290" s="1262" t="s">
        <v>3133</v>
      </c>
      <c r="B290" s="1243">
        <v>390</v>
      </c>
      <c r="C290" s="838" t="s">
        <v>137</v>
      </c>
      <c r="D290" s="848" t="s">
        <v>1509</v>
      </c>
      <c r="E290" s="842"/>
      <c r="F290" s="842"/>
      <c r="G290" s="842"/>
      <c r="H290" s="838">
        <v>360</v>
      </c>
      <c r="I290" s="838" t="s">
        <v>583</v>
      </c>
      <c r="J290" s="838" t="s">
        <v>881</v>
      </c>
      <c r="K290" s="838" t="s">
        <v>111</v>
      </c>
      <c r="L290" s="838" t="s">
        <v>796</v>
      </c>
      <c r="M290" s="838" t="s">
        <v>1510</v>
      </c>
      <c r="P290" s="50" t="s">
        <v>3130</v>
      </c>
    </row>
    <row r="291" spans="1:17" ht="24">
      <c r="A291" s="838" t="s">
        <v>3146</v>
      </c>
      <c r="B291" s="1243">
        <v>234</v>
      </c>
      <c r="C291" s="842"/>
      <c r="D291" s="838" t="s">
        <v>3147</v>
      </c>
      <c r="E291" s="842"/>
      <c r="F291" s="842"/>
      <c r="G291" s="842"/>
      <c r="H291" s="842"/>
      <c r="I291" s="842"/>
      <c r="J291" s="848" t="s">
        <v>781</v>
      </c>
      <c r="K291" s="842"/>
      <c r="L291" s="838" t="s">
        <v>782</v>
      </c>
      <c r="M291" s="848" t="s">
        <v>790</v>
      </c>
      <c r="P291" s="50" t="s">
        <v>3130</v>
      </c>
    </row>
    <row r="292" spans="1:17" ht="12">
      <c r="A292" s="838" t="s">
        <v>785</v>
      </c>
      <c r="B292" s="1243">
        <v>233</v>
      </c>
      <c r="C292" s="838" t="s">
        <v>137</v>
      </c>
      <c r="D292" s="838" t="s">
        <v>786</v>
      </c>
      <c r="E292" s="842"/>
      <c r="F292" s="842"/>
      <c r="G292" s="842"/>
      <c r="H292" s="842"/>
      <c r="I292" s="842"/>
      <c r="J292" s="848" t="s">
        <v>781</v>
      </c>
      <c r="K292" s="842"/>
      <c r="L292" s="842"/>
      <c r="M292" s="842"/>
      <c r="P292" s="50" t="s">
        <v>3130</v>
      </c>
    </row>
    <row r="293" spans="1:17" ht="12">
      <c r="A293" s="838" t="s">
        <v>976</v>
      </c>
      <c r="B293" s="1243">
        <v>478</v>
      </c>
      <c r="C293" s="842"/>
      <c r="D293" s="842"/>
      <c r="E293" s="842"/>
      <c r="F293" s="842"/>
      <c r="G293" s="842"/>
      <c r="H293" s="838">
        <v>234</v>
      </c>
      <c r="P293" s="50" t="s">
        <v>3130</v>
      </c>
    </row>
    <row r="295" spans="1:17" ht="12">
      <c r="A295" s="50" t="s">
        <v>3149</v>
      </c>
    </row>
    <row r="296" spans="1:17" ht="12">
      <c r="A296" s="1265" t="s">
        <v>1580</v>
      </c>
      <c r="B296" s="1267">
        <v>418</v>
      </c>
      <c r="C296" s="1268"/>
      <c r="D296" s="1268"/>
      <c r="E296" s="1268"/>
      <c r="F296" s="1268"/>
      <c r="G296" s="1268"/>
      <c r="H296" s="1268"/>
      <c r="P296" s="50" t="s">
        <v>3152</v>
      </c>
      <c r="Q296" s="50" t="s">
        <v>3153</v>
      </c>
    </row>
    <row r="297" spans="1:17" ht="9.75" customHeight="1">
      <c r="A297" s="1265" t="s">
        <v>1112</v>
      </c>
      <c r="B297" s="1269">
        <v>554</v>
      </c>
      <c r="C297" s="1268"/>
      <c r="D297" s="1268"/>
      <c r="E297" s="1268"/>
      <c r="F297" s="1268"/>
      <c r="G297" s="1268"/>
      <c r="H297" s="1268"/>
      <c r="P297" s="50" t="s">
        <v>3152</v>
      </c>
    </row>
    <row r="298" spans="1:17" ht="9.75" customHeight="1"/>
    <row r="299" spans="1:17" ht="17.25" customHeight="1">
      <c r="A299" s="50" t="s">
        <v>3154</v>
      </c>
    </row>
    <row r="300" spans="1:17" ht="14.25" customHeight="1">
      <c r="A300" s="1270" t="s">
        <v>3155</v>
      </c>
      <c r="B300" s="1272">
        <v>303</v>
      </c>
      <c r="C300" s="1270" t="s">
        <v>137</v>
      </c>
      <c r="D300" s="1274"/>
      <c r="E300" s="1274"/>
      <c r="F300" s="1274"/>
      <c r="G300" s="1274"/>
      <c r="H300" s="1274"/>
      <c r="I300" s="1274"/>
      <c r="J300" s="1270" t="s">
        <v>1142</v>
      </c>
      <c r="K300" s="1274"/>
      <c r="L300" s="1274"/>
      <c r="M300" s="1274"/>
      <c r="N300" s="50" t="s">
        <v>171</v>
      </c>
      <c r="O300" s="50">
        <v>0.49</v>
      </c>
      <c r="P300" s="50" t="s">
        <v>3156</v>
      </c>
    </row>
    <row r="301" spans="1:17" ht="12" customHeight="1">
      <c r="A301" s="285" t="s">
        <v>3157</v>
      </c>
      <c r="B301" s="283">
        <v>306</v>
      </c>
      <c r="C301" s="287"/>
      <c r="D301" s="395" t="s">
        <v>3158</v>
      </c>
      <c r="E301" s="285">
        <v>6.25</v>
      </c>
      <c r="F301" s="285" t="s">
        <v>246</v>
      </c>
      <c r="G301" s="285" t="s">
        <v>1106</v>
      </c>
      <c r="H301" s="287"/>
      <c r="I301" s="287"/>
      <c r="J301" s="285" t="s">
        <v>1168</v>
      </c>
      <c r="K301" s="287"/>
      <c r="L301" s="287"/>
      <c r="M301" s="287"/>
      <c r="N301" s="285" t="s">
        <v>171</v>
      </c>
      <c r="O301" s="285">
        <v>0.31</v>
      </c>
      <c r="P301" s="285" t="s">
        <v>3156</v>
      </c>
      <c r="Q301" s="283" t="s">
        <v>3060</v>
      </c>
    </row>
    <row r="302" spans="1:17" ht="12" customHeight="1">
      <c r="A302" s="1270" t="s">
        <v>3160</v>
      </c>
      <c r="B302" s="1272">
        <v>304</v>
      </c>
      <c r="C302" s="1270" t="s">
        <v>137</v>
      </c>
      <c r="D302" s="1274"/>
      <c r="E302" s="1274"/>
      <c r="F302" s="1270" t="s">
        <v>400</v>
      </c>
      <c r="G302" s="1270" t="s">
        <v>1106</v>
      </c>
      <c r="H302" s="1274"/>
      <c r="I302" s="1274"/>
      <c r="J302" s="1270" t="s">
        <v>1142</v>
      </c>
      <c r="K302" s="1274"/>
      <c r="L302" s="1270" t="s">
        <v>782</v>
      </c>
      <c r="M302" s="1274"/>
      <c r="P302" s="50" t="s">
        <v>3156</v>
      </c>
    </row>
    <row r="303" spans="1:17" ht="12" customHeight="1">
      <c r="A303" s="1270" t="s">
        <v>3161</v>
      </c>
      <c r="B303" s="1272">
        <v>227</v>
      </c>
      <c r="C303" s="1274"/>
      <c r="D303" s="1270">
        <v>-22907</v>
      </c>
      <c r="E303" s="1274"/>
      <c r="F303" s="1274"/>
      <c r="G303" s="1274"/>
      <c r="H303" s="1274"/>
      <c r="I303" s="1274"/>
      <c r="J303" s="1270" t="s">
        <v>764</v>
      </c>
      <c r="K303" s="1274"/>
      <c r="L303" s="1274"/>
      <c r="M303" s="1274"/>
      <c r="N303" s="50" t="s">
        <v>171</v>
      </c>
      <c r="O303" s="50">
        <v>0.42</v>
      </c>
      <c r="P303" s="50" t="s">
        <v>3156</v>
      </c>
    </row>
    <row r="304" spans="1:17" ht="12" customHeight="1">
      <c r="A304" s="1270" t="s">
        <v>3162</v>
      </c>
      <c r="B304" s="1272">
        <v>305</v>
      </c>
      <c r="C304" s="1274"/>
      <c r="D304" s="1274"/>
      <c r="E304" s="1274"/>
      <c r="F304" s="1274"/>
      <c r="G304" s="1270" t="s">
        <v>1146</v>
      </c>
      <c r="H304" s="1274"/>
      <c r="I304" s="1274"/>
      <c r="J304" s="1270" t="s">
        <v>1142</v>
      </c>
      <c r="K304" s="1274"/>
      <c r="L304" s="1270" t="s">
        <v>782</v>
      </c>
      <c r="M304" s="1274"/>
      <c r="P304" s="50" t="s">
        <v>3156</v>
      </c>
    </row>
    <row r="305" spans="1:16" ht="12" customHeight="1">
      <c r="A305" s="1270" t="s">
        <v>3163</v>
      </c>
      <c r="B305" s="1272">
        <v>201</v>
      </c>
      <c r="C305" s="1274"/>
      <c r="D305" s="1274"/>
      <c r="E305" s="1274"/>
      <c r="F305" s="1274"/>
      <c r="G305" s="1274"/>
      <c r="H305" s="1274"/>
      <c r="I305" s="1274"/>
      <c r="J305" s="1274"/>
      <c r="K305" s="1274"/>
      <c r="L305" s="1274"/>
      <c r="M305" s="1274"/>
      <c r="P305" s="50" t="s">
        <v>3156</v>
      </c>
    </row>
    <row r="306" spans="1:16" ht="12" customHeight="1">
      <c r="A306" s="1270" t="s">
        <v>487</v>
      </c>
      <c r="B306" s="1272">
        <v>126</v>
      </c>
      <c r="C306" s="1274"/>
      <c r="D306" s="1274"/>
      <c r="E306" s="1274"/>
      <c r="F306" s="1274"/>
      <c r="G306" s="1274"/>
      <c r="H306" s="1274"/>
      <c r="I306" s="1274"/>
      <c r="J306" s="1270" t="s">
        <v>52</v>
      </c>
      <c r="K306" s="1274"/>
      <c r="L306" s="1274"/>
      <c r="M306" s="1274"/>
      <c r="P306" s="50" t="s">
        <v>3156</v>
      </c>
    </row>
    <row r="307" spans="1:16" ht="14.25" customHeight="1">
      <c r="A307" s="1279" t="s">
        <v>1543</v>
      </c>
      <c r="B307" s="1281">
        <v>401</v>
      </c>
      <c r="C307" s="1283" t="s">
        <v>137</v>
      </c>
      <c r="D307" s="1270" t="s">
        <v>1544</v>
      </c>
      <c r="E307" s="1274"/>
      <c r="F307" s="1274"/>
      <c r="G307" s="1274"/>
      <c r="H307" s="1270">
        <v>304</v>
      </c>
      <c r="I307" s="50" t="s">
        <v>1545</v>
      </c>
      <c r="P307" s="50" t="s">
        <v>3156</v>
      </c>
    </row>
    <row r="308" spans="1:16" ht="20.25" customHeight="1">
      <c r="A308" s="1285"/>
      <c r="B308" s="1287"/>
      <c r="C308" s="380"/>
    </row>
    <row r="309" spans="1:16" ht="9" customHeight="1"/>
    <row r="310" spans="1:16" ht="9" customHeight="1">
      <c r="A310" s="50" t="s">
        <v>3164</v>
      </c>
    </row>
    <row r="311" spans="1:16" ht="9" customHeight="1">
      <c r="A311" s="960" t="s">
        <v>3165</v>
      </c>
      <c r="B311" s="962">
        <v>53</v>
      </c>
      <c r="C311" s="962" t="s">
        <v>315</v>
      </c>
      <c r="D311" s="963"/>
      <c r="E311" s="963"/>
      <c r="F311" s="963"/>
      <c r="G311" s="963"/>
      <c r="H311" s="963"/>
      <c r="I311" s="1037" t="s">
        <v>327</v>
      </c>
      <c r="J311" s="1037" t="s">
        <v>209</v>
      </c>
      <c r="K311" s="1037" t="s">
        <v>96</v>
      </c>
      <c r="L311" s="1037">
        <v>2</v>
      </c>
      <c r="M311" s="1037" t="s">
        <v>82</v>
      </c>
      <c r="P311" s="50" t="s">
        <v>70</v>
      </c>
    </row>
    <row r="312" spans="1:16" ht="13.5" customHeight="1">
      <c r="A312" s="960" t="s">
        <v>3166</v>
      </c>
      <c r="B312" s="962">
        <v>533</v>
      </c>
      <c r="C312" s="962" t="s">
        <v>315</v>
      </c>
      <c r="D312" s="963"/>
      <c r="E312" s="963"/>
      <c r="F312" s="963"/>
      <c r="G312" s="963"/>
      <c r="H312" s="960">
        <v>120</v>
      </c>
      <c r="P312" s="50" t="s">
        <v>70</v>
      </c>
    </row>
    <row r="313" spans="1:16" ht="12">
      <c r="A313" s="963"/>
      <c r="B313" s="963"/>
      <c r="C313" s="963"/>
      <c r="D313" s="963"/>
      <c r="E313" s="963"/>
      <c r="F313" s="963"/>
      <c r="G313" s="963"/>
      <c r="H313" s="963"/>
      <c r="P313" s="50" t="s">
        <v>70</v>
      </c>
    </row>
    <row r="314" spans="1:16" ht="24">
      <c r="A314" s="968" t="s">
        <v>3167</v>
      </c>
      <c r="B314" s="962">
        <v>214</v>
      </c>
      <c r="C314" s="960" t="s">
        <v>137</v>
      </c>
      <c r="D314" s="960" t="s">
        <v>722</v>
      </c>
      <c r="E314" s="963"/>
      <c r="F314" s="963"/>
      <c r="G314" s="963"/>
      <c r="H314" s="963"/>
      <c r="I314" s="963"/>
      <c r="J314" s="963"/>
      <c r="K314" s="963"/>
      <c r="L314" s="960" t="s">
        <v>723</v>
      </c>
      <c r="M314" s="963"/>
      <c r="P314" s="50" t="s">
        <v>70</v>
      </c>
    </row>
    <row r="315" spans="1:16" ht="12">
      <c r="A315" s="960" t="s">
        <v>3168</v>
      </c>
      <c r="B315" s="962">
        <v>218</v>
      </c>
      <c r="C315" s="960" t="s">
        <v>137</v>
      </c>
      <c r="D315" s="963"/>
      <c r="E315" s="963"/>
      <c r="F315" s="963"/>
      <c r="G315" s="963"/>
      <c r="H315" s="963"/>
      <c r="I315" s="1041"/>
      <c r="J315" s="1037" t="s">
        <v>90</v>
      </c>
      <c r="K315" s="1041"/>
      <c r="L315" s="1041"/>
      <c r="M315" s="1041"/>
      <c r="P315" s="50" t="s">
        <v>70</v>
      </c>
    </row>
    <row r="316" spans="1:16" ht="24">
      <c r="A316" s="960" t="s">
        <v>3169</v>
      </c>
      <c r="B316" s="962">
        <v>268</v>
      </c>
      <c r="C316" s="960" t="s">
        <v>137</v>
      </c>
      <c r="D316" s="963"/>
      <c r="E316" s="963"/>
      <c r="F316" s="963"/>
      <c r="G316" s="963"/>
      <c r="H316" s="963"/>
      <c r="I316" s="963"/>
      <c r="J316" s="960" t="s">
        <v>911</v>
      </c>
      <c r="K316" s="963"/>
      <c r="L316" s="963"/>
      <c r="M316" s="963"/>
      <c r="P316" s="50" t="s">
        <v>70</v>
      </c>
    </row>
    <row r="317" spans="1:16" ht="24">
      <c r="A317" s="960" t="s">
        <v>3170</v>
      </c>
      <c r="B317" s="962">
        <v>275</v>
      </c>
      <c r="C317" s="960" t="s">
        <v>137</v>
      </c>
      <c r="D317" s="960" t="s">
        <v>932</v>
      </c>
      <c r="E317" s="963"/>
      <c r="F317" s="963"/>
      <c r="G317" s="963"/>
      <c r="H317" s="963"/>
      <c r="I317" s="960" t="s">
        <v>583</v>
      </c>
      <c r="J317" s="960" t="s">
        <v>881</v>
      </c>
      <c r="K317" s="960" t="s">
        <v>111</v>
      </c>
      <c r="L317" s="960" t="s">
        <v>782</v>
      </c>
      <c r="M317" s="965" t="s">
        <v>933</v>
      </c>
      <c r="P317" s="50" t="s">
        <v>70</v>
      </c>
    </row>
    <row r="318" spans="1:16" ht="24">
      <c r="A318" s="960" t="s">
        <v>3171</v>
      </c>
      <c r="B318" s="962">
        <v>360</v>
      </c>
      <c r="C318" s="960" t="s">
        <v>137</v>
      </c>
      <c r="D318" s="960" t="s">
        <v>1383</v>
      </c>
      <c r="E318" s="963"/>
      <c r="F318" s="960" t="s">
        <v>400</v>
      </c>
      <c r="G318" s="1292">
        <v>41696</v>
      </c>
      <c r="H318" s="960">
        <v>93</v>
      </c>
      <c r="I318" s="960" t="s">
        <v>1384</v>
      </c>
      <c r="J318" s="960" t="s">
        <v>881</v>
      </c>
      <c r="K318" s="960" t="s">
        <v>111</v>
      </c>
      <c r="L318" s="960" t="s">
        <v>782</v>
      </c>
      <c r="M318" s="968" t="s">
        <v>1385</v>
      </c>
      <c r="P318" s="50" t="s">
        <v>70</v>
      </c>
    </row>
    <row r="319" spans="1:16" ht="24">
      <c r="A319" s="960" t="s">
        <v>3173</v>
      </c>
      <c r="B319" s="962">
        <v>372</v>
      </c>
      <c r="C319" s="960" t="s">
        <v>137</v>
      </c>
      <c r="D319" s="960" t="s">
        <v>1441</v>
      </c>
      <c r="E319" s="963"/>
      <c r="F319" s="963"/>
      <c r="G319" s="963"/>
      <c r="H319" s="960">
        <v>360</v>
      </c>
      <c r="I319" s="960" t="s">
        <v>1442</v>
      </c>
      <c r="J319" s="960" t="s">
        <v>881</v>
      </c>
      <c r="K319" s="960" t="s">
        <v>111</v>
      </c>
      <c r="L319" s="960" t="s">
        <v>796</v>
      </c>
      <c r="M319" s="960" t="s">
        <v>1443</v>
      </c>
      <c r="P319" s="50" t="s">
        <v>70</v>
      </c>
    </row>
    <row r="320" spans="1:16" ht="24">
      <c r="A320" s="960" t="s">
        <v>3174</v>
      </c>
      <c r="B320" s="962">
        <v>339</v>
      </c>
      <c r="C320" s="960" t="s">
        <v>137</v>
      </c>
      <c r="D320" s="960" t="s">
        <v>1253</v>
      </c>
      <c r="E320" s="963"/>
      <c r="F320" s="963"/>
      <c r="G320" s="963"/>
      <c r="H320" s="960">
        <v>360</v>
      </c>
      <c r="I320" s="960" t="s">
        <v>1257</v>
      </c>
      <c r="J320" s="960" t="s">
        <v>881</v>
      </c>
      <c r="K320" s="960" t="s">
        <v>111</v>
      </c>
      <c r="L320" s="960" t="s">
        <v>782</v>
      </c>
      <c r="M320" s="960" t="s">
        <v>1258</v>
      </c>
      <c r="P320" s="50" t="s">
        <v>70</v>
      </c>
    </row>
    <row r="321" spans="1:18" ht="1.5" customHeight="1">
      <c r="A321" s="960" t="s">
        <v>3176</v>
      </c>
      <c r="B321" s="962">
        <v>349</v>
      </c>
      <c r="C321" s="960" t="s">
        <v>137</v>
      </c>
      <c r="D321" s="960" t="s">
        <v>3074</v>
      </c>
      <c r="E321" s="963"/>
      <c r="F321" s="960" t="s">
        <v>1316</v>
      </c>
      <c r="G321" s="960" t="s">
        <v>1317</v>
      </c>
      <c r="H321" s="960" t="s">
        <v>3177</v>
      </c>
      <c r="I321" s="960" t="s">
        <v>1303</v>
      </c>
      <c r="J321" s="960" t="s">
        <v>881</v>
      </c>
      <c r="K321" s="960" t="s">
        <v>111</v>
      </c>
      <c r="L321" s="960" t="s">
        <v>796</v>
      </c>
      <c r="M321" s="960" t="s">
        <v>3178</v>
      </c>
      <c r="P321" s="50" t="s">
        <v>70</v>
      </c>
    </row>
    <row r="322" spans="1:18" ht="12" customHeight="1">
      <c r="A322" s="960" t="s">
        <v>3180</v>
      </c>
      <c r="B322" s="962">
        <v>277</v>
      </c>
      <c r="C322" s="960" t="s">
        <v>137</v>
      </c>
      <c r="D322" s="963"/>
      <c r="E322" s="963"/>
      <c r="F322" s="963"/>
      <c r="G322" s="963"/>
      <c r="H322" s="963"/>
      <c r="I322" s="960" t="s">
        <v>583</v>
      </c>
      <c r="J322" s="960" t="s">
        <v>881</v>
      </c>
      <c r="K322" s="960" t="s">
        <v>111</v>
      </c>
      <c r="L322" s="960" t="s">
        <v>796</v>
      </c>
      <c r="M322" s="960" t="s">
        <v>947</v>
      </c>
      <c r="P322" s="50" t="s">
        <v>70</v>
      </c>
    </row>
    <row r="323" spans="1:18" ht="13.5" customHeight="1">
      <c r="A323" s="960" t="s">
        <v>3184</v>
      </c>
      <c r="B323" s="962">
        <v>373</v>
      </c>
      <c r="C323" s="960" t="s">
        <v>137</v>
      </c>
      <c r="D323" s="960" t="s">
        <v>1445</v>
      </c>
      <c r="E323" s="963"/>
      <c r="F323" s="963"/>
      <c r="G323" s="963"/>
      <c r="H323" s="960">
        <v>360</v>
      </c>
      <c r="I323" s="960" t="s">
        <v>583</v>
      </c>
      <c r="J323" s="960" t="s">
        <v>881</v>
      </c>
      <c r="K323" s="960" t="s">
        <v>111</v>
      </c>
      <c r="L323" s="960" t="s">
        <v>796</v>
      </c>
      <c r="M323" s="960" t="s">
        <v>3186</v>
      </c>
      <c r="P323" s="50" t="s">
        <v>70</v>
      </c>
    </row>
    <row r="324" spans="1:18" ht="13.5" customHeight="1">
      <c r="A324" s="968" t="s">
        <v>3187</v>
      </c>
      <c r="B324" s="962">
        <v>213</v>
      </c>
      <c r="C324" s="960" t="s">
        <v>137</v>
      </c>
      <c r="D324" s="963"/>
      <c r="E324" s="963"/>
      <c r="F324" s="960" t="s">
        <v>720</v>
      </c>
      <c r="G324" s="960" t="s">
        <v>188</v>
      </c>
      <c r="H324" s="963"/>
      <c r="I324" s="963"/>
      <c r="J324" s="963"/>
      <c r="K324" s="963"/>
      <c r="L324" s="963"/>
      <c r="M324" s="963"/>
      <c r="P324" s="50" t="s">
        <v>70</v>
      </c>
    </row>
    <row r="325" spans="1:18" ht="13.5" customHeight="1">
      <c r="A325" s="960" t="s">
        <v>762</v>
      </c>
      <c r="B325" s="962">
        <v>225</v>
      </c>
      <c r="C325" s="963"/>
      <c r="D325" s="963"/>
      <c r="E325" s="963"/>
      <c r="F325" s="963"/>
      <c r="G325" s="963"/>
      <c r="H325" s="963"/>
      <c r="I325" s="963"/>
      <c r="J325" s="960" t="s">
        <v>90</v>
      </c>
      <c r="K325" s="963"/>
      <c r="L325" s="963"/>
      <c r="M325" s="963"/>
      <c r="P325" s="50" t="s">
        <v>70</v>
      </c>
    </row>
    <row r="326" spans="1:18" ht="13.5" customHeight="1">
      <c r="A326" s="960" t="s">
        <v>423</v>
      </c>
      <c r="B326" s="962">
        <v>95</v>
      </c>
      <c r="C326" s="963"/>
      <c r="D326" s="963"/>
      <c r="E326" s="963"/>
      <c r="F326" s="963"/>
      <c r="G326" s="963"/>
      <c r="H326" s="963"/>
      <c r="I326" s="960" t="s">
        <v>165</v>
      </c>
      <c r="J326" s="960" t="s">
        <v>95</v>
      </c>
      <c r="K326" s="960" t="s">
        <v>81</v>
      </c>
      <c r="L326" s="960" t="s">
        <v>82</v>
      </c>
      <c r="M326" s="960" t="s">
        <v>381</v>
      </c>
      <c r="N326" s="50" t="s">
        <v>446</v>
      </c>
      <c r="O326" s="50">
        <v>0.59899999999999998</v>
      </c>
      <c r="P326" s="50" t="s">
        <v>70</v>
      </c>
    </row>
    <row r="327" spans="1:18" ht="12">
      <c r="A327" s="960" t="s">
        <v>1034</v>
      </c>
      <c r="B327" s="962">
        <v>518</v>
      </c>
      <c r="C327" s="960" t="s">
        <v>137</v>
      </c>
      <c r="D327" s="963"/>
      <c r="E327" s="963"/>
      <c r="F327" s="963"/>
      <c r="G327" s="963"/>
      <c r="H327" s="960">
        <v>360</v>
      </c>
      <c r="P327" s="50" t="s">
        <v>70</v>
      </c>
    </row>
    <row r="329" spans="1:18" ht="18.75" customHeight="1">
      <c r="A329" s="1161"/>
      <c r="B329" s="1297"/>
      <c r="C329" s="1161"/>
      <c r="D329" s="1161"/>
      <c r="E329" s="1161"/>
      <c r="F329" s="1161"/>
      <c r="G329" s="1161"/>
      <c r="H329" s="1161"/>
      <c r="I329" s="1161"/>
      <c r="J329" s="1161"/>
      <c r="K329" s="1161"/>
      <c r="L329" s="1161"/>
      <c r="M329" s="1161"/>
      <c r="N329" s="1161"/>
      <c r="O329" s="1161"/>
      <c r="P329" s="1161"/>
      <c r="Q329" s="1161"/>
    </row>
    <row r="330" spans="1:18" ht="12">
      <c r="A330" s="1300" t="s">
        <v>3190</v>
      </c>
      <c r="B330" s="1163">
        <v>382</v>
      </c>
      <c r="C330" s="1165" t="s">
        <v>137</v>
      </c>
      <c r="D330" s="1165" t="s">
        <v>1472</v>
      </c>
      <c r="E330" s="1164"/>
      <c r="F330" s="1164"/>
      <c r="G330" s="1164"/>
      <c r="H330" s="1165">
        <v>279</v>
      </c>
      <c r="I330" s="1167"/>
      <c r="J330" s="1167"/>
      <c r="K330" s="1167"/>
      <c r="L330" s="1167"/>
      <c r="M330" s="1167"/>
      <c r="N330" s="1167"/>
      <c r="O330" s="1167"/>
      <c r="P330" s="1169" t="s">
        <v>70</v>
      </c>
      <c r="Q330" s="1170" t="s">
        <v>3060</v>
      </c>
      <c r="R330" s="380"/>
    </row>
    <row r="331" spans="1:18" ht="24">
      <c r="A331" s="1176" t="s">
        <v>3191</v>
      </c>
      <c r="B331" s="1178">
        <v>279</v>
      </c>
      <c r="C331" s="1180" t="s">
        <v>137</v>
      </c>
      <c r="D331" s="1180" t="s">
        <v>3192</v>
      </c>
      <c r="E331" s="1186"/>
      <c r="F331" s="1180" t="s">
        <v>956</v>
      </c>
      <c r="G331" s="1180" t="s">
        <v>957</v>
      </c>
      <c r="H331" s="1180">
        <v>257</v>
      </c>
      <c r="I331" s="1161"/>
      <c r="J331" s="1161"/>
      <c r="K331" s="1161"/>
      <c r="L331" s="1161"/>
      <c r="M331" s="1161"/>
      <c r="N331" s="1161"/>
      <c r="O331" s="1161"/>
      <c r="P331" s="1187" t="s">
        <v>70</v>
      </c>
      <c r="Q331" s="1302"/>
      <c r="R331" s="380"/>
    </row>
    <row r="332" spans="1:18" ht="24">
      <c r="A332" s="1303" t="s">
        <v>3194</v>
      </c>
      <c r="B332" s="1305">
        <v>351</v>
      </c>
      <c r="C332" s="1306" t="s">
        <v>137</v>
      </c>
      <c r="D332" s="1306" t="s">
        <v>3062</v>
      </c>
      <c r="E332" s="1307"/>
      <c r="F332" s="1307"/>
      <c r="G332" s="1307"/>
      <c r="H332" s="1306">
        <v>339</v>
      </c>
      <c r="I332" s="1169" t="s">
        <v>370</v>
      </c>
      <c r="J332" s="1169" t="s">
        <v>209</v>
      </c>
      <c r="K332" s="1169" t="s">
        <v>82</v>
      </c>
      <c r="L332" s="1169">
        <v>4</v>
      </c>
      <c r="M332" s="1169" t="s">
        <v>371</v>
      </c>
      <c r="N332" s="1308">
        <v>40996</v>
      </c>
      <c r="O332" s="1169">
        <v>1.38</v>
      </c>
      <c r="P332" s="1169" t="s">
        <v>70</v>
      </c>
      <c r="Q332" s="1170" t="s">
        <v>3195</v>
      </c>
      <c r="R332" s="380"/>
    </row>
    <row r="333" spans="1:18" ht="24">
      <c r="A333" s="1334" t="s">
        <v>3196</v>
      </c>
      <c r="B333" s="1335">
        <v>347</v>
      </c>
      <c r="C333" s="1338" t="s">
        <v>137</v>
      </c>
      <c r="D333" s="1338" t="s">
        <v>3062</v>
      </c>
      <c r="E333" s="1339"/>
      <c r="F333" s="1339"/>
      <c r="G333" s="1339"/>
      <c r="H333" s="1338">
        <v>336</v>
      </c>
      <c r="J333" s="50" t="s">
        <v>52</v>
      </c>
      <c r="P333" s="50" t="s">
        <v>70</v>
      </c>
      <c r="Q333" s="1172"/>
      <c r="R333" s="380"/>
    </row>
    <row r="334" spans="1:18" ht="12">
      <c r="A334" s="1334" t="s">
        <v>3225</v>
      </c>
      <c r="B334" s="1335">
        <v>352</v>
      </c>
      <c r="C334" s="1338" t="s">
        <v>137</v>
      </c>
      <c r="D334" s="1338" t="s">
        <v>3226</v>
      </c>
      <c r="E334" s="1339"/>
      <c r="F334" s="1339"/>
      <c r="G334" s="1339"/>
      <c r="H334" s="1338">
        <v>351</v>
      </c>
      <c r="J334" s="50" t="s">
        <v>1091</v>
      </c>
      <c r="P334" s="50" t="s">
        <v>70</v>
      </c>
      <c r="Q334" s="1174"/>
      <c r="R334" s="380"/>
    </row>
    <row r="335" spans="1:18" ht="12">
      <c r="A335" s="1334" t="s">
        <v>3227</v>
      </c>
      <c r="B335" s="1335">
        <v>336</v>
      </c>
      <c r="C335" s="1338" t="s">
        <v>137</v>
      </c>
      <c r="D335" s="1339"/>
      <c r="E335" s="1339"/>
      <c r="F335" s="1338" t="s">
        <v>246</v>
      </c>
      <c r="G335" s="1338" t="s">
        <v>1228</v>
      </c>
      <c r="H335" s="1338">
        <v>279</v>
      </c>
      <c r="J335" s="50" t="s">
        <v>1091</v>
      </c>
      <c r="P335" s="50" t="s">
        <v>70</v>
      </c>
      <c r="Q335" s="1174"/>
      <c r="R335" s="380"/>
    </row>
    <row r="336" spans="1:18" ht="12">
      <c r="A336" s="1340" t="s">
        <v>3228</v>
      </c>
      <c r="B336" s="1383">
        <v>273</v>
      </c>
      <c r="C336" s="1396" t="s">
        <v>137</v>
      </c>
      <c r="D336" s="1397"/>
      <c r="E336" s="1397"/>
      <c r="F336" s="1397"/>
      <c r="G336" s="1397"/>
      <c r="H336" s="1397"/>
      <c r="I336" s="1161"/>
      <c r="J336" s="1161"/>
      <c r="K336" s="1161"/>
      <c r="L336" s="1161"/>
      <c r="M336" s="1161"/>
      <c r="N336" s="1161"/>
      <c r="O336" s="1161"/>
      <c r="P336" s="1187" t="s">
        <v>70</v>
      </c>
      <c r="Q336" s="1188"/>
      <c r="R336" s="380"/>
    </row>
    <row r="337" spans="1:17" ht="12">
      <c r="A337" s="1167"/>
      <c r="B337" s="1189"/>
      <c r="C337" s="1167"/>
      <c r="D337" s="1167"/>
      <c r="E337" s="1167"/>
      <c r="F337" s="1167"/>
      <c r="G337" s="1167"/>
      <c r="H337" s="1167"/>
      <c r="I337" s="1167"/>
      <c r="J337" s="1169" t="s">
        <v>824</v>
      </c>
      <c r="K337" s="1167"/>
      <c r="L337" s="1167"/>
      <c r="M337" s="1167"/>
      <c r="N337" s="1167"/>
      <c r="O337" s="1167"/>
      <c r="P337" s="1167"/>
      <c r="Q337" s="1167"/>
    </row>
    <row r="338" spans="1:17" ht="1.5" customHeight="1">
      <c r="B338" s="18"/>
      <c r="L338" s="50">
        <v>4</v>
      </c>
      <c r="M338" s="50" t="s">
        <v>474</v>
      </c>
    </row>
    <row r="340" spans="1:17" ht="12">
      <c r="B340" s="18"/>
      <c r="J340" s="50" t="s">
        <v>917</v>
      </c>
    </row>
    <row r="341" spans="1:17" ht="1.5" customHeight="1">
      <c r="B341" s="18"/>
      <c r="I341" s="50" t="s">
        <v>82</v>
      </c>
      <c r="J341" s="50" t="s">
        <v>82</v>
      </c>
      <c r="K341" s="50" t="s">
        <v>82</v>
      </c>
      <c r="L341" s="50" t="s">
        <v>82</v>
      </c>
      <c r="M341" s="50" t="s">
        <v>82</v>
      </c>
      <c r="N341" s="73">
        <v>40683</v>
      </c>
      <c r="O341" s="50">
        <v>0.48</v>
      </c>
    </row>
    <row r="342" spans="1:17" ht="1.5" customHeight="1">
      <c r="B342" s="18"/>
      <c r="I342" s="50" t="s">
        <v>141</v>
      </c>
      <c r="J342" s="50" t="s">
        <v>406</v>
      </c>
      <c r="K342" s="54" t="s">
        <v>407</v>
      </c>
      <c r="L342" s="50">
        <v>3</v>
      </c>
      <c r="M342" s="50" t="s">
        <v>82</v>
      </c>
      <c r="N342" s="50" t="s">
        <v>141</v>
      </c>
      <c r="O342" s="50" t="s">
        <v>141</v>
      </c>
    </row>
    <row r="343" spans="1:17" ht="1.5" customHeight="1">
      <c r="B343" s="18"/>
      <c r="I343" s="50" t="s">
        <v>82</v>
      </c>
      <c r="J343" s="50" t="s">
        <v>82</v>
      </c>
      <c r="K343" s="50" t="s">
        <v>82</v>
      </c>
      <c r="L343" s="50" t="s">
        <v>82</v>
      </c>
      <c r="M343" s="50" t="s">
        <v>381</v>
      </c>
      <c r="N343" s="50" t="s">
        <v>141</v>
      </c>
      <c r="O343" s="50">
        <v>1.36</v>
      </c>
    </row>
    <row r="344" spans="1:17" ht="1.5" customHeight="1">
      <c r="B344" s="18"/>
      <c r="I344" s="50" t="s">
        <v>141</v>
      </c>
      <c r="J344" s="50" t="s">
        <v>263</v>
      </c>
      <c r="K344" s="50" t="s">
        <v>264</v>
      </c>
      <c r="L344" s="50">
        <v>2</v>
      </c>
      <c r="M344" s="50" t="s">
        <v>82</v>
      </c>
      <c r="N344" s="50" t="s">
        <v>265</v>
      </c>
      <c r="O344" s="50">
        <v>1.24</v>
      </c>
    </row>
    <row r="345" spans="1:17" ht="1.5" customHeight="1">
      <c r="B345" s="18"/>
      <c r="I345" s="50" t="s">
        <v>141</v>
      </c>
      <c r="J345" s="50" t="s">
        <v>95</v>
      </c>
      <c r="K345" s="50" t="s">
        <v>82</v>
      </c>
      <c r="L345" s="50">
        <v>2</v>
      </c>
      <c r="M345" s="50" t="s">
        <v>82</v>
      </c>
      <c r="N345" s="50" t="s">
        <v>265</v>
      </c>
      <c r="O345" s="50">
        <v>2.25</v>
      </c>
    </row>
    <row r="346" spans="1:17" ht="1.5" customHeight="1">
      <c r="B346" s="18"/>
      <c r="I346" s="50" t="s">
        <v>82</v>
      </c>
      <c r="J346" s="50" t="s">
        <v>367</v>
      </c>
      <c r="K346" s="50" t="s">
        <v>82</v>
      </c>
      <c r="L346" s="50" t="s">
        <v>82</v>
      </c>
      <c r="M346" s="50" t="s">
        <v>82</v>
      </c>
      <c r="N346" s="50" t="s">
        <v>368</v>
      </c>
      <c r="O346" s="50">
        <v>0.9</v>
      </c>
    </row>
    <row r="348" spans="1:17" ht="12">
      <c r="B348" s="18"/>
      <c r="J348" s="50" t="s">
        <v>1342</v>
      </c>
      <c r="L348" s="50" t="s">
        <v>796</v>
      </c>
    </row>
    <row r="349" spans="1:17" ht="1.5" customHeight="1">
      <c r="B349" s="18"/>
      <c r="I349" s="50" t="s">
        <v>352</v>
      </c>
      <c r="J349" s="50" t="s">
        <v>263</v>
      </c>
      <c r="K349" s="50" t="s">
        <v>281</v>
      </c>
      <c r="L349" s="50">
        <v>3</v>
      </c>
      <c r="M349" s="50" t="s">
        <v>353</v>
      </c>
      <c r="N349" s="50" t="s">
        <v>354</v>
      </c>
      <c r="O349" s="50">
        <v>0.2</v>
      </c>
    </row>
    <row r="350" spans="1:17" ht="1.5" customHeight="1">
      <c r="B350" s="18"/>
      <c r="I350" s="50" t="s">
        <v>141</v>
      </c>
      <c r="J350" s="50" t="s">
        <v>329</v>
      </c>
      <c r="K350" s="50" t="s">
        <v>281</v>
      </c>
      <c r="L350" s="50">
        <v>2</v>
      </c>
      <c r="M350" s="50" t="s">
        <v>82</v>
      </c>
      <c r="N350" s="50" t="s">
        <v>332</v>
      </c>
      <c r="O350" s="50">
        <v>0.23200000000000001</v>
      </c>
    </row>
    <row r="351" spans="1:17" ht="1.5" customHeight="1">
      <c r="B351" s="18"/>
      <c r="I351" s="50" t="s">
        <v>141</v>
      </c>
      <c r="J351" s="50" t="s">
        <v>329</v>
      </c>
      <c r="K351" s="50" t="s">
        <v>281</v>
      </c>
      <c r="L351" s="50">
        <v>2</v>
      </c>
      <c r="M351" s="50" t="s">
        <v>82</v>
      </c>
      <c r="N351" s="50" t="s">
        <v>332</v>
      </c>
      <c r="O351" s="50">
        <v>0.21299999999999999</v>
      </c>
    </row>
    <row r="352" spans="1:17" ht="1.5" customHeight="1">
      <c r="B352" s="18"/>
      <c r="J352" s="50" t="s">
        <v>52</v>
      </c>
      <c r="K352" s="50" t="s">
        <v>129</v>
      </c>
    </row>
    <row r="353" spans="2:15" ht="1.5" customHeight="1">
      <c r="B353" s="18"/>
      <c r="J353" s="50" t="s">
        <v>52</v>
      </c>
      <c r="K353" s="50" t="s">
        <v>129</v>
      </c>
    </row>
    <row r="354" spans="2:15" ht="12">
      <c r="B354" s="18"/>
      <c r="J354" s="50" t="s">
        <v>917</v>
      </c>
    </row>
    <row r="355" spans="2:15" ht="1.5" customHeight="1">
      <c r="B355" s="18"/>
      <c r="I355" s="50" t="s">
        <v>141</v>
      </c>
      <c r="J355" s="50" t="s">
        <v>329</v>
      </c>
      <c r="K355" s="50" t="s">
        <v>281</v>
      </c>
      <c r="L355" s="50">
        <v>2</v>
      </c>
      <c r="M355" s="50" t="s">
        <v>82</v>
      </c>
      <c r="N355" s="50" t="s">
        <v>332</v>
      </c>
      <c r="O355" s="50">
        <v>0.219</v>
      </c>
    </row>
    <row r="356" spans="2:15" ht="1.5" customHeight="1">
      <c r="B356" s="18"/>
      <c r="I356" s="50" t="s">
        <v>82</v>
      </c>
      <c r="J356" s="50" t="s">
        <v>95</v>
      </c>
      <c r="K356" s="50" t="s">
        <v>99</v>
      </c>
      <c r="L356" s="50">
        <v>2</v>
      </c>
      <c r="M356" s="50" t="s">
        <v>82</v>
      </c>
      <c r="N356" s="50" t="s">
        <v>257</v>
      </c>
      <c r="O356" s="50">
        <v>0.51500000000000001</v>
      </c>
    </row>
    <row r="357" spans="2:15" ht="12">
      <c r="B357" s="18"/>
      <c r="J357" s="50" t="s">
        <v>238</v>
      </c>
    </row>
    <row r="358" spans="2:15" ht="1.5" customHeight="1">
      <c r="B358" s="18"/>
      <c r="I358" s="50" t="s">
        <v>98</v>
      </c>
      <c r="J358" s="50" t="s">
        <v>95</v>
      </c>
      <c r="K358" s="50" t="s">
        <v>99</v>
      </c>
      <c r="L358" s="50">
        <v>1</v>
      </c>
      <c r="M358" s="50" t="s">
        <v>82</v>
      </c>
      <c r="N358" s="50" t="s">
        <v>100</v>
      </c>
      <c r="O358" s="50">
        <v>0.8</v>
      </c>
    </row>
    <row r="359" spans="2:15" ht="1.5" customHeight="1">
      <c r="B359" s="18"/>
      <c r="I359" s="50" t="s">
        <v>181</v>
      </c>
      <c r="J359" s="50" t="s">
        <v>82</v>
      </c>
      <c r="K359" s="50" t="s">
        <v>281</v>
      </c>
      <c r="L359" s="50">
        <v>3</v>
      </c>
      <c r="M359" s="50" t="s">
        <v>82</v>
      </c>
      <c r="N359" s="73">
        <v>40682</v>
      </c>
      <c r="O359" s="50">
        <v>0.09</v>
      </c>
    </row>
    <row r="360" spans="2:15" ht="1.5" customHeight="1">
      <c r="B360" s="18"/>
      <c r="I360" s="50" t="s">
        <v>181</v>
      </c>
      <c r="J360" s="50" t="s">
        <v>209</v>
      </c>
      <c r="K360" s="50" t="s">
        <v>281</v>
      </c>
      <c r="L360" s="50">
        <v>3</v>
      </c>
      <c r="M360" s="50" t="s">
        <v>356</v>
      </c>
      <c r="N360" s="73">
        <v>40683</v>
      </c>
      <c r="O360" s="50">
        <v>0.21</v>
      </c>
    </row>
    <row r="361" spans="2:15" ht="1.5" customHeight="1">
      <c r="B361" s="18"/>
      <c r="I361" s="50" t="s">
        <v>141</v>
      </c>
      <c r="J361" s="50" t="s">
        <v>95</v>
      </c>
      <c r="K361" s="50" t="s">
        <v>425</v>
      </c>
      <c r="L361" s="50" t="s">
        <v>82</v>
      </c>
      <c r="M361" s="50" t="s">
        <v>381</v>
      </c>
      <c r="O361" s="50">
        <v>0.1</v>
      </c>
    </row>
    <row r="362" spans="2:15" ht="1.5" customHeight="1">
      <c r="B362" s="18"/>
      <c r="I362" s="50" t="s">
        <v>165</v>
      </c>
      <c r="J362" s="50" t="s">
        <v>95</v>
      </c>
      <c r="K362" s="50" t="s">
        <v>281</v>
      </c>
      <c r="L362" s="50">
        <v>2</v>
      </c>
      <c r="M362" s="50" t="s">
        <v>82</v>
      </c>
      <c r="N362" s="50" t="s">
        <v>283</v>
      </c>
      <c r="O362" s="50">
        <v>0.35</v>
      </c>
    </row>
    <row r="363" spans="2:15" ht="1.5" customHeight="1">
      <c r="B363" s="18"/>
      <c r="I363" s="50" t="s">
        <v>102</v>
      </c>
      <c r="J363" s="50" t="s">
        <v>80</v>
      </c>
      <c r="K363" s="50" t="s">
        <v>99</v>
      </c>
      <c r="L363" s="50">
        <v>1</v>
      </c>
      <c r="M363" s="50" t="s">
        <v>82</v>
      </c>
      <c r="N363" s="50" t="s">
        <v>106</v>
      </c>
      <c r="O363" s="50">
        <v>0.18</v>
      </c>
    </row>
    <row r="364" spans="2:15" ht="1.5" customHeight="1">
      <c r="B364" s="18"/>
      <c r="I364" s="50" t="s">
        <v>340</v>
      </c>
      <c r="J364" s="50" t="s">
        <v>82</v>
      </c>
      <c r="K364" s="50" t="s">
        <v>82</v>
      </c>
      <c r="L364" s="50" t="s">
        <v>82</v>
      </c>
      <c r="M364" s="50" t="s">
        <v>82</v>
      </c>
      <c r="N364" s="50" t="s">
        <v>341</v>
      </c>
      <c r="O364" s="50">
        <v>0.45800000000000002</v>
      </c>
    </row>
    <row r="365" spans="2:15" ht="1.5" customHeight="1">
      <c r="B365" s="18"/>
      <c r="I365" s="50" t="s">
        <v>141</v>
      </c>
      <c r="J365" s="50" t="s">
        <v>152</v>
      </c>
      <c r="K365" s="50" t="s">
        <v>82</v>
      </c>
      <c r="L365" s="50">
        <v>1</v>
      </c>
      <c r="M365" s="50" t="s">
        <v>82</v>
      </c>
      <c r="N365" s="50" t="s">
        <v>154</v>
      </c>
      <c r="O365" s="50">
        <v>0.28000000000000003</v>
      </c>
    </row>
    <row r="366" spans="2:15" ht="1.5" customHeight="1">
      <c r="B366" s="18"/>
      <c r="I366" s="50" t="s">
        <v>141</v>
      </c>
      <c r="J366" s="50" t="s">
        <v>274</v>
      </c>
      <c r="K366" s="50" t="s">
        <v>151</v>
      </c>
      <c r="L366" s="50">
        <v>2</v>
      </c>
      <c r="M366" s="50" t="s">
        <v>82</v>
      </c>
      <c r="N366" s="50" t="s">
        <v>276</v>
      </c>
      <c r="O366" s="50">
        <v>0.3</v>
      </c>
    </row>
    <row r="367" spans="2:15" ht="1.5" customHeight="1">
      <c r="B367" s="18"/>
      <c r="I367" s="50" t="s">
        <v>82</v>
      </c>
      <c r="J367" s="50" t="s">
        <v>82</v>
      </c>
      <c r="K367" s="50" t="s">
        <v>82</v>
      </c>
      <c r="L367" s="50" t="s">
        <v>82</v>
      </c>
      <c r="M367" s="50" t="s">
        <v>82</v>
      </c>
      <c r="N367" s="50" t="s">
        <v>379</v>
      </c>
      <c r="O367" s="50" t="s">
        <v>82</v>
      </c>
    </row>
    <row r="371" spans="2:15" ht="1.5" customHeight="1">
      <c r="B371" s="18"/>
      <c r="I371" s="50" t="s">
        <v>268</v>
      </c>
      <c r="J371" s="50" t="s">
        <v>209</v>
      </c>
      <c r="K371" s="50" t="s">
        <v>82</v>
      </c>
      <c r="L371" s="50" t="s">
        <v>82</v>
      </c>
      <c r="M371" s="50" t="s">
        <v>82</v>
      </c>
      <c r="N371" s="50" t="s">
        <v>269</v>
      </c>
      <c r="O371" s="50">
        <v>1.4</v>
      </c>
    </row>
    <row r="372" spans="2:15" ht="1.5" customHeight="1">
      <c r="N372" s="73">
        <v>40361</v>
      </c>
      <c r="O372" s="50">
        <v>2.75</v>
      </c>
    </row>
    <row r="373" spans="2:15" ht="24">
      <c r="B373" s="18"/>
      <c r="I373" s="50" t="s">
        <v>641</v>
      </c>
      <c r="J373" s="50" t="s">
        <v>641</v>
      </c>
      <c r="K373" s="50" t="s">
        <v>129</v>
      </c>
      <c r="L373" s="50" t="s">
        <v>644</v>
      </c>
      <c r="M373" s="50" t="s">
        <v>646</v>
      </c>
    </row>
    <row r="374" spans="2:15" ht="12">
      <c r="B374" s="18"/>
      <c r="I374" s="50" t="s">
        <v>82</v>
      </c>
      <c r="J374" s="50" t="s">
        <v>142</v>
      </c>
      <c r="K374" s="50" t="s">
        <v>121</v>
      </c>
      <c r="L374" s="50">
        <v>3</v>
      </c>
      <c r="M374" s="50" t="s">
        <v>82</v>
      </c>
    </row>
    <row r="375" spans="2:15" ht="24">
      <c r="B375" s="18"/>
      <c r="I375" s="50" t="s">
        <v>141</v>
      </c>
      <c r="J375" s="50" t="s">
        <v>274</v>
      </c>
      <c r="K375" s="50" t="s">
        <v>81</v>
      </c>
      <c r="L375" s="50">
        <v>3</v>
      </c>
      <c r="M375" s="50" t="s">
        <v>82</v>
      </c>
    </row>
    <row r="376" spans="2:15" ht="12">
      <c r="B376" s="18"/>
      <c r="I376" s="50" t="s">
        <v>82</v>
      </c>
      <c r="J376" s="50" t="s">
        <v>82</v>
      </c>
      <c r="K376" s="50" t="s">
        <v>82</v>
      </c>
      <c r="L376" s="50" t="s">
        <v>82</v>
      </c>
      <c r="M376" s="50" t="s">
        <v>82</v>
      </c>
    </row>
    <row r="377" spans="2:15" ht="12">
      <c r="B377" s="18"/>
      <c r="I377" s="50" t="s">
        <v>141</v>
      </c>
      <c r="J377" s="50" t="s">
        <v>286</v>
      </c>
      <c r="K377" s="50" t="s">
        <v>121</v>
      </c>
      <c r="L377" s="50">
        <v>2</v>
      </c>
      <c r="M377" s="50" t="s">
        <v>82</v>
      </c>
    </row>
    <row r="378" spans="2:15" ht="12">
      <c r="B378" s="18"/>
      <c r="I378" s="50" t="s">
        <v>141</v>
      </c>
      <c r="J378" s="50" t="s">
        <v>274</v>
      </c>
      <c r="K378" s="50" t="s">
        <v>121</v>
      </c>
      <c r="L378" s="50">
        <v>2</v>
      </c>
      <c r="M378" s="50" t="s">
        <v>82</v>
      </c>
    </row>
    <row r="379" spans="2:15" ht="12">
      <c r="B379" s="18"/>
      <c r="I379" s="50" t="s">
        <v>141</v>
      </c>
      <c r="J379" s="50" t="s">
        <v>286</v>
      </c>
      <c r="K379" s="50" t="s">
        <v>121</v>
      </c>
      <c r="L379" s="50">
        <v>2</v>
      </c>
      <c r="M379" s="50" t="s">
        <v>82</v>
      </c>
    </row>
    <row r="380" spans="2:15" ht="12">
      <c r="B380" s="18"/>
      <c r="I380" s="50" t="s">
        <v>141</v>
      </c>
      <c r="J380" s="50" t="s">
        <v>286</v>
      </c>
      <c r="K380" s="50" t="s">
        <v>210</v>
      </c>
      <c r="L380" s="50">
        <v>2</v>
      </c>
      <c r="M380" s="50" t="s">
        <v>291</v>
      </c>
    </row>
    <row r="381" spans="2:15" ht="12">
      <c r="B381" s="18"/>
      <c r="I381" s="50" t="s">
        <v>71</v>
      </c>
      <c r="J381" s="50" t="s">
        <v>95</v>
      </c>
      <c r="K381" s="50" t="s">
        <v>210</v>
      </c>
      <c r="L381" s="50">
        <v>2</v>
      </c>
      <c r="M381" s="50" t="s">
        <v>82</v>
      </c>
    </row>
    <row r="382" spans="2:15" ht="12">
      <c r="B382" s="18"/>
      <c r="I382" s="50" t="s">
        <v>253</v>
      </c>
      <c r="J382" s="50" t="s">
        <v>95</v>
      </c>
      <c r="K382" s="50" t="s">
        <v>210</v>
      </c>
      <c r="L382" s="50">
        <v>2</v>
      </c>
      <c r="M382" s="50" t="s">
        <v>82</v>
      </c>
    </row>
    <row r="383" spans="2:15" ht="12">
      <c r="B383" s="18"/>
      <c r="I383" s="50" t="s">
        <v>241</v>
      </c>
      <c r="J383" s="50" t="s">
        <v>95</v>
      </c>
      <c r="K383" s="50" t="s">
        <v>121</v>
      </c>
      <c r="L383" s="50">
        <v>2</v>
      </c>
      <c r="M383" s="50" t="s">
        <v>82</v>
      </c>
    </row>
    <row r="384" spans="2:15" ht="12">
      <c r="B384" s="18"/>
      <c r="I384" s="50" t="s">
        <v>82</v>
      </c>
      <c r="J384" s="50" t="s">
        <v>82</v>
      </c>
      <c r="K384" s="50" t="s">
        <v>82</v>
      </c>
      <c r="L384" s="50" t="s">
        <v>82</v>
      </c>
      <c r="M384" s="50" t="s">
        <v>82</v>
      </c>
    </row>
    <row r="391" spans="14:15" ht="1.5" customHeight="1">
      <c r="N391" s="50" t="s">
        <v>647</v>
      </c>
      <c r="O391" s="50">
        <v>1.7</v>
      </c>
    </row>
    <row r="392" spans="14:15" ht="1.5" customHeight="1">
      <c r="N392" s="50" t="s">
        <v>377</v>
      </c>
      <c r="O392" s="50" t="s">
        <v>141</v>
      </c>
    </row>
    <row r="393" spans="14:15" ht="10.5" customHeight="1">
      <c r="N393" s="50" t="s">
        <v>349</v>
      </c>
      <c r="O393" s="50">
        <v>1.89</v>
      </c>
    </row>
    <row r="394" spans="14:15" ht="1.5" customHeight="1">
      <c r="N394" s="50" t="s">
        <v>308</v>
      </c>
      <c r="O394" s="50" t="s">
        <v>82</v>
      </c>
    </row>
    <row r="395" spans="14:15" ht="1.5" customHeight="1">
      <c r="N395" s="50" t="s">
        <v>296</v>
      </c>
      <c r="O395" s="50">
        <v>2.2000000000000002</v>
      </c>
    </row>
    <row r="396" spans="14:15" ht="1.5" customHeight="1">
      <c r="N396" s="50" t="s">
        <v>303</v>
      </c>
      <c r="O396" s="50">
        <v>1.57</v>
      </c>
    </row>
    <row r="397" spans="14:15" ht="1.5" customHeight="1">
      <c r="N397" s="50" t="s">
        <v>296</v>
      </c>
      <c r="O397" s="50">
        <v>2.42</v>
      </c>
    </row>
    <row r="398" spans="14:15" ht="1.5" customHeight="1">
      <c r="N398" s="50" t="s">
        <v>293</v>
      </c>
      <c r="O398" s="50">
        <v>0.39</v>
      </c>
    </row>
    <row r="399" spans="14:15" ht="1.5" customHeight="1">
      <c r="N399" s="50" t="s">
        <v>261</v>
      </c>
      <c r="O399" s="50">
        <v>0.35</v>
      </c>
    </row>
    <row r="400" spans="14:15" ht="1.5" customHeight="1">
      <c r="N400" s="50" t="s">
        <v>254</v>
      </c>
      <c r="O400" s="50">
        <v>0.47</v>
      </c>
    </row>
    <row r="401" spans="2:15" ht="1.5" customHeight="1">
      <c r="N401" s="50" t="s">
        <v>243</v>
      </c>
      <c r="O401" s="50">
        <v>0.4</v>
      </c>
    </row>
    <row r="402" spans="2:15" ht="1.5" customHeight="1">
      <c r="N402" s="50" t="s">
        <v>82</v>
      </c>
      <c r="O402" s="50" t="s">
        <v>82</v>
      </c>
    </row>
    <row r="403" spans="2:15" ht="1.5" customHeight="1">
      <c r="B403" s="18"/>
      <c r="I403" s="50" t="s">
        <v>119</v>
      </c>
      <c r="J403" s="50" t="s">
        <v>120</v>
      </c>
      <c r="K403" s="50" t="s">
        <v>121</v>
      </c>
      <c r="L403" s="50">
        <v>1</v>
      </c>
      <c r="M403" s="50" t="s">
        <v>82</v>
      </c>
      <c r="N403" s="50" t="s">
        <v>122</v>
      </c>
      <c r="O403" s="50">
        <v>0.38</v>
      </c>
    </row>
    <row r="404" spans="2:15" ht="1.5" customHeight="1">
      <c r="B404" s="18"/>
      <c r="I404" s="50" t="s">
        <v>343</v>
      </c>
      <c r="J404" s="50" t="s">
        <v>209</v>
      </c>
      <c r="K404" s="50" t="s">
        <v>121</v>
      </c>
      <c r="L404" s="50">
        <v>3</v>
      </c>
      <c r="M404" s="50" t="s">
        <v>82</v>
      </c>
      <c r="N404" s="73">
        <v>40644</v>
      </c>
      <c r="O404" s="50">
        <v>3.7</v>
      </c>
    </row>
    <row r="405" spans="2:15" ht="1.5" customHeight="1">
      <c r="B405" s="18"/>
      <c r="I405" s="50" t="s">
        <v>82</v>
      </c>
      <c r="J405" s="50" t="s">
        <v>209</v>
      </c>
      <c r="K405" s="50" t="s">
        <v>121</v>
      </c>
      <c r="L405" s="50">
        <v>1</v>
      </c>
      <c r="M405" s="50" t="s">
        <v>228</v>
      </c>
      <c r="N405" s="73">
        <v>40631</v>
      </c>
      <c r="O405" s="50">
        <v>0.43</v>
      </c>
    </row>
    <row r="406" spans="2:15" ht="1.5" customHeight="1">
      <c r="B406" s="18"/>
      <c r="I406" s="50" t="s">
        <v>206</v>
      </c>
      <c r="J406" s="50" t="s">
        <v>209</v>
      </c>
      <c r="K406" s="50" t="s">
        <v>210</v>
      </c>
      <c r="L406" s="50" t="s">
        <v>82</v>
      </c>
      <c r="M406" s="50" t="s">
        <v>82</v>
      </c>
      <c r="N406" s="73">
        <v>40620</v>
      </c>
      <c r="O406" s="50" t="s">
        <v>82</v>
      </c>
    </row>
    <row r="407" spans="2:15" ht="1.5" customHeight="1">
      <c r="B407" s="18"/>
      <c r="I407" s="50" t="s">
        <v>223</v>
      </c>
      <c r="J407" s="50" t="s">
        <v>209</v>
      </c>
      <c r="K407" s="50" t="s">
        <v>210</v>
      </c>
      <c r="L407" s="50" t="s">
        <v>82</v>
      </c>
      <c r="M407" s="50" t="s">
        <v>82</v>
      </c>
      <c r="N407" s="73">
        <v>40620</v>
      </c>
      <c r="O407" s="50" t="s">
        <v>82</v>
      </c>
    </row>
    <row r="408" spans="2:15" ht="1.5" customHeight="1">
      <c r="B408" s="18"/>
      <c r="I408" s="50" t="s">
        <v>206</v>
      </c>
      <c r="J408" s="50" t="s">
        <v>209</v>
      </c>
      <c r="K408" s="50" t="s">
        <v>210</v>
      </c>
      <c r="L408" s="50">
        <v>1</v>
      </c>
      <c r="M408" s="50" t="s">
        <v>82</v>
      </c>
      <c r="N408" s="73">
        <v>40620</v>
      </c>
      <c r="O408" s="50">
        <v>7.5999999999999998E-2</v>
      </c>
    </row>
    <row r="409" spans="2:15" ht="1.5" customHeight="1">
      <c r="B409" s="18"/>
      <c r="I409" s="50" t="s">
        <v>223</v>
      </c>
      <c r="J409" s="50" t="s">
        <v>209</v>
      </c>
      <c r="K409" s="50" t="s">
        <v>210</v>
      </c>
      <c r="L409" s="50">
        <v>1</v>
      </c>
      <c r="M409" s="50" t="s">
        <v>82</v>
      </c>
      <c r="N409" s="73">
        <v>40620</v>
      </c>
      <c r="O409" s="50">
        <v>6.7000000000000004E-2</v>
      </c>
    </row>
    <row r="410" spans="2:15" ht="1.5" customHeight="1">
      <c r="B410" s="18"/>
      <c r="I410" s="50" t="s">
        <v>82</v>
      </c>
      <c r="J410" s="50" t="s">
        <v>82</v>
      </c>
      <c r="K410" s="50" t="s">
        <v>121</v>
      </c>
      <c r="L410" s="50">
        <v>1</v>
      </c>
      <c r="M410" s="50" t="s">
        <v>82</v>
      </c>
      <c r="N410" s="50" t="s">
        <v>124</v>
      </c>
      <c r="O410" s="50">
        <v>0.69</v>
      </c>
    </row>
    <row r="411" spans="2:15" ht="1.5" customHeight="1">
      <c r="B411" s="18"/>
      <c r="I411" s="50" t="s">
        <v>71</v>
      </c>
      <c r="J411" s="50" t="s">
        <v>209</v>
      </c>
      <c r="K411" s="50" t="s">
        <v>82</v>
      </c>
      <c r="L411" s="50">
        <v>4</v>
      </c>
      <c r="M411" s="50" t="s">
        <v>371</v>
      </c>
      <c r="N411" s="73">
        <v>40996</v>
      </c>
      <c r="O411" s="50">
        <v>1.73</v>
      </c>
    </row>
    <row r="412" spans="2:15" ht="1.5" customHeight="1">
      <c r="B412" s="18"/>
      <c r="I412" s="50" t="s">
        <v>198</v>
      </c>
      <c r="J412" s="50" t="s">
        <v>90</v>
      </c>
      <c r="K412" s="50" t="s">
        <v>81</v>
      </c>
      <c r="L412" s="50">
        <v>1</v>
      </c>
      <c r="M412" s="50" t="s">
        <v>82</v>
      </c>
      <c r="N412" s="50" t="s">
        <v>202</v>
      </c>
      <c r="O412" s="50">
        <v>1.98</v>
      </c>
    </row>
    <row r="413" spans="2:15" ht="1.5" customHeight="1">
      <c r="B413" s="18"/>
      <c r="I413" s="50" t="s">
        <v>132</v>
      </c>
      <c r="J413" s="50" t="s">
        <v>90</v>
      </c>
      <c r="K413" s="50" t="s">
        <v>121</v>
      </c>
      <c r="L413" s="50">
        <v>1</v>
      </c>
      <c r="M413" s="50" t="s">
        <v>133</v>
      </c>
      <c r="N413" s="50" t="s">
        <v>134</v>
      </c>
      <c r="O413" s="50">
        <v>0.73</v>
      </c>
    </row>
    <row r="414" spans="2:15" ht="1.5" customHeight="1">
      <c r="B414" s="18"/>
      <c r="I414" s="50" t="s">
        <v>359</v>
      </c>
      <c r="J414" s="50" t="s">
        <v>90</v>
      </c>
      <c r="K414" s="50" t="s">
        <v>210</v>
      </c>
      <c r="L414" s="50">
        <v>3</v>
      </c>
      <c r="M414" s="50" t="s">
        <v>82</v>
      </c>
      <c r="N414" s="50" t="s">
        <v>360</v>
      </c>
      <c r="O414" s="50">
        <v>0.4</v>
      </c>
    </row>
    <row r="415" spans="2:15" ht="1.5" customHeight="1">
      <c r="B415" s="18"/>
      <c r="I415" s="50" t="s">
        <v>206</v>
      </c>
      <c r="J415" s="50" t="s">
        <v>209</v>
      </c>
      <c r="K415" s="50" t="s">
        <v>210</v>
      </c>
      <c r="L415" s="50">
        <v>2</v>
      </c>
      <c r="M415" s="50" t="s">
        <v>310</v>
      </c>
      <c r="N415" s="73">
        <v>40490</v>
      </c>
      <c r="O415" s="50" t="s">
        <v>141</v>
      </c>
    </row>
    <row r="416" spans="2:15" ht="1.5" customHeight="1">
      <c r="N416" s="50" t="s">
        <v>83</v>
      </c>
      <c r="O416" s="50">
        <v>1.74</v>
      </c>
    </row>
    <row r="417" spans="2:15" ht="1.5" customHeight="1">
      <c r="B417" s="18"/>
      <c r="I417" s="50" t="s">
        <v>206</v>
      </c>
      <c r="J417" s="50" t="s">
        <v>95</v>
      </c>
      <c r="K417" s="50" t="s">
        <v>121</v>
      </c>
      <c r="L417" s="50">
        <v>3</v>
      </c>
      <c r="M417" s="50" t="s">
        <v>82</v>
      </c>
      <c r="N417" s="50" t="s">
        <v>386</v>
      </c>
      <c r="O417" s="50">
        <v>0.56399999999999995</v>
      </c>
    </row>
    <row r="418" spans="2:15" ht="1.5" customHeight="1">
      <c r="B418" s="18"/>
      <c r="I418" s="50" t="s">
        <v>206</v>
      </c>
      <c r="J418" s="50" t="s">
        <v>95</v>
      </c>
      <c r="K418" s="50" t="s">
        <v>121</v>
      </c>
      <c r="L418" s="50">
        <v>1</v>
      </c>
      <c r="M418" s="50" t="s">
        <v>82</v>
      </c>
      <c r="N418" s="50" t="s">
        <v>389</v>
      </c>
      <c r="O418" s="50">
        <v>3.07</v>
      </c>
    </row>
    <row r="419" spans="2:15" ht="1.5" customHeight="1">
      <c r="B419" s="18"/>
      <c r="I419" s="50" t="s">
        <v>115</v>
      </c>
      <c r="J419" s="50" t="s">
        <v>209</v>
      </c>
      <c r="K419" s="50" t="s">
        <v>121</v>
      </c>
      <c r="L419" s="50">
        <v>3</v>
      </c>
      <c r="M419" s="50" t="s">
        <v>82</v>
      </c>
      <c r="N419" s="50" t="s">
        <v>362</v>
      </c>
      <c r="O419" s="50">
        <v>1.9</v>
      </c>
    </row>
    <row r="420" spans="2:15" ht="1.5" customHeight="1">
      <c r="B420" s="18"/>
      <c r="I420" s="50" t="s">
        <v>206</v>
      </c>
      <c r="J420" s="50" t="s">
        <v>95</v>
      </c>
      <c r="K420" s="50" t="s">
        <v>121</v>
      </c>
      <c r="L420" s="50">
        <v>1</v>
      </c>
      <c r="M420" s="50" t="s">
        <v>82</v>
      </c>
      <c r="N420" s="50" t="s">
        <v>386</v>
      </c>
      <c r="O420" s="50">
        <v>3.46</v>
      </c>
    </row>
    <row r="421" spans="2:15" ht="1.5" customHeight="1">
      <c r="B421" s="18"/>
      <c r="I421" s="50" t="s">
        <v>79</v>
      </c>
      <c r="J421" s="50" t="s">
        <v>80</v>
      </c>
      <c r="K421" s="50" t="s">
        <v>81</v>
      </c>
      <c r="L421" s="50">
        <v>1</v>
      </c>
      <c r="M421" s="50" t="s">
        <v>82</v>
      </c>
      <c r="N421" s="50" t="s">
        <v>83</v>
      </c>
      <c r="O421" s="50" t="s">
        <v>84</v>
      </c>
    </row>
    <row r="422" spans="2:15" ht="1.5" customHeight="1">
      <c r="B422" s="18"/>
      <c r="I422" s="50" t="s">
        <v>141</v>
      </c>
      <c r="J422" s="50" t="s">
        <v>141</v>
      </c>
      <c r="K422" s="50" t="s">
        <v>210</v>
      </c>
      <c r="L422" s="50" t="s">
        <v>82</v>
      </c>
      <c r="M422" s="50" t="s">
        <v>381</v>
      </c>
      <c r="N422" s="50" t="s">
        <v>382</v>
      </c>
      <c r="O422" s="50">
        <v>0.47</v>
      </c>
    </row>
    <row r="423" spans="2:15" ht="1.5" customHeight="1">
      <c r="B423" s="18"/>
      <c r="I423" s="50" t="s">
        <v>79</v>
      </c>
      <c r="J423" s="50" t="s">
        <v>80</v>
      </c>
      <c r="K423" s="50" t="s">
        <v>121</v>
      </c>
      <c r="L423" s="50" t="s">
        <v>82</v>
      </c>
      <c r="M423" s="50" t="s">
        <v>82</v>
      </c>
      <c r="N423" s="73">
        <v>40225</v>
      </c>
      <c r="O423" s="50">
        <v>0.5</v>
      </c>
    </row>
    <row r="424" spans="2:15" ht="1.5" customHeight="1">
      <c r="B424" s="18"/>
      <c r="I424" s="50" t="s">
        <v>141</v>
      </c>
      <c r="J424" s="50" t="s">
        <v>440</v>
      </c>
      <c r="K424" s="50" t="s">
        <v>96</v>
      </c>
      <c r="L424" s="50" t="s">
        <v>82</v>
      </c>
      <c r="M424" s="54" t="s">
        <v>441</v>
      </c>
      <c r="N424" s="50" t="s">
        <v>141</v>
      </c>
      <c r="O424" s="50">
        <v>2.8</v>
      </c>
    </row>
    <row r="425" spans="2:15" ht="24">
      <c r="B425" s="18"/>
      <c r="J425" s="50" t="s">
        <v>1052</v>
      </c>
      <c r="L425" s="50" t="s">
        <v>782</v>
      </c>
      <c r="M425" s="50" t="s">
        <v>965</v>
      </c>
    </row>
    <row r="426" spans="2:15" ht="1.5" customHeight="1">
      <c r="B426" s="18"/>
      <c r="J426" s="50" t="s">
        <v>444</v>
      </c>
      <c r="N426" s="50" t="s">
        <v>446</v>
      </c>
      <c r="O426" s="50">
        <v>0.121</v>
      </c>
    </row>
    <row r="427" spans="2:15" ht="1.5" customHeight="1">
      <c r="J427" s="50" t="s">
        <v>444</v>
      </c>
      <c r="N427" s="50" t="s">
        <v>446</v>
      </c>
      <c r="O427" s="50">
        <v>8.2000000000000003E-2</v>
      </c>
    </row>
    <row r="428" spans="2:15" ht="1.5" customHeight="1">
      <c r="B428" s="18"/>
      <c r="I428" s="50" t="s">
        <v>409</v>
      </c>
      <c r="J428" s="50" t="s">
        <v>148</v>
      </c>
      <c r="K428" s="50" t="s">
        <v>190</v>
      </c>
      <c r="L428" s="50">
        <v>3</v>
      </c>
      <c r="M428" s="50" t="s">
        <v>410</v>
      </c>
      <c r="N428" s="73">
        <v>40830</v>
      </c>
      <c r="O428" s="50">
        <v>0.5</v>
      </c>
    </row>
    <row r="429" spans="2:15" ht="1.5" customHeight="1">
      <c r="B429" s="18"/>
      <c r="J429" s="50" t="s">
        <v>498</v>
      </c>
      <c r="N429" s="50" t="s">
        <v>446</v>
      </c>
    </row>
    <row r="430" spans="2:15" ht="1.5" customHeight="1"/>
    <row r="431" spans="2:15" ht="1.5" customHeight="1">
      <c r="B431" s="18"/>
      <c r="J431" s="50" t="s">
        <v>52</v>
      </c>
    </row>
    <row r="432" spans="2:15" ht="1.5" customHeight="1">
      <c r="B432" s="18"/>
      <c r="J432" s="50" t="s">
        <v>52</v>
      </c>
    </row>
    <row r="433" spans="2:15" ht="1.5" customHeight="1">
      <c r="B433" s="18"/>
      <c r="J433" s="50" t="s">
        <v>52</v>
      </c>
    </row>
    <row r="434" spans="2:15" ht="12">
      <c r="J434" s="50" t="s">
        <v>1410</v>
      </c>
      <c r="L434" s="50" t="s">
        <v>796</v>
      </c>
    </row>
    <row r="435" spans="2:15" ht="12">
      <c r="J435" s="50" t="s">
        <v>1410</v>
      </c>
      <c r="L435" s="50" t="s">
        <v>796</v>
      </c>
    </row>
    <row r="436" spans="2:15" ht="1.5" customHeight="1">
      <c r="N436" s="50" t="s">
        <v>446</v>
      </c>
      <c r="O436" s="50">
        <v>0.30599999999999999</v>
      </c>
    </row>
    <row r="437" spans="2:15" ht="1.5" customHeight="1"/>
    <row r="438" spans="2:15" ht="1.5" customHeight="1"/>
    <row r="439" spans="2:15" ht="1.5" customHeight="1"/>
    <row r="440" spans="2:15" ht="1.5" customHeight="1"/>
    <row r="441" spans="2:15" ht="1.5" customHeight="1">
      <c r="N441" s="50" t="s">
        <v>446</v>
      </c>
      <c r="O441" s="50">
        <v>0.5</v>
      </c>
    </row>
    <row r="442" spans="2:15" ht="1.5" customHeight="1"/>
    <row r="443" spans="2:15" ht="1.5" customHeight="1">
      <c r="B443" s="18"/>
      <c r="J443" s="50" t="s">
        <v>498</v>
      </c>
      <c r="N443" s="50" t="s">
        <v>446</v>
      </c>
      <c r="O443" s="50">
        <v>1.0309999999999999</v>
      </c>
    </row>
    <row r="444" spans="2:15" ht="1.5" customHeight="1">
      <c r="B444" s="18"/>
    </row>
    <row r="445" spans="2:15" ht="1.5" customHeight="1">
      <c r="B445" s="18"/>
      <c r="J445" s="50" t="s">
        <v>444</v>
      </c>
      <c r="N445" s="50" t="s">
        <v>446</v>
      </c>
      <c r="O445" s="50">
        <v>0.55000000000000004</v>
      </c>
    </row>
    <row r="446" spans="2:15" ht="1.5" customHeight="1">
      <c r="B446" s="18"/>
      <c r="I446" s="50" t="s">
        <v>82</v>
      </c>
      <c r="J446" s="50" t="s">
        <v>141</v>
      </c>
      <c r="K446" s="50" t="s">
        <v>81</v>
      </c>
      <c r="L446" s="50" t="s">
        <v>82</v>
      </c>
      <c r="M446" s="50" t="s">
        <v>384</v>
      </c>
      <c r="N446" s="50" t="s">
        <v>141</v>
      </c>
      <c r="O446" s="50">
        <v>0.09</v>
      </c>
    </row>
    <row r="447" spans="2:15" ht="1.5" customHeight="1">
      <c r="B447" s="18"/>
      <c r="I447" s="50" t="s">
        <v>141</v>
      </c>
      <c r="J447" s="50" t="s">
        <v>312</v>
      </c>
      <c r="K447" s="50" t="s">
        <v>210</v>
      </c>
      <c r="L447" s="50" t="s">
        <v>82</v>
      </c>
      <c r="M447" s="50" t="s">
        <v>313</v>
      </c>
      <c r="N447" s="50" t="s">
        <v>141</v>
      </c>
      <c r="O447" s="50">
        <v>1</v>
      </c>
    </row>
    <row r="448" spans="2:15" ht="1.5" customHeight="1">
      <c r="B448" s="18"/>
      <c r="I448" s="50" t="s">
        <v>89</v>
      </c>
      <c r="J448" s="50" t="s">
        <v>90</v>
      </c>
      <c r="K448" s="50" t="s">
        <v>81</v>
      </c>
      <c r="L448" s="50">
        <v>1</v>
      </c>
      <c r="M448" s="50" t="s">
        <v>91</v>
      </c>
      <c r="N448" s="50" t="s">
        <v>92</v>
      </c>
      <c r="O448" s="50">
        <v>1.25</v>
      </c>
    </row>
    <row r="449" spans="2:15" ht="12">
      <c r="B449" s="18"/>
      <c r="J449" s="50" t="s">
        <v>1345</v>
      </c>
      <c r="K449" s="50" t="s">
        <v>1346</v>
      </c>
      <c r="L449" s="50" t="s">
        <v>782</v>
      </c>
      <c r="M449" s="50" t="s">
        <v>1347</v>
      </c>
    </row>
    <row r="450" spans="2:15" ht="12">
      <c r="B450" s="18"/>
      <c r="J450" s="50" t="s">
        <v>1268</v>
      </c>
      <c r="L450" s="50" t="s">
        <v>782</v>
      </c>
      <c r="M450" s="50" t="s">
        <v>3270</v>
      </c>
    </row>
    <row r="451" spans="2:15" ht="12">
      <c r="B451" s="18"/>
      <c r="J451" s="50" t="s">
        <v>1268</v>
      </c>
      <c r="L451" s="50" t="s">
        <v>782</v>
      </c>
      <c r="M451" s="50" t="s">
        <v>3271</v>
      </c>
    </row>
    <row r="452" spans="2:15" ht="12">
      <c r="B452" s="18"/>
      <c r="J452" s="50" t="s">
        <v>1268</v>
      </c>
      <c r="L452" s="50" t="s">
        <v>782</v>
      </c>
      <c r="M452" s="50" t="s">
        <v>3272</v>
      </c>
    </row>
    <row r="453" spans="2:15" ht="1.5" customHeight="1">
      <c r="B453" s="18"/>
      <c r="J453" s="50" t="s">
        <v>52</v>
      </c>
      <c r="M453" s="50" t="s">
        <v>474</v>
      </c>
      <c r="N453" s="50" t="s">
        <v>446</v>
      </c>
      <c r="O453" s="50">
        <v>0.36699999999999999</v>
      </c>
    </row>
    <row r="454" spans="2:15" ht="1.5" customHeight="1">
      <c r="B454" s="18"/>
      <c r="J454" s="50" t="s">
        <v>52</v>
      </c>
      <c r="N454" s="50" t="s">
        <v>446</v>
      </c>
      <c r="O454" s="50">
        <v>0.34899999999999998</v>
      </c>
    </row>
    <row r="455" spans="2:15" ht="1.5" customHeight="1"/>
    <row r="456" spans="2:15" ht="1.5" customHeight="1"/>
    <row r="457" spans="2:15" ht="1.5" customHeight="1"/>
    <row r="458" spans="2:15" ht="1.5" customHeight="1"/>
    <row r="464" spans="2:15" ht="12">
      <c r="B464" s="18"/>
      <c r="J464" s="54" t="s">
        <v>781</v>
      </c>
    </row>
    <row r="465" spans="2:13" ht="11.25" customHeight="1"/>
    <row r="466" spans="2:13" ht="12">
      <c r="B466" s="18"/>
      <c r="F466" s="50" t="s">
        <v>552</v>
      </c>
      <c r="G466" s="50" t="s">
        <v>836</v>
      </c>
      <c r="I466" s="50" t="s">
        <v>583</v>
      </c>
      <c r="J466" s="50" t="s">
        <v>881</v>
      </c>
      <c r="L466" s="50" t="s">
        <v>782</v>
      </c>
      <c r="M466" s="50" t="s">
        <v>943</v>
      </c>
    </row>
    <row r="467" spans="2:13" ht="12">
      <c r="B467" s="18"/>
      <c r="I467" s="50" t="s">
        <v>583</v>
      </c>
      <c r="J467" s="50" t="s">
        <v>881</v>
      </c>
      <c r="L467" s="50" t="s">
        <v>796</v>
      </c>
      <c r="M467" s="50" t="s">
        <v>951</v>
      </c>
    </row>
    <row r="468" spans="2:13" ht="12">
      <c r="B468" s="18"/>
      <c r="I468" s="50" t="s">
        <v>141</v>
      </c>
      <c r="J468" s="50" t="s">
        <v>82</v>
      </c>
      <c r="K468" s="50" t="s">
        <v>159</v>
      </c>
      <c r="L468" s="50">
        <v>1</v>
      </c>
      <c r="M468" s="50" t="s">
        <v>82</v>
      </c>
    </row>
    <row r="470" spans="2:13" ht="12">
      <c r="B470" s="18"/>
      <c r="E470" s="50">
        <v>8.1</v>
      </c>
      <c r="J470" s="50" t="s">
        <v>754</v>
      </c>
    </row>
    <row r="471" spans="2:13" ht="12">
      <c r="B471" s="18"/>
      <c r="E471" s="50">
        <v>8.25</v>
      </c>
      <c r="J471" s="50" t="s">
        <v>754</v>
      </c>
    </row>
    <row r="472" spans="2:13" ht="12">
      <c r="B472" s="18"/>
      <c r="E472" s="50">
        <v>8.25</v>
      </c>
      <c r="J472" s="50" t="s">
        <v>754</v>
      </c>
    </row>
    <row r="475" spans="2:13" ht="12">
      <c r="B475" s="18"/>
      <c r="I475" s="50" t="s">
        <v>82</v>
      </c>
      <c r="J475" s="54" t="s">
        <v>703</v>
      </c>
      <c r="M475" s="50" t="s">
        <v>702</v>
      </c>
    </row>
    <row r="476" spans="2:13" ht="12">
      <c r="B476" s="18"/>
      <c r="I476" s="50" t="s">
        <v>82</v>
      </c>
      <c r="J476" s="54" t="s">
        <v>703</v>
      </c>
    </row>
    <row r="478" spans="2:13" ht="12">
      <c r="B478" s="18"/>
      <c r="J478" s="50" t="s">
        <v>52</v>
      </c>
    </row>
    <row r="479" spans="2:13" ht="12">
      <c r="B479" s="18"/>
    </row>
    <row r="480" spans="2:13" ht="24">
      <c r="B480" s="18"/>
      <c r="J480" s="50" t="s">
        <v>764</v>
      </c>
    </row>
    <row r="481" spans="2:13" ht="24">
      <c r="B481" s="18"/>
      <c r="J481" s="50" t="s">
        <v>764</v>
      </c>
    </row>
    <row r="482" spans="2:13" ht="12">
      <c r="B482" s="18"/>
      <c r="M482" s="50" t="s">
        <v>3273</v>
      </c>
    </row>
    <row r="483" spans="2:13" ht="12">
      <c r="B483" s="18"/>
      <c r="J483" s="50" t="s">
        <v>729</v>
      </c>
    </row>
    <row r="484" spans="2:13" ht="24">
      <c r="B484" s="18"/>
      <c r="J484" s="50" t="s">
        <v>915</v>
      </c>
    </row>
    <row r="485" spans="2:13" ht="24">
      <c r="B485" s="18"/>
      <c r="J485" s="50" t="s">
        <v>764</v>
      </c>
    </row>
    <row r="486" spans="2:13" ht="24">
      <c r="B486" s="18"/>
      <c r="K486" s="50" t="s">
        <v>190</v>
      </c>
      <c r="M486" s="50" t="s">
        <v>396</v>
      </c>
    </row>
    <row r="487" spans="2:13" ht="12">
      <c r="B487" s="18"/>
      <c r="I487" s="50" t="s">
        <v>253</v>
      </c>
      <c r="J487" s="50" t="s">
        <v>209</v>
      </c>
      <c r="K487" s="50" t="s">
        <v>318</v>
      </c>
      <c r="L487" s="50">
        <v>2</v>
      </c>
      <c r="M487" s="50" t="s">
        <v>82</v>
      </c>
    </row>
    <row r="488" spans="2:13" ht="36">
      <c r="B488" s="18"/>
      <c r="J488" s="50" t="s">
        <v>1126</v>
      </c>
      <c r="L488" s="50" t="s">
        <v>1127</v>
      </c>
    </row>
    <row r="489" spans="2:13" ht="36">
      <c r="B489" s="18"/>
      <c r="J489" s="50" t="s">
        <v>1126</v>
      </c>
      <c r="L489" s="50" t="s">
        <v>1127</v>
      </c>
    </row>
    <row r="490" spans="2:13" ht="36">
      <c r="B490" s="18"/>
      <c r="J490" s="50" t="s">
        <v>1126</v>
      </c>
      <c r="L490" s="50" t="s">
        <v>1127</v>
      </c>
    </row>
    <row r="491" spans="2:13" ht="12">
      <c r="B491" s="18"/>
      <c r="J491" s="50" t="s">
        <v>52</v>
      </c>
    </row>
    <row r="492" spans="2:13" ht="12">
      <c r="B492" s="18"/>
    </row>
    <row r="493" spans="2:13" ht="12">
      <c r="J493" s="50" t="s">
        <v>890</v>
      </c>
      <c r="L493" s="50" t="s">
        <v>782</v>
      </c>
    </row>
    <row r="494" spans="2:13" ht="12">
      <c r="B494" s="18"/>
    </row>
    <row r="495" spans="2:13" ht="12">
      <c r="B495" s="18"/>
    </row>
    <row r="496" spans="2:13" ht="12">
      <c r="B496" s="18"/>
    </row>
    <row r="497" spans="2:2" ht="12">
      <c r="B497" s="18"/>
    </row>
    <row r="498" spans="2:2" ht="12">
      <c r="B498" s="18"/>
    </row>
    <row r="499" spans="2:2" ht="12">
      <c r="B499" s="18"/>
    </row>
    <row r="500" spans="2:2" ht="12">
      <c r="B500" s="18"/>
    </row>
    <row r="501" spans="2:2" ht="12">
      <c r="B501" s="18"/>
    </row>
    <row r="502" spans="2:2" ht="12">
      <c r="B502" s="18"/>
    </row>
    <row r="503" spans="2:2" ht="12">
      <c r="B503" s="18"/>
    </row>
    <row r="504" spans="2:2" ht="12">
      <c r="B504" s="18"/>
    </row>
    <row r="505" spans="2:2" ht="12">
      <c r="B505" s="18"/>
    </row>
    <row r="506" spans="2:2" ht="12">
      <c r="B506" s="18"/>
    </row>
    <row r="507" spans="2:2" ht="12">
      <c r="B507" s="18"/>
    </row>
    <row r="508" spans="2:2" ht="12">
      <c r="B508" s="18"/>
    </row>
  </sheetData>
  <conditionalFormatting sqref="A9">
    <cfRule type="containsText" dxfId="7" priority="1" operator="containsText" text="Optovision">
      <formula>NOT(ISERROR(SEARCH(("Optovision"),(A9))))</formula>
    </cfRule>
  </conditionalFormatting>
  <conditionalFormatting sqref="A19">
    <cfRule type="containsText" dxfId="6" priority="2" operator="containsText" text="Optovision">
      <formula>NOT(ISERROR(SEARCH(("Optovision"),(A19))))</formula>
    </cfRule>
  </conditionalFormatting>
  <conditionalFormatting sqref="A9">
    <cfRule type="containsText" dxfId="5" priority="3" operator="containsText" text="Gensight">
      <formula>NOT(ISERROR(SEARCH(("Gensight"),(A9))))</formula>
    </cfRule>
  </conditionalFormatting>
  <conditionalFormatting sqref="A19">
    <cfRule type="containsText" dxfId="4" priority="4" operator="containsText" text="Gensight">
      <formula>NOT(ISERROR(SEARCH(("Gensight"),(A19))))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65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4.5" defaultRowHeight="12.75" customHeight="1" x14ac:dyDescent="0"/>
  <cols>
    <col min="1" max="1" width="10.33203125" customWidth="1"/>
    <col min="2" max="2" width="11" customWidth="1"/>
    <col min="3" max="3" width="12.33203125" customWidth="1"/>
    <col min="4" max="4" width="17.6640625" customWidth="1"/>
    <col min="5" max="6" width="17.33203125" customWidth="1"/>
    <col min="7" max="7" width="14" customWidth="1"/>
    <col min="8" max="8" width="19.33203125" hidden="1" customWidth="1"/>
    <col min="9" max="9" width="17.33203125" hidden="1" customWidth="1"/>
    <col min="10" max="10" width="14.5" customWidth="1"/>
    <col min="11" max="11" width="17.33203125" customWidth="1"/>
    <col min="12" max="12" width="20.1640625" customWidth="1"/>
    <col min="13" max="14" width="27.5" customWidth="1"/>
    <col min="15" max="15" width="17.33203125" customWidth="1"/>
    <col min="16" max="16" width="24.1640625" customWidth="1"/>
    <col min="17" max="21" width="17.33203125" customWidth="1"/>
  </cols>
  <sheetData>
    <row r="1" spans="1:21" ht="26">
      <c r="A1" s="1398" t="s">
        <v>3274</v>
      </c>
      <c r="B1" s="1399" t="s">
        <v>3275</v>
      </c>
      <c r="C1" s="1399" t="s">
        <v>2760</v>
      </c>
      <c r="D1" s="1400" t="s">
        <v>3276</v>
      </c>
      <c r="E1" s="1401" t="s">
        <v>3277</v>
      </c>
      <c r="F1" s="1402" t="s">
        <v>3278</v>
      </c>
      <c r="G1" s="1403" t="s">
        <v>3279</v>
      </c>
      <c r="H1" s="1404" t="s">
        <v>3280</v>
      </c>
      <c r="I1" s="1402" t="s">
        <v>3281</v>
      </c>
      <c r="J1" s="1405" t="s">
        <v>3282</v>
      </c>
      <c r="K1" s="1406" t="s">
        <v>3283</v>
      </c>
      <c r="L1" s="641" t="s">
        <v>3284</v>
      </c>
      <c r="M1" s="639" t="s">
        <v>3285</v>
      </c>
      <c r="N1" s="1407"/>
      <c r="O1" s="1407"/>
      <c r="P1" s="1407"/>
      <c r="Q1" s="1407"/>
      <c r="R1" s="1407"/>
      <c r="S1" s="1407"/>
      <c r="T1" s="1407"/>
      <c r="U1" s="1407"/>
    </row>
    <row r="2" spans="1:21" ht="24">
      <c r="A2" s="1408"/>
      <c r="B2" s="1408"/>
      <c r="C2" s="1408"/>
      <c r="D2" s="1409"/>
      <c r="E2" s="1410"/>
      <c r="F2" s="1411"/>
      <c r="G2" s="1412" t="s">
        <v>3286</v>
      </c>
      <c r="H2" s="1413"/>
      <c r="I2" s="1414"/>
      <c r="J2" s="1415"/>
      <c r="K2" s="1416"/>
      <c r="L2" s="1407"/>
      <c r="M2" s="1407"/>
      <c r="N2" s="1407"/>
      <c r="O2" s="1407"/>
      <c r="P2" s="1407"/>
      <c r="Q2" s="1407"/>
      <c r="R2" s="1407"/>
      <c r="S2" s="1407"/>
      <c r="T2" s="1407"/>
      <c r="U2" s="1407"/>
    </row>
    <row r="3" spans="1:21" ht="12">
      <c r="A3" s="1408"/>
      <c r="B3" s="1408"/>
      <c r="C3" s="1408"/>
      <c r="D3" s="1417"/>
      <c r="E3" s="1418"/>
      <c r="F3" s="1419"/>
      <c r="G3" s="1420">
        <v>32800000000</v>
      </c>
      <c r="H3" s="1421">
        <v>2900000000000</v>
      </c>
      <c r="I3" s="1414" t="s">
        <v>3287</v>
      </c>
      <c r="J3" s="1415"/>
      <c r="K3" s="1416"/>
      <c r="L3" s="1407"/>
      <c r="M3" s="1407"/>
      <c r="N3" s="1407"/>
      <c r="O3" s="1407"/>
      <c r="P3" s="1407"/>
      <c r="Q3" s="1407"/>
      <c r="R3" s="1407"/>
      <c r="S3" s="1407"/>
      <c r="T3" s="1407"/>
      <c r="U3" s="1407"/>
    </row>
    <row r="4" spans="1:21" ht="14.25" customHeight="1">
      <c r="A4" s="1422" t="s">
        <v>3288</v>
      </c>
      <c r="B4" s="1423">
        <v>41806</v>
      </c>
      <c r="C4" s="1422" t="s">
        <v>881</v>
      </c>
      <c r="D4" s="1424" t="s">
        <v>3289</v>
      </c>
      <c r="E4" s="1425"/>
      <c r="F4" s="1426">
        <v>44000000000000</v>
      </c>
      <c r="G4" s="1427">
        <v>9090000000</v>
      </c>
      <c r="H4" s="1427">
        <v>6800000000000</v>
      </c>
      <c r="I4" s="1428"/>
      <c r="J4" s="1407"/>
      <c r="K4" s="1431">
        <f t="shared" ref="K4:K9" si="0">(32800000000/G4)*F4</f>
        <v>158767876787678.78</v>
      </c>
      <c r="L4" s="1407"/>
      <c r="M4" s="1407"/>
      <c r="N4" s="1407"/>
      <c r="O4" s="1407"/>
      <c r="P4" s="1407"/>
      <c r="Q4" s="1407"/>
      <c r="R4" s="1407"/>
      <c r="S4" s="1407"/>
      <c r="T4" s="1407"/>
      <c r="U4" s="1407"/>
    </row>
    <row r="5" spans="1:21" ht="12">
      <c r="A5" s="1422" t="s">
        <v>3288</v>
      </c>
      <c r="B5" s="1423">
        <v>41806</v>
      </c>
      <c r="C5" s="1422" t="s">
        <v>881</v>
      </c>
      <c r="D5" s="1433" t="s">
        <v>3295</v>
      </c>
      <c r="E5" s="1435"/>
      <c r="F5" s="1437">
        <v>21700000000000</v>
      </c>
      <c r="G5" s="1438">
        <v>9090000000</v>
      </c>
      <c r="H5" s="1438">
        <v>6800000000000</v>
      </c>
      <c r="I5" s="1428"/>
      <c r="J5" s="1407"/>
      <c r="K5" s="1431">
        <f t="shared" si="0"/>
        <v>78301430143014.297</v>
      </c>
      <c r="L5" s="1407"/>
      <c r="M5" s="1407"/>
      <c r="N5" s="1407"/>
      <c r="O5" s="1407"/>
      <c r="P5" s="1407"/>
      <c r="Q5" s="1407"/>
      <c r="R5" s="1407"/>
      <c r="S5" s="1407"/>
      <c r="T5" s="1407"/>
      <c r="U5" s="1407"/>
    </row>
    <row r="6" spans="1:21" ht="12">
      <c r="A6" s="1422" t="s">
        <v>3288</v>
      </c>
      <c r="B6" s="1423">
        <v>41806</v>
      </c>
      <c r="C6" s="1422" t="s">
        <v>881</v>
      </c>
      <c r="D6" s="1433" t="s">
        <v>3299</v>
      </c>
      <c r="E6" s="1435"/>
      <c r="F6" s="1437">
        <v>59100000000000</v>
      </c>
      <c r="G6" s="1440">
        <v>9090000000</v>
      </c>
      <c r="H6" s="1440">
        <v>6800000000000</v>
      </c>
      <c r="I6" s="1428"/>
      <c r="J6" s="1407"/>
      <c r="K6" s="1431">
        <f t="shared" si="0"/>
        <v>213254125412541.25</v>
      </c>
      <c r="L6" s="1407"/>
      <c r="M6" s="1407"/>
      <c r="N6" s="1407"/>
      <c r="O6" s="1407"/>
      <c r="P6" s="1407"/>
      <c r="Q6" s="1407"/>
      <c r="R6" s="1407"/>
      <c r="S6" s="1407"/>
      <c r="T6" s="1407"/>
      <c r="U6" s="1407"/>
    </row>
    <row r="7" spans="1:21" ht="12">
      <c r="A7" s="1422" t="s">
        <v>3288</v>
      </c>
      <c r="B7" s="1423">
        <v>41806</v>
      </c>
      <c r="C7" s="1422" t="s">
        <v>881</v>
      </c>
      <c r="D7" s="1433" t="s">
        <v>3300</v>
      </c>
      <c r="E7" s="1435"/>
      <c r="F7" s="1437">
        <v>35800000000000</v>
      </c>
      <c r="G7" s="1441">
        <v>9090000000</v>
      </c>
      <c r="H7" s="1441">
        <v>6800000000000</v>
      </c>
      <c r="I7" s="1428"/>
      <c r="J7" s="1407"/>
      <c r="K7" s="1431">
        <f t="shared" si="0"/>
        <v>129179317931793.17</v>
      </c>
      <c r="L7" s="1407"/>
      <c r="M7" s="1407"/>
      <c r="N7" s="1407"/>
      <c r="O7" s="1407"/>
      <c r="P7" s="1407"/>
      <c r="Q7" s="1407"/>
      <c r="R7" s="1407"/>
      <c r="S7" s="1407"/>
      <c r="T7" s="1407"/>
      <c r="U7" s="1407"/>
    </row>
    <row r="8" spans="1:21" ht="12">
      <c r="A8" s="1422" t="s">
        <v>3288</v>
      </c>
      <c r="B8" s="1423">
        <v>41806</v>
      </c>
      <c r="C8" s="1422" t="s">
        <v>881</v>
      </c>
      <c r="D8" s="1433" t="s">
        <v>3301</v>
      </c>
      <c r="E8" s="1435"/>
      <c r="F8" s="1437">
        <v>27800000000000</v>
      </c>
      <c r="G8" s="1441">
        <v>9090000000</v>
      </c>
      <c r="H8" s="1441">
        <v>6800000000000</v>
      </c>
      <c r="I8" s="1428"/>
      <c r="J8" s="1407"/>
      <c r="K8" s="1431">
        <f t="shared" si="0"/>
        <v>100312431243124.31</v>
      </c>
      <c r="L8" s="1407"/>
      <c r="M8" s="1407"/>
      <c r="N8" s="1407"/>
      <c r="O8" s="1407"/>
      <c r="P8" s="1407"/>
      <c r="Q8" s="1407"/>
      <c r="R8" s="1407"/>
      <c r="S8" s="1407"/>
      <c r="T8" s="1407"/>
      <c r="U8" s="1407"/>
    </row>
    <row r="9" spans="1:21" ht="12">
      <c r="A9" s="1422" t="s">
        <v>3288</v>
      </c>
      <c r="B9" s="1423">
        <v>41806</v>
      </c>
      <c r="C9" s="1422" t="s">
        <v>881</v>
      </c>
      <c r="D9" s="1442" t="s">
        <v>3302</v>
      </c>
      <c r="E9" s="1443"/>
      <c r="F9" s="1444">
        <v>6780000000000</v>
      </c>
      <c r="G9" s="1441">
        <v>9090000000</v>
      </c>
      <c r="H9" s="1441">
        <v>6800000000000</v>
      </c>
      <c r="I9" s="1428"/>
      <c r="J9" s="1407"/>
      <c r="K9" s="1431">
        <f t="shared" si="0"/>
        <v>24464686468646.863</v>
      </c>
      <c r="L9" s="1407"/>
      <c r="M9" s="1407"/>
      <c r="N9" s="1407"/>
      <c r="O9" s="1407"/>
      <c r="P9" s="1407"/>
      <c r="Q9" s="1407"/>
      <c r="R9" s="1407"/>
      <c r="S9" s="1407"/>
      <c r="T9" s="1407"/>
      <c r="U9" s="1407"/>
    </row>
    <row r="10" spans="1:21" ht="12">
      <c r="A10" s="1408"/>
      <c r="B10" s="1408"/>
      <c r="C10" s="1408"/>
      <c r="D10" s="1445"/>
      <c r="E10" s="1446"/>
      <c r="F10" s="1447"/>
      <c r="G10" s="1448"/>
      <c r="H10" s="1448"/>
      <c r="I10" s="1428"/>
      <c r="J10" s="1407"/>
      <c r="K10" s="1431"/>
      <c r="L10" s="1407"/>
      <c r="M10" s="1407"/>
      <c r="N10" s="1407"/>
      <c r="O10" s="1407"/>
      <c r="P10" s="1407"/>
      <c r="Q10" s="1407"/>
      <c r="R10" s="1407"/>
      <c r="S10" s="1407"/>
      <c r="T10" s="1407"/>
      <c r="U10" s="1407"/>
    </row>
    <row r="11" spans="1:21" ht="12">
      <c r="A11" s="1449" t="s">
        <v>3303</v>
      </c>
      <c r="B11" s="1423">
        <v>41806</v>
      </c>
      <c r="C11" s="1422" t="s">
        <v>881</v>
      </c>
      <c r="D11" s="1424" t="s">
        <v>3304</v>
      </c>
      <c r="E11" s="1425"/>
      <c r="F11" s="1426">
        <v>969000000000</v>
      </c>
      <c r="G11" s="1427">
        <v>3980000000</v>
      </c>
      <c r="H11" s="1427">
        <v>2190000000000</v>
      </c>
      <c r="I11" s="1428"/>
      <c r="J11" s="1407"/>
      <c r="K11" s="1431">
        <f t="shared" ref="K11:K16" si="1">(32800000000/G11)*F11</f>
        <v>7985728643216.0801</v>
      </c>
      <c r="L11" s="1407"/>
      <c r="M11" s="1407"/>
      <c r="N11" s="1407"/>
      <c r="O11" s="1407"/>
      <c r="P11" s="1407"/>
      <c r="Q11" s="1407"/>
      <c r="R11" s="1407"/>
      <c r="S11" s="1407"/>
      <c r="T11" s="1407"/>
      <c r="U11" s="1407"/>
    </row>
    <row r="12" spans="1:21" ht="12">
      <c r="A12" s="1452" t="s">
        <v>3303</v>
      </c>
      <c r="B12" s="1423">
        <v>41806</v>
      </c>
      <c r="C12" s="1422" t="s">
        <v>881</v>
      </c>
      <c r="D12" s="1433" t="s">
        <v>3305</v>
      </c>
      <c r="E12" s="1435"/>
      <c r="F12" s="1437">
        <v>4510000000000</v>
      </c>
      <c r="G12" s="1438">
        <v>3980000000</v>
      </c>
      <c r="H12" s="1438">
        <v>2190000000000</v>
      </c>
      <c r="I12" s="1428"/>
      <c r="J12" s="1407"/>
      <c r="K12" s="1431">
        <f t="shared" si="1"/>
        <v>37167839195979.898</v>
      </c>
      <c r="L12" s="1407"/>
      <c r="M12" s="1407"/>
      <c r="N12" s="1407"/>
      <c r="O12" s="1407"/>
      <c r="P12" s="1407"/>
      <c r="Q12" s="1407"/>
      <c r="R12" s="1407"/>
      <c r="S12" s="1407"/>
      <c r="T12" s="1407"/>
      <c r="U12" s="1407"/>
    </row>
    <row r="13" spans="1:21" ht="12">
      <c r="A13" s="1452" t="s">
        <v>3303</v>
      </c>
      <c r="B13" s="1423">
        <v>41806</v>
      </c>
      <c r="C13" s="1422" t="s">
        <v>881</v>
      </c>
      <c r="D13" s="1433" t="s">
        <v>3308</v>
      </c>
      <c r="E13" s="1435"/>
      <c r="F13" s="1437">
        <v>27700000000000</v>
      </c>
      <c r="G13" s="1438">
        <v>3980000000</v>
      </c>
      <c r="H13" s="1438">
        <v>2190000000000</v>
      </c>
      <c r="I13" s="1428"/>
      <c r="J13" s="1407"/>
      <c r="K13" s="1431">
        <f t="shared" si="1"/>
        <v>228281407035175.84</v>
      </c>
      <c r="L13" s="1407"/>
      <c r="M13" s="1407"/>
      <c r="N13" s="1407"/>
      <c r="O13" s="1407"/>
      <c r="P13" s="1407"/>
      <c r="Q13" s="1407"/>
      <c r="R13" s="1407"/>
      <c r="S13" s="1407"/>
      <c r="T13" s="1407"/>
      <c r="U13" s="1407"/>
    </row>
    <row r="14" spans="1:21" ht="12">
      <c r="A14" s="1452" t="s">
        <v>3303</v>
      </c>
      <c r="B14" s="1423">
        <v>41806</v>
      </c>
      <c r="C14" s="1422" t="s">
        <v>881</v>
      </c>
      <c r="D14" s="1433" t="s">
        <v>3309</v>
      </c>
      <c r="E14" s="1435"/>
      <c r="F14" s="1437">
        <v>39700000000000</v>
      </c>
      <c r="G14" s="1438">
        <v>3980000000</v>
      </c>
      <c r="H14" s="1438">
        <v>2190000000000</v>
      </c>
      <c r="I14" s="1428"/>
      <c r="J14" s="1407"/>
      <c r="K14" s="1431">
        <f t="shared" si="1"/>
        <v>327175879396984.88</v>
      </c>
      <c r="L14" s="1407"/>
      <c r="M14" s="1407"/>
      <c r="N14" s="1407"/>
      <c r="O14" s="1407"/>
      <c r="P14" s="1407"/>
      <c r="Q14" s="1407"/>
      <c r="R14" s="1407"/>
      <c r="S14" s="1407"/>
      <c r="T14" s="1407"/>
      <c r="U14" s="1407"/>
    </row>
    <row r="15" spans="1:21" ht="12">
      <c r="A15" s="1452" t="s">
        <v>3303</v>
      </c>
      <c r="B15" s="1423">
        <v>41806</v>
      </c>
      <c r="C15" s="1422" t="s">
        <v>881</v>
      </c>
      <c r="D15" s="1433" t="s">
        <v>3324</v>
      </c>
      <c r="E15" s="1435"/>
      <c r="F15" s="1437">
        <v>1140000000000</v>
      </c>
      <c r="G15" s="1438">
        <v>3980000000</v>
      </c>
      <c r="H15" s="1438">
        <v>2190000000000</v>
      </c>
      <c r="I15" s="1428"/>
      <c r="J15" s="1407"/>
      <c r="K15" s="1431">
        <f t="shared" si="1"/>
        <v>9394974874371.8594</v>
      </c>
      <c r="L15" s="1407"/>
      <c r="M15" s="1407"/>
      <c r="N15" s="1407"/>
      <c r="O15" s="1407"/>
      <c r="P15" s="1407"/>
      <c r="Q15" s="1407"/>
      <c r="R15" s="1407"/>
      <c r="S15" s="1407"/>
      <c r="T15" s="1407"/>
      <c r="U15" s="1407"/>
    </row>
    <row r="16" spans="1:21" ht="12">
      <c r="A16" s="1468" t="s">
        <v>3303</v>
      </c>
      <c r="B16" s="1423">
        <v>41806</v>
      </c>
      <c r="C16" s="1422" t="s">
        <v>881</v>
      </c>
      <c r="D16" s="1442" t="s">
        <v>3325</v>
      </c>
      <c r="E16" s="1443"/>
      <c r="F16" s="1444">
        <v>22000000000000</v>
      </c>
      <c r="G16" s="1440">
        <v>3980000000</v>
      </c>
      <c r="H16" s="1440">
        <v>2190000000000</v>
      </c>
      <c r="I16" s="1428"/>
      <c r="J16" s="1407"/>
      <c r="K16" s="1431">
        <f t="shared" si="1"/>
        <v>181306532663316.56</v>
      </c>
      <c r="L16" s="1407"/>
      <c r="M16" s="1407"/>
      <c r="N16" s="1407"/>
      <c r="O16" s="1407"/>
      <c r="P16" s="1407"/>
      <c r="Q16" s="1407"/>
      <c r="R16" s="1407"/>
      <c r="S16" s="1407"/>
      <c r="T16" s="1407"/>
      <c r="U16" s="1407"/>
    </row>
    <row r="17" spans="1:21" ht="12">
      <c r="A17" s="1408"/>
      <c r="B17" s="1408"/>
      <c r="C17" s="1408"/>
      <c r="D17" s="1445"/>
      <c r="E17" s="1446"/>
      <c r="F17" s="1447"/>
      <c r="G17" s="1448"/>
      <c r="H17" s="1448"/>
      <c r="I17" s="1471"/>
      <c r="J17" s="1473"/>
      <c r="K17" s="1431"/>
      <c r="L17" s="1473"/>
      <c r="M17" s="1473"/>
      <c r="N17" s="1473"/>
      <c r="O17" s="1473"/>
      <c r="P17" s="1473"/>
      <c r="Q17" s="1473"/>
      <c r="R17" s="1473"/>
      <c r="S17" s="1473"/>
      <c r="T17" s="1473"/>
      <c r="U17" s="1473"/>
    </row>
    <row r="18" spans="1:21" ht="12">
      <c r="A18" s="1449" t="s">
        <v>3330</v>
      </c>
      <c r="B18" s="1476">
        <v>41807</v>
      </c>
      <c r="C18" s="1449" t="s">
        <v>95</v>
      </c>
      <c r="D18" s="1424" t="s">
        <v>3333</v>
      </c>
      <c r="E18" s="1425"/>
      <c r="F18" s="1426">
        <v>36400000000000</v>
      </c>
      <c r="G18" s="1441">
        <v>10600000000</v>
      </c>
      <c r="H18" s="1427">
        <v>1400000000000</v>
      </c>
      <c r="I18" s="1478"/>
      <c r="J18" s="1480"/>
      <c r="K18" s="1431">
        <f t="shared" ref="K18:K21" si="2">(32800000000/G18)*F18</f>
        <v>112633962264150.95</v>
      </c>
      <c r="L18" s="1480"/>
      <c r="M18" s="1480"/>
      <c r="N18" s="1480"/>
      <c r="O18" s="1480"/>
      <c r="P18" s="1480"/>
      <c r="Q18" s="1480"/>
      <c r="R18" s="1480"/>
      <c r="S18" s="1480"/>
      <c r="T18" s="1480"/>
      <c r="U18" s="1480"/>
    </row>
    <row r="19" spans="1:21" ht="12">
      <c r="A19" s="1452" t="s">
        <v>3330</v>
      </c>
      <c r="B19" s="1483">
        <v>41807</v>
      </c>
      <c r="C19" s="1452" t="s">
        <v>95</v>
      </c>
      <c r="D19" s="1433" t="s">
        <v>3337</v>
      </c>
      <c r="E19" s="1435"/>
      <c r="F19" s="1437">
        <v>13100000000000</v>
      </c>
      <c r="G19" s="1427">
        <v>10600000000</v>
      </c>
      <c r="H19" s="1438">
        <v>1400000000000</v>
      </c>
      <c r="I19" s="1428"/>
      <c r="J19" s="1407"/>
      <c r="K19" s="1431">
        <f t="shared" si="2"/>
        <v>40535849056603.773</v>
      </c>
      <c r="L19" s="1407"/>
      <c r="M19" s="1407"/>
      <c r="N19" s="1407"/>
      <c r="O19" s="1407"/>
      <c r="P19" s="1407"/>
      <c r="Q19" s="1407"/>
      <c r="R19" s="1407"/>
      <c r="S19" s="1407"/>
      <c r="T19" s="1407"/>
      <c r="U19" s="1407"/>
    </row>
    <row r="20" spans="1:21" ht="12">
      <c r="A20" s="1452" t="s">
        <v>3330</v>
      </c>
      <c r="B20" s="1483">
        <v>41807</v>
      </c>
      <c r="C20" s="1452" t="s">
        <v>95</v>
      </c>
      <c r="D20" s="1433" t="s">
        <v>3338</v>
      </c>
      <c r="E20" s="1435"/>
      <c r="F20" s="1437">
        <v>8240000000000</v>
      </c>
      <c r="G20" s="1438">
        <v>10600000000</v>
      </c>
      <c r="H20" s="1438">
        <v>1400000000000</v>
      </c>
      <c r="I20" s="1428"/>
      <c r="J20" s="1407"/>
      <c r="K20" s="1431">
        <f t="shared" si="2"/>
        <v>25497358490566.039</v>
      </c>
      <c r="L20" s="1407"/>
      <c r="M20" s="1407"/>
      <c r="N20" s="1407"/>
      <c r="O20" s="1407"/>
      <c r="P20" s="1407"/>
      <c r="Q20" s="1407"/>
      <c r="R20" s="1407"/>
      <c r="S20" s="1407"/>
      <c r="T20" s="1407"/>
      <c r="U20" s="1407"/>
    </row>
    <row r="21" spans="1:21" ht="12">
      <c r="A21" s="1468" t="s">
        <v>3330</v>
      </c>
      <c r="B21" s="1485">
        <v>41807</v>
      </c>
      <c r="C21" s="1468" t="s">
        <v>95</v>
      </c>
      <c r="D21" s="1442" t="s">
        <v>3340</v>
      </c>
      <c r="E21" s="1443"/>
      <c r="F21" s="1444">
        <v>7610000000000</v>
      </c>
      <c r="G21" s="1440">
        <v>10600000000</v>
      </c>
      <c r="H21" s="1440">
        <v>1400000000000</v>
      </c>
      <c r="I21" s="1471"/>
      <c r="J21" s="1473"/>
      <c r="K21" s="1431">
        <f t="shared" si="2"/>
        <v>23547924528301.887</v>
      </c>
      <c r="L21" s="1473"/>
      <c r="M21" s="1473"/>
      <c r="N21" s="1473"/>
      <c r="O21" s="1473"/>
      <c r="P21" s="1473"/>
      <c r="Q21" s="1473"/>
      <c r="R21" s="1473"/>
      <c r="S21" s="1473"/>
      <c r="T21" s="1473"/>
      <c r="U21" s="1473"/>
    </row>
    <row r="22" spans="1:21" ht="12">
      <c r="A22" s="1480"/>
      <c r="B22" s="1480"/>
      <c r="C22" s="1480"/>
      <c r="D22" s="1486"/>
      <c r="E22" s="1487"/>
      <c r="F22" s="1488"/>
      <c r="G22" s="1492"/>
      <c r="H22" s="1492"/>
      <c r="I22" s="1478"/>
      <c r="J22" s="1480"/>
      <c r="K22" s="1431"/>
      <c r="L22" s="1480"/>
      <c r="M22" s="1480"/>
      <c r="N22" s="1480"/>
      <c r="O22" s="1480"/>
      <c r="P22" s="1480"/>
      <c r="Q22" s="1480"/>
      <c r="R22" s="1480"/>
      <c r="S22" s="1480"/>
      <c r="T22" s="1480"/>
      <c r="U22" s="1480"/>
    </row>
    <row r="23" spans="1:21" ht="12">
      <c r="A23" s="1452" t="s">
        <v>3356</v>
      </c>
      <c r="B23" s="1483">
        <v>41837</v>
      </c>
      <c r="C23" s="1452" t="s">
        <v>872</v>
      </c>
      <c r="D23" s="1433" t="s">
        <v>3357</v>
      </c>
      <c r="E23" s="1435"/>
      <c r="F23" s="1437">
        <v>295000000000000</v>
      </c>
      <c r="G23" s="1438">
        <v>29200000000</v>
      </c>
      <c r="H23" s="1438">
        <v>5840000000000</v>
      </c>
      <c r="I23" s="1428"/>
      <c r="J23" s="1407"/>
      <c r="K23" s="1431">
        <f t="shared" ref="K23:K29" si="3">(32800000000/G23)*F23</f>
        <v>331369863013698.62</v>
      </c>
      <c r="L23" s="1407"/>
      <c r="M23" s="1407"/>
      <c r="N23" s="1407"/>
      <c r="O23" s="1407"/>
      <c r="P23" s="1407"/>
      <c r="Q23" s="1407"/>
      <c r="R23" s="1407"/>
      <c r="S23" s="1407"/>
      <c r="T23" s="1407"/>
      <c r="U23" s="1407"/>
    </row>
    <row r="24" spans="1:21" ht="12">
      <c r="A24" s="1452" t="s">
        <v>3356</v>
      </c>
      <c r="B24" s="1483">
        <v>41837</v>
      </c>
      <c r="C24" s="1452" t="s">
        <v>872</v>
      </c>
      <c r="D24" s="1433" t="s">
        <v>3358</v>
      </c>
      <c r="E24" s="1435"/>
      <c r="F24" s="1437">
        <v>31500000000000</v>
      </c>
      <c r="G24" s="1438">
        <v>29200000000</v>
      </c>
      <c r="H24" s="1438">
        <v>5840000000000</v>
      </c>
      <c r="I24" s="1428"/>
      <c r="J24" s="1407"/>
      <c r="K24" s="1431">
        <f t="shared" si="3"/>
        <v>35383561643835.617</v>
      </c>
      <c r="L24" s="1407"/>
      <c r="M24" s="1407"/>
      <c r="N24" s="1407"/>
      <c r="O24" s="1407"/>
      <c r="P24" s="1407"/>
      <c r="Q24" s="1407"/>
      <c r="R24" s="1407"/>
      <c r="S24" s="1407"/>
      <c r="T24" s="1407"/>
      <c r="U24" s="1407"/>
    </row>
    <row r="25" spans="1:21" ht="12">
      <c r="A25" s="1452" t="s">
        <v>3356</v>
      </c>
      <c r="B25" s="1483">
        <v>41837</v>
      </c>
      <c r="C25" s="1452" t="s">
        <v>872</v>
      </c>
      <c r="D25" s="1433" t="s">
        <v>3359</v>
      </c>
      <c r="E25" s="1435"/>
      <c r="F25" s="1437">
        <v>430000000000000</v>
      </c>
      <c r="G25" s="1438">
        <v>29200000000</v>
      </c>
      <c r="H25" s="1438">
        <v>5840000000000</v>
      </c>
      <c r="I25" s="1428"/>
      <c r="J25" s="1407"/>
      <c r="K25" s="1431">
        <f t="shared" si="3"/>
        <v>483013698630137</v>
      </c>
      <c r="L25" s="1407"/>
      <c r="M25" s="1407"/>
      <c r="N25" s="1407"/>
      <c r="O25" s="1407"/>
      <c r="P25" s="1407"/>
      <c r="Q25" s="1407"/>
      <c r="R25" s="1407"/>
      <c r="S25" s="1407"/>
      <c r="T25" s="1407"/>
      <c r="U25" s="1407"/>
    </row>
    <row r="26" spans="1:21" ht="12">
      <c r="A26" s="1452" t="s">
        <v>3356</v>
      </c>
      <c r="B26" s="1483">
        <v>41837</v>
      </c>
      <c r="C26" s="1452" t="s">
        <v>872</v>
      </c>
      <c r="D26" s="1433" t="s">
        <v>3360</v>
      </c>
      <c r="E26" s="1435"/>
      <c r="F26" s="1437">
        <v>30000000000000</v>
      </c>
      <c r="G26" s="1438">
        <v>29200000000</v>
      </c>
      <c r="H26" s="1438">
        <v>5840000000000</v>
      </c>
      <c r="I26" s="1428"/>
      <c r="J26" s="1407"/>
      <c r="K26" s="1431">
        <f t="shared" si="3"/>
        <v>33698630136986.305</v>
      </c>
      <c r="L26" s="1407"/>
      <c r="M26" s="1407"/>
      <c r="N26" s="1407"/>
      <c r="O26" s="1407"/>
      <c r="P26" s="1407"/>
      <c r="Q26" s="1407"/>
      <c r="R26" s="1407"/>
      <c r="S26" s="1407"/>
      <c r="T26" s="1407"/>
      <c r="U26" s="1407"/>
    </row>
    <row r="27" spans="1:21" ht="12">
      <c r="A27" s="1452" t="s">
        <v>3356</v>
      </c>
      <c r="B27" s="1483">
        <v>41837</v>
      </c>
      <c r="C27" s="1452" t="s">
        <v>872</v>
      </c>
      <c r="D27" s="1433" t="s">
        <v>3362</v>
      </c>
      <c r="E27" s="1435"/>
      <c r="F27" s="1437">
        <v>8390000000000</v>
      </c>
      <c r="G27" s="1438">
        <v>29200000000</v>
      </c>
      <c r="H27" s="1438">
        <v>5840000000000</v>
      </c>
      <c r="I27" s="1428"/>
      <c r="J27" s="1407"/>
      <c r="K27" s="1431">
        <f t="shared" si="3"/>
        <v>9424383561643.8359</v>
      </c>
      <c r="L27" s="1407"/>
      <c r="M27" s="1407"/>
      <c r="N27" s="1407"/>
      <c r="O27" s="1407"/>
      <c r="P27" s="1407"/>
      <c r="Q27" s="1407"/>
      <c r="R27" s="1407"/>
      <c r="S27" s="1407"/>
      <c r="T27" s="1407"/>
      <c r="U27" s="1407"/>
    </row>
    <row r="28" spans="1:21" ht="12">
      <c r="A28" s="1452" t="s">
        <v>3356</v>
      </c>
      <c r="B28" s="1483">
        <v>41837</v>
      </c>
      <c r="C28" s="1452" t="s">
        <v>872</v>
      </c>
      <c r="D28" s="1433" t="s">
        <v>3363</v>
      </c>
      <c r="E28" s="1435"/>
      <c r="F28" s="1437">
        <v>7320000000000</v>
      </c>
      <c r="G28" s="1438">
        <v>29200000000</v>
      </c>
      <c r="H28" s="1438">
        <v>5840000000000</v>
      </c>
      <c r="I28" s="1428"/>
      <c r="J28" s="1407"/>
      <c r="K28" s="1431">
        <f t="shared" si="3"/>
        <v>8222465753424.6582</v>
      </c>
      <c r="L28" s="1407"/>
      <c r="M28" s="1407"/>
      <c r="N28" s="1407"/>
      <c r="O28" s="1407"/>
      <c r="P28" s="1407"/>
      <c r="Q28" s="1407"/>
      <c r="R28" s="1407"/>
      <c r="S28" s="1407"/>
      <c r="T28" s="1407"/>
      <c r="U28" s="1407"/>
    </row>
    <row r="29" spans="1:21" ht="12">
      <c r="A29" s="1452" t="s">
        <v>3356</v>
      </c>
      <c r="B29" s="1483">
        <v>41837</v>
      </c>
      <c r="C29" s="1452" t="s">
        <v>872</v>
      </c>
      <c r="D29" s="1433" t="s">
        <v>3364</v>
      </c>
      <c r="E29" s="1435"/>
      <c r="F29" s="1437">
        <v>6640000000000</v>
      </c>
      <c r="G29" s="1438">
        <v>29200000000</v>
      </c>
      <c r="H29" s="1438">
        <v>5840000000000</v>
      </c>
      <c r="I29" s="1428"/>
      <c r="J29" s="1407"/>
      <c r="K29" s="1431">
        <f t="shared" si="3"/>
        <v>7458630136986.3018</v>
      </c>
      <c r="L29" s="1407"/>
      <c r="M29" s="1407"/>
      <c r="N29" s="1407"/>
      <c r="O29" s="1407"/>
      <c r="P29" s="1407"/>
      <c r="Q29" s="1407"/>
      <c r="R29" s="1407"/>
      <c r="S29" s="1407"/>
      <c r="T29" s="1407"/>
      <c r="U29" s="1407"/>
    </row>
    <row r="30" spans="1:21" ht="12">
      <c r="A30" s="1407"/>
      <c r="B30" s="1407"/>
      <c r="C30" s="1407"/>
      <c r="D30" s="1409"/>
      <c r="E30" s="1410"/>
      <c r="F30" s="1495"/>
      <c r="G30" s="1534"/>
      <c r="H30" s="1534"/>
      <c r="I30" s="1428"/>
      <c r="J30" s="1407"/>
      <c r="K30" s="1431"/>
      <c r="L30" s="1452"/>
      <c r="M30" s="1452"/>
      <c r="N30" s="1407"/>
      <c r="O30" s="1407"/>
      <c r="P30" s="1407"/>
      <c r="Q30" s="1407"/>
      <c r="R30" s="1407"/>
      <c r="S30" s="1407"/>
      <c r="T30" s="1407"/>
      <c r="U30" s="1407"/>
    </row>
    <row r="31" spans="1:21" ht="12">
      <c r="A31" s="1452" t="s">
        <v>3395</v>
      </c>
      <c r="B31" s="1483">
        <v>41844</v>
      </c>
      <c r="C31" s="1452" t="s">
        <v>872</v>
      </c>
      <c r="D31" s="1433" t="s">
        <v>3396</v>
      </c>
      <c r="E31" s="1435"/>
      <c r="F31" s="1437">
        <v>366000000000</v>
      </c>
      <c r="G31" s="1438">
        <v>10400000000</v>
      </c>
      <c r="H31" s="1438">
        <v>2200000000000</v>
      </c>
      <c r="I31" s="1428"/>
      <c r="J31" s="1407"/>
      <c r="K31" s="1431">
        <f t="shared" ref="K31:K34" si="4">(32800000000/G31)*F31</f>
        <v>1154307692307.6924</v>
      </c>
      <c r="L31" s="1407"/>
      <c r="M31" s="1407"/>
      <c r="N31" s="1407"/>
      <c r="O31" s="1407"/>
      <c r="P31" s="1407"/>
      <c r="Q31" s="1407"/>
      <c r="R31" s="1407"/>
      <c r="S31" s="1407"/>
      <c r="T31" s="1407"/>
      <c r="U31" s="1407"/>
    </row>
    <row r="32" spans="1:21" ht="12">
      <c r="A32" s="1452" t="s">
        <v>3395</v>
      </c>
      <c r="B32" s="1483">
        <v>41844</v>
      </c>
      <c r="C32" s="1452" t="s">
        <v>872</v>
      </c>
      <c r="D32" s="1433" t="s">
        <v>3397</v>
      </c>
      <c r="E32" s="1435"/>
      <c r="F32" s="1437">
        <v>1080000000000</v>
      </c>
      <c r="G32" s="1438">
        <v>10400000000</v>
      </c>
      <c r="H32" s="1438">
        <v>2200000000000</v>
      </c>
      <c r="I32" s="1428"/>
      <c r="J32" s="1407"/>
      <c r="K32" s="1431">
        <f t="shared" si="4"/>
        <v>3406153846153.8462</v>
      </c>
      <c r="L32" s="1438"/>
      <c r="M32" s="1438"/>
      <c r="N32" s="1407"/>
      <c r="O32" s="1407"/>
      <c r="P32" s="1407"/>
      <c r="Q32" s="1407"/>
      <c r="R32" s="1407"/>
      <c r="S32" s="1407"/>
      <c r="T32" s="1407"/>
      <c r="U32" s="1407"/>
    </row>
    <row r="33" spans="1:21" ht="12">
      <c r="A33" s="1452" t="s">
        <v>3395</v>
      </c>
      <c r="B33" s="1483">
        <v>41844</v>
      </c>
      <c r="C33" s="1452" t="s">
        <v>872</v>
      </c>
      <c r="D33" s="1433" t="s">
        <v>3398</v>
      </c>
      <c r="E33" s="1435"/>
      <c r="F33" s="1437">
        <v>3450000000000</v>
      </c>
      <c r="G33" s="1438">
        <v>10400000000</v>
      </c>
      <c r="H33" s="1438">
        <v>2200000000000</v>
      </c>
      <c r="I33" s="1428"/>
      <c r="J33" s="1407"/>
      <c r="K33" s="1431">
        <f t="shared" si="4"/>
        <v>10880769230769.23</v>
      </c>
      <c r="L33" s="1438"/>
      <c r="M33" s="1438"/>
      <c r="N33" s="1407"/>
      <c r="O33" s="1407"/>
      <c r="P33" s="1407"/>
      <c r="Q33" s="1407"/>
      <c r="R33" s="1407"/>
      <c r="S33" s="1407"/>
      <c r="T33" s="1407"/>
      <c r="U33" s="1407"/>
    </row>
    <row r="34" spans="1:21" ht="12">
      <c r="A34" s="1452" t="s">
        <v>3395</v>
      </c>
      <c r="B34" s="1483">
        <v>41844</v>
      </c>
      <c r="C34" s="1452" t="s">
        <v>872</v>
      </c>
      <c r="D34" s="1433" t="s">
        <v>3399</v>
      </c>
      <c r="E34" s="1435"/>
      <c r="F34" s="1437">
        <v>14300000000</v>
      </c>
      <c r="G34" s="1438">
        <v>10400000000</v>
      </c>
      <c r="H34" s="1438">
        <v>2200000000000</v>
      </c>
      <c r="I34" s="1428"/>
      <c r="J34" s="1407"/>
      <c r="K34" s="1431">
        <f t="shared" si="4"/>
        <v>45100000000</v>
      </c>
      <c r="L34" s="1407"/>
      <c r="M34" s="1407"/>
      <c r="N34" s="1407"/>
      <c r="O34" s="1407"/>
      <c r="P34" s="1407"/>
      <c r="Q34" s="1407"/>
      <c r="R34" s="1407"/>
      <c r="S34" s="1407"/>
      <c r="T34" s="1407"/>
      <c r="U34" s="1407"/>
    </row>
    <row r="35" spans="1:21" ht="12">
      <c r="A35" s="1407"/>
      <c r="B35" s="1407"/>
      <c r="C35" s="1407"/>
      <c r="D35" s="1409"/>
      <c r="E35" s="1410"/>
      <c r="F35" s="1495"/>
      <c r="G35" s="1534"/>
      <c r="H35" s="1534"/>
      <c r="I35" s="1428"/>
      <c r="J35" s="1407"/>
      <c r="K35" s="1431"/>
      <c r="L35" s="1407"/>
      <c r="M35" s="1407"/>
      <c r="N35" s="1407"/>
      <c r="O35" s="1407"/>
      <c r="P35" s="1407"/>
      <c r="Q35" s="1407"/>
      <c r="R35" s="1407"/>
      <c r="S35" s="1407"/>
      <c r="T35" s="1407"/>
      <c r="U35" s="1407"/>
    </row>
    <row r="36" spans="1:21" ht="12">
      <c r="A36" s="1452" t="s">
        <v>3400</v>
      </c>
      <c r="B36" s="1483">
        <v>41850</v>
      </c>
      <c r="C36" s="1452" t="s">
        <v>872</v>
      </c>
      <c r="D36" s="1433" t="s">
        <v>3401</v>
      </c>
      <c r="E36" s="1435"/>
      <c r="F36" s="1437">
        <v>14100000000</v>
      </c>
      <c r="G36" s="1438">
        <v>2810000000</v>
      </c>
      <c r="H36" s="1438">
        <v>1790000000000</v>
      </c>
      <c r="I36" s="1428"/>
      <c r="J36" s="1534"/>
      <c r="K36" s="1431">
        <f t="shared" ref="K36:K42" si="5">(32800000000/G36)*F36</f>
        <v>164583629893.23843</v>
      </c>
      <c r="L36" s="1407"/>
      <c r="M36" s="1407"/>
      <c r="N36" s="1407"/>
      <c r="O36" s="1407"/>
      <c r="P36" s="1407"/>
      <c r="Q36" s="1407"/>
      <c r="R36" s="1407"/>
      <c r="S36" s="1407"/>
      <c r="T36" s="1407"/>
      <c r="U36" s="1407"/>
    </row>
    <row r="37" spans="1:21" ht="12">
      <c r="A37" s="1452" t="s">
        <v>3400</v>
      </c>
      <c r="B37" s="1483">
        <v>41850</v>
      </c>
      <c r="C37" s="1452" t="s">
        <v>872</v>
      </c>
      <c r="D37" s="1433" t="s">
        <v>3407</v>
      </c>
      <c r="E37" s="1435"/>
      <c r="F37" s="1437">
        <v>12700000000000</v>
      </c>
      <c r="G37" s="1438">
        <v>2810000000</v>
      </c>
      <c r="H37" s="1438">
        <v>1790000000000</v>
      </c>
      <c r="I37" s="1428"/>
      <c r="J37" s="1407"/>
      <c r="K37" s="1431">
        <f t="shared" si="5"/>
        <v>148241992882562.28</v>
      </c>
      <c r="L37" s="1407"/>
      <c r="M37" s="1407"/>
      <c r="N37" s="1407"/>
      <c r="O37" s="1407"/>
      <c r="P37" s="1407"/>
      <c r="Q37" s="1407"/>
      <c r="R37" s="1407"/>
      <c r="S37" s="1407"/>
      <c r="T37" s="1407"/>
      <c r="U37" s="1407"/>
    </row>
    <row r="38" spans="1:21" ht="12">
      <c r="A38" s="1452" t="s">
        <v>3400</v>
      </c>
      <c r="B38" s="1483">
        <v>41850</v>
      </c>
      <c r="C38" s="1452" t="s">
        <v>872</v>
      </c>
      <c r="D38" s="1433" t="s">
        <v>3409</v>
      </c>
      <c r="E38" s="1435"/>
      <c r="F38" s="1437">
        <v>938000000000</v>
      </c>
      <c r="G38" s="1438">
        <v>2810000000</v>
      </c>
      <c r="H38" s="1438">
        <v>1790000000000</v>
      </c>
      <c r="I38" s="1428"/>
      <c r="J38" s="1407"/>
      <c r="K38" s="1431">
        <f t="shared" si="5"/>
        <v>10948896797153.025</v>
      </c>
      <c r="L38" s="1407"/>
      <c r="M38" s="1407"/>
      <c r="N38" s="1407"/>
      <c r="O38" s="1407"/>
      <c r="P38" s="1407"/>
      <c r="Q38" s="1407"/>
      <c r="R38" s="1407"/>
      <c r="S38" s="1407"/>
      <c r="T38" s="1407"/>
      <c r="U38" s="1407"/>
    </row>
    <row r="39" spans="1:21" ht="12">
      <c r="A39" s="1452" t="s">
        <v>3400</v>
      </c>
      <c r="B39" s="1483">
        <v>41850</v>
      </c>
      <c r="C39" s="1452" t="s">
        <v>872</v>
      </c>
      <c r="D39" s="1433" t="s">
        <v>3411</v>
      </c>
      <c r="E39" s="1435"/>
      <c r="F39" s="1437">
        <v>468000000000</v>
      </c>
      <c r="G39" s="1438">
        <v>2810000000</v>
      </c>
      <c r="H39" s="1438">
        <v>1790000000000</v>
      </c>
      <c r="I39" s="1428"/>
      <c r="J39" s="1407"/>
      <c r="K39" s="1431">
        <f t="shared" si="5"/>
        <v>5462775800711.7432</v>
      </c>
      <c r="L39" s="1407"/>
      <c r="M39" s="1407"/>
      <c r="N39" s="1407"/>
      <c r="O39" s="1407"/>
      <c r="P39" s="1407"/>
      <c r="Q39" s="1407"/>
      <c r="R39" s="1407"/>
      <c r="S39" s="1407"/>
      <c r="T39" s="1407"/>
      <c r="U39" s="1407"/>
    </row>
    <row r="40" spans="1:21" ht="12">
      <c r="A40" s="1452" t="s">
        <v>3400</v>
      </c>
      <c r="B40" s="1483">
        <v>41850</v>
      </c>
      <c r="C40" s="1452" t="s">
        <v>872</v>
      </c>
      <c r="D40" s="1433" t="s">
        <v>3413</v>
      </c>
      <c r="E40" s="1435"/>
      <c r="F40" s="1437">
        <v>11500000000</v>
      </c>
      <c r="G40" s="1438">
        <v>2810000000</v>
      </c>
      <c r="H40" s="1438">
        <v>1790000000000</v>
      </c>
      <c r="I40" s="1428"/>
      <c r="J40" s="1407"/>
      <c r="K40" s="1431">
        <f t="shared" si="5"/>
        <v>134234875444.83986</v>
      </c>
      <c r="L40" s="1407"/>
      <c r="M40" s="1407"/>
      <c r="N40" s="1407"/>
      <c r="O40" s="1407"/>
      <c r="P40" s="1407"/>
      <c r="Q40" s="1407"/>
      <c r="R40" s="1407"/>
      <c r="S40" s="1407"/>
      <c r="T40" s="1407"/>
      <c r="U40" s="1407"/>
    </row>
    <row r="41" spans="1:21" ht="12">
      <c r="A41" s="1452" t="s">
        <v>3400</v>
      </c>
      <c r="B41" s="1483">
        <v>41850</v>
      </c>
      <c r="C41" s="1452" t="s">
        <v>872</v>
      </c>
      <c r="D41" s="1433" t="s">
        <v>3416</v>
      </c>
      <c r="E41" s="1435"/>
      <c r="F41" s="1437">
        <v>7220000000</v>
      </c>
      <c r="G41" s="1438">
        <v>2810000000</v>
      </c>
      <c r="H41" s="1438">
        <v>1790000000000</v>
      </c>
      <c r="I41" s="1428"/>
      <c r="J41" s="1407"/>
      <c r="K41" s="1431">
        <f t="shared" si="5"/>
        <v>84276156583.629898</v>
      </c>
      <c r="L41" s="1407"/>
      <c r="M41" s="1407"/>
      <c r="N41" s="1407"/>
      <c r="O41" s="1407"/>
      <c r="P41" s="1407"/>
      <c r="Q41" s="1407"/>
      <c r="R41" s="1407"/>
      <c r="S41" s="1407"/>
      <c r="T41" s="1407"/>
      <c r="U41" s="1407"/>
    </row>
    <row r="42" spans="1:21" ht="24">
      <c r="A42" s="1452" t="s">
        <v>3400</v>
      </c>
      <c r="B42" s="1483">
        <v>41850</v>
      </c>
      <c r="C42" s="1452" t="s">
        <v>872</v>
      </c>
      <c r="D42" s="1433" t="s">
        <v>3417</v>
      </c>
      <c r="E42" s="1435"/>
      <c r="F42" s="1437">
        <v>290000000000</v>
      </c>
      <c r="G42" s="1438">
        <v>2810000000</v>
      </c>
      <c r="H42" s="1438">
        <v>1790000000000</v>
      </c>
      <c r="I42" s="1428"/>
      <c r="J42" s="1407"/>
      <c r="K42" s="1431">
        <f t="shared" si="5"/>
        <v>3385053380782.918</v>
      </c>
      <c r="L42" s="1407"/>
      <c r="M42" s="1407"/>
      <c r="N42" s="1407"/>
      <c r="O42" s="1407"/>
      <c r="P42" s="1407"/>
      <c r="Q42" s="1407"/>
      <c r="R42" s="1407"/>
      <c r="S42" s="1407"/>
      <c r="T42" s="1407"/>
      <c r="U42" s="1407"/>
    </row>
    <row r="43" spans="1:21" ht="12">
      <c r="A43" s="1407"/>
      <c r="B43" s="1407"/>
      <c r="C43" s="1407"/>
      <c r="D43" s="1433" t="s">
        <v>1336</v>
      </c>
      <c r="E43" s="1410"/>
      <c r="F43" s="1495"/>
      <c r="G43" s="1534"/>
      <c r="H43" s="1534"/>
      <c r="I43" s="1428"/>
      <c r="J43" s="1407"/>
      <c r="K43" s="1431"/>
      <c r="L43" s="1407"/>
      <c r="M43" s="1407"/>
      <c r="N43" s="1407"/>
      <c r="O43" s="1407"/>
      <c r="P43" s="1407"/>
      <c r="Q43" s="1407"/>
      <c r="R43" s="1407"/>
      <c r="S43" s="1407"/>
      <c r="T43" s="1407"/>
      <c r="U43" s="1407"/>
    </row>
    <row r="44" spans="1:21" ht="12">
      <c r="A44" s="1452" t="s">
        <v>3424</v>
      </c>
      <c r="B44" s="1483">
        <v>41857</v>
      </c>
      <c r="C44" s="1452" t="s">
        <v>872</v>
      </c>
      <c r="D44" s="1433" t="s">
        <v>3401</v>
      </c>
      <c r="E44" s="1435"/>
      <c r="F44" s="1437">
        <v>130000000000</v>
      </c>
      <c r="G44" s="1438">
        <v>6490000000</v>
      </c>
      <c r="H44" s="1438">
        <v>1760000000000</v>
      </c>
      <c r="I44" s="1428"/>
      <c r="J44" s="1407"/>
      <c r="K44" s="1431">
        <f t="shared" ref="K44:K53" si="6">(32800000000/G44)*F44</f>
        <v>657010785824.34509</v>
      </c>
      <c r="L44" s="1407"/>
      <c r="M44" s="1407"/>
      <c r="N44" s="1407"/>
      <c r="O44" s="1407"/>
      <c r="P44" s="1407"/>
      <c r="Q44" s="1407"/>
      <c r="R44" s="1407"/>
      <c r="S44" s="1407"/>
      <c r="T44" s="1407"/>
      <c r="U44" s="1407"/>
    </row>
    <row r="45" spans="1:21" ht="12">
      <c r="A45" s="1452" t="s">
        <v>3427</v>
      </c>
      <c r="B45" s="1483">
        <v>41857</v>
      </c>
      <c r="C45" s="1452" t="s">
        <v>872</v>
      </c>
      <c r="D45" s="1433" t="s">
        <v>3407</v>
      </c>
      <c r="E45" s="1435"/>
      <c r="F45" s="1437">
        <v>35600000000000</v>
      </c>
      <c r="G45" s="1438">
        <v>6490000000</v>
      </c>
      <c r="H45" s="1438">
        <v>1760000000000</v>
      </c>
      <c r="I45" s="1428"/>
      <c r="J45" s="1534"/>
      <c r="K45" s="1431">
        <f t="shared" si="6"/>
        <v>179919876733436.06</v>
      </c>
      <c r="L45" s="1407"/>
      <c r="M45" s="1407"/>
      <c r="N45" s="1407"/>
      <c r="O45" s="1407"/>
      <c r="P45" s="1407"/>
      <c r="Q45" s="1407"/>
      <c r="R45" s="1407"/>
      <c r="S45" s="1407"/>
      <c r="T45" s="1407"/>
      <c r="U45" s="1407"/>
    </row>
    <row r="46" spans="1:21" ht="12">
      <c r="A46" s="1452" t="s">
        <v>3427</v>
      </c>
      <c r="B46" s="1483">
        <v>41857</v>
      </c>
      <c r="C46" s="1452" t="s">
        <v>872</v>
      </c>
      <c r="D46" s="1433" t="s">
        <v>3409</v>
      </c>
      <c r="E46" s="1435"/>
      <c r="F46" s="1437">
        <v>2600000000000</v>
      </c>
      <c r="G46" s="1438">
        <v>6490000000</v>
      </c>
      <c r="H46" s="1438">
        <v>1760000000000</v>
      </c>
      <c r="I46" s="1428"/>
      <c r="J46" s="1407"/>
      <c r="K46" s="1431">
        <f t="shared" si="6"/>
        <v>13140215716486.902</v>
      </c>
      <c r="L46" s="1407"/>
      <c r="M46" s="1407"/>
      <c r="N46" s="1407"/>
      <c r="O46" s="1407"/>
      <c r="P46" s="1407"/>
      <c r="Q46" s="1407"/>
      <c r="R46" s="1407"/>
      <c r="S46" s="1407"/>
      <c r="T46" s="1407"/>
      <c r="U46" s="1407"/>
    </row>
    <row r="47" spans="1:21" ht="12">
      <c r="A47" s="1452" t="s">
        <v>3427</v>
      </c>
      <c r="B47" s="1483">
        <v>41857</v>
      </c>
      <c r="C47" s="1452" t="s">
        <v>872</v>
      </c>
      <c r="D47" s="1433" t="s">
        <v>3411</v>
      </c>
      <c r="E47" s="1435"/>
      <c r="F47" s="1437">
        <v>1790000000000</v>
      </c>
      <c r="G47" s="1438">
        <v>6490000000</v>
      </c>
      <c r="H47" s="1438">
        <v>1760000000000</v>
      </c>
      <c r="I47" s="1428"/>
      <c r="J47" s="1407"/>
      <c r="K47" s="1431">
        <f t="shared" si="6"/>
        <v>9046533127889.0605</v>
      </c>
      <c r="L47" s="1407"/>
      <c r="M47" s="1407"/>
      <c r="N47" s="1407"/>
      <c r="O47" s="1407"/>
      <c r="P47" s="1407"/>
      <c r="Q47" s="1407"/>
      <c r="R47" s="1407"/>
      <c r="S47" s="1407"/>
      <c r="T47" s="1407"/>
      <c r="U47" s="1407"/>
    </row>
    <row r="48" spans="1:21" ht="12">
      <c r="A48" s="1452" t="s">
        <v>3427</v>
      </c>
      <c r="B48" s="1483">
        <v>41857</v>
      </c>
      <c r="C48" s="1452" t="s">
        <v>872</v>
      </c>
      <c r="D48" s="1433" t="s">
        <v>3429</v>
      </c>
      <c r="E48" s="1435"/>
      <c r="F48" s="1437">
        <v>2950000000000</v>
      </c>
      <c r="G48" s="1438">
        <v>6490000000</v>
      </c>
      <c r="H48" s="1438">
        <v>1760000000000</v>
      </c>
      <c r="I48" s="1428"/>
      <c r="J48" s="1407"/>
      <c r="K48" s="1431">
        <f t="shared" si="6"/>
        <v>14909090909090.908</v>
      </c>
      <c r="L48" s="1407"/>
      <c r="M48" s="1407"/>
      <c r="N48" s="1407"/>
      <c r="O48" s="1407"/>
      <c r="P48" s="1407"/>
      <c r="Q48" s="1407"/>
      <c r="R48" s="1407"/>
      <c r="S48" s="1407"/>
      <c r="T48" s="1407"/>
      <c r="U48" s="1407"/>
    </row>
    <row r="49" spans="1:21" ht="12">
      <c r="A49" s="1452" t="s">
        <v>3427</v>
      </c>
      <c r="B49" s="1483">
        <v>41857</v>
      </c>
      <c r="C49" s="1452" t="s">
        <v>872</v>
      </c>
      <c r="D49" s="1433" t="s">
        <v>3430</v>
      </c>
      <c r="E49" s="1435"/>
      <c r="F49" s="1437">
        <v>12200000000000</v>
      </c>
      <c r="G49" s="1438">
        <v>6490000000</v>
      </c>
      <c r="H49" s="1438">
        <v>1760000000000</v>
      </c>
      <c r="I49" s="1428"/>
      <c r="J49" s="1407"/>
      <c r="K49" s="1431">
        <f t="shared" si="6"/>
        <v>61657935285053.93</v>
      </c>
      <c r="L49" s="1407"/>
      <c r="M49" s="1407"/>
      <c r="N49" s="1407"/>
      <c r="O49" s="1407"/>
      <c r="P49" s="1407"/>
      <c r="Q49" s="1407"/>
      <c r="R49" s="1407"/>
      <c r="S49" s="1407"/>
      <c r="T49" s="1407"/>
      <c r="U49" s="1407"/>
    </row>
    <row r="50" spans="1:21" ht="12">
      <c r="A50" s="1452" t="s">
        <v>3427</v>
      </c>
      <c r="B50" s="1483">
        <v>41857</v>
      </c>
      <c r="C50" s="1452" t="s">
        <v>872</v>
      </c>
      <c r="D50" s="1433" t="s">
        <v>3434</v>
      </c>
      <c r="E50" s="1435"/>
      <c r="F50" s="1437">
        <v>16300000000000</v>
      </c>
      <c r="G50" s="1438">
        <v>6490000000</v>
      </c>
      <c r="H50" s="1438">
        <v>1760000000000</v>
      </c>
      <c r="I50" s="1428"/>
      <c r="J50" s="1407"/>
      <c r="K50" s="1431">
        <f t="shared" si="6"/>
        <v>82379044684129.422</v>
      </c>
      <c r="L50" s="1407"/>
      <c r="M50" s="1407"/>
      <c r="N50" s="1407"/>
      <c r="O50" s="1407"/>
      <c r="P50" s="1407"/>
      <c r="Q50" s="1407"/>
      <c r="R50" s="1407"/>
      <c r="S50" s="1407"/>
      <c r="T50" s="1407"/>
      <c r="U50" s="1407"/>
    </row>
    <row r="51" spans="1:21" ht="12">
      <c r="A51" s="1452" t="s">
        <v>3427</v>
      </c>
      <c r="B51" s="1483">
        <v>41857</v>
      </c>
      <c r="C51" s="1452" t="s">
        <v>872</v>
      </c>
      <c r="D51" s="1433" t="s">
        <v>3435</v>
      </c>
      <c r="E51" s="1435"/>
      <c r="F51" s="1437">
        <v>141000000000000</v>
      </c>
      <c r="G51" s="1438">
        <v>6490000000</v>
      </c>
      <c r="H51" s="1438">
        <v>1760000000000</v>
      </c>
      <c r="I51" s="1428"/>
      <c r="J51" s="1407"/>
      <c r="K51" s="1431">
        <f t="shared" si="6"/>
        <v>712604006163328.25</v>
      </c>
      <c r="L51" s="1407"/>
      <c r="M51" s="1407"/>
      <c r="N51" s="1407"/>
      <c r="O51" s="1407"/>
      <c r="P51" s="1407"/>
      <c r="Q51" s="1407"/>
      <c r="R51" s="1407"/>
      <c r="S51" s="1407"/>
      <c r="T51" s="1407"/>
      <c r="U51" s="1407"/>
    </row>
    <row r="52" spans="1:21" ht="12">
      <c r="A52" s="1452" t="s">
        <v>3427</v>
      </c>
      <c r="B52" s="1483">
        <v>41857</v>
      </c>
      <c r="C52" s="1452" t="s">
        <v>872</v>
      </c>
      <c r="D52" s="1433" t="s">
        <v>3416</v>
      </c>
      <c r="E52" s="1435"/>
      <c r="F52" s="1437">
        <v>49700000000</v>
      </c>
      <c r="G52" s="1438">
        <v>6490000000</v>
      </c>
      <c r="H52" s="1438">
        <v>1760000000000</v>
      </c>
      <c r="I52" s="1428"/>
      <c r="J52" s="1407"/>
      <c r="K52" s="1431">
        <f t="shared" si="6"/>
        <v>251180277349.76886</v>
      </c>
      <c r="L52" s="1407"/>
      <c r="M52" s="1407"/>
      <c r="N52" s="1407"/>
      <c r="O52" s="1407"/>
      <c r="P52" s="1407"/>
      <c r="Q52" s="1407"/>
      <c r="R52" s="1407"/>
      <c r="S52" s="1407"/>
      <c r="T52" s="1407"/>
      <c r="U52" s="1407"/>
    </row>
    <row r="53" spans="1:21" ht="12">
      <c r="A53" s="1452" t="s">
        <v>3427</v>
      </c>
      <c r="B53" s="1483">
        <v>41857</v>
      </c>
      <c r="C53" s="1452" t="s">
        <v>872</v>
      </c>
      <c r="D53" s="1433" t="s">
        <v>3437</v>
      </c>
      <c r="E53" s="1547"/>
      <c r="F53" s="1548">
        <v>1840000000000</v>
      </c>
      <c r="G53" s="1549">
        <v>6490000000</v>
      </c>
      <c r="H53" s="1438">
        <v>1760000000000</v>
      </c>
      <c r="I53" s="1428"/>
      <c r="J53" s="1407"/>
      <c r="K53" s="1431">
        <f t="shared" si="6"/>
        <v>9299229583975.3457</v>
      </c>
      <c r="L53" s="1407"/>
      <c r="M53" s="1407"/>
      <c r="N53" s="1407"/>
      <c r="O53" s="1407"/>
      <c r="P53" s="1407"/>
      <c r="Q53" s="1407"/>
      <c r="R53" s="1407"/>
      <c r="S53" s="1407"/>
      <c r="T53" s="1407"/>
      <c r="U53" s="1407"/>
    </row>
    <row r="54" spans="1:21" ht="24">
      <c r="A54" s="1452" t="s">
        <v>909</v>
      </c>
      <c r="B54" s="1407"/>
      <c r="C54" s="1407"/>
      <c r="D54" s="1409"/>
      <c r="E54" s="1410"/>
      <c r="F54" s="1495"/>
      <c r="G54" s="1534"/>
      <c r="H54" s="1534"/>
      <c r="I54" s="1428"/>
      <c r="J54" s="1407"/>
      <c r="K54" s="1431"/>
      <c r="L54" s="1407"/>
      <c r="M54" s="1407"/>
      <c r="N54" s="1407"/>
      <c r="O54" s="1407"/>
      <c r="P54" s="1407"/>
      <c r="Q54" s="1407"/>
      <c r="R54" s="1407"/>
      <c r="S54" s="1407"/>
      <c r="T54" s="1407"/>
      <c r="U54" s="1407"/>
    </row>
    <row r="55" spans="1:21" ht="12">
      <c r="A55" s="1452" t="s">
        <v>3444</v>
      </c>
      <c r="B55" s="1483">
        <v>41864</v>
      </c>
      <c r="C55" s="1452" t="s">
        <v>872</v>
      </c>
      <c r="D55" s="1433" t="s">
        <v>3445</v>
      </c>
      <c r="E55" s="1435"/>
      <c r="F55" s="1437">
        <v>443000000000</v>
      </c>
      <c r="G55" s="1438">
        <v>7270000000</v>
      </c>
      <c r="H55" s="1438">
        <v>8830000000000</v>
      </c>
      <c r="I55" s="1428"/>
      <c r="J55" s="1407"/>
      <c r="K55" s="1431">
        <f t="shared" ref="K55:K58" si="7">(32800000000/G55)*F55</f>
        <v>1998679504814.3054</v>
      </c>
      <c r="L55" s="1407"/>
      <c r="M55" s="1407"/>
      <c r="N55" s="1407"/>
      <c r="O55" s="1407"/>
      <c r="P55" s="1407"/>
      <c r="Q55" s="1407"/>
      <c r="R55" s="1407"/>
      <c r="S55" s="1407"/>
      <c r="T55" s="1407"/>
      <c r="U55" s="1407"/>
    </row>
    <row r="56" spans="1:21" ht="12">
      <c r="A56" s="1452" t="s">
        <v>3446</v>
      </c>
      <c r="B56" s="1483">
        <v>41864</v>
      </c>
      <c r="C56" s="1452" t="s">
        <v>872</v>
      </c>
      <c r="D56" s="1433" t="s">
        <v>3447</v>
      </c>
      <c r="E56" s="1435"/>
      <c r="F56" s="1437">
        <v>1340000000000</v>
      </c>
      <c r="G56" s="1438">
        <v>7270000000</v>
      </c>
      <c r="H56" s="1438">
        <v>8830000000000</v>
      </c>
      <c r="I56" s="1428"/>
      <c r="J56" s="1407"/>
      <c r="K56" s="1431">
        <f t="shared" si="7"/>
        <v>6045667125171.9395</v>
      </c>
      <c r="L56" s="1407"/>
      <c r="M56" s="1407"/>
      <c r="N56" s="1407"/>
      <c r="O56" s="1407"/>
      <c r="P56" s="1407"/>
      <c r="Q56" s="1407"/>
      <c r="R56" s="1407"/>
      <c r="S56" s="1407"/>
      <c r="T56" s="1407"/>
      <c r="U56" s="1407"/>
    </row>
    <row r="57" spans="1:21" ht="12">
      <c r="A57" s="1452" t="s">
        <v>3446</v>
      </c>
      <c r="B57" s="1483">
        <v>41864</v>
      </c>
      <c r="C57" s="1452" t="s">
        <v>872</v>
      </c>
      <c r="D57" s="1433" t="s">
        <v>3448</v>
      </c>
      <c r="E57" s="1435"/>
      <c r="F57" s="1437">
        <v>1880000000000</v>
      </c>
      <c r="G57" s="1438">
        <v>7270000000</v>
      </c>
      <c r="H57" s="1438">
        <v>8830000000000</v>
      </c>
      <c r="I57" s="1428"/>
      <c r="J57" s="1407"/>
      <c r="K57" s="1431">
        <f t="shared" si="7"/>
        <v>8481980742778.542</v>
      </c>
      <c r="L57" s="1407"/>
      <c r="M57" s="1407"/>
      <c r="N57" s="1407"/>
      <c r="O57" s="1407"/>
      <c r="P57" s="1407"/>
      <c r="Q57" s="1407"/>
      <c r="R57" s="1407"/>
      <c r="S57" s="1407"/>
      <c r="T57" s="1407"/>
      <c r="U57" s="1407"/>
    </row>
    <row r="58" spans="1:21" ht="12">
      <c r="A58" s="1452" t="s">
        <v>3446</v>
      </c>
      <c r="B58" s="1483">
        <v>41864</v>
      </c>
      <c r="C58" s="1452" t="s">
        <v>872</v>
      </c>
      <c r="D58" s="1433" t="s">
        <v>3449</v>
      </c>
      <c r="E58" s="1435"/>
      <c r="F58" s="1437">
        <v>218000000000</v>
      </c>
      <c r="G58" s="1438">
        <v>7270000000</v>
      </c>
      <c r="H58" s="1438">
        <v>8830000000000</v>
      </c>
      <c r="I58" s="1428"/>
      <c r="J58" s="1407"/>
      <c r="K58" s="1431">
        <f t="shared" si="7"/>
        <v>983548830811.55432</v>
      </c>
      <c r="L58" s="1407"/>
      <c r="M58" s="1407"/>
      <c r="N58" s="1407"/>
      <c r="O58" s="1407"/>
      <c r="P58" s="1407"/>
      <c r="Q58" s="1407"/>
      <c r="R58" s="1407"/>
      <c r="S58" s="1407"/>
      <c r="T58" s="1407"/>
      <c r="U58" s="1407"/>
    </row>
    <row r="59" spans="1:21" ht="12">
      <c r="A59" s="1407"/>
      <c r="B59" s="1407"/>
      <c r="C59" s="1407"/>
      <c r="D59" s="1409"/>
      <c r="E59" s="1410"/>
      <c r="F59" s="1495"/>
      <c r="G59" s="1534"/>
      <c r="H59" s="1534"/>
      <c r="I59" s="1428"/>
      <c r="J59" s="1407"/>
      <c r="K59" s="1431"/>
      <c r="L59" s="1407"/>
      <c r="M59" s="1407"/>
      <c r="N59" s="1407"/>
      <c r="O59" s="1407"/>
      <c r="P59" s="1407"/>
      <c r="Q59" s="1407"/>
      <c r="R59" s="1407"/>
      <c r="S59" s="1407"/>
      <c r="T59" s="1407"/>
      <c r="U59" s="1407"/>
    </row>
    <row r="60" spans="1:21" ht="12">
      <c r="A60" s="1452" t="s">
        <v>3450</v>
      </c>
      <c r="B60" s="1483">
        <v>41892</v>
      </c>
      <c r="C60" s="1452" t="s">
        <v>95</v>
      </c>
      <c r="D60" s="1433" t="s">
        <v>3451</v>
      </c>
      <c r="E60" s="1435"/>
      <c r="F60" s="1437">
        <v>999000000000</v>
      </c>
      <c r="G60" s="1438">
        <v>2460000000</v>
      </c>
      <c r="H60" s="1438">
        <v>14600000000</v>
      </c>
      <c r="I60" s="1428"/>
      <c r="J60" s="1407"/>
      <c r="K60" s="1431">
        <f t="shared" ref="K60:K67" si="8">(32800000000/G60)*F60</f>
        <v>13320000000000</v>
      </c>
      <c r="L60" s="1407"/>
      <c r="M60" s="1407"/>
      <c r="N60" s="1407"/>
      <c r="O60" s="1407"/>
      <c r="P60" s="1407"/>
      <c r="Q60" s="1407"/>
      <c r="R60" s="1407"/>
      <c r="S60" s="1407"/>
      <c r="T60" s="1407"/>
      <c r="U60" s="1407"/>
    </row>
    <row r="61" spans="1:21" ht="12">
      <c r="A61" s="1452" t="s">
        <v>3457</v>
      </c>
      <c r="B61" s="1483">
        <v>41892</v>
      </c>
      <c r="C61" s="1452" t="s">
        <v>95</v>
      </c>
      <c r="D61" s="1433" t="s">
        <v>3459</v>
      </c>
      <c r="E61" s="1435"/>
      <c r="F61" s="1437">
        <v>26600000000000</v>
      </c>
      <c r="G61" s="1438">
        <v>2460000000</v>
      </c>
      <c r="H61" s="1438">
        <v>14600000000</v>
      </c>
      <c r="I61" s="1428"/>
      <c r="J61" s="1407"/>
      <c r="K61" s="1431">
        <f t="shared" si="8"/>
        <v>354666666666666.69</v>
      </c>
      <c r="L61" s="1407"/>
      <c r="M61" s="1407"/>
      <c r="N61" s="1407"/>
      <c r="O61" s="1407"/>
      <c r="P61" s="1407"/>
      <c r="Q61" s="1407"/>
      <c r="R61" s="1407"/>
      <c r="S61" s="1407"/>
      <c r="T61" s="1407"/>
      <c r="U61" s="1407"/>
    </row>
    <row r="62" spans="1:21" ht="12">
      <c r="A62" s="1452" t="s">
        <v>3457</v>
      </c>
      <c r="B62" s="1483">
        <v>41892</v>
      </c>
      <c r="C62" s="1452" t="s">
        <v>95</v>
      </c>
      <c r="D62" s="1433" t="s">
        <v>3463</v>
      </c>
      <c r="E62" s="1435"/>
      <c r="F62" s="1437">
        <v>49600000000000</v>
      </c>
      <c r="G62" s="1438">
        <v>2460000000</v>
      </c>
      <c r="H62" s="1438">
        <v>14600000000</v>
      </c>
      <c r="I62" s="1428"/>
      <c r="J62" s="1407"/>
      <c r="K62" s="1431">
        <f t="shared" si="8"/>
        <v>661333333333333.38</v>
      </c>
      <c r="L62" s="1407"/>
      <c r="M62" s="1407"/>
      <c r="N62" s="1407"/>
      <c r="O62" s="1407"/>
      <c r="P62" s="1407"/>
      <c r="Q62" s="1407"/>
      <c r="R62" s="1407"/>
      <c r="S62" s="1407"/>
      <c r="T62" s="1407"/>
      <c r="U62" s="1407"/>
    </row>
    <row r="63" spans="1:21" ht="12">
      <c r="A63" s="1452" t="s">
        <v>3457</v>
      </c>
      <c r="B63" s="1483">
        <v>41892</v>
      </c>
      <c r="C63" s="1452" t="s">
        <v>95</v>
      </c>
      <c r="D63" s="1433" t="s">
        <v>3464</v>
      </c>
      <c r="E63" s="1435"/>
      <c r="F63" s="1437">
        <v>16200000000000</v>
      </c>
      <c r="G63" s="1438">
        <v>2460000000</v>
      </c>
      <c r="H63" s="1438">
        <v>14600000000</v>
      </c>
      <c r="I63" s="1428"/>
      <c r="J63" s="1407"/>
      <c r="K63" s="1431">
        <f t="shared" si="8"/>
        <v>216000000000000</v>
      </c>
      <c r="L63" s="1407"/>
      <c r="M63" s="1407"/>
      <c r="N63" s="1407"/>
      <c r="O63" s="1407"/>
      <c r="P63" s="1407"/>
      <c r="Q63" s="1407"/>
      <c r="R63" s="1407"/>
      <c r="S63" s="1407"/>
      <c r="T63" s="1407"/>
      <c r="U63" s="1407"/>
    </row>
    <row r="64" spans="1:21" ht="12">
      <c r="A64" s="1452" t="s">
        <v>3457</v>
      </c>
      <c r="B64" s="1483">
        <v>41892</v>
      </c>
      <c r="C64" s="1452" t="s">
        <v>95</v>
      </c>
      <c r="D64" s="1433" t="s">
        <v>3465</v>
      </c>
      <c r="E64" s="1435"/>
      <c r="F64" s="1437">
        <v>247000000000</v>
      </c>
      <c r="G64" s="1438">
        <v>2460000000</v>
      </c>
      <c r="H64" s="1438">
        <v>14600000000</v>
      </c>
      <c r="I64" s="1428"/>
      <c r="J64" s="1407"/>
      <c r="K64" s="1431">
        <f t="shared" si="8"/>
        <v>3293333333333.3335</v>
      </c>
      <c r="L64" s="1407"/>
      <c r="M64" s="1407"/>
      <c r="N64" s="1407"/>
      <c r="O64" s="1407"/>
      <c r="P64" s="1407"/>
      <c r="Q64" s="1407"/>
      <c r="R64" s="1407"/>
      <c r="S64" s="1407"/>
      <c r="T64" s="1407"/>
      <c r="U64" s="1407"/>
    </row>
    <row r="65" spans="1:21" ht="12">
      <c r="A65" s="1452" t="s">
        <v>3457</v>
      </c>
      <c r="B65" s="1483">
        <v>41892</v>
      </c>
      <c r="C65" s="1452" t="s">
        <v>95</v>
      </c>
      <c r="D65" s="1433" t="s">
        <v>3466</v>
      </c>
      <c r="E65" s="1435"/>
      <c r="F65" s="1437">
        <v>11800000000</v>
      </c>
      <c r="G65" s="1438">
        <v>2460000000</v>
      </c>
      <c r="H65" s="1438">
        <v>14600000000</v>
      </c>
      <c r="I65" s="1428"/>
      <c r="J65" s="1407"/>
      <c r="K65" s="1431">
        <f t="shared" si="8"/>
        <v>157333333333.33334</v>
      </c>
      <c r="L65" s="1407"/>
      <c r="M65" s="1407"/>
      <c r="N65" s="1407"/>
      <c r="O65" s="1407"/>
      <c r="P65" s="1407"/>
      <c r="Q65" s="1407"/>
      <c r="R65" s="1407"/>
      <c r="S65" s="1407"/>
      <c r="T65" s="1407"/>
      <c r="U65" s="1407"/>
    </row>
    <row r="66" spans="1:21" ht="12">
      <c r="A66" s="1452" t="s">
        <v>3457</v>
      </c>
      <c r="B66" s="1483">
        <v>41892</v>
      </c>
      <c r="C66" s="1452" t="s">
        <v>95</v>
      </c>
      <c r="D66" s="1433" t="s">
        <v>3467</v>
      </c>
      <c r="E66" s="1435"/>
      <c r="F66" s="1437">
        <v>112000000000</v>
      </c>
      <c r="G66" s="1438">
        <v>2460000000</v>
      </c>
      <c r="H66" s="1438">
        <v>14600000000</v>
      </c>
      <c r="I66" s="1428"/>
      <c r="J66" s="1407"/>
      <c r="K66" s="1431">
        <f t="shared" si="8"/>
        <v>1493333333333.3335</v>
      </c>
      <c r="L66" s="1407"/>
      <c r="M66" s="1407"/>
      <c r="N66" s="1407"/>
      <c r="O66" s="1407"/>
      <c r="P66" s="1407"/>
      <c r="Q66" s="1407"/>
      <c r="R66" s="1407"/>
      <c r="S66" s="1407"/>
      <c r="T66" s="1407"/>
      <c r="U66" s="1407"/>
    </row>
    <row r="67" spans="1:21" ht="12">
      <c r="A67" s="1452" t="s">
        <v>3457</v>
      </c>
      <c r="B67" s="1483">
        <v>41892</v>
      </c>
      <c r="C67" s="1452" t="s">
        <v>95</v>
      </c>
      <c r="D67" s="1433" t="s">
        <v>3468</v>
      </c>
      <c r="E67" s="1435"/>
      <c r="F67" s="1437">
        <v>691000000000</v>
      </c>
      <c r="G67" s="1438">
        <v>2460000000</v>
      </c>
      <c r="H67" s="1438">
        <v>14600000000</v>
      </c>
      <c r="I67" s="1428"/>
      <c r="J67" s="1407"/>
      <c r="K67" s="1431">
        <f t="shared" si="8"/>
        <v>9213333333333.334</v>
      </c>
      <c r="L67" s="1407"/>
      <c r="M67" s="1407"/>
      <c r="N67" s="1407"/>
      <c r="O67" s="1407"/>
      <c r="P67" s="1407"/>
      <c r="Q67" s="1407"/>
      <c r="R67" s="1407"/>
      <c r="S67" s="1407"/>
      <c r="T67" s="1407"/>
      <c r="U67" s="1407"/>
    </row>
    <row r="68" spans="1:21" ht="12">
      <c r="A68" s="1407"/>
      <c r="B68" s="1407"/>
      <c r="C68" s="1407"/>
      <c r="D68" s="1409"/>
      <c r="E68" s="1410"/>
      <c r="F68" s="1495"/>
      <c r="G68" s="1534"/>
      <c r="H68" s="1534"/>
      <c r="I68" s="1428"/>
      <c r="J68" s="1407"/>
      <c r="K68" s="1431"/>
      <c r="L68" s="1407"/>
      <c r="M68" s="1407"/>
      <c r="N68" s="1407"/>
      <c r="O68" s="1407"/>
      <c r="P68" s="1407"/>
      <c r="Q68" s="1407"/>
      <c r="R68" s="1407"/>
      <c r="S68" s="1407"/>
      <c r="T68" s="1407"/>
      <c r="U68" s="1407"/>
    </row>
    <row r="69" spans="1:21" ht="12">
      <c r="A69" s="1452" t="s">
        <v>3469</v>
      </c>
      <c r="B69" s="1483">
        <v>41900</v>
      </c>
      <c r="C69" s="1452" t="s">
        <v>3470</v>
      </c>
      <c r="D69" s="1433" t="s">
        <v>3451</v>
      </c>
      <c r="E69" s="1435"/>
      <c r="F69" s="1437">
        <v>3590000000000</v>
      </c>
      <c r="G69" s="1438">
        <v>40100000000</v>
      </c>
      <c r="H69" s="1438">
        <v>1220000000000</v>
      </c>
      <c r="I69" s="1428"/>
      <c r="J69" s="1407"/>
      <c r="K69" s="1431">
        <f t="shared" ref="K69:K78" si="9">(32800000000/G69)*F69</f>
        <v>2936458852867.8306</v>
      </c>
      <c r="L69" s="1407"/>
      <c r="M69" s="1407"/>
      <c r="N69" s="1407"/>
      <c r="O69" s="1407"/>
      <c r="P69" s="1407"/>
      <c r="Q69" s="1407"/>
      <c r="R69" s="1407"/>
      <c r="S69" s="1407"/>
      <c r="T69" s="1407"/>
      <c r="U69" s="1407"/>
    </row>
    <row r="70" spans="1:21" ht="12">
      <c r="A70" s="1452" t="s">
        <v>3469</v>
      </c>
      <c r="B70" s="1483">
        <v>41900</v>
      </c>
      <c r="C70" s="1452" t="s">
        <v>3470</v>
      </c>
      <c r="D70" s="1433" t="s">
        <v>3459</v>
      </c>
      <c r="E70" s="1435"/>
      <c r="F70" s="1437">
        <v>20100000000000</v>
      </c>
      <c r="G70" s="1438">
        <v>40100000000</v>
      </c>
      <c r="H70" s="1438">
        <v>1220000000000</v>
      </c>
      <c r="I70" s="1428"/>
      <c r="J70" s="1407"/>
      <c r="K70" s="1431">
        <f t="shared" si="9"/>
        <v>16440897755610.973</v>
      </c>
      <c r="L70" s="1407"/>
      <c r="M70" s="1407"/>
      <c r="N70" s="1407"/>
      <c r="O70" s="1407"/>
      <c r="P70" s="1407"/>
      <c r="Q70" s="1407"/>
      <c r="R70" s="1407"/>
      <c r="S70" s="1407"/>
      <c r="T70" s="1407"/>
      <c r="U70" s="1407"/>
    </row>
    <row r="71" spans="1:21" ht="12">
      <c r="A71" s="1452" t="s">
        <v>3469</v>
      </c>
      <c r="B71" s="1483">
        <v>41900</v>
      </c>
      <c r="C71" s="1452" t="s">
        <v>3470</v>
      </c>
      <c r="D71" s="1433" t="s">
        <v>3463</v>
      </c>
      <c r="E71" s="1435"/>
      <c r="F71" s="1437">
        <v>47000000000000</v>
      </c>
      <c r="G71" s="1438">
        <v>40100000000</v>
      </c>
      <c r="H71" s="1438">
        <v>1220000000000</v>
      </c>
      <c r="I71" s="1428"/>
      <c r="J71" s="1407"/>
      <c r="K71" s="1431">
        <f t="shared" si="9"/>
        <v>38443890274314.219</v>
      </c>
      <c r="L71" s="1407"/>
      <c r="M71" s="1407"/>
      <c r="N71" s="1407"/>
      <c r="O71" s="1407"/>
      <c r="P71" s="1407"/>
      <c r="Q71" s="1407"/>
      <c r="R71" s="1407"/>
      <c r="S71" s="1407"/>
      <c r="T71" s="1407"/>
      <c r="U71" s="1407"/>
    </row>
    <row r="72" spans="1:21" ht="12">
      <c r="A72" s="1452" t="s">
        <v>3469</v>
      </c>
      <c r="B72" s="1483">
        <v>41900</v>
      </c>
      <c r="C72" s="1452" t="s">
        <v>3470</v>
      </c>
      <c r="D72" s="1433" t="s">
        <v>3464</v>
      </c>
      <c r="E72" s="1435"/>
      <c r="F72" s="1437">
        <v>13500000000000</v>
      </c>
      <c r="G72" s="1438">
        <v>40100000000</v>
      </c>
      <c r="H72" s="1438">
        <v>1220000000000</v>
      </c>
      <c r="I72" s="1428"/>
      <c r="J72" s="1407"/>
      <c r="K72" s="1431">
        <f t="shared" si="9"/>
        <v>11042394014962.594</v>
      </c>
      <c r="L72" s="1407"/>
      <c r="M72" s="1407"/>
      <c r="N72" s="1407"/>
      <c r="O72" s="1407"/>
      <c r="P72" s="1407"/>
      <c r="Q72" s="1407"/>
      <c r="R72" s="1407"/>
      <c r="S72" s="1407"/>
      <c r="T72" s="1407"/>
      <c r="U72" s="1407"/>
    </row>
    <row r="73" spans="1:21" ht="12">
      <c r="A73" s="1452" t="s">
        <v>3469</v>
      </c>
      <c r="B73" s="1483">
        <v>41900</v>
      </c>
      <c r="C73" s="1452" t="s">
        <v>3470</v>
      </c>
      <c r="D73" s="1433" t="s">
        <v>3476</v>
      </c>
      <c r="E73" s="1435"/>
      <c r="F73" s="1437">
        <v>282000000000000</v>
      </c>
      <c r="G73" s="1438">
        <v>40100000000</v>
      </c>
      <c r="H73" s="1438">
        <v>1220000000000</v>
      </c>
      <c r="I73" s="1428"/>
      <c r="J73" s="1407"/>
      <c r="K73" s="1431">
        <f t="shared" si="9"/>
        <v>230663341645885.28</v>
      </c>
      <c r="L73" s="1407"/>
      <c r="M73" s="1407"/>
      <c r="N73" s="1407"/>
      <c r="O73" s="1407"/>
      <c r="P73" s="1407"/>
      <c r="Q73" s="1407"/>
      <c r="R73" s="1407"/>
      <c r="S73" s="1407"/>
      <c r="T73" s="1407"/>
      <c r="U73" s="1407"/>
    </row>
    <row r="74" spans="1:21" ht="12">
      <c r="A74" s="1452" t="s">
        <v>3469</v>
      </c>
      <c r="B74" s="1483">
        <v>41900</v>
      </c>
      <c r="C74" s="1452" t="s">
        <v>3470</v>
      </c>
      <c r="D74" s="1433" t="s">
        <v>3477</v>
      </c>
      <c r="E74" s="1435"/>
      <c r="F74" s="1437">
        <v>20500000000000</v>
      </c>
      <c r="G74" s="1438">
        <v>40100000000</v>
      </c>
      <c r="H74" s="1438">
        <v>1220000000000</v>
      </c>
      <c r="I74" s="1428"/>
      <c r="J74" s="1407"/>
      <c r="K74" s="1431">
        <f t="shared" si="9"/>
        <v>16768079800498.754</v>
      </c>
      <c r="L74" s="1407"/>
      <c r="M74" s="1407"/>
      <c r="N74" s="1407"/>
      <c r="O74" s="1407"/>
      <c r="P74" s="1407"/>
      <c r="Q74" s="1407"/>
      <c r="R74" s="1407"/>
      <c r="S74" s="1407"/>
      <c r="T74" s="1407"/>
      <c r="U74" s="1407"/>
    </row>
    <row r="75" spans="1:21" ht="12">
      <c r="A75" s="1452" t="s">
        <v>3469</v>
      </c>
      <c r="B75" s="1483">
        <v>41900</v>
      </c>
      <c r="C75" s="1452" t="s">
        <v>3470</v>
      </c>
      <c r="D75" s="1433" t="s">
        <v>3479</v>
      </c>
      <c r="E75" s="1435"/>
      <c r="F75" s="1437">
        <v>86700000000000</v>
      </c>
      <c r="G75" s="1438">
        <v>40100000000</v>
      </c>
      <c r="H75" s="1438">
        <v>1220000000000</v>
      </c>
      <c r="I75" s="1428"/>
      <c r="J75" s="1407"/>
      <c r="K75" s="1431">
        <f t="shared" si="9"/>
        <v>70916708229426.438</v>
      </c>
      <c r="L75" s="1407"/>
      <c r="M75" s="1407"/>
      <c r="N75" s="1407"/>
      <c r="O75" s="1407"/>
      <c r="P75" s="1407"/>
      <c r="Q75" s="1407"/>
      <c r="R75" s="1407"/>
      <c r="S75" s="1407"/>
      <c r="T75" s="1407"/>
      <c r="U75" s="1407"/>
    </row>
    <row r="76" spans="1:21" ht="12">
      <c r="A76" s="1452" t="s">
        <v>3469</v>
      </c>
      <c r="B76" s="1483">
        <v>41900</v>
      </c>
      <c r="C76" s="1452" t="s">
        <v>3470</v>
      </c>
      <c r="D76" s="1433" t="s">
        <v>3483</v>
      </c>
      <c r="E76" s="1435"/>
      <c r="F76" s="1437">
        <v>6720000000000</v>
      </c>
      <c r="G76" s="1438">
        <v>40100000000</v>
      </c>
      <c r="H76" s="1438">
        <v>1220000000000</v>
      </c>
      <c r="I76" s="1428"/>
      <c r="J76" s="1407"/>
      <c r="K76" s="1431">
        <f t="shared" si="9"/>
        <v>5496658354114.7129</v>
      </c>
      <c r="L76" s="1407"/>
      <c r="M76" s="1407"/>
      <c r="N76" s="1407"/>
      <c r="O76" s="1407"/>
      <c r="P76" s="1407"/>
      <c r="Q76" s="1407"/>
      <c r="R76" s="1407"/>
      <c r="S76" s="1407"/>
      <c r="T76" s="1407"/>
      <c r="U76" s="1407"/>
    </row>
    <row r="77" spans="1:21" ht="12">
      <c r="A77" s="1452" t="s">
        <v>3469</v>
      </c>
      <c r="B77" s="1483">
        <v>41900</v>
      </c>
      <c r="C77" s="1452" t="s">
        <v>3470</v>
      </c>
      <c r="D77" s="1433" t="s">
        <v>3485</v>
      </c>
      <c r="E77" s="1435"/>
      <c r="F77" s="1437">
        <v>95900000000</v>
      </c>
      <c r="G77" s="1438">
        <v>40100000000</v>
      </c>
      <c r="H77" s="1438">
        <v>1220000000000</v>
      </c>
      <c r="I77" s="1428"/>
      <c r="J77" s="1407"/>
      <c r="K77" s="1431">
        <f t="shared" si="9"/>
        <v>78441895261.845383</v>
      </c>
      <c r="L77" s="1407"/>
      <c r="M77" s="1407"/>
      <c r="N77" s="1407"/>
      <c r="O77" s="1407"/>
      <c r="P77" s="1407"/>
      <c r="Q77" s="1407"/>
      <c r="R77" s="1407"/>
      <c r="S77" s="1407"/>
      <c r="T77" s="1407"/>
      <c r="U77" s="1407"/>
    </row>
    <row r="78" spans="1:21" ht="12">
      <c r="A78" s="1452" t="s">
        <v>3469</v>
      </c>
      <c r="B78" s="1483">
        <v>41900</v>
      </c>
      <c r="C78" s="1452" t="s">
        <v>3470</v>
      </c>
      <c r="D78" s="1433" t="s">
        <v>3488</v>
      </c>
      <c r="E78" s="1435"/>
      <c r="F78" s="1437">
        <v>173000000000</v>
      </c>
      <c r="G78" s="1438">
        <v>40100000000</v>
      </c>
      <c r="H78" s="1438">
        <v>1220000000000</v>
      </c>
      <c r="I78" s="1428"/>
      <c r="J78" s="1407"/>
      <c r="K78" s="1431">
        <f t="shared" si="9"/>
        <v>141506234413.96509</v>
      </c>
      <c r="L78" s="1407"/>
      <c r="M78" s="1407"/>
      <c r="N78" s="1407"/>
      <c r="O78" s="1407"/>
      <c r="P78" s="1407"/>
      <c r="Q78" s="1407"/>
      <c r="R78" s="1407"/>
      <c r="S78" s="1407"/>
      <c r="T78" s="1407"/>
      <c r="U78" s="1407"/>
    </row>
    <row r="79" spans="1:21" ht="12">
      <c r="A79" s="1407"/>
      <c r="B79" s="1407"/>
      <c r="C79" s="1407"/>
      <c r="D79" s="1409"/>
      <c r="E79" s="1410"/>
      <c r="F79" s="1495"/>
      <c r="G79" s="1534"/>
      <c r="H79" s="1534"/>
      <c r="I79" s="1428"/>
      <c r="J79" s="1407"/>
      <c r="K79" s="1431"/>
      <c r="L79" s="1407"/>
      <c r="M79" s="1407"/>
      <c r="N79" s="1407"/>
      <c r="O79" s="1407"/>
      <c r="P79" s="1407"/>
      <c r="Q79" s="1407"/>
      <c r="R79" s="1407"/>
      <c r="S79" s="1407"/>
      <c r="T79" s="1407"/>
      <c r="U79" s="1407"/>
    </row>
    <row r="80" spans="1:21" ht="12">
      <c r="A80" s="1452" t="s">
        <v>3490</v>
      </c>
      <c r="B80" s="1483">
        <v>41906</v>
      </c>
      <c r="C80" s="1452" t="s">
        <v>3470</v>
      </c>
      <c r="D80" s="1433" t="s">
        <v>3476</v>
      </c>
      <c r="E80" s="1435"/>
      <c r="F80" s="1437">
        <v>254000000000000</v>
      </c>
      <c r="G80" s="1438">
        <v>17100000000</v>
      </c>
      <c r="H80" s="1438">
        <v>5760000000000</v>
      </c>
      <c r="I80" s="1428"/>
      <c r="J80" s="1407"/>
      <c r="K80" s="1431">
        <f t="shared" ref="K80:K87" si="10">(32800000000/G80)*F80</f>
        <v>487204678362573.06</v>
      </c>
      <c r="L80" s="1407"/>
      <c r="M80" s="1407"/>
      <c r="N80" s="1407"/>
      <c r="O80" s="1407"/>
      <c r="P80" s="1407"/>
      <c r="Q80" s="1407"/>
      <c r="R80" s="1407"/>
      <c r="S80" s="1407"/>
      <c r="T80" s="1407"/>
      <c r="U80" s="1407"/>
    </row>
    <row r="81" spans="1:21" ht="12">
      <c r="A81" s="1452" t="s">
        <v>3490</v>
      </c>
      <c r="B81" s="1483">
        <v>41906</v>
      </c>
      <c r="C81" s="1452" t="s">
        <v>3470</v>
      </c>
      <c r="D81" s="1433" t="s">
        <v>3477</v>
      </c>
      <c r="E81" s="1435"/>
      <c r="F81" s="1437">
        <v>18900000000000</v>
      </c>
      <c r="G81" s="1438">
        <v>17100000000</v>
      </c>
      <c r="H81" s="1438">
        <v>5760000000000</v>
      </c>
      <c r="I81" s="1428"/>
      <c r="J81" s="1407"/>
      <c r="K81" s="1431">
        <f t="shared" si="10"/>
        <v>36252631578947.367</v>
      </c>
      <c r="L81" s="1407"/>
      <c r="M81" s="1407"/>
      <c r="N81" s="1407"/>
      <c r="O81" s="1407"/>
      <c r="P81" s="1407"/>
      <c r="Q81" s="1407"/>
      <c r="R81" s="1407"/>
      <c r="S81" s="1407"/>
      <c r="T81" s="1407"/>
      <c r="U81" s="1407"/>
    </row>
    <row r="82" spans="1:21" ht="12">
      <c r="A82" s="1452" t="s">
        <v>3490</v>
      </c>
      <c r="B82" s="1483">
        <v>41906</v>
      </c>
      <c r="C82" s="1452" t="s">
        <v>3470</v>
      </c>
      <c r="D82" s="1433" t="s">
        <v>3479</v>
      </c>
      <c r="E82" s="1435"/>
      <c r="F82" s="1437">
        <v>59000000000000</v>
      </c>
      <c r="G82" s="1438">
        <v>17100000000</v>
      </c>
      <c r="H82" s="1438">
        <v>5760000000000</v>
      </c>
      <c r="I82" s="1428"/>
      <c r="J82" s="1407"/>
      <c r="K82" s="1431">
        <f t="shared" si="10"/>
        <v>113169590643274.84</v>
      </c>
      <c r="L82" s="1407"/>
      <c r="M82" s="1407"/>
      <c r="N82" s="1407"/>
      <c r="O82" s="1407"/>
      <c r="P82" s="1407"/>
      <c r="Q82" s="1407"/>
      <c r="R82" s="1407"/>
      <c r="S82" s="1407"/>
      <c r="T82" s="1407"/>
      <c r="U82" s="1407"/>
    </row>
    <row r="83" spans="1:21" ht="12">
      <c r="A83" s="1452" t="s">
        <v>3490</v>
      </c>
      <c r="B83" s="1483">
        <v>41906</v>
      </c>
      <c r="C83" s="1452" t="s">
        <v>3470</v>
      </c>
      <c r="D83" s="1433" t="s">
        <v>3483</v>
      </c>
      <c r="E83" s="1435"/>
      <c r="F83" s="1437">
        <v>3870000000000</v>
      </c>
      <c r="G83" s="1438">
        <v>17100000000</v>
      </c>
      <c r="H83" s="1438">
        <v>5760000000000</v>
      </c>
      <c r="I83" s="1428"/>
      <c r="J83" s="1407"/>
      <c r="K83" s="1431">
        <f t="shared" si="10"/>
        <v>7423157894736.8418</v>
      </c>
      <c r="L83" s="1407"/>
      <c r="M83" s="1407"/>
      <c r="N83" s="1407"/>
      <c r="O83" s="1407"/>
      <c r="P83" s="1407"/>
      <c r="Q83" s="1407"/>
      <c r="R83" s="1407"/>
      <c r="S83" s="1407"/>
      <c r="T83" s="1407"/>
      <c r="U83" s="1407"/>
    </row>
    <row r="84" spans="1:21" ht="12">
      <c r="A84" s="1452" t="s">
        <v>3490</v>
      </c>
      <c r="B84" s="1483">
        <v>41906</v>
      </c>
      <c r="C84" s="1452" t="s">
        <v>3470</v>
      </c>
      <c r="D84" s="1433" t="s">
        <v>3497</v>
      </c>
      <c r="E84" s="1435"/>
      <c r="F84" s="1437">
        <v>17500000000000</v>
      </c>
      <c r="G84" s="1438">
        <v>17100000000</v>
      </c>
      <c r="H84" s="1438">
        <v>5760000000000</v>
      </c>
      <c r="I84" s="1428"/>
      <c r="J84" s="1407"/>
      <c r="K84" s="1431">
        <f t="shared" si="10"/>
        <v>33567251461988.301</v>
      </c>
      <c r="L84" s="1407"/>
      <c r="M84" s="1407"/>
      <c r="N84" s="1407"/>
      <c r="O84" s="1407"/>
      <c r="P84" s="1407"/>
      <c r="Q84" s="1407"/>
      <c r="R84" s="1407"/>
      <c r="S84" s="1407"/>
      <c r="T84" s="1407"/>
      <c r="U84" s="1407"/>
    </row>
    <row r="85" spans="1:21" ht="12">
      <c r="A85" s="1452" t="s">
        <v>3490</v>
      </c>
      <c r="B85" s="1483">
        <v>41906</v>
      </c>
      <c r="C85" s="1452" t="s">
        <v>3470</v>
      </c>
      <c r="D85" s="1433" t="s">
        <v>3498</v>
      </c>
      <c r="E85" s="1435"/>
      <c r="F85" s="1437">
        <v>44200000000000</v>
      </c>
      <c r="G85" s="1438">
        <v>17100000000</v>
      </c>
      <c r="H85" s="1438">
        <v>5760000000000</v>
      </c>
      <c r="I85" s="1428"/>
      <c r="J85" s="1407"/>
      <c r="K85" s="1431">
        <f t="shared" si="10"/>
        <v>84781286549707.594</v>
      </c>
      <c r="L85" s="1407"/>
      <c r="M85" s="1407"/>
      <c r="N85" s="1407"/>
      <c r="O85" s="1407"/>
      <c r="P85" s="1407"/>
      <c r="Q85" s="1407"/>
      <c r="R85" s="1407"/>
      <c r="S85" s="1407"/>
      <c r="T85" s="1407"/>
      <c r="U85" s="1407"/>
    </row>
    <row r="86" spans="1:21" ht="12">
      <c r="A86" s="1452" t="s">
        <v>3490</v>
      </c>
      <c r="B86" s="1483">
        <v>41906</v>
      </c>
      <c r="C86" s="1452" t="s">
        <v>3470</v>
      </c>
      <c r="D86" s="1433" t="s">
        <v>3499</v>
      </c>
      <c r="E86" s="1435"/>
      <c r="F86" s="1437">
        <v>56900000000000</v>
      </c>
      <c r="G86" s="1438">
        <v>17100000000</v>
      </c>
      <c r="H86" s="1438">
        <v>5760000000000</v>
      </c>
      <c r="I86" s="1428"/>
      <c r="J86" s="1407"/>
      <c r="K86" s="1431">
        <f t="shared" si="10"/>
        <v>109141520467836.25</v>
      </c>
      <c r="L86" s="1407"/>
      <c r="M86" s="1407"/>
      <c r="N86" s="1407"/>
      <c r="O86" s="1407"/>
      <c r="P86" s="1407"/>
      <c r="Q86" s="1407"/>
      <c r="R86" s="1407"/>
      <c r="S86" s="1407"/>
      <c r="T86" s="1407"/>
      <c r="U86" s="1407"/>
    </row>
    <row r="87" spans="1:21" ht="12">
      <c r="A87" s="1452" t="s">
        <v>3490</v>
      </c>
      <c r="B87" s="1483">
        <v>41906</v>
      </c>
      <c r="C87" s="1452" t="s">
        <v>3470</v>
      </c>
      <c r="D87" s="1433" t="s">
        <v>3500</v>
      </c>
      <c r="E87" s="1435"/>
      <c r="F87" s="1437">
        <v>158000000000000</v>
      </c>
      <c r="G87" s="1438">
        <v>17100000000</v>
      </c>
      <c r="H87" s="1438">
        <v>5760000000000</v>
      </c>
      <c r="I87" s="1428"/>
      <c r="J87" s="1407"/>
      <c r="K87" s="1431">
        <f t="shared" si="10"/>
        <v>303064327485380.12</v>
      </c>
      <c r="L87" s="1407"/>
      <c r="M87" s="1407"/>
      <c r="N87" s="1407"/>
      <c r="O87" s="1407"/>
      <c r="P87" s="1407"/>
      <c r="Q87" s="1407"/>
      <c r="R87" s="1407"/>
      <c r="S87" s="1407"/>
      <c r="T87" s="1407"/>
      <c r="U87" s="1407"/>
    </row>
    <row r="88" spans="1:21" ht="12">
      <c r="A88" s="1407"/>
      <c r="B88" s="1407"/>
      <c r="C88" s="1407"/>
      <c r="D88" s="1409"/>
      <c r="E88" s="1410"/>
      <c r="F88" s="1495"/>
      <c r="G88" s="1534"/>
      <c r="H88" s="1534"/>
      <c r="I88" s="1428"/>
      <c r="J88" s="1407"/>
      <c r="K88" s="1431"/>
      <c r="L88" s="1407"/>
      <c r="M88" s="1407"/>
      <c r="N88" s="1407"/>
      <c r="O88" s="1407"/>
      <c r="P88" s="1407"/>
      <c r="Q88" s="1407"/>
      <c r="R88" s="1407"/>
      <c r="S88" s="1407"/>
      <c r="T88" s="1407"/>
      <c r="U88" s="1407"/>
    </row>
    <row r="89" spans="1:21" ht="12">
      <c r="A89" s="1452" t="s">
        <v>3502</v>
      </c>
      <c r="B89" s="1483">
        <v>41913</v>
      </c>
      <c r="C89" s="1452" t="s">
        <v>3470</v>
      </c>
      <c r="D89" s="1433" t="s">
        <v>3503</v>
      </c>
      <c r="E89" s="1435"/>
      <c r="F89" s="1437">
        <v>1910000000000</v>
      </c>
      <c r="G89" s="1438">
        <v>42900000000</v>
      </c>
      <c r="H89" s="1438">
        <v>19000000000000</v>
      </c>
      <c r="I89" s="1428"/>
      <c r="J89" s="1407"/>
      <c r="K89" s="1431">
        <f t="shared" ref="K89:K92" si="11">(32800000000/G89)*F89</f>
        <v>1460326340326.3403</v>
      </c>
      <c r="L89" s="1407"/>
      <c r="M89" s="1407"/>
      <c r="N89" s="1407"/>
      <c r="O89" s="1407"/>
      <c r="P89" s="1407"/>
      <c r="Q89" s="1407"/>
      <c r="R89" s="1407"/>
      <c r="S89" s="1407"/>
      <c r="T89" s="1407"/>
      <c r="U89" s="1407"/>
    </row>
    <row r="90" spans="1:21" ht="12">
      <c r="A90" s="1452" t="s">
        <v>3502</v>
      </c>
      <c r="B90" s="1483">
        <v>41913</v>
      </c>
      <c r="C90" s="1452" t="s">
        <v>3470</v>
      </c>
      <c r="D90" s="1433" t="s">
        <v>3504</v>
      </c>
      <c r="E90" s="1435"/>
      <c r="F90" s="1437">
        <v>330000000000000</v>
      </c>
      <c r="G90" s="1438">
        <v>42900000000</v>
      </c>
      <c r="H90" s="1438">
        <v>19000000000000</v>
      </c>
      <c r="I90" s="1428"/>
      <c r="J90" s="1407"/>
      <c r="K90" s="1431">
        <f t="shared" si="11"/>
        <v>252307692307692.31</v>
      </c>
      <c r="L90" s="1407"/>
      <c r="M90" s="1407"/>
      <c r="N90" s="1407"/>
      <c r="O90" s="1407"/>
      <c r="P90" s="1407"/>
      <c r="Q90" s="1407"/>
      <c r="R90" s="1407"/>
      <c r="S90" s="1407"/>
      <c r="T90" s="1407"/>
      <c r="U90" s="1407"/>
    </row>
    <row r="91" spans="1:21" ht="12">
      <c r="A91" s="1452" t="s">
        <v>3502</v>
      </c>
      <c r="B91" s="1483">
        <v>41913</v>
      </c>
      <c r="C91" s="1452" t="s">
        <v>3470</v>
      </c>
      <c r="D91" s="1433" t="s">
        <v>3505</v>
      </c>
      <c r="E91" s="1435"/>
      <c r="F91" s="1437">
        <v>10700000000000</v>
      </c>
      <c r="G91" s="1438">
        <v>42900000000</v>
      </c>
      <c r="H91" s="1438">
        <v>19000000000000</v>
      </c>
      <c r="I91" s="1428"/>
      <c r="J91" s="1407"/>
      <c r="K91" s="1431">
        <f t="shared" si="11"/>
        <v>8180885780885.7803</v>
      </c>
      <c r="L91" s="1407"/>
      <c r="M91" s="1407"/>
      <c r="N91" s="1407"/>
      <c r="O91" s="1407"/>
      <c r="P91" s="1407"/>
      <c r="Q91" s="1407"/>
      <c r="R91" s="1407"/>
      <c r="S91" s="1407"/>
      <c r="T91" s="1407"/>
      <c r="U91" s="1407"/>
    </row>
    <row r="92" spans="1:21" ht="12">
      <c r="A92" s="1452" t="s">
        <v>3502</v>
      </c>
      <c r="B92" s="1483">
        <v>41913</v>
      </c>
      <c r="C92" s="1452" t="s">
        <v>3470</v>
      </c>
      <c r="D92" s="1433" t="s">
        <v>3506</v>
      </c>
      <c r="E92" s="1435"/>
      <c r="F92" s="1437">
        <v>9540000000000</v>
      </c>
      <c r="G92" s="1438">
        <v>42900000000</v>
      </c>
      <c r="H92" s="1438">
        <v>19000000000000</v>
      </c>
      <c r="I92" s="1428"/>
      <c r="J92" s="1407"/>
      <c r="K92" s="1431">
        <f t="shared" si="11"/>
        <v>7293986013986.0137</v>
      </c>
      <c r="L92" s="1407"/>
      <c r="M92" s="1407"/>
      <c r="N92" s="1407"/>
      <c r="O92" s="1407"/>
      <c r="P92" s="1407"/>
      <c r="Q92" s="1407"/>
      <c r="R92" s="1407"/>
      <c r="S92" s="1407"/>
      <c r="T92" s="1407"/>
      <c r="U92" s="1407"/>
    </row>
    <row r="93" spans="1:21" ht="12">
      <c r="A93" s="1407"/>
      <c r="B93" s="1407"/>
      <c r="C93" s="1407"/>
      <c r="D93" s="1409"/>
      <c r="E93" s="1410"/>
      <c r="F93" s="1495"/>
      <c r="G93" s="1534"/>
      <c r="H93" s="1534"/>
      <c r="I93" s="1428"/>
      <c r="J93" s="1407"/>
      <c r="K93" s="1431"/>
      <c r="L93" s="1407"/>
      <c r="M93" s="1407"/>
      <c r="N93" s="1407"/>
      <c r="O93" s="1407"/>
      <c r="P93" s="1407"/>
      <c r="Q93" s="1407"/>
      <c r="R93" s="1407"/>
      <c r="S93" s="1407"/>
      <c r="T93" s="1407"/>
      <c r="U93" s="1407"/>
    </row>
    <row r="94" spans="1:21" ht="12">
      <c r="A94" s="1452" t="s">
        <v>3507</v>
      </c>
      <c r="B94" s="1483">
        <v>41921</v>
      </c>
      <c r="C94" s="1452" t="s">
        <v>3470</v>
      </c>
      <c r="D94" s="1433" t="s">
        <v>3508</v>
      </c>
      <c r="E94" s="1435"/>
      <c r="F94" s="1437">
        <v>145000000000000</v>
      </c>
      <c r="G94" s="1438">
        <v>68900000000</v>
      </c>
      <c r="H94" s="1438">
        <v>23700000000000</v>
      </c>
      <c r="I94" s="1428"/>
      <c r="J94" s="1407"/>
      <c r="K94" s="1431">
        <f t="shared" ref="K94:K98" si="12">(32800000000/G94)*F94</f>
        <v>69027576197387.523</v>
      </c>
      <c r="L94" s="1407"/>
      <c r="M94" s="1407"/>
      <c r="N94" s="1407"/>
      <c r="O94" s="1407"/>
      <c r="P94" s="1407"/>
      <c r="Q94" s="1407"/>
      <c r="R94" s="1407"/>
      <c r="S94" s="1407"/>
      <c r="T94" s="1407"/>
      <c r="U94" s="1407"/>
    </row>
    <row r="95" spans="1:21" ht="12">
      <c r="A95" s="1452" t="s">
        <v>3507</v>
      </c>
      <c r="B95" s="1483">
        <v>41921</v>
      </c>
      <c r="C95" s="1452" t="s">
        <v>3470</v>
      </c>
      <c r="D95" s="1433" t="s">
        <v>3510</v>
      </c>
      <c r="E95" s="1435"/>
      <c r="F95" s="1437">
        <v>127000000000000</v>
      </c>
      <c r="G95" s="1438">
        <v>68900000000</v>
      </c>
      <c r="H95" s="1438">
        <v>23700000000000</v>
      </c>
      <c r="I95" s="1428"/>
      <c r="J95" s="1407"/>
      <c r="K95" s="1431">
        <f t="shared" si="12"/>
        <v>60458635703918.727</v>
      </c>
      <c r="L95" s="1407"/>
      <c r="M95" s="1407"/>
      <c r="N95" s="1407"/>
      <c r="O95" s="1407"/>
      <c r="P95" s="1407"/>
      <c r="Q95" s="1407"/>
      <c r="R95" s="1407"/>
      <c r="S95" s="1407"/>
      <c r="T95" s="1407"/>
      <c r="U95" s="1407"/>
    </row>
    <row r="96" spans="1:21" ht="12">
      <c r="A96" s="1452" t="s">
        <v>3507</v>
      </c>
      <c r="B96" s="1483">
        <v>41921</v>
      </c>
      <c r="C96" s="1452" t="s">
        <v>3470</v>
      </c>
      <c r="D96" s="1433" t="s">
        <v>3511</v>
      </c>
      <c r="E96" s="1435"/>
      <c r="F96" s="1437">
        <v>206000000000000</v>
      </c>
      <c r="G96" s="1438">
        <v>68900000000</v>
      </c>
      <c r="H96" s="1438">
        <v>23700000000000</v>
      </c>
      <c r="I96" s="1428"/>
      <c r="J96" s="1407"/>
      <c r="K96" s="1431">
        <f t="shared" si="12"/>
        <v>98066763425254</v>
      </c>
      <c r="L96" s="1407"/>
      <c r="M96" s="1407"/>
      <c r="N96" s="1407"/>
      <c r="O96" s="1407"/>
      <c r="P96" s="1407"/>
      <c r="Q96" s="1407"/>
      <c r="R96" s="1407"/>
      <c r="S96" s="1407"/>
      <c r="T96" s="1407"/>
      <c r="U96" s="1407"/>
    </row>
    <row r="97" spans="1:21" ht="12">
      <c r="A97" s="1452" t="s">
        <v>3507</v>
      </c>
      <c r="B97" s="1483">
        <v>41921</v>
      </c>
      <c r="C97" s="1452" t="s">
        <v>3470</v>
      </c>
      <c r="D97" s="1433" t="s">
        <v>3512</v>
      </c>
      <c r="E97" s="1435"/>
      <c r="F97" s="1437">
        <v>241000000000000</v>
      </c>
      <c r="G97" s="1438">
        <v>68900000000</v>
      </c>
      <c r="H97" s="1438">
        <v>23700000000000</v>
      </c>
      <c r="I97" s="1428"/>
      <c r="J97" s="1407"/>
      <c r="K97" s="1431">
        <f t="shared" si="12"/>
        <v>114728592162554.44</v>
      </c>
      <c r="L97" s="1407"/>
      <c r="M97" s="1407"/>
      <c r="N97" s="1407"/>
      <c r="O97" s="1407"/>
      <c r="P97" s="1407"/>
      <c r="Q97" s="1407"/>
      <c r="R97" s="1407"/>
      <c r="S97" s="1407"/>
      <c r="T97" s="1407"/>
      <c r="U97" s="1407"/>
    </row>
    <row r="98" spans="1:21" ht="12">
      <c r="A98" s="1452" t="s">
        <v>3507</v>
      </c>
      <c r="B98" s="1483">
        <v>41921</v>
      </c>
      <c r="C98" s="1452" t="s">
        <v>3470</v>
      </c>
      <c r="D98" s="1433" t="s">
        <v>3514</v>
      </c>
      <c r="E98" s="1435"/>
      <c r="F98" s="1437">
        <v>4220000000000000</v>
      </c>
      <c r="G98" s="1438">
        <v>68900000000</v>
      </c>
      <c r="H98" s="1438">
        <v>23700000000000</v>
      </c>
      <c r="I98" s="1428"/>
      <c r="J98" s="1407"/>
      <c r="K98" s="1431">
        <f t="shared" si="12"/>
        <v>2008940493468795.5</v>
      </c>
      <c r="L98" s="1407"/>
      <c r="M98" s="1407"/>
      <c r="N98" s="1407"/>
      <c r="O98" s="1407"/>
      <c r="P98" s="1407"/>
      <c r="Q98" s="1407"/>
      <c r="R98" s="1407"/>
      <c r="S98" s="1407"/>
      <c r="T98" s="1407"/>
      <c r="U98" s="1407"/>
    </row>
    <row r="99" spans="1:21" ht="12">
      <c r="A99" s="1407"/>
      <c r="B99" s="1407"/>
      <c r="C99" s="1407"/>
      <c r="D99" s="1409"/>
      <c r="E99" s="1410"/>
      <c r="F99" s="1495"/>
      <c r="G99" s="1534"/>
      <c r="H99" s="1534"/>
      <c r="I99" s="1428"/>
      <c r="J99" s="1407"/>
      <c r="K99" s="1431"/>
      <c r="L99" s="1407"/>
      <c r="M99" s="1407"/>
      <c r="N99" s="1407"/>
      <c r="O99" s="1407"/>
      <c r="P99" s="1407"/>
      <c r="Q99" s="1407"/>
      <c r="R99" s="1407"/>
      <c r="S99" s="1407"/>
      <c r="T99" s="1407"/>
      <c r="U99" s="1407"/>
    </row>
    <row r="100" spans="1:21" ht="12">
      <c r="A100" s="1452" t="s">
        <v>3515</v>
      </c>
      <c r="B100" s="1483">
        <v>41929</v>
      </c>
      <c r="C100" s="1452" t="s">
        <v>3470</v>
      </c>
      <c r="D100" s="1433" t="s">
        <v>3516</v>
      </c>
      <c r="E100" s="1435"/>
      <c r="F100" s="1437">
        <v>521000000000</v>
      </c>
      <c r="G100" s="1438">
        <v>41800000000</v>
      </c>
      <c r="H100" s="1438">
        <v>44900000000000</v>
      </c>
      <c r="I100" s="1428"/>
      <c r="J100" s="1407"/>
      <c r="K100" s="1431">
        <f t="shared" ref="K100:K104" si="13">(32800000000/G100)*F100</f>
        <v>408822966507.177</v>
      </c>
      <c r="L100" s="1407"/>
      <c r="M100" s="1407"/>
      <c r="N100" s="1407"/>
      <c r="O100" s="1407"/>
      <c r="P100" s="1407"/>
      <c r="Q100" s="1407"/>
      <c r="R100" s="1407"/>
      <c r="S100" s="1407"/>
      <c r="T100" s="1407"/>
      <c r="U100" s="1407"/>
    </row>
    <row r="101" spans="1:21" ht="12">
      <c r="A101" s="1452" t="s">
        <v>3515</v>
      </c>
      <c r="B101" s="1483">
        <v>41929</v>
      </c>
      <c r="C101" s="1452" t="s">
        <v>3470</v>
      </c>
      <c r="D101" s="1433" t="s">
        <v>3518</v>
      </c>
      <c r="E101" s="1435"/>
      <c r="F101" s="1437">
        <v>45100000000000</v>
      </c>
      <c r="G101" s="1438">
        <v>41800000000</v>
      </c>
      <c r="H101" s="1438">
        <v>44900000000000</v>
      </c>
      <c r="I101" s="1428"/>
      <c r="J101" s="1407"/>
      <c r="K101" s="1431">
        <f t="shared" si="13"/>
        <v>35389473684210.523</v>
      </c>
      <c r="L101" s="1407"/>
      <c r="M101" s="1407"/>
      <c r="N101" s="1407"/>
      <c r="O101" s="1407"/>
      <c r="P101" s="1407"/>
      <c r="Q101" s="1407"/>
      <c r="R101" s="1407"/>
      <c r="S101" s="1407"/>
      <c r="T101" s="1407"/>
      <c r="U101" s="1407"/>
    </row>
    <row r="102" spans="1:21" ht="12">
      <c r="A102" s="1452" t="s">
        <v>3515</v>
      </c>
      <c r="B102" s="1483">
        <v>41929</v>
      </c>
      <c r="C102" s="1452" t="s">
        <v>3470</v>
      </c>
      <c r="D102" s="1433" t="s">
        <v>3519</v>
      </c>
      <c r="E102" s="1435"/>
      <c r="F102" s="1437">
        <v>503000000000000</v>
      </c>
      <c r="G102" s="1438">
        <v>41800000000</v>
      </c>
      <c r="H102" s="1438">
        <v>44900000000000</v>
      </c>
      <c r="I102" s="1428"/>
      <c r="J102" s="1407"/>
      <c r="K102" s="1431">
        <f t="shared" si="13"/>
        <v>394698564593301.44</v>
      </c>
      <c r="L102" s="1407"/>
      <c r="M102" s="1407"/>
      <c r="N102" s="1407"/>
      <c r="O102" s="1407"/>
      <c r="P102" s="1407"/>
      <c r="Q102" s="1407"/>
      <c r="R102" s="1407"/>
      <c r="S102" s="1407"/>
      <c r="T102" s="1407"/>
      <c r="U102" s="1407"/>
    </row>
    <row r="103" spans="1:21" ht="12">
      <c r="A103" s="1452" t="s">
        <v>3515</v>
      </c>
      <c r="B103" s="1483">
        <v>41929</v>
      </c>
      <c r="C103" s="1452" t="s">
        <v>3470</v>
      </c>
      <c r="D103" s="1433" t="s">
        <v>3522</v>
      </c>
      <c r="E103" s="1435"/>
      <c r="F103" s="1437">
        <v>70200000000000</v>
      </c>
      <c r="G103" s="1438">
        <v>41800000000</v>
      </c>
      <c r="H103" s="1438">
        <v>44900000000000</v>
      </c>
      <c r="I103" s="1428"/>
      <c r="J103" s="1407"/>
      <c r="K103" s="1431">
        <f t="shared" si="13"/>
        <v>55085167464114.828</v>
      </c>
      <c r="L103" s="1407"/>
      <c r="M103" s="1407"/>
      <c r="N103" s="1407"/>
      <c r="O103" s="1407"/>
      <c r="P103" s="1407"/>
      <c r="Q103" s="1407"/>
      <c r="R103" s="1407"/>
      <c r="S103" s="1407"/>
      <c r="T103" s="1407"/>
      <c r="U103" s="1407"/>
    </row>
    <row r="104" spans="1:21" ht="12">
      <c r="A104" s="1452" t="s">
        <v>3515</v>
      </c>
      <c r="B104" s="1483">
        <v>41929</v>
      </c>
      <c r="C104" s="1452" t="s">
        <v>3470</v>
      </c>
      <c r="D104" s="1433" t="s">
        <v>3514</v>
      </c>
      <c r="E104" s="1435"/>
      <c r="F104" s="1437">
        <v>7740000000000000</v>
      </c>
      <c r="G104" s="1438">
        <v>41800000000</v>
      </c>
      <c r="H104" s="1438">
        <v>44900000000000</v>
      </c>
      <c r="I104" s="1428"/>
      <c r="J104" s="1407"/>
      <c r="K104" s="1431">
        <f t="shared" si="13"/>
        <v>6073492822966507</v>
      </c>
      <c r="L104" s="1407"/>
      <c r="M104" s="1407"/>
      <c r="N104" s="1407"/>
      <c r="O104" s="1407"/>
      <c r="P104" s="1407"/>
      <c r="Q104" s="1407"/>
      <c r="R104" s="1407"/>
      <c r="S104" s="1407"/>
      <c r="T104" s="1407"/>
      <c r="U104" s="1407"/>
    </row>
    <row r="105" spans="1:21" ht="12">
      <c r="A105" s="1407"/>
      <c r="B105" s="1407"/>
      <c r="C105" s="1407"/>
      <c r="D105" s="1409"/>
      <c r="E105" s="1410"/>
      <c r="F105" s="1495"/>
      <c r="G105" s="1534"/>
      <c r="H105" s="1534"/>
      <c r="I105" s="1428"/>
      <c r="J105" s="1407"/>
      <c r="K105" s="1431"/>
      <c r="L105" s="1407"/>
      <c r="M105" s="1407"/>
      <c r="N105" s="1407"/>
      <c r="O105" s="1407"/>
      <c r="P105" s="1407"/>
      <c r="Q105" s="1407"/>
      <c r="R105" s="1407"/>
      <c r="S105" s="1407"/>
      <c r="T105" s="1407"/>
      <c r="U105" s="1407"/>
    </row>
    <row r="106" spans="1:21" ht="12">
      <c r="A106" s="1452" t="s">
        <v>3523</v>
      </c>
      <c r="B106" s="1483">
        <v>41940</v>
      </c>
      <c r="C106" s="1452" t="s">
        <v>3470</v>
      </c>
      <c r="D106" s="1433" t="s">
        <v>3524</v>
      </c>
      <c r="E106" s="1435"/>
      <c r="F106" s="1437">
        <v>187000000000000</v>
      </c>
      <c r="G106" s="1438">
        <v>50700000000</v>
      </c>
      <c r="H106" s="1438">
        <v>6330000000000</v>
      </c>
      <c r="I106" s="1428"/>
      <c r="J106" s="1407"/>
      <c r="K106" s="1431">
        <f t="shared" ref="K106:K109" si="14">(32800000000/G106)*F106</f>
        <v>120978303747534.52</v>
      </c>
      <c r="L106" s="1407"/>
      <c r="M106" s="1407"/>
      <c r="N106" s="1407"/>
      <c r="O106" s="1407"/>
      <c r="P106" s="1407"/>
      <c r="Q106" s="1407"/>
      <c r="R106" s="1407"/>
      <c r="S106" s="1407"/>
      <c r="T106" s="1407"/>
      <c r="U106" s="1407"/>
    </row>
    <row r="107" spans="1:21" ht="12">
      <c r="A107" s="1452" t="s">
        <v>3523</v>
      </c>
      <c r="B107" s="1483">
        <v>41940</v>
      </c>
      <c r="C107" s="1452" t="s">
        <v>3470</v>
      </c>
      <c r="D107" s="1433" t="s">
        <v>3525</v>
      </c>
      <c r="E107" s="1435"/>
      <c r="F107" s="1437">
        <v>32900000000000</v>
      </c>
      <c r="G107" s="1438">
        <v>50700000000</v>
      </c>
      <c r="H107" s="1438">
        <v>6330000000000</v>
      </c>
      <c r="I107" s="1428"/>
      <c r="J107" s="1407"/>
      <c r="K107" s="1431">
        <f t="shared" si="14"/>
        <v>21284418145956.605</v>
      </c>
      <c r="L107" s="1407"/>
      <c r="M107" s="1407"/>
      <c r="N107" s="1407"/>
      <c r="O107" s="1407"/>
      <c r="P107" s="1407"/>
      <c r="Q107" s="1407"/>
      <c r="R107" s="1407"/>
      <c r="S107" s="1407"/>
      <c r="T107" s="1407"/>
      <c r="U107" s="1407"/>
    </row>
    <row r="108" spans="1:21" ht="12">
      <c r="A108" s="1452" t="s">
        <v>3523</v>
      </c>
      <c r="B108" s="1483">
        <v>41940</v>
      </c>
      <c r="C108" s="1452" t="s">
        <v>3470</v>
      </c>
      <c r="D108" s="1433" t="s">
        <v>3526</v>
      </c>
      <c r="E108" s="1435"/>
      <c r="F108" s="1437">
        <v>51300000000</v>
      </c>
      <c r="G108" s="1438">
        <v>50700000000</v>
      </c>
      <c r="H108" s="1438">
        <v>6330000000000</v>
      </c>
      <c r="I108" s="1428"/>
      <c r="J108" s="1407"/>
      <c r="K108" s="1431">
        <f t="shared" si="14"/>
        <v>33188165680.47337</v>
      </c>
      <c r="L108" s="1407"/>
      <c r="M108" s="1407"/>
      <c r="N108" s="1407"/>
      <c r="O108" s="1407"/>
      <c r="P108" s="1407"/>
      <c r="Q108" s="1407"/>
      <c r="R108" s="1407"/>
      <c r="S108" s="1407"/>
      <c r="T108" s="1407"/>
      <c r="U108" s="1407"/>
    </row>
    <row r="109" spans="1:21" ht="12">
      <c r="A109" s="1452" t="s">
        <v>3523</v>
      </c>
      <c r="B109" s="1483">
        <v>41940</v>
      </c>
      <c r="C109" s="1452" t="s">
        <v>3470</v>
      </c>
      <c r="D109" s="1433" t="s">
        <v>3527</v>
      </c>
      <c r="E109" s="1435"/>
      <c r="F109" s="1437">
        <v>9300000000000</v>
      </c>
      <c r="G109" s="1438">
        <v>50700000000</v>
      </c>
      <c r="H109" s="1438">
        <v>6330000000000</v>
      </c>
      <c r="I109" s="1428"/>
      <c r="J109" s="1407"/>
      <c r="K109" s="1431">
        <f t="shared" si="14"/>
        <v>6016568047337.2783</v>
      </c>
      <c r="L109" s="1407"/>
      <c r="M109" s="1407"/>
      <c r="N109" s="1407"/>
      <c r="O109" s="1407"/>
      <c r="P109" s="1407"/>
      <c r="Q109" s="1407"/>
      <c r="R109" s="1407"/>
      <c r="S109" s="1407"/>
      <c r="T109" s="1407"/>
      <c r="U109" s="1407"/>
    </row>
    <row r="110" spans="1:21" ht="12">
      <c r="A110" s="1407"/>
      <c r="B110" s="1407"/>
      <c r="C110" s="1407"/>
      <c r="D110" s="1409"/>
      <c r="E110" s="1410"/>
      <c r="F110" s="1495"/>
      <c r="G110" s="1534"/>
      <c r="H110" s="1534"/>
      <c r="I110" s="1428"/>
      <c r="J110" s="1407"/>
      <c r="K110" s="1431"/>
      <c r="L110" s="1407"/>
      <c r="M110" s="1407"/>
      <c r="N110" s="1407"/>
      <c r="O110" s="1407"/>
      <c r="P110" s="1407"/>
      <c r="Q110" s="1407"/>
      <c r="R110" s="1407"/>
      <c r="S110" s="1407"/>
      <c r="T110" s="1407"/>
      <c r="U110" s="1407"/>
    </row>
    <row r="111" spans="1:21" ht="12">
      <c r="A111" s="1452" t="s">
        <v>3528</v>
      </c>
      <c r="B111" s="1483">
        <v>41948</v>
      </c>
      <c r="C111" s="1452" t="s">
        <v>3470</v>
      </c>
      <c r="D111" s="1433" t="s">
        <v>3529</v>
      </c>
      <c r="E111" s="1589"/>
      <c r="F111" s="15">
        <v>78200000000</v>
      </c>
      <c r="G111" s="1590">
        <v>64800000000</v>
      </c>
      <c r="H111" s="1590">
        <v>21400000000000</v>
      </c>
      <c r="I111" s="1428"/>
      <c r="J111" s="1407"/>
      <c r="K111" s="1431">
        <f t="shared" ref="K111:K114" si="15">(32800000000/G111)*F111</f>
        <v>39582716049.382721</v>
      </c>
      <c r="L111" s="1407"/>
      <c r="M111" s="1407"/>
      <c r="N111" s="1407"/>
      <c r="O111" s="1407"/>
      <c r="P111" s="1407"/>
      <c r="Q111" s="1407"/>
      <c r="R111" s="1407"/>
      <c r="S111" s="1407"/>
      <c r="T111" s="1407"/>
      <c r="U111" s="1407"/>
    </row>
    <row r="112" spans="1:21" ht="12">
      <c r="A112" s="1452" t="s">
        <v>3528</v>
      </c>
      <c r="B112" s="1483">
        <v>41948</v>
      </c>
      <c r="C112" s="1452" t="s">
        <v>3470</v>
      </c>
      <c r="D112" s="1433" t="s">
        <v>3530</v>
      </c>
      <c r="E112" s="1589"/>
      <c r="F112" s="15">
        <v>121000000000000</v>
      </c>
      <c r="G112" s="1590">
        <v>64800000000</v>
      </c>
      <c r="H112" s="1590">
        <v>21400000000000</v>
      </c>
      <c r="I112" s="1428"/>
      <c r="J112" s="1407"/>
      <c r="K112" s="1431">
        <f t="shared" si="15"/>
        <v>61246913580246.914</v>
      </c>
      <c r="L112" s="1407"/>
      <c r="M112" s="1407"/>
      <c r="N112" s="1407"/>
      <c r="O112" s="1407"/>
      <c r="P112" s="1407"/>
      <c r="Q112" s="1407"/>
      <c r="R112" s="1407"/>
      <c r="S112" s="1407"/>
      <c r="T112" s="1407"/>
      <c r="U112" s="1407"/>
    </row>
    <row r="113" spans="1:21" ht="12">
      <c r="A113" s="1452" t="s">
        <v>3528</v>
      </c>
      <c r="B113" s="1483">
        <v>41948</v>
      </c>
      <c r="C113" s="1452" t="s">
        <v>3470</v>
      </c>
      <c r="D113" s="1433" t="s">
        <v>3531</v>
      </c>
      <c r="E113" s="1589"/>
      <c r="F113" s="15">
        <v>377000000000000</v>
      </c>
      <c r="G113" s="1590">
        <v>64800000000</v>
      </c>
      <c r="H113" s="1590">
        <v>21400000000000</v>
      </c>
      <c r="I113" s="1428"/>
      <c r="J113" s="1407"/>
      <c r="K113" s="1431">
        <f t="shared" si="15"/>
        <v>190827160493827.16</v>
      </c>
      <c r="L113" s="1407"/>
      <c r="M113" s="1407"/>
      <c r="N113" s="1407"/>
      <c r="O113" s="1407"/>
      <c r="P113" s="1407"/>
      <c r="Q113" s="1407"/>
      <c r="R113" s="1407"/>
      <c r="S113" s="1407"/>
      <c r="T113" s="1407"/>
      <c r="U113" s="1407"/>
    </row>
    <row r="114" spans="1:21" ht="12">
      <c r="A114" s="1452" t="s">
        <v>3528</v>
      </c>
      <c r="B114" s="1483">
        <v>41948</v>
      </c>
      <c r="C114" s="1452" t="s">
        <v>3470</v>
      </c>
      <c r="D114" s="1433" t="s">
        <v>3532</v>
      </c>
      <c r="E114" s="1589"/>
      <c r="F114" s="15">
        <v>336000000000000</v>
      </c>
      <c r="G114" s="1590">
        <v>64800000000</v>
      </c>
      <c r="H114" s="1590">
        <v>21400000000000</v>
      </c>
      <c r="I114" s="1428"/>
      <c r="J114" s="1407"/>
      <c r="K114" s="1431">
        <f t="shared" si="15"/>
        <v>170074074074074.09</v>
      </c>
      <c r="L114" s="1407"/>
      <c r="M114" s="1407"/>
      <c r="N114" s="1407"/>
      <c r="O114" s="1407"/>
      <c r="P114" s="1407"/>
      <c r="Q114" s="1407"/>
      <c r="R114" s="1407"/>
      <c r="S114" s="1407"/>
      <c r="T114" s="1407"/>
      <c r="U114" s="1407"/>
    </row>
    <row r="115" spans="1:21" ht="12">
      <c r="A115" s="1407"/>
      <c r="B115" s="1407"/>
      <c r="C115" s="1407"/>
      <c r="D115" s="1409"/>
      <c r="E115" s="1410"/>
      <c r="F115" s="1495"/>
      <c r="G115" s="1534"/>
      <c r="H115" s="1534"/>
      <c r="I115" s="1428"/>
      <c r="J115" s="1407"/>
      <c r="K115" s="1431"/>
      <c r="L115" s="1407"/>
      <c r="M115" s="1407"/>
      <c r="N115" s="1407"/>
      <c r="O115" s="1407"/>
      <c r="P115" s="1407"/>
      <c r="Q115" s="1407"/>
      <c r="R115" s="1407"/>
      <c r="S115" s="1407"/>
      <c r="T115" s="1407"/>
      <c r="U115" s="1407"/>
    </row>
    <row r="116" spans="1:21" ht="12">
      <c r="A116" s="1452" t="s">
        <v>3533</v>
      </c>
      <c r="B116" s="1483">
        <v>41957</v>
      </c>
      <c r="C116" s="1452" t="s">
        <v>3470</v>
      </c>
      <c r="D116" s="1433" t="s">
        <v>3534</v>
      </c>
      <c r="E116" s="1589"/>
      <c r="F116" s="15">
        <v>560000000000000</v>
      </c>
      <c r="G116" s="1590">
        <v>165000000000</v>
      </c>
      <c r="H116" s="1590">
        <v>19800000000000</v>
      </c>
      <c r="I116" s="1428"/>
      <c r="J116" s="1407"/>
      <c r="K116" s="1431">
        <f t="shared" ref="K116:K119" si="16">(32800000000/G116)*F116</f>
        <v>111321212121212.12</v>
      </c>
      <c r="L116" s="1407"/>
      <c r="M116" s="1407"/>
      <c r="N116" s="1407"/>
      <c r="O116" s="1407"/>
      <c r="P116" s="1407"/>
      <c r="Q116" s="1407"/>
      <c r="R116" s="1407"/>
      <c r="S116" s="1407"/>
      <c r="T116" s="1407"/>
      <c r="U116" s="1407"/>
    </row>
    <row r="117" spans="1:21" ht="12">
      <c r="A117" s="1452" t="s">
        <v>3533</v>
      </c>
      <c r="B117" s="1483">
        <v>41957</v>
      </c>
      <c r="C117" s="1452" t="s">
        <v>3470</v>
      </c>
      <c r="D117" s="1433" t="s">
        <v>3535</v>
      </c>
      <c r="E117" s="1589"/>
      <c r="F117" s="15">
        <v>342000000000000</v>
      </c>
      <c r="G117" s="1590">
        <v>165000000000</v>
      </c>
      <c r="H117" s="1590">
        <v>19800000000000</v>
      </c>
      <c r="I117" s="1428"/>
      <c r="J117" s="1407"/>
      <c r="K117" s="1431">
        <f t="shared" si="16"/>
        <v>67985454545454.547</v>
      </c>
      <c r="L117" s="1407"/>
      <c r="M117" s="1407"/>
      <c r="N117" s="1407"/>
      <c r="O117" s="1407"/>
      <c r="P117" s="1407"/>
      <c r="Q117" s="1407"/>
      <c r="R117" s="1407"/>
      <c r="S117" s="1407"/>
      <c r="T117" s="1407"/>
      <c r="U117" s="1407"/>
    </row>
    <row r="118" spans="1:21" ht="12">
      <c r="A118" s="1452" t="s">
        <v>3533</v>
      </c>
      <c r="B118" s="1483">
        <v>41957</v>
      </c>
      <c r="C118" s="1452" t="s">
        <v>3470</v>
      </c>
      <c r="D118" s="1433" t="s">
        <v>3536</v>
      </c>
      <c r="E118" s="1589"/>
      <c r="F118" s="15">
        <v>17400000000000</v>
      </c>
      <c r="G118" s="1590">
        <v>165000000000</v>
      </c>
      <c r="H118" s="1590">
        <v>19800000000000</v>
      </c>
      <c r="I118" s="1428"/>
      <c r="J118" s="1407"/>
      <c r="K118" s="1431">
        <f t="shared" si="16"/>
        <v>3458909090909.0908</v>
      </c>
      <c r="L118" s="1407"/>
      <c r="M118" s="1407"/>
      <c r="N118" s="1407"/>
      <c r="O118" s="1407"/>
      <c r="P118" s="1407"/>
      <c r="Q118" s="1407"/>
      <c r="R118" s="1407"/>
      <c r="S118" s="1407"/>
      <c r="T118" s="1407"/>
      <c r="U118" s="1407"/>
    </row>
    <row r="119" spans="1:21" ht="12">
      <c r="A119" s="1452" t="s">
        <v>3533</v>
      </c>
      <c r="B119" s="1483">
        <v>41957</v>
      </c>
      <c r="C119" s="1452" t="s">
        <v>3470</v>
      </c>
      <c r="D119" s="1433" t="s">
        <v>3537</v>
      </c>
      <c r="E119" s="1589"/>
      <c r="F119" s="15">
        <v>2960000000000000</v>
      </c>
      <c r="G119" s="1590">
        <v>165000000000</v>
      </c>
      <c r="H119" s="1590">
        <v>19800000000000</v>
      </c>
      <c r="I119" s="1428"/>
      <c r="J119" s="1407"/>
      <c r="K119" s="1431">
        <f t="shared" si="16"/>
        <v>588412121212121.25</v>
      </c>
      <c r="L119" s="1407"/>
      <c r="M119" s="1407"/>
      <c r="N119" s="1407"/>
      <c r="O119" s="1407"/>
      <c r="P119" s="1407"/>
      <c r="Q119" s="1407"/>
      <c r="R119" s="1407"/>
      <c r="S119" s="1407"/>
      <c r="T119" s="1407"/>
      <c r="U119" s="1407"/>
    </row>
    <row r="120" spans="1:21" ht="12">
      <c r="A120" s="1407"/>
      <c r="B120" s="1407"/>
      <c r="C120" s="1407"/>
      <c r="D120" s="1409"/>
      <c r="E120" s="1410"/>
      <c r="F120" s="1495"/>
      <c r="G120" s="1534"/>
      <c r="H120" s="1534"/>
      <c r="I120" s="1428"/>
      <c r="J120" s="1407"/>
      <c r="K120" s="1431"/>
      <c r="L120" s="1407"/>
      <c r="M120" s="1407"/>
      <c r="N120" s="1407"/>
      <c r="O120" s="1407"/>
      <c r="P120" s="1407"/>
      <c r="Q120" s="1407"/>
      <c r="R120" s="1407"/>
      <c r="S120" s="1407"/>
      <c r="T120" s="1407"/>
      <c r="U120" s="1407"/>
    </row>
    <row r="121" spans="1:21" ht="12">
      <c r="A121" s="1452" t="s">
        <v>3538</v>
      </c>
      <c r="B121" s="1483">
        <v>41963</v>
      </c>
      <c r="C121" s="1452" t="s">
        <v>881</v>
      </c>
      <c r="D121" s="1433" t="s">
        <v>3539</v>
      </c>
      <c r="E121" s="1435"/>
      <c r="F121" s="1437">
        <v>4280000000000000</v>
      </c>
      <c r="G121" s="1591">
        <v>171000000000</v>
      </c>
      <c r="H121" s="1591">
        <v>127000000000000</v>
      </c>
      <c r="I121" s="1428"/>
      <c r="J121" s="1407"/>
      <c r="K121" s="1431">
        <f t="shared" ref="K121:K130" si="17">(32800000000/G121)*F121</f>
        <v>820959064327485.38</v>
      </c>
      <c r="L121" s="1407"/>
      <c r="M121" s="1407"/>
      <c r="N121" s="1407"/>
      <c r="O121" s="1407"/>
      <c r="P121" s="1407"/>
      <c r="Q121" s="1407"/>
      <c r="R121" s="1407"/>
      <c r="S121" s="1407"/>
      <c r="T121" s="1407"/>
      <c r="U121" s="1407"/>
    </row>
    <row r="122" spans="1:21" ht="12">
      <c r="A122" s="1452" t="s">
        <v>3538</v>
      </c>
      <c r="B122" s="1483">
        <v>41963</v>
      </c>
      <c r="C122" s="1452" t="s">
        <v>881</v>
      </c>
      <c r="D122" s="1433" t="s">
        <v>3540</v>
      </c>
      <c r="E122" s="1435"/>
      <c r="F122" s="1437">
        <v>2730000000000000</v>
      </c>
      <c r="G122" s="1591">
        <v>171000000000</v>
      </c>
      <c r="H122" s="1591">
        <v>127000000000000</v>
      </c>
      <c r="I122" s="1428"/>
      <c r="J122" s="1407"/>
      <c r="K122" s="1431">
        <f t="shared" si="17"/>
        <v>523649122807017.5</v>
      </c>
      <c r="L122" s="1407"/>
      <c r="M122" s="1407"/>
      <c r="N122" s="1407"/>
      <c r="O122" s="1407"/>
      <c r="P122" s="1407"/>
      <c r="Q122" s="1407"/>
      <c r="R122" s="1407"/>
      <c r="S122" s="1407"/>
      <c r="T122" s="1407"/>
      <c r="U122" s="1407"/>
    </row>
    <row r="123" spans="1:21" ht="12">
      <c r="A123" s="1452" t="s">
        <v>3538</v>
      </c>
      <c r="B123" s="1483">
        <v>41963</v>
      </c>
      <c r="C123" s="1452" t="s">
        <v>881</v>
      </c>
      <c r="D123" s="1433" t="s">
        <v>3541</v>
      </c>
      <c r="E123" s="1435"/>
      <c r="F123" s="1437">
        <v>49900000000000</v>
      </c>
      <c r="G123" s="1591">
        <v>171000000000</v>
      </c>
      <c r="H123" s="1591">
        <v>127000000000000</v>
      </c>
      <c r="I123" s="1428"/>
      <c r="J123" s="1407"/>
      <c r="K123" s="1431">
        <f t="shared" si="17"/>
        <v>9571461988304.0938</v>
      </c>
      <c r="L123" s="1407"/>
      <c r="M123" s="1407"/>
      <c r="N123" s="1407"/>
      <c r="O123" s="1407"/>
      <c r="P123" s="1407"/>
      <c r="Q123" s="1407"/>
      <c r="R123" s="1407"/>
      <c r="S123" s="1407"/>
      <c r="T123" s="1407"/>
      <c r="U123" s="1407"/>
    </row>
    <row r="124" spans="1:21" ht="12">
      <c r="A124" s="1452" t="s">
        <v>3538</v>
      </c>
      <c r="B124" s="1483">
        <v>41963</v>
      </c>
      <c r="C124" s="1452" t="s">
        <v>881</v>
      </c>
      <c r="D124" s="1433" t="s">
        <v>3542</v>
      </c>
      <c r="E124" s="1435"/>
      <c r="F124" s="1437">
        <v>2.3E+16</v>
      </c>
      <c r="G124" s="1591">
        <v>171000000000</v>
      </c>
      <c r="H124" s="1591">
        <v>127000000000000</v>
      </c>
      <c r="I124" s="1428"/>
      <c r="J124" s="1407"/>
      <c r="K124" s="1431">
        <f t="shared" si="17"/>
        <v>4411695906432748.5</v>
      </c>
      <c r="L124" s="1407"/>
      <c r="M124" s="1407"/>
      <c r="N124" s="1407"/>
      <c r="O124" s="1407"/>
      <c r="P124" s="1407"/>
      <c r="Q124" s="1407"/>
      <c r="R124" s="1407"/>
      <c r="S124" s="1407"/>
      <c r="T124" s="1407"/>
      <c r="U124" s="1407"/>
    </row>
    <row r="125" spans="1:21" ht="12">
      <c r="A125" s="1452" t="s">
        <v>3538</v>
      </c>
      <c r="B125" s="1483">
        <v>41963</v>
      </c>
      <c r="C125" s="1452" t="s">
        <v>881</v>
      </c>
      <c r="D125" s="1433" t="s">
        <v>3543</v>
      </c>
      <c r="E125" s="1435"/>
      <c r="F125" s="1437">
        <v>364000000000000</v>
      </c>
      <c r="G125" s="1591">
        <v>171000000000</v>
      </c>
      <c r="H125" s="1591">
        <v>127000000000000</v>
      </c>
      <c r="I125" s="1428"/>
      <c r="J125" s="1407"/>
      <c r="K125" s="1431">
        <f t="shared" si="17"/>
        <v>69819883040935.672</v>
      </c>
      <c r="L125" s="1407"/>
      <c r="M125" s="1407"/>
      <c r="N125" s="1407"/>
      <c r="O125" s="1407"/>
      <c r="P125" s="1407"/>
      <c r="Q125" s="1407"/>
      <c r="R125" s="1407"/>
      <c r="S125" s="1407"/>
      <c r="T125" s="1407"/>
      <c r="U125" s="1407"/>
    </row>
    <row r="126" spans="1:21" ht="12">
      <c r="A126" s="1452" t="s">
        <v>3538</v>
      </c>
      <c r="B126" s="1483">
        <v>41963</v>
      </c>
      <c r="C126" s="1452" t="s">
        <v>881</v>
      </c>
      <c r="D126" s="1433" t="s">
        <v>3544</v>
      </c>
      <c r="E126" s="1435"/>
      <c r="F126" s="1437">
        <v>573000000000000</v>
      </c>
      <c r="G126" s="1591">
        <v>171000000000</v>
      </c>
      <c r="H126" s="1591">
        <v>127000000000000</v>
      </c>
      <c r="I126" s="1428"/>
      <c r="J126" s="1407"/>
      <c r="K126" s="1431">
        <f t="shared" si="17"/>
        <v>109908771929824.56</v>
      </c>
      <c r="L126" s="1407"/>
      <c r="M126" s="1407"/>
      <c r="N126" s="1407"/>
      <c r="O126" s="1407"/>
      <c r="P126" s="1407"/>
      <c r="Q126" s="1407"/>
      <c r="R126" s="1407"/>
      <c r="S126" s="1407"/>
      <c r="T126" s="1407"/>
      <c r="U126" s="1407"/>
    </row>
    <row r="127" spans="1:21" ht="12">
      <c r="A127" s="1452" t="s">
        <v>3538</v>
      </c>
      <c r="B127" s="1483">
        <v>41963</v>
      </c>
      <c r="C127" s="1452" t="s">
        <v>881</v>
      </c>
      <c r="D127" s="1433" t="s">
        <v>3545</v>
      </c>
      <c r="E127" s="1435"/>
      <c r="F127" s="1437">
        <v>559000000000000</v>
      </c>
      <c r="G127" s="1591">
        <v>171000000000</v>
      </c>
      <c r="H127" s="1591">
        <v>127000000000000</v>
      </c>
      <c r="I127" s="1428"/>
      <c r="J127" s="1407"/>
      <c r="K127" s="1431">
        <f t="shared" si="17"/>
        <v>107223391812865.5</v>
      </c>
      <c r="L127" s="1407"/>
      <c r="M127" s="1407"/>
      <c r="N127" s="1407"/>
      <c r="O127" s="1407"/>
      <c r="P127" s="1407"/>
      <c r="Q127" s="1407"/>
      <c r="R127" s="1407"/>
      <c r="S127" s="1407"/>
      <c r="T127" s="1407"/>
      <c r="U127" s="1407"/>
    </row>
    <row r="128" spans="1:21" ht="12">
      <c r="A128" s="1452" t="s">
        <v>3538</v>
      </c>
      <c r="B128" s="1483">
        <v>41963</v>
      </c>
      <c r="C128" s="1452" t="s">
        <v>881</v>
      </c>
      <c r="D128" s="1433" t="s">
        <v>3546</v>
      </c>
      <c r="E128" s="1435"/>
      <c r="F128" s="1437">
        <v>247000000000000</v>
      </c>
      <c r="G128" s="1591">
        <v>171000000000</v>
      </c>
      <c r="H128" s="1591">
        <v>127000000000000</v>
      </c>
      <c r="I128" s="1428"/>
      <c r="J128" s="1407"/>
      <c r="K128" s="1431">
        <f t="shared" si="17"/>
        <v>47377777777777.773</v>
      </c>
      <c r="L128" s="1407"/>
      <c r="M128" s="1407"/>
      <c r="N128" s="1407"/>
      <c r="O128" s="1407"/>
      <c r="P128" s="1407"/>
      <c r="Q128" s="1407"/>
      <c r="R128" s="1407"/>
      <c r="S128" s="1407"/>
      <c r="T128" s="1407"/>
      <c r="U128" s="1407"/>
    </row>
    <row r="129" spans="1:21" ht="12">
      <c r="A129" s="1452" t="s">
        <v>3538</v>
      </c>
      <c r="B129" s="1483">
        <v>41963</v>
      </c>
      <c r="C129" s="1452" t="s">
        <v>881</v>
      </c>
      <c r="D129" s="1433" t="s">
        <v>3547</v>
      </c>
      <c r="E129" s="1435"/>
      <c r="F129" s="1437">
        <v>556000000000000</v>
      </c>
      <c r="G129" s="1591">
        <v>171000000000</v>
      </c>
      <c r="H129" s="1591">
        <v>127000000000000</v>
      </c>
      <c r="I129" s="1428"/>
      <c r="J129" s="1407"/>
      <c r="K129" s="1431">
        <f t="shared" si="17"/>
        <v>106647953216374.27</v>
      </c>
      <c r="L129" s="1407"/>
      <c r="M129" s="1407"/>
      <c r="N129" s="1407"/>
      <c r="O129" s="1407"/>
      <c r="P129" s="1407"/>
      <c r="Q129" s="1407"/>
      <c r="R129" s="1407"/>
      <c r="S129" s="1407"/>
      <c r="T129" s="1407"/>
      <c r="U129" s="1407"/>
    </row>
    <row r="130" spans="1:21" ht="12">
      <c r="A130" s="1452" t="s">
        <v>3538</v>
      </c>
      <c r="B130" s="1483">
        <v>41963</v>
      </c>
      <c r="C130" s="1452" t="s">
        <v>881</v>
      </c>
      <c r="D130" s="1433" t="s">
        <v>3548</v>
      </c>
      <c r="E130" s="1435"/>
      <c r="F130" s="1437">
        <v>285000000000000</v>
      </c>
      <c r="G130" s="1591">
        <v>171000000000</v>
      </c>
      <c r="H130" s="1591">
        <v>127000000000000</v>
      </c>
      <c r="I130" s="1428"/>
      <c r="J130" s="1407"/>
      <c r="K130" s="1431">
        <f t="shared" si="17"/>
        <v>54666666666666.664</v>
      </c>
      <c r="L130" s="1407"/>
      <c r="M130" s="1407"/>
      <c r="N130" s="1407"/>
      <c r="O130" s="1407"/>
      <c r="P130" s="1407"/>
      <c r="Q130" s="1407"/>
      <c r="R130" s="1407"/>
      <c r="S130" s="1407"/>
      <c r="T130" s="1407"/>
      <c r="U130" s="1407"/>
    </row>
    <row r="131" spans="1:21" ht="12">
      <c r="A131" s="1407"/>
      <c r="B131" s="1407"/>
      <c r="C131" s="1407"/>
      <c r="D131" s="1409"/>
      <c r="E131" s="1410"/>
      <c r="F131" s="1495"/>
      <c r="G131" s="1534"/>
      <c r="H131" s="1534"/>
      <c r="I131" s="1428"/>
      <c r="J131" s="1407"/>
      <c r="K131" s="1431"/>
      <c r="L131" s="1407"/>
      <c r="M131" s="1407"/>
      <c r="N131" s="1407"/>
      <c r="O131" s="1407"/>
      <c r="P131" s="1407"/>
      <c r="Q131" s="1407"/>
      <c r="R131" s="1407"/>
      <c r="S131" s="1407"/>
      <c r="T131" s="1407"/>
      <c r="U131" s="1407"/>
    </row>
    <row r="132" spans="1:21" ht="12">
      <c r="A132" s="1452" t="s">
        <v>3549</v>
      </c>
      <c r="B132" s="1483">
        <v>41968</v>
      </c>
      <c r="C132" s="1452" t="s">
        <v>881</v>
      </c>
      <c r="D132" s="1433" t="s">
        <v>3534</v>
      </c>
      <c r="E132" s="1435"/>
      <c r="F132" s="1437">
        <v>239000000000000</v>
      </c>
      <c r="G132" s="1438">
        <v>24400000000</v>
      </c>
      <c r="H132" s="1438">
        <v>3240000000000</v>
      </c>
      <c r="I132" s="1428"/>
      <c r="J132" s="1407"/>
      <c r="K132" s="1431">
        <f t="shared" ref="K132:K133" si="18">(32800000000/G132)*F132</f>
        <v>321278688524590.12</v>
      </c>
      <c r="L132" s="1407"/>
      <c r="M132" s="1407"/>
      <c r="N132" s="1407"/>
      <c r="O132" s="1407"/>
      <c r="P132" s="1407"/>
      <c r="Q132" s="1407"/>
      <c r="R132" s="1407"/>
      <c r="S132" s="1407"/>
      <c r="T132" s="1407"/>
      <c r="U132" s="1407"/>
    </row>
    <row r="133" spans="1:21" ht="12">
      <c r="A133" s="1452" t="s">
        <v>3549</v>
      </c>
      <c r="B133" s="1483">
        <v>41968</v>
      </c>
      <c r="C133" s="1452" t="s">
        <v>881</v>
      </c>
      <c r="D133" s="1433" t="s">
        <v>3539</v>
      </c>
      <c r="E133" s="1435"/>
      <c r="F133" s="1437">
        <v>231000000000000</v>
      </c>
      <c r="G133" s="1438">
        <v>24400000000</v>
      </c>
      <c r="H133" s="1438">
        <v>3240000000000</v>
      </c>
      <c r="I133" s="1428"/>
      <c r="J133" s="1407"/>
      <c r="K133" s="1431">
        <f t="shared" si="18"/>
        <v>310524590163934.44</v>
      </c>
      <c r="L133" s="1407"/>
      <c r="M133" s="1407"/>
      <c r="N133" s="1407"/>
      <c r="O133" s="1407"/>
      <c r="P133" s="1407"/>
      <c r="Q133" s="1407"/>
      <c r="R133" s="1407"/>
      <c r="S133" s="1407"/>
      <c r="T133" s="1407"/>
      <c r="U133" s="1407"/>
    </row>
    <row r="134" spans="1:21" ht="12">
      <c r="A134" s="1407"/>
      <c r="B134" s="1407"/>
      <c r="C134" s="1407"/>
      <c r="D134" s="1409"/>
      <c r="E134" s="1410"/>
      <c r="F134" s="1495"/>
      <c r="G134" s="1534"/>
      <c r="H134" s="1534"/>
      <c r="I134" s="1428"/>
      <c r="J134" s="1407"/>
      <c r="K134" s="1431"/>
      <c r="L134" s="1407"/>
      <c r="M134" s="1407"/>
      <c r="N134" s="1407"/>
      <c r="O134" s="1407"/>
      <c r="P134" s="1407"/>
      <c r="Q134" s="1407"/>
      <c r="R134" s="1407"/>
      <c r="S134" s="1407"/>
      <c r="T134" s="1407"/>
      <c r="U134" s="1407"/>
    </row>
    <row r="135" spans="1:21" ht="12">
      <c r="A135" s="1452" t="s">
        <v>3550</v>
      </c>
      <c r="B135" s="1483">
        <v>41969</v>
      </c>
      <c r="C135" s="1452" t="s">
        <v>881</v>
      </c>
      <c r="D135" s="1433" t="s">
        <v>3540</v>
      </c>
      <c r="E135" s="1435"/>
      <c r="F135" s="1437">
        <v>253000000000000</v>
      </c>
      <c r="G135" s="1438">
        <v>91000000000</v>
      </c>
      <c r="H135" s="1438">
        <v>17500000000000</v>
      </c>
      <c r="I135" s="1428"/>
      <c r="J135" s="1407"/>
      <c r="K135" s="1431">
        <f t="shared" ref="K135:K143" si="19">(32800000000/G135)*F135</f>
        <v>91191208791208.797</v>
      </c>
      <c r="L135" s="1407"/>
      <c r="M135" s="1407"/>
      <c r="N135" s="1407"/>
      <c r="O135" s="1407"/>
      <c r="P135" s="1407"/>
      <c r="Q135" s="1407"/>
      <c r="R135" s="1407"/>
      <c r="S135" s="1407"/>
      <c r="T135" s="1407"/>
      <c r="U135" s="1407"/>
    </row>
    <row r="136" spans="1:21" ht="12">
      <c r="A136" s="1452" t="s">
        <v>3550</v>
      </c>
      <c r="B136" s="1483">
        <v>41969</v>
      </c>
      <c r="C136" s="1452" t="s">
        <v>881</v>
      </c>
      <c r="D136" s="1433" t="s">
        <v>3541</v>
      </c>
      <c r="E136" s="1435"/>
      <c r="F136" s="1437">
        <v>3110000000000</v>
      </c>
      <c r="G136" s="1438">
        <v>91000000000</v>
      </c>
      <c r="H136" s="1438">
        <v>17500000000000</v>
      </c>
      <c r="I136" s="1428"/>
      <c r="J136" s="1407"/>
      <c r="K136" s="1431">
        <f t="shared" si="19"/>
        <v>1120967032967.033</v>
      </c>
      <c r="L136" s="1407"/>
      <c r="M136" s="1407"/>
      <c r="N136" s="1407"/>
      <c r="O136" s="1407"/>
      <c r="P136" s="1407"/>
      <c r="Q136" s="1407"/>
      <c r="R136" s="1407"/>
      <c r="S136" s="1407"/>
      <c r="T136" s="1407"/>
      <c r="U136" s="1407"/>
    </row>
    <row r="137" spans="1:21" ht="12">
      <c r="A137" s="1452" t="s">
        <v>3550</v>
      </c>
      <c r="B137" s="1483">
        <v>41969</v>
      </c>
      <c r="C137" s="1452" t="s">
        <v>881</v>
      </c>
      <c r="D137" s="1433" t="s">
        <v>3542</v>
      </c>
      <c r="E137" s="1435"/>
      <c r="F137" s="1437">
        <v>2690000000000000</v>
      </c>
      <c r="G137" s="1438">
        <v>91000000000</v>
      </c>
      <c r="H137" s="1438">
        <v>17500000000000</v>
      </c>
      <c r="I137" s="1428"/>
      <c r="J137" s="1407"/>
      <c r="K137" s="1431">
        <f t="shared" si="19"/>
        <v>969582417582417.62</v>
      </c>
      <c r="L137" s="1407"/>
      <c r="M137" s="1407"/>
      <c r="N137" s="1407"/>
      <c r="O137" s="1407"/>
      <c r="P137" s="1407"/>
      <c r="Q137" s="1407"/>
      <c r="R137" s="1407"/>
      <c r="S137" s="1407"/>
      <c r="T137" s="1407"/>
      <c r="U137" s="1407"/>
    </row>
    <row r="138" spans="1:21" ht="12">
      <c r="A138" s="1452" t="s">
        <v>3550</v>
      </c>
      <c r="B138" s="1483">
        <v>41969</v>
      </c>
      <c r="C138" s="1452" t="s">
        <v>881</v>
      </c>
      <c r="D138" s="1433" t="s">
        <v>3543</v>
      </c>
      <c r="E138" s="1435"/>
      <c r="F138" s="1437">
        <v>31000000000000</v>
      </c>
      <c r="G138" s="1438">
        <v>91000000000</v>
      </c>
      <c r="H138" s="1438">
        <v>17500000000000</v>
      </c>
      <c r="I138" s="1428"/>
      <c r="J138" s="1407"/>
      <c r="K138" s="1431">
        <f t="shared" si="19"/>
        <v>11173626373626.373</v>
      </c>
      <c r="L138" s="1407"/>
      <c r="M138" s="1407"/>
      <c r="N138" s="1407"/>
      <c r="O138" s="1407"/>
      <c r="P138" s="1407"/>
      <c r="Q138" s="1407"/>
      <c r="R138" s="1407"/>
      <c r="S138" s="1407"/>
      <c r="T138" s="1407"/>
      <c r="U138" s="1407"/>
    </row>
    <row r="139" spans="1:21" ht="12">
      <c r="A139" s="1452" t="s">
        <v>3550</v>
      </c>
      <c r="B139" s="1483">
        <v>41969</v>
      </c>
      <c r="C139" s="1452" t="s">
        <v>881</v>
      </c>
      <c r="D139" s="1433" t="s">
        <v>3544</v>
      </c>
      <c r="E139" s="1435"/>
      <c r="F139" s="1437">
        <v>43900000000000</v>
      </c>
      <c r="G139" s="1438">
        <v>91000000000</v>
      </c>
      <c r="H139" s="1438">
        <v>17500000000000</v>
      </c>
      <c r="I139" s="1428"/>
      <c r="J139" s="1407"/>
      <c r="K139" s="1431">
        <f t="shared" si="19"/>
        <v>15823296703296.703</v>
      </c>
      <c r="L139" s="1407"/>
      <c r="M139" s="1407"/>
      <c r="N139" s="1407"/>
      <c r="O139" s="1407"/>
      <c r="P139" s="1407"/>
      <c r="Q139" s="1407"/>
      <c r="R139" s="1407"/>
      <c r="S139" s="1407"/>
      <c r="T139" s="1407"/>
      <c r="U139" s="1407"/>
    </row>
    <row r="140" spans="1:21" ht="12">
      <c r="A140" s="1452" t="s">
        <v>3550</v>
      </c>
      <c r="B140" s="1483">
        <v>41969</v>
      </c>
      <c r="C140" s="1452" t="s">
        <v>881</v>
      </c>
      <c r="D140" s="1433" t="s">
        <v>3545</v>
      </c>
      <c r="E140" s="1435"/>
      <c r="F140" s="1437">
        <v>46400000000000</v>
      </c>
      <c r="G140" s="1438">
        <v>91000000000</v>
      </c>
      <c r="H140" s="1438">
        <v>17500000000000</v>
      </c>
      <c r="I140" s="1428"/>
      <c r="J140" s="1407"/>
      <c r="K140" s="1431">
        <f t="shared" si="19"/>
        <v>16724395604395.604</v>
      </c>
      <c r="L140" s="1407"/>
      <c r="M140" s="1407"/>
      <c r="N140" s="1407"/>
      <c r="O140" s="1407"/>
      <c r="P140" s="1407"/>
      <c r="Q140" s="1407"/>
      <c r="R140" s="1407"/>
      <c r="S140" s="1407"/>
      <c r="T140" s="1407"/>
      <c r="U140" s="1407"/>
    </row>
    <row r="141" spans="1:21" ht="12">
      <c r="A141" s="1452" t="s">
        <v>3550</v>
      </c>
      <c r="B141" s="1483">
        <v>41969</v>
      </c>
      <c r="C141" s="1452" t="s">
        <v>881</v>
      </c>
      <c r="D141" s="1433" t="s">
        <v>3546</v>
      </c>
      <c r="E141" s="1435"/>
      <c r="F141" s="1437">
        <v>26900000000000</v>
      </c>
      <c r="G141" s="1438">
        <v>91000000000</v>
      </c>
      <c r="H141" s="1438">
        <v>17500000000000</v>
      </c>
      <c r="I141" s="1428"/>
      <c r="J141" s="1407"/>
      <c r="K141" s="1431">
        <f t="shared" si="19"/>
        <v>9695824175824.1758</v>
      </c>
      <c r="L141" s="1407"/>
      <c r="M141" s="1407"/>
      <c r="N141" s="1407"/>
      <c r="O141" s="1407"/>
      <c r="P141" s="1407"/>
      <c r="Q141" s="1407"/>
      <c r="R141" s="1407"/>
      <c r="S141" s="1407"/>
      <c r="T141" s="1407"/>
      <c r="U141" s="1407"/>
    </row>
    <row r="142" spans="1:21" ht="12">
      <c r="A142" s="1452" t="s">
        <v>3550</v>
      </c>
      <c r="B142" s="1483">
        <v>41969</v>
      </c>
      <c r="C142" s="1452" t="s">
        <v>881</v>
      </c>
      <c r="D142" s="1433" t="s">
        <v>3547</v>
      </c>
      <c r="E142" s="1435"/>
      <c r="F142" s="1437">
        <v>67200000000000</v>
      </c>
      <c r="G142" s="1438">
        <v>91000000000</v>
      </c>
      <c r="H142" s="1438">
        <v>17500000000000</v>
      </c>
      <c r="I142" s="1428"/>
      <c r="J142" s="1407"/>
      <c r="K142" s="1431">
        <f t="shared" si="19"/>
        <v>24221538461538.461</v>
      </c>
      <c r="L142" s="1407"/>
      <c r="M142" s="1407"/>
      <c r="N142" s="1407"/>
      <c r="O142" s="1407"/>
      <c r="P142" s="1407"/>
      <c r="Q142" s="1407"/>
      <c r="R142" s="1407"/>
      <c r="S142" s="1407"/>
      <c r="T142" s="1407"/>
      <c r="U142" s="1407"/>
    </row>
    <row r="143" spans="1:21" ht="12">
      <c r="A143" s="1452" t="s">
        <v>3550</v>
      </c>
      <c r="B143" s="1483">
        <v>41969</v>
      </c>
      <c r="C143" s="1452" t="s">
        <v>881</v>
      </c>
      <c r="D143" s="1433" t="s">
        <v>3548</v>
      </c>
      <c r="E143" s="1435"/>
      <c r="F143" s="1437">
        <v>25100000000000</v>
      </c>
      <c r="G143" s="1438">
        <v>91000000000</v>
      </c>
      <c r="H143" s="1438">
        <v>17500000000000</v>
      </c>
      <c r="I143" s="1428"/>
      <c r="J143" s="1407"/>
      <c r="K143" s="1431">
        <f t="shared" si="19"/>
        <v>9047032967032.9668</v>
      </c>
      <c r="L143" s="1407"/>
      <c r="M143" s="1407"/>
      <c r="N143" s="1407"/>
      <c r="O143" s="1407"/>
      <c r="P143" s="1407"/>
      <c r="Q143" s="1407"/>
      <c r="R143" s="1407"/>
      <c r="S143" s="1407"/>
      <c r="T143" s="1407"/>
      <c r="U143" s="1407"/>
    </row>
    <row r="144" spans="1:21" ht="12">
      <c r="A144" s="1407"/>
      <c r="B144" s="1407"/>
      <c r="C144" s="1407"/>
      <c r="D144" s="1409"/>
      <c r="E144" s="1410"/>
      <c r="F144" s="1495"/>
      <c r="G144" s="1534"/>
      <c r="H144" s="1534"/>
      <c r="I144" s="1428"/>
      <c r="J144" s="1407"/>
      <c r="K144" s="1431"/>
      <c r="L144" s="1407"/>
      <c r="M144" s="1407"/>
      <c r="N144" s="1407"/>
      <c r="O144" s="1407"/>
      <c r="P144" s="1407"/>
      <c r="Q144" s="1407"/>
      <c r="R144" s="1407"/>
      <c r="S144" s="1407"/>
      <c r="T144" s="1407"/>
      <c r="U144" s="1407"/>
    </row>
    <row r="145" spans="1:21" ht="12">
      <c r="A145" s="1452" t="s">
        <v>3551</v>
      </c>
      <c r="B145" s="1483">
        <v>41946</v>
      </c>
      <c r="C145" s="1452" t="s">
        <v>881</v>
      </c>
      <c r="D145" s="1433" t="s">
        <v>3552</v>
      </c>
      <c r="E145" s="1435"/>
      <c r="F145" s="1437">
        <v>30000000000000</v>
      </c>
      <c r="G145" s="1438">
        <v>16800000000</v>
      </c>
      <c r="H145" s="1438">
        <v>11100000000000</v>
      </c>
      <c r="I145" s="1428"/>
      <c r="J145" s="1407"/>
      <c r="K145" s="1431">
        <f t="shared" ref="K145:K148" si="20">(32800000000/G145)*F145</f>
        <v>58571428571428.57</v>
      </c>
      <c r="L145" s="1407"/>
      <c r="M145" s="1407"/>
      <c r="N145" s="1407"/>
      <c r="O145" s="1407"/>
      <c r="P145" s="1407"/>
      <c r="Q145" s="1407"/>
      <c r="R145" s="1407"/>
      <c r="S145" s="1407"/>
      <c r="T145" s="1407"/>
      <c r="U145" s="1407"/>
    </row>
    <row r="146" spans="1:21" ht="12">
      <c r="A146" s="1452" t="s">
        <v>3551</v>
      </c>
      <c r="B146" s="1483">
        <v>41946</v>
      </c>
      <c r="C146" s="1452" t="s">
        <v>881</v>
      </c>
      <c r="D146" s="1433" t="s">
        <v>3553</v>
      </c>
      <c r="E146" s="1435"/>
      <c r="F146" s="1437">
        <v>63700000000000</v>
      </c>
      <c r="G146" s="1438">
        <v>16800000000</v>
      </c>
      <c r="H146" s="1438">
        <v>11100000000000</v>
      </c>
      <c r="I146" s="1428"/>
      <c r="J146" s="1407"/>
      <c r="K146" s="1431">
        <f t="shared" si="20"/>
        <v>124366666666666.66</v>
      </c>
      <c r="L146" s="1407"/>
      <c r="M146" s="1407"/>
      <c r="N146" s="1407"/>
      <c r="O146" s="1407"/>
      <c r="P146" s="1407"/>
      <c r="Q146" s="1407"/>
      <c r="R146" s="1407"/>
      <c r="S146" s="1407"/>
      <c r="T146" s="1407"/>
      <c r="U146" s="1407"/>
    </row>
    <row r="147" spans="1:21" ht="12">
      <c r="A147" s="1452" t="s">
        <v>3551</v>
      </c>
      <c r="B147" s="1483">
        <v>41946</v>
      </c>
      <c r="C147" s="1452" t="s">
        <v>881</v>
      </c>
      <c r="D147" s="1433" t="s">
        <v>3554</v>
      </c>
      <c r="E147" s="1435"/>
      <c r="F147" s="1437">
        <v>637000000000000</v>
      </c>
      <c r="G147" s="1438">
        <v>16800000000</v>
      </c>
      <c r="H147" s="1438">
        <v>11100000000000</v>
      </c>
      <c r="I147" s="1428"/>
      <c r="J147" s="1407"/>
      <c r="K147" s="1431">
        <f t="shared" si="20"/>
        <v>1243666666666666.8</v>
      </c>
      <c r="L147" s="1407"/>
      <c r="M147" s="1407"/>
      <c r="N147" s="1407"/>
      <c r="O147" s="1407"/>
      <c r="P147" s="1407"/>
      <c r="Q147" s="1407"/>
      <c r="R147" s="1407"/>
      <c r="S147" s="1407"/>
      <c r="T147" s="1407"/>
      <c r="U147" s="1407"/>
    </row>
    <row r="148" spans="1:21" ht="12">
      <c r="A148" s="1452" t="s">
        <v>3551</v>
      </c>
      <c r="B148" s="1483">
        <v>41946</v>
      </c>
      <c r="C148" s="1452" t="s">
        <v>881</v>
      </c>
      <c r="D148" s="1433" t="s">
        <v>3555</v>
      </c>
      <c r="E148" s="1435"/>
      <c r="F148" s="1437">
        <v>136000000000000</v>
      </c>
      <c r="G148" s="1438">
        <v>16800000000</v>
      </c>
      <c r="H148" s="1438">
        <v>11100000000000</v>
      </c>
      <c r="I148" s="1428"/>
      <c r="J148" s="1407"/>
      <c r="K148" s="1431">
        <f t="shared" si="20"/>
        <v>265523809523809.53</v>
      </c>
      <c r="L148" s="1407"/>
      <c r="M148" s="1407"/>
      <c r="N148" s="1407"/>
      <c r="O148" s="1407"/>
      <c r="P148" s="1407"/>
      <c r="Q148" s="1407"/>
      <c r="R148" s="1407"/>
      <c r="S148" s="1407"/>
      <c r="T148" s="1407"/>
      <c r="U148" s="1407"/>
    </row>
    <row r="149" spans="1:21" ht="12">
      <c r="A149" s="1407"/>
      <c r="B149" s="1407"/>
      <c r="C149" s="1407"/>
      <c r="D149" s="1409"/>
      <c r="E149" s="1410"/>
      <c r="F149" s="1495"/>
      <c r="G149" s="1534"/>
      <c r="H149" s="1534"/>
      <c r="I149" s="1428"/>
      <c r="J149" s="1407"/>
      <c r="K149" s="1431"/>
      <c r="L149" s="1407"/>
      <c r="M149" s="1407"/>
      <c r="N149" s="1407"/>
      <c r="O149" s="1407"/>
      <c r="P149" s="1407"/>
      <c r="Q149" s="1407"/>
      <c r="R149" s="1407"/>
      <c r="S149" s="1407"/>
      <c r="T149" s="1407"/>
      <c r="U149" s="1407"/>
    </row>
    <row r="150" spans="1:21" ht="15" customHeight="1">
      <c r="A150" s="1452" t="s">
        <v>3556</v>
      </c>
      <c r="B150" s="1483">
        <v>41976</v>
      </c>
      <c r="C150" s="1452" t="s">
        <v>3470</v>
      </c>
      <c r="D150" s="1433" t="s">
        <v>3557</v>
      </c>
      <c r="E150" s="1435"/>
      <c r="F150" s="1437">
        <v>55100000000000</v>
      </c>
      <c r="G150" s="1590">
        <v>6990000000</v>
      </c>
      <c r="H150" s="1438">
        <v>18300000000000</v>
      </c>
      <c r="I150" s="1428"/>
      <c r="J150" s="1407"/>
      <c r="K150" s="1431">
        <f t="shared" ref="K150:K156" si="21">(32800000000/G150)*F150</f>
        <v>258552217453505.03</v>
      </c>
      <c r="L150" s="1407"/>
      <c r="M150" s="1407"/>
      <c r="N150" s="1407"/>
      <c r="O150" s="1407"/>
      <c r="P150" s="1407"/>
      <c r="Q150" s="1407"/>
      <c r="R150" s="1407"/>
      <c r="S150" s="1407"/>
      <c r="T150" s="1407"/>
      <c r="U150" s="1407"/>
    </row>
    <row r="151" spans="1:21" ht="12">
      <c r="A151" s="1452" t="s">
        <v>3556</v>
      </c>
      <c r="B151" s="1483">
        <v>41976</v>
      </c>
      <c r="C151" s="1452" t="s">
        <v>3470</v>
      </c>
      <c r="D151" s="1433" t="s">
        <v>3558</v>
      </c>
      <c r="E151" s="1435"/>
      <c r="F151" s="1437">
        <v>181000000000000</v>
      </c>
      <c r="G151" s="1590">
        <v>6990000000</v>
      </c>
      <c r="H151" s="1438">
        <v>18300000000000</v>
      </c>
      <c r="I151" s="1428"/>
      <c r="J151" s="1407"/>
      <c r="K151" s="1431">
        <f t="shared" si="21"/>
        <v>849327610872675.38</v>
      </c>
      <c r="L151" s="1407"/>
      <c r="M151" s="1407"/>
      <c r="N151" s="1407"/>
      <c r="O151" s="1407"/>
      <c r="P151" s="1407"/>
      <c r="Q151" s="1407"/>
      <c r="R151" s="1407"/>
      <c r="S151" s="1407"/>
      <c r="T151" s="1407"/>
      <c r="U151" s="1407"/>
    </row>
    <row r="152" spans="1:21" ht="12">
      <c r="A152" s="1452" t="s">
        <v>3556</v>
      </c>
      <c r="B152" s="1483">
        <v>41976</v>
      </c>
      <c r="C152" s="1452" t="s">
        <v>3470</v>
      </c>
      <c r="D152" s="1433" t="s">
        <v>3559</v>
      </c>
      <c r="E152" s="1435"/>
      <c r="F152" s="1437">
        <v>6180000000000</v>
      </c>
      <c r="G152" s="1590">
        <v>6990000000</v>
      </c>
      <c r="H152" s="1438">
        <v>18300000000000</v>
      </c>
      <c r="I152" s="1428"/>
      <c r="J152" s="1407"/>
      <c r="K152" s="1431">
        <f t="shared" si="21"/>
        <v>28999141630901.289</v>
      </c>
      <c r="L152" s="1407"/>
      <c r="M152" s="1407"/>
      <c r="N152" s="1407"/>
      <c r="O152" s="1407"/>
      <c r="P152" s="1407"/>
      <c r="Q152" s="1407"/>
      <c r="R152" s="1407"/>
      <c r="S152" s="1407"/>
      <c r="T152" s="1407"/>
      <c r="U152" s="1407"/>
    </row>
    <row r="153" spans="1:21" ht="12">
      <c r="A153" s="1452" t="s">
        <v>3556</v>
      </c>
      <c r="B153" s="1483">
        <v>41976</v>
      </c>
      <c r="C153" s="1452" t="s">
        <v>3470</v>
      </c>
      <c r="D153" s="1433" t="s">
        <v>3560</v>
      </c>
      <c r="E153" s="1435"/>
      <c r="F153" s="1437">
        <v>68000000000000</v>
      </c>
      <c r="G153" s="1590">
        <v>6990000000</v>
      </c>
      <c r="H153" s="1438">
        <v>18300000000000</v>
      </c>
      <c r="I153" s="1428"/>
      <c r="J153" s="1407"/>
      <c r="K153" s="1431">
        <f t="shared" si="21"/>
        <v>319084406294706.75</v>
      </c>
      <c r="L153" s="1407"/>
      <c r="M153" s="1407"/>
      <c r="N153" s="1407"/>
      <c r="O153" s="1407"/>
      <c r="P153" s="1407"/>
      <c r="Q153" s="1407"/>
      <c r="R153" s="1407"/>
      <c r="S153" s="1407"/>
      <c r="T153" s="1407"/>
      <c r="U153" s="1407"/>
    </row>
    <row r="154" spans="1:21" ht="12">
      <c r="A154" s="1452" t="s">
        <v>3556</v>
      </c>
      <c r="B154" s="1483">
        <v>41976</v>
      </c>
      <c r="C154" s="1452" t="s">
        <v>3470</v>
      </c>
      <c r="D154" s="1433" t="s">
        <v>3561</v>
      </c>
      <c r="E154" s="1435"/>
      <c r="F154" s="1437">
        <v>10900000000000</v>
      </c>
      <c r="G154" s="1590">
        <v>6990000000</v>
      </c>
      <c r="H154" s="1438">
        <v>18300000000000</v>
      </c>
      <c r="I154" s="1428"/>
      <c r="J154" s="1407"/>
      <c r="K154" s="1431">
        <f t="shared" si="21"/>
        <v>51147353361945.641</v>
      </c>
      <c r="L154" s="1407"/>
      <c r="M154" s="1407"/>
      <c r="N154" s="1407"/>
      <c r="O154" s="1407"/>
      <c r="P154" s="1407"/>
      <c r="Q154" s="1407"/>
      <c r="R154" s="1407"/>
      <c r="S154" s="1407"/>
      <c r="T154" s="1407"/>
      <c r="U154" s="1407"/>
    </row>
    <row r="155" spans="1:21" ht="12">
      <c r="A155" s="1452" t="s">
        <v>3556</v>
      </c>
      <c r="B155" s="1483">
        <v>41976</v>
      </c>
      <c r="C155" s="1452" t="s">
        <v>3470</v>
      </c>
      <c r="D155" s="1433" t="s">
        <v>3562</v>
      </c>
      <c r="E155" s="1435"/>
      <c r="F155" s="1437">
        <v>7220000000000</v>
      </c>
      <c r="G155" s="1590">
        <v>6990000000</v>
      </c>
      <c r="H155" s="1438">
        <v>18300000000000</v>
      </c>
      <c r="I155" s="1428"/>
      <c r="J155" s="1407"/>
      <c r="K155" s="1431">
        <f t="shared" si="21"/>
        <v>33879256080114.453</v>
      </c>
      <c r="L155" s="1407"/>
      <c r="M155" s="1407"/>
      <c r="N155" s="1407"/>
      <c r="O155" s="1407"/>
      <c r="P155" s="1407"/>
      <c r="Q155" s="1407"/>
      <c r="R155" s="1407"/>
      <c r="S155" s="1407"/>
      <c r="T155" s="1407"/>
      <c r="U155" s="1407"/>
    </row>
    <row r="156" spans="1:21" ht="12">
      <c r="A156" s="1452" t="s">
        <v>3556</v>
      </c>
      <c r="B156" s="1483">
        <v>41976</v>
      </c>
      <c r="C156" s="1452" t="s">
        <v>3470</v>
      </c>
      <c r="D156" s="1433" t="s">
        <v>3337</v>
      </c>
      <c r="E156" s="1435"/>
      <c r="F156" s="1437">
        <v>18300000000000</v>
      </c>
      <c r="G156" s="1590">
        <v>6990000000</v>
      </c>
      <c r="H156" s="1438">
        <v>18300000000000</v>
      </c>
      <c r="I156" s="1428"/>
      <c r="J156" s="1407"/>
      <c r="K156" s="1431">
        <f t="shared" si="21"/>
        <v>85871244635193.141</v>
      </c>
      <c r="L156" s="1407"/>
      <c r="M156" s="1407"/>
      <c r="N156" s="1407"/>
      <c r="O156" s="1407"/>
      <c r="P156" s="1407"/>
      <c r="Q156" s="1407"/>
      <c r="R156" s="1407"/>
      <c r="S156" s="1407"/>
      <c r="T156" s="1407"/>
      <c r="U156" s="1407"/>
    </row>
    <row r="157" spans="1:21" ht="12">
      <c r="A157" s="1407"/>
      <c r="B157" s="1407"/>
      <c r="C157" s="1407"/>
      <c r="D157" s="1409"/>
      <c r="E157" s="1410"/>
      <c r="F157" s="1495"/>
      <c r="G157" s="1534"/>
      <c r="H157" s="1534"/>
      <c r="I157" s="1428"/>
      <c r="J157" s="1407"/>
      <c r="K157" s="1431"/>
      <c r="L157" s="1407"/>
      <c r="M157" s="1407"/>
      <c r="N157" s="1407"/>
      <c r="O157" s="1407"/>
      <c r="P157" s="1407"/>
      <c r="Q157" s="1407"/>
      <c r="R157" s="1407"/>
      <c r="S157" s="1407"/>
      <c r="T157" s="1407"/>
      <c r="U157" s="1407"/>
    </row>
    <row r="158" spans="1:21" ht="12">
      <c r="A158" s="1452" t="s">
        <v>3563</v>
      </c>
      <c r="B158" s="1483">
        <v>41983</v>
      </c>
      <c r="C158" s="1452" t="s">
        <v>3470</v>
      </c>
      <c r="D158" s="1433" t="s">
        <v>3564</v>
      </c>
      <c r="E158" s="1589"/>
      <c r="F158" s="15">
        <v>102000000000000</v>
      </c>
      <c r="G158" s="1590">
        <v>83700000000</v>
      </c>
      <c r="H158" s="1590">
        <v>11700000000000</v>
      </c>
      <c r="I158" s="1428"/>
      <c r="J158" s="1407"/>
      <c r="K158" s="1431">
        <f t="shared" ref="K158:K161" si="22">(32800000000/G158)*F158</f>
        <v>39971326164874.555</v>
      </c>
      <c r="L158" s="1407"/>
      <c r="M158" s="1407"/>
      <c r="N158" s="1407"/>
      <c r="O158" s="1407"/>
      <c r="P158" s="1407"/>
      <c r="Q158" s="1407"/>
      <c r="R158" s="1407"/>
      <c r="S158" s="1407"/>
      <c r="T158" s="1407"/>
      <c r="U158" s="1407"/>
    </row>
    <row r="159" spans="1:21" ht="12">
      <c r="A159" s="1452" t="s">
        <v>3563</v>
      </c>
      <c r="B159" s="1483">
        <v>41983</v>
      </c>
      <c r="C159" s="1452" t="s">
        <v>3470</v>
      </c>
      <c r="D159" s="1433" t="s">
        <v>3565</v>
      </c>
      <c r="E159" s="1589"/>
      <c r="F159" s="15">
        <v>74500000000000</v>
      </c>
      <c r="G159" s="1590">
        <v>83700000000</v>
      </c>
      <c r="H159" s="1590">
        <v>11700000000000</v>
      </c>
      <c r="I159" s="1428"/>
      <c r="J159" s="1407"/>
      <c r="K159" s="1431">
        <f t="shared" si="22"/>
        <v>29194743130227.004</v>
      </c>
      <c r="L159" s="1407"/>
      <c r="M159" s="1407"/>
      <c r="N159" s="1407"/>
      <c r="O159" s="1407"/>
      <c r="P159" s="1407"/>
      <c r="Q159" s="1407"/>
      <c r="R159" s="1407"/>
      <c r="S159" s="1407"/>
      <c r="T159" s="1407"/>
      <c r="U159" s="1407"/>
    </row>
    <row r="160" spans="1:21" ht="12">
      <c r="A160" s="1452" t="s">
        <v>3563</v>
      </c>
      <c r="B160" s="1483">
        <v>41983</v>
      </c>
      <c r="C160" s="1452" t="s">
        <v>3470</v>
      </c>
      <c r="D160" s="1433" t="s">
        <v>3566</v>
      </c>
      <c r="E160" s="1589"/>
      <c r="F160" s="15">
        <v>83100000000000</v>
      </c>
      <c r="G160" s="1590">
        <v>83700000000</v>
      </c>
      <c r="H160" s="1590">
        <v>11700000000000</v>
      </c>
      <c r="I160" s="1428"/>
      <c r="J160" s="1407"/>
      <c r="K160" s="1431">
        <f t="shared" si="22"/>
        <v>32564874551971.328</v>
      </c>
      <c r="L160" s="1407"/>
      <c r="M160" s="1407"/>
      <c r="N160" s="1407"/>
      <c r="O160" s="1407"/>
      <c r="P160" s="1407"/>
      <c r="Q160" s="1407"/>
      <c r="R160" s="1407"/>
      <c r="S160" s="1407"/>
      <c r="T160" s="1407"/>
      <c r="U160" s="1407"/>
    </row>
    <row r="161" spans="1:21" ht="12">
      <c r="A161" s="1452" t="s">
        <v>3563</v>
      </c>
      <c r="B161" s="1483">
        <v>41983</v>
      </c>
      <c r="C161" s="1452" t="s">
        <v>3470</v>
      </c>
      <c r="D161" s="1433" t="s">
        <v>3567</v>
      </c>
      <c r="E161" s="1589"/>
      <c r="F161" s="15">
        <v>91800000000000</v>
      </c>
      <c r="G161" s="1590">
        <v>83700000000</v>
      </c>
      <c r="H161" s="1590">
        <v>11700000000000</v>
      </c>
      <c r="I161" s="1428"/>
      <c r="J161" s="1407"/>
      <c r="K161" s="1431">
        <f t="shared" si="22"/>
        <v>35974193548387.102</v>
      </c>
      <c r="L161" s="1407"/>
      <c r="M161" s="1407"/>
      <c r="N161" s="1407"/>
      <c r="O161" s="1407"/>
      <c r="P161" s="1407"/>
      <c r="Q161" s="1407"/>
      <c r="R161" s="1407"/>
      <c r="S161" s="1407"/>
      <c r="T161" s="1407"/>
      <c r="U161" s="1407"/>
    </row>
    <row r="162" spans="1:21" ht="12">
      <c r="A162" s="1407"/>
      <c r="B162" s="1407"/>
      <c r="C162" s="1407"/>
      <c r="D162" s="1409"/>
      <c r="E162" s="1410"/>
      <c r="F162" s="1495"/>
      <c r="G162" s="1534"/>
      <c r="H162" s="1534"/>
      <c r="I162" s="1428"/>
      <c r="J162" s="1407"/>
      <c r="K162" s="1431"/>
      <c r="L162" s="1407"/>
      <c r="M162" s="1407"/>
      <c r="N162" s="1407"/>
      <c r="O162" s="1407"/>
      <c r="P162" s="1407"/>
      <c r="Q162" s="1407"/>
      <c r="R162" s="1407"/>
      <c r="S162" s="1407"/>
      <c r="T162" s="1407"/>
      <c r="U162" s="1407"/>
    </row>
    <row r="163" spans="1:21" ht="12">
      <c r="A163" s="1452" t="s">
        <v>3568</v>
      </c>
      <c r="B163" s="1483">
        <v>41990</v>
      </c>
      <c r="C163" s="1452" t="s">
        <v>3470</v>
      </c>
      <c r="D163" s="1433" t="s">
        <v>3569</v>
      </c>
      <c r="E163" s="1589"/>
      <c r="F163" s="15">
        <v>96400000000000</v>
      </c>
      <c r="G163" s="1590">
        <v>17200000000</v>
      </c>
      <c r="H163" s="1590">
        <v>13400000000000</v>
      </c>
      <c r="I163" s="1428"/>
      <c r="J163" s="1407"/>
      <c r="K163" s="1431">
        <f t="shared" ref="K163:K166" si="23">(32800000000/G163)*F163</f>
        <v>183832558139534.88</v>
      </c>
      <c r="L163" s="1407"/>
      <c r="M163" s="1407"/>
      <c r="N163" s="1407"/>
      <c r="O163" s="1407"/>
      <c r="P163" s="1407"/>
      <c r="Q163" s="1407"/>
      <c r="R163" s="1407"/>
      <c r="S163" s="1407"/>
      <c r="T163" s="1407"/>
      <c r="U163" s="1407"/>
    </row>
    <row r="164" spans="1:21" ht="12">
      <c r="A164" s="1452" t="s">
        <v>3568</v>
      </c>
      <c r="B164" s="1483">
        <v>41990</v>
      </c>
      <c r="C164" s="1452" t="s">
        <v>3470</v>
      </c>
      <c r="D164" s="1433" t="s">
        <v>3570</v>
      </c>
      <c r="E164" s="1589"/>
      <c r="F164" s="15">
        <v>2810000000000</v>
      </c>
      <c r="G164" s="1590">
        <v>17200000000</v>
      </c>
      <c r="H164" s="1590">
        <v>13400000000000</v>
      </c>
      <c r="I164" s="1428"/>
      <c r="J164" s="1407"/>
      <c r="K164" s="1431">
        <f t="shared" si="23"/>
        <v>5358604651162.791</v>
      </c>
      <c r="L164" s="1407"/>
      <c r="M164" s="1407"/>
      <c r="N164" s="1407"/>
      <c r="O164" s="1407"/>
      <c r="P164" s="1407"/>
      <c r="Q164" s="1407"/>
      <c r="R164" s="1407"/>
      <c r="S164" s="1407"/>
      <c r="T164" s="1407"/>
      <c r="U164" s="1407"/>
    </row>
    <row r="165" spans="1:21" ht="12">
      <c r="A165" s="1452" t="s">
        <v>3568</v>
      </c>
      <c r="B165" s="1483">
        <v>41990</v>
      </c>
      <c r="C165" s="1452" t="s">
        <v>3470</v>
      </c>
      <c r="D165" s="1433" t="s">
        <v>3571</v>
      </c>
      <c r="E165" s="1589"/>
      <c r="F165" s="15">
        <v>3800000000000</v>
      </c>
      <c r="G165" s="1590">
        <v>17200000000</v>
      </c>
      <c r="H165" s="1590">
        <v>13400000000000</v>
      </c>
      <c r="I165" s="1428"/>
      <c r="J165" s="1407"/>
      <c r="K165" s="1431">
        <f t="shared" si="23"/>
        <v>7246511627906.9766</v>
      </c>
      <c r="L165" s="1407"/>
      <c r="M165" s="1407"/>
      <c r="N165" s="1407"/>
      <c r="O165" s="1407"/>
      <c r="P165" s="1407"/>
      <c r="Q165" s="1407"/>
      <c r="R165" s="1407"/>
      <c r="S165" s="1407"/>
      <c r="T165" s="1407"/>
      <c r="U165" s="1407"/>
    </row>
    <row r="166" spans="1:21" ht="12">
      <c r="A166" s="1452" t="s">
        <v>3568</v>
      </c>
      <c r="B166" s="1483">
        <v>41990</v>
      </c>
      <c r="C166" s="1452" t="s">
        <v>3470</v>
      </c>
      <c r="D166" s="1433" t="s">
        <v>3572</v>
      </c>
      <c r="E166" s="1589"/>
      <c r="F166" s="15">
        <v>69600000000</v>
      </c>
      <c r="G166" s="1590">
        <v>17200000000</v>
      </c>
      <c r="H166" s="1590">
        <v>13400000000000</v>
      </c>
      <c r="I166" s="1428"/>
      <c r="J166" s="1407"/>
      <c r="K166" s="1431">
        <f t="shared" si="23"/>
        <v>132725581395.34885</v>
      </c>
      <c r="L166" s="1407"/>
      <c r="M166" s="1407"/>
      <c r="N166" s="1407"/>
      <c r="O166" s="1407"/>
      <c r="P166" s="1407"/>
      <c r="Q166" s="1407"/>
      <c r="R166" s="1407"/>
      <c r="S166" s="1407"/>
      <c r="T166" s="1407"/>
      <c r="U166" s="1407"/>
    </row>
    <row r="167" spans="1:21" ht="12">
      <c r="A167" s="1407"/>
      <c r="B167" s="1407"/>
      <c r="C167" s="1407"/>
      <c r="D167" s="1409"/>
      <c r="E167" s="1410"/>
      <c r="F167" s="1495"/>
      <c r="G167" s="1534"/>
      <c r="H167" s="1534"/>
      <c r="I167" s="1428"/>
      <c r="J167" s="1407"/>
      <c r="K167" s="1431"/>
      <c r="L167" s="1407"/>
      <c r="M167" s="1407"/>
      <c r="N167" s="1407"/>
      <c r="O167" s="1407"/>
      <c r="P167" s="1407"/>
      <c r="Q167" s="1407"/>
      <c r="R167" s="1407"/>
      <c r="S167" s="1407"/>
      <c r="T167" s="1407"/>
      <c r="U167" s="1407"/>
    </row>
    <row r="168" spans="1:21" ht="12">
      <c r="A168" s="1452" t="s">
        <v>3573</v>
      </c>
      <c r="B168" s="1483">
        <v>41997</v>
      </c>
      <c r="C168" s="1452" t="s">
        <v>3470</v>
      </c>
      <c r="D168" s="1433" t="s">
        <v>3574</v>
      </c>
      <c r="E168" s="1589"/>
      <c r="F168" s="15">
        <v>74900000000000</v>
      </c>
      <c r="G168" s="1590">
        <v>43100000000</v>
      </c>
      <c r="H168" s="1590">
        <v>20500000000000</v>
      </c>
      <c r="I168" s="1428"/>
      <c r="J168" s="1407"/>
      <c r="K168" s="1431">
        <f t="shared" ref="K168:K171" si="24">(32800000000/G168)*F168</f>
        <v>57000464037122.969</v>
      </c>
      <c r="L168" s="1407"/>
      <c r="M168" s="1407"/>
      <c r="N168" s="1407"/>
      <c r="O168" s="1407"/>
      <c r="P168" s="1407"/>
      <c r="Q168" s="1407"/>
      <c r="R168" s="1407"/>
      <c r="S168" s="1407"/>
      <c r="T168" s="1407"/>
      <c r="U168" s="1407"/>
    </row>
    <row r="169" spans="1:21" ht="12">
      <c r="A169" s="1452" t="s">
        <v>3573</v>
      </c>
      <c r="B169" s="1483">
        <v>41997</v>
      </c>
      <c r="C169" s="1452" t="s">
        <v>3470</v>
      </c>
      <c r="D169" s="1433" t="s">
        <v>3575</v>
      </c>
      <c r="E169" s="1589"/>
      <c r="F169" s="15">
        <v>2270000000000</v>
      </c>
      <c r="G169" s="1590">
        <v>43100000000</v>
      </c>
      <c r="H169" s="1590">
        <v>20500000000000</v>
      </c>
      <c r="I169" s="1428"/>
      <c r="J169" s="1407"/>
      <c r="K169" s="1431">
        <f t="shared" si="24"/>
        <v>1727517401392.1113</v>
      </c>
      <c r="L169" s="1407"/>
      <c r="M169" s="1407"/>
      <c r="N169" s="1407"/>
      <c r="O169" s="1407"/>
      <c r="P169" s="1407"/>
      <c r="Q169" s="1407"/>
      <c r="R169" s="1407"/>
      <c r="S169" s="1407"/>
      <c r="T169" s="1407"/>
      <c r="U169" s="1407"/>
    </row>
    <row r="170" spans="1:21" ht="12">
      <c r="A170" s="1452" t="s">
        <v>3573</v>
      </c>
      <c r="B170" s="1483">
        <v>41997</v>
      </c>
      <c r="C170" s="1452" t="s">
        <v>3470</v>
      </c>
      <c r="D170" s="1433" t="s">
        <v>3576</v>
      </c>
      <c r="E170" s="1589"/>
      <c r="F170" s="15">
        <v>35200000000000</v>
      </c>
      <c r="G170" s="1590">
        <v>43100000000</v>
      </c>
      <c r="H170" s="1590">
        <v>20500000000000</v>
      </c>
      <c r="I170" s="1428"/>
      <c r="J170" s="1407"/>
      <c r="K170" s="1431">
        <f t="shared" si="24"/>
        <v>26787935034802.781</v>
      </c>
      <c r="L170" s="1407"/>
      <c r="M170" s="1407"/>
      <c r="N170" s="1407"/>
      <c r="O170" s="1407"/>
      <c r="P170" s="1407"/>
      <c r="Q170" s="1407"/>
      <c r="R170" s="1407"/>
      <c r="S170" s="1407"/>
      <c r="T170" s="1407"/>
      <c r="U170" s="1407"/>
    </row>
    <row r="171" spans="1:21" ht="12">
      <c r="A171" s="1452" t="s">
        <v>3573</v>
      </c>
      <c r="B171" s="1483">
        <v>41997</v>
      </c>
      <c r="C171" s="1452" t="s">
        <v>3470</v>
      </c>
      <c r="D171" s="1433" t="s">
        <v>3577</v>
      </c>
      <c r="E171" s="1589"/>
      <c r="F171" s="15">
        <v>773000000000000</v>
      </c>
      <c r="G171" s="1590">
        <v>43100000000</v>
      </c>
      <c r="H171" s="1590">
        <v>20500000000000</v>
      </c>
      <c r="I171" s="1428"/>
      <c r="J171" s="1407"/>
      <c r="K171" s="1431">
        <f t="shared" si="24"/>
        <v>588269141531322.5</v>
      </c>
      <c r="L171" s="1407"/>
      <c r="M171" s="1407"/>
      <c r="N171" s="1407"/>
      <c r="O171" s="1407"/>
      <c r="P171" s="1407"/>
      <c r="Q171" s="1407"/>
      <c r="R171" s="1407"/>
      <c r="S171" s="1407"/>
      <c r="T171" s="1407"/>
      <c r="U171" s="1407"/>
    </row>
    <row r="172" spans="1:21" ht="12">
      <c r="A172" s="1407"/>
      <c r="B172" s="1407"/>
      <c r="C172" s="1407"/>
      <c r="D172" s="1409"/>
      <c r="E172" s="1410"/>
      <c r="F172" s="1495"/>
      <c r="G172" s="1534"/>
      <c r="H172" s="1534"/>
      <c r="I172" s="1428"/>
      <c r="J172" s="1407"/>
      <c r="K172" s="1431"/>
      <c r="L172" s="1407"/>
      <c r="M172" s="1407"/>
      <c r="N172" s="1407"/>
      <c r="O172" s="1407"/>
      <c r="P172" s="1407"/>
      <c r="Q172" s="1407"/>
      <c r="R172" s="1407"/>
      <c r="S172" s="1407"/>
      <c r="T172" s="1407"/>
      <c r="U172" s="1407"/>
    </row>
    <row r="173" spans="1:21" ht="12">
      <c r="A173" s="1452" t="s">
        <v>3578</v>
      </c>
      <c r="B173" s="1483">
        <v>42004</v>
      </c>
      <c r="C173" s="1452" t="s">
        <v>3470</v>
      </c>
      <c r="D173" s="1433" t="s">
        <v>3579</v>
      </c>
      <c r="E173" s="1589"/>
      <c r="F173" s="15">
        <v>2850000000000</v>
      </c>
      <c r="G173" s="1590">
        <v>23100000000</v>
      </c>
      <c r="H173" s="1590">
        <v>10500000000000</v>
      </c>
      <c r="I173" s="1428"/>
      <c r="J173" s="712"/>
      <c r="K173" s="1431">
        <f t="shared" ref="K173:K176" si="25">(32800000000/G173)*F173</f>
        <v>4046753246753.2471</v>
      </c>
      <c r="L173" s="1407"/>
      <c r="M173" s="1407"/>
      <c r="N173" s="1407"/>
      <c r="O173" s="1407"/>
      <c r="P173" s="1407"/>
      <c r="Q173" s="1407"/>
      <c r="R173" s="1407"/>
      <c r="S173" s="1407"/>
      <c r="T173" s="1407"/>
      <c r="U173" s="1407"/>
    </row>
    <row r="174" spans="1:21" ht="12">
      <c r="A174" s="1452" t="s">
        <v>3578</v>
      </c>
      <c r="B174" s="1483">
        <v>42004</v>
      </c>
      <c r="C174" s="1452" t="s">
        <v>3470</v>
      </c>
      <c r="D174" s="1433" t="s">
        <v>3580</v>
      </c>
      <c r="E174" s="1589"/>
      <c r="F174" s="15">
        <v>44900000000000</v>
      </c>
      <c r="G174" s="1590">
        <v>23100000000</v>
      </c>
      <c r="H174" s="1590">
        <v>10500000000000</v>
      </c>
      <c r="I174" s="1428"/>
      <c r="J174" s="712"/>
      <c r="K174" s="1431">
        <f t="shared" si="25"/>
        <v>63754112554112.562</v>
      </c>
      <c r="L174" s="1407"/>
      <c r="M174" s="1407"/>
      <c r="N174" s="1407"/>
      <c r="O174" s="1407"/>
      <c r="P174" s="1407"/>
      <c r="Q174" s="1407"/>
      <c r="R174" s="1407"/>
      <c r="S174" s="1407"/>
      <c r="T174" s="1407"/>
      <c r="U174" s="1407"/>
    </row>
    <row r="175" spans="1:21" ht="12">
      <c r="A175" s="1452" t="s">
        <v>3578</v>
      </c>
      <c r="B175" s="1483">
        <v>42004</v>
      </c>
      <c r="C175" s="1452" t="s">
        <v>3470</v>
      </c>
      <c r="D175" s="1433" t="s">
        <v>3581</v>
      </c>
      <c r="E175" s="1589"/>
      <c r="F175" s="15">
        <v>117000000000000</v>
      </c>
      <c r="G175" s="1590">
        <v>23100000000</v>
      </c>
      <c r="H175" s="1590">
        <v>10500000000000</v>
      </c>
      <c r="I175" s="1428"/>
      <c r="J175" s="712"/>
      <c r="K175" s="1431">
        <f t="shared" si="25"/>
        <v>166129870129870.16</v>
      </c>
      <c r="L175" s="1407"/>
      <c r="M175" s="1407"/>
      <c r="N175" s="1407"/>
      <c r="O175" s="1407"/>
      <c r="P175" s="1407"/>
      <c r="Q175" s="1407"/>
      <c r="R175" s="1407"/>
      <c r="S175" s="1407"/>
      <c r="T175" s="1407"/>
      <c r="U175" s="1407"/>
    </row>
    <row r="176" spans="1:21" ht="12">
      <c r="A176" s="1452" t="s">
        <v>3578</v>
      </c>
      <c r="B176" s="1483">
        <v>42004</v>
      </c>
      <c r="C176" s="1452" t="s">
        <v>3470</v>
      </c>
      <c r="D176" s="1433" t="s">
        <v>3582</v>
      </c>
      <c r="E176" s="1589"/>
      <c r="F176" s="15">
        <v>62200000000000</v>
      </c>
      <c r="G176" s="1590">
        <v>23100000000</v>
      </c>
      <c r="H176" s="1590">
        <v>10500000000000</v>
      </c>
      <c r="I176" s="1428"/>
      <c r="J176" s="712"/>
      <c r="K176" s="1431">
        <f t="shared" si="25"/>
        <v>88318614718614.719</v>
      </c>
      <c r="L176" s="1407"/>
      <c r="M176" s="1407"/>
      <c r="N176" s="1407"/>
      <c r="O176" s="1407"/>
      <c r="P176" s="1407"/>
      <c r="Q176" s="1407"/>
      <c r="R176" s="1407"/>
      <c r="S176" s="1407"/>
      <c r="T176" s="1407"/>
      <c r="U176" s="1407"/>
    </row>
    <row r="177" spans="1:21" ht="12">
      <c r="A177" s="1407"/>
      <c r="B177" s="1407"/>
      <c r="C177" s="1407"/>
      <c r="D177" s="1409"/>
      <c r="E177" s="1410"/>
      <c r="F177" s="1495"/>
      <c r="G177" s="1534"/>
      <c r="H177" s="1534"/>
      <c r="I177" s="1428"/>
      <c r="J177" s="1407"/>
      <c r="K177" s="1431"/>
      <c r="L177" s="1407"/>
      <c r="M177" s="1407"/>
      <c r="N177" s="1407"/>
      <c r="O177" s="1407"/>
      <c r="P177" s="1407"/>
      <c r="Q177" s="1407"/>
      <c r="R177" s="1407"/>
      <c r="S177" s="1407"/>
      <c r="T177" s="1407"/>
      <c r="U177" s="1407"/>
    </row>
    <row r="178" spans="1:21" ht="12">
      <c r="A178" s="1452" t="s">
        <v>3583</v>
      </c>
      <c r="B178" s="1483">
        <v>42018</v>
      </c>
      <c r="C178" s="1452" t="s">
        <v>881</v>
      </c>
      <c r="D178" s="1433" t="s">
        <v>3584</v>
      </c>
      <c r="E178" s="1589"/>
      <c r="F178" s="15">
        <v>22500000000000</v>
      </c>
      <c r="G178" s="1590">
        <v>27400000000</v>
      </c>
      <c r="H178" s="1438">
        <v>13500000000000</v>
      </c>
      <c r="I178" s="1428"/>
      <c r="J178" s="1407"/>
      <c r="K178" s="1431">
        <f t="shared" ref="K178:K181" si="26">(32800000000/G178)*F178</f>
        <v>26934306569343.066</v>
      </c>
      <c r="L178" s="1407"/>
      <c r="M178" s="1407"/>
      <c r="N178" s="1407"/>
      <c r="O178" s="1407"/>
      <c r="P178" s="1407"/>
      <c r="Q178" s="1407"/>
      <c r="R178" s="1407"/>
      <c r="S178" s="1407"/>
      <c r="T178" s="1407"/>
      <c r="U178" s="1407"/>
    </row>
    <row r="179" spans="1:21" ht="12">
      <c r="A179" s="1452" t="s">
        <v>3583</v>
      </c>
      <c r="B179" s="1483">
        <v>42018</v>
      </c>
      <c r="C179" s="1452" t="s">
        <v>881</v>
      </c>
      <c r="D179" s="1433" t="s">
        <v>3585</v>
      </c>
      <c r="E179" s="1589"/>
      <c r="F179" s="15">
        <v>15400000000000</v>
      </c>
      <c r="G179" s="1590">
        <v>27400000000</v>
      </c>
      <c r="H179" s="1438">
        <v>13500000000000</v>
      </c>
      <c r="I179" s="1428"/>
      <c r="J179" s="1407"/>
      <c r="K179" s="1431">
        <f t="shared" si="26"/>
        <v>18435036496350.367</v>
      </c>
      <c r="L179" s="1407"/>
      <c r="M179" s="1407"/>
      <c r="N179" s="1407"/>
      <c r="O179" s="1407"/>
      <c r="P179" s="1407"/>
      <c r="Q179" s="1407"/>
      <c r="R179" s="1407"/>
      <c r="S179" s="1407"/>
      <c r="T179" s="1407"/>
      <c r="U179" s="1407"/>
    </row>
    <row r="180" spans="1:21" ht="12">
      <c r="A180" s="1452" t="s">
        <v>3583</v>
      </c>
      <c r="B180" s="1483">
        <v>42018</v>
      </c>
      <c r="C180" s="1452" t="s">
        <v>881</v>
      </c>
      <c r="D180" s="1433" t="s">
        <v>3586</v>
      </c>
      <c r="E180" s="1589"/>
      <c r="F180" s="15">
        <v>6370000000000</v>
      </c>
      <c r="G180" s="1590">
        <v>27400000000</v>
      </c>
      <c r="H180" s="1438">
        <v>13500000000000</v>
      </c>
      <c r="I180" s="1428"/>
      <c r="J180" s="1407"/>
      <c r="K180" s="1431">
        <f t="shared" si="26"/>
        <v>7625401459854.0156</v>
      </c>
      <c r="L180" s="1407"/>
      <c r="M180" s="1407"/>
      <c r="N180" s="1407"/>
      <c r="O180" s="1407"/>
      <c r="P180" s="1407"/>
      <c r="Q180" s="1407"/>
      <c r="R180" s="1407"/>
      <c r="S180" s="1407"/>
      <c r="T180" s="1407"/>
      <c r="U180" s="1407"/>
    </row>
    <row r="181" spans="1:21" ht="12">
      <c r="A181" s="1452" t="s">
        <v>3583</v>
      </c>
      <c r="B181" s="1483">
        <v>42018</v>
      </c>
      <c r="C181" s="1452" t="s">
        <v>881</v>
      </c>
      <c r="D181" s="1433" t="s">
        <v>3587</v>
      </c>
      <c r="E181" s="1589"/>
      <c r="F181" s="15">
        <v>8840000000000</v>
      </c>
      <c r="G181" s="1590">
        <v>27400000000</v>
      </c>
      <c r="H181" s="1438">
        <v>13500000000000</v>
      </c>
      <c r="I181" s="1428"/>
      <c r="J181" s="1407"/>
      <c r="K181" s="1431">
        <f t="shared" si="26"/>
        <v>10582189781021.898</v>
      </c>
      <c r="L181" s="1407"/>
      <c r="M181" s="1407"/>
      <c r="N181" s="1407"/>
      <c r="O181" s="1407"/>
      <c r="P181" s="1407"/>
      <c r="Q181" s="1407"/>
      <c r="R181" s="1407"/>
      <c r="S181" s="1407"/>
      <c r="T181" s="1407"/>
      <c r="U181" s="1407"/>
    </row>
    <row r="182" spans="1:21" ht="12">
      <c r="A182" s="1407"/>
      <c r="B182" s="1407"/>
      <c r="C182" s="1407"/>
      <c r="D182" s="1409"/>
      <c r="E182" s="1410"/>
      <c r="F182" s="1495"/>
      <c r="G182" s="1534"/>
      <c r="H182" s="1534"/>
      <c r="I182" s="1428"/>
      <c r="J182" s="1407"/>
      <c r="K182" s="1431"/>
      <c r="L182" s="1407"/>
      <c r="M182" s="1407"/>
      <c r="N182" s="1407"/>
      <c r="O182" s="1407"/>
      <c r="P182" s="1407"/>
      <c r="Q182" s="1407"/>
      <c r="R182" s="1407"/>
      <c r="S182" s="1407"/>
      <c r="T182" s="1407"/>
      <c r="U182" s="1407"/>
    </row>
    <row r="183" spans="1:21" ht="12">
      <c r="A183" s="1452" t="s">
        <v>3588</v>
      </c>
      <c r="B183" s="1483">
        <v>42026</v>
      </c>
      <c r="C183" s="1452" t="s">
        <v>3470</v>
      </c>
      <c r="D183" s="1433" t="s">
        <v>3589</v>
      </c>
      <c r="E183" s="1589"/>
      <c r="F183" s="15">
        <v>42500000000000</v>
      </c>
      <c r="G183" s="1590">
        <v>191000000000</v>
      </c>
      <c r="H183" s="1590">
        <v>17000000000000</v>
      </c>
      <c r="I183" s="1428"/>
      <c r="J183" s="1407"/>
      <c r="K183" s="1431">
        <f t="shared" ref="K183:K188" si="27">(32800000000/G183)*F183</f>
        <v>7298429319371.7275</v>
      </c>
      <c r="L183" s="1407"/>
      <c r="M183" s="1407"/>
      <c r="N183" s="1407"/>
      <c r="O183" s="1407"/>
      <c r="P183" s="1407"/>
      <c r="Q183" s="1407"/>
      <c r="R183" s="1407"/>
      <c r="S183" s="1407"/>
      <c r="T183" s="1407"/>
      <c r="U183" s="1407"/>
    </row>
    <row r="184" spans="1:21" ht="12">
      <c r="A184" s="1452" t="s">
        <v>3588</v>
      </c>
      <c r="B184" s="1483">
        <v>42026</v>
      </c>
      <c r="C184" s="1452" t="s">
        <v>3470</v>
      </c>
      <c r="D184" s="1433" t="s">
        <v>3590</v>
      </c>
      <c r="E184" s="1589"/>
      <c r="F184" s="15">
        <v>22300000000000</v>
      </c>
      <c r="G184" s="1590">
        <v>191000000000</v>
      </c>
      <c r="H184" s="1590">
        <v>17000000000000</v>
      </c>
      <c r="I184" s="1428"/>
      <c r="J184" s="1407"/>
      <c r="K184" s="1431">
        <f t="shared" si="27"/>
        <v>3829528795811.5181</v>
      </c>
      <c r="L184" s="1407"/>
      <c r="M184" s="1407"/>
      <c r="N184" s="1407"/>
      <c r="O184" s="1407"/>
      <c r="P184" s="1407"/>
      <c r="Q184" s="1407"/>
      <c r="R184" s="1407"/>
      <c r="S184" s="1407"/>
      <c r="T184" s="1407"/>
      <c r="U184" s="1407"/>
    </row>
    <row r="185" spans="1:21" ht="12">
      <c r="A185" s="1452" t="s">
        <v>3588</v>
      </c>
      <c r="B185" s="1483">
        <v>42026</v>
      </c>
      <c r="C185" s="1452" t="s">
        <v>3470</v>
      </c>
      <c r="D185" s="1433" t="s">
        <v>3591</v>
      </c>
      <c r="E185" s="1589"/>
      <c r="F185" s="15">
        <v>59900000000000</v>
      </c>
      <c r="G185" s="1590">
        <v>191000000000</v>
      </c>
      <c r="H185" s="1590">
        <v>17000000000000</v>
      </c>
      <c r="I185" s="1428"/>
      <c r="J185" s="1407"/>
      <c r="K185" s="1431">
        <f t="shared" si="27"/>
        <v>10286492146596.857</v>
      </c>
      <c r="L185" s="1407"/>
      <c r="M185" s="1407"/>
      <c r="N185" s="1407"/>
      <c r="O185" s="1407"/>
      <c r="P185" s="1407"/>
      <c r="Q185" s="1407"/>
      <c r="R185" s="1407"/>
      <c r="S185" s="1407"/>
      <c r="T185" s="1407"/>
      <c r="U185" s="1407"/>
    </row>
    <row r="186" spans="1:21" ht="12">
      <c r="A186" s="1452" t="s">
        <v>3588</v>
      </c>
      <c r="B186" s="1483">
        <v>42026</v>
      </c>
      <c r="C186" s="1452" t="s">
        <v>3470</v>
      </c>
      <c r="D186" s="1433" t="s">
        <v>3592</v>
      </c>
      <c r="E186" s="1589"/>
      <c r="F186" s="15">
        <v>56600000000000</v>
      </c>
      <c r="G186" s="1590">
        <v>191000000000</v>
      </c>
      <c r="H186" s="1590">
        <v>17000000000000</v>
      </c>
      <c r="I186" s="1428"/>
      <c r="J186" s="1407"/>
      <c r="K186" s="1431">
        <f t="shared" si="27"/>
        <v>9719790575916.2305</v>
      </c>
      <c r="L186" s="1407"/>
      <c r="M186" s="1407"/>
      <c r="N186" s="1407"/>
      <c r="O186" s="1407"/>
      <c r="P186" s="1407"/>
      <c r="Q186" s="1407"/>
      <c r="R186" s="1407"/>
      <c r="S186" s="1407"/>
      <c r="T186" s="1407"/>
      <c r="U186" s="1407"/>
    </row>
    <row r="187" spans="1:21" ht="12">
      <c r="A187" s="1452" t="s">
        <v>3588</v>
      </c>
      <c r="B187" s="1483">
        <v>42026</v>
      </c>
      <c r="C187" s="1452" t="s">
        <v>3470</v>
      </c>
      <c r="D187" s="1433" t="s">
        <v>3593</v>
      </c>
      <c r="E187" s="1589"/>
      <c r="F187" s="15">
        <v>10600000000000</v>
      </c>
      <c r="G187" s="1590">
        <v>191000000000</v>
      </c>
      <c r="H187" s="1590">
        <v>17000000000000</v>
      </c>
      <c r="I187" s="1428"/>
      <c r="J187" s="1407"/>
      <c r="K187" s="1431">
        <f t="shared" si="27"/>
        <v>1820314136125.6543</v>
      </c>
      <c r="L187" s="1407"/>
      <c r="M187" s="1407"/>
      <c r="N187" s="1407"/>
      <c r="O187" s="1407"/>
      <c r="P187" s="1407"/>
      <c r="Q187" s="1407"/>
      <c r="R187" s="1407"/>
      <c r="S187" s="1407"/>
      <c r="T187" s="1407"/>
      <c r="U187" s="1407"/>
    </row>
    <row r="188" spans="1:21" ht="12">
      <c r="A188" s="1452" t="s">
        <v>3588</v>
      </c>
      <c r="B188" s="1483">
        <v>42026</v>
      </c>
      <c r="C188" s="1452" t="s">
        <v>3470</v>
      </c>
      <c r="D188" s="1433" t="s">
        <v>3594</v>
      </c>
      <c r="E188" s="1589"/>
      <c r="F188" s="15">
        <v>208000000000000</v>
      </c>
      <c r="G188" s="1590">
        <v>191000000000</v>
      </c>
      <c r="H188" s="1590">
        <v>17000000000000</v>
      </c>
      <c r="I188" s="1428"/>
      <c r="J188" s="1407"/>
      <c r="K188" s="1431">
        <f t="shared" si="27"/>
        <v>35719371727748.688</v>
      </c>
      <c r="L188" s="1407"/>
      <c r="M188" s="1407"/>
      <c r="N188" s="1407"/>
      <c r="O188" s="1407"/>
      <c r="P188" s="1407"/>
      <c r="Q188" s="1407"/>
      <c r="R188" s="1407"/>
      <c r="S188" s="1407"/>
      <c r="T188" s="1407"/>
      <c r="U188" s="1407"/>
    </row>
    <row r="189" spans="1:21" ht="12">
      <c r="A189" s="1407"/>
      <c r="B189" s="1407"/>
      <c r="C189" s="1407"/>
      <c r="D189" s="1409"/>
      <c r="E189" s="1410"/>
      <c r="F189" s="1495"/>
      <c r="G189" s="1534"/>
      <c r="H189" s="1534"/>
      <c r="I189" s="1428"/>
      <c r="J189" s="1407"/>
      <c r="K189" s="1431"/>
      <c r="L189" s="1407"/>
      <c r="M189" s="1407"/>
      <c r="N189" s="1407"/>
      <c r="O189" s="1407"/>
      <c r="P189" s="1407"/>
      <c r="Q189" s="1407"/>
      <c r="R189" s="1407"/>
      <c r="S189" s="1407"/>
      <c r="T189" s="1407"/>
      <c r="U189" s="1407"/>
    </row>
    <row r="190" spans="1:21" ht="12">
      <c r="A190" s="1452" t="s">
        <v>3595</v>
      </c>
      <c r="B190" s="1483">
        <v>42032</v>
      </c>
      <c r="C190" s="1452" t="s">
        <v>3470</v>
      </c>
      <c r="D190" s="1433" t="s">
        <v>3596</v>
      </c>
      <c r="E190" s="1589"/>
      <c r="F190" s="15">
        <v>35400000000000</v>
      </c>
      <c r="G190" s="1590">
        <v>47600000000</v>
      </c>
      <c r="H190" s="1590">
        <v>15400000000000</v>
      </c>
      <c r="I190" s="1428"/>
      <c r="J190" s="1407"/>
      <c r="K190" s="1431">
        <f t="shared" ref="K190:K199" si="28">(32800000000/G190)*F190</f>
        <v>24393277310924.371</v>
      </c>
      <c r="L190" s="1407"/>
      <c r="M190" s="1407"/>
      <c r="N190" s="1407"/>
      <c r="O190" s="1407"/>
      <c r="P190" s="1407"/>
      <c r="Q190" s="1407"/>
      <c r="R190" s="1407"/>
      <c r="S190" s="1407"/>
      <c r="T190" s="1407"/>
      <c r="U190" s="1407"/>
    </row>
    <row r="191" spans="1:21" ht="12">
      <c r="A191" s="1452" t="s">
        <v>3595</v>
      </c>
      <c r="B191" s="1483">
        <v>42032</v>
      </c>
      <c r="C191" s="1452" t="s">
        <v>3470</v>
      </c>
      <c r="D191" s="1433" t="s">
        <v>3597</v>
      </c>
      <c r="E191" s="1589"/>
      <c r="F191" s="15">
        <v>33600000000000</v>
      </c>
      <c r="G191" s="1590">
        <v>47600000000</v>
      </c>
      <c r="H191" s="1590">
        <v>15400000000000</v>
      </c>
      <c r="I191" s="1428"/>
      <c r="J191" s="1407"/>
      <c r="K191" s="1431">
        <f t="shared" si="28"/>
        <v>23152941176470.59</v>
      </c>
      <c r="L191" s="1407"/>
      <c r="M191" s="1407"/>
      <c r="N191" s="1407"/>
      <c r="O191" s="1407"/>
      <c r="P191" s="1407"/>
      <c r="Q191" s="1407"/>
      <c r="R191" s="1407"/>
      <c r="S191" s="1407"/>
      <c r="T191" s="1407"/>
      <c r="U191" s="1407"/>
    </row>
    <row r="192" spans="1:21" ht="12">
      <c r="A192" s="1452" t="s">
        <v>3595</v>
      </c>
      <c r="B192" s="1483">
        <v>42032</v>
      </c>
      <c r="C192" s="1452" t="s">
        <v>3470</v>
      </c>
      <c r="D192" s="1433" t="s">
        <v>3598</v>
      </c>
      <c r="E192" s="1589"/>
      <c r="F192" s="15">
        <v>10600000000000</v>
      </c>
      <c r="G192" s="1590">
        <v>47600000000</v>
      </c>
      <c r="H192" s="1590">
        <v>15400000000000</v>
      </c>
      <c r="I192" s="1428"/>
      <c r="J192" s="1407"/>
      <c r="K192" s="1431">
        <f t="shared" si="28"/>
        <v>7304201680672.2686</v>
      </c>
      <c r="L192" s="1407"/>
      <c r="M192" s="1407"/>
      <c r="N192" s="1407"/>
      <c r="O192" s="1407"/>
      <c r="P192" s="1407"/>
      <c r="Q192" s="1407"/>
      <c r="R192" s="1407"/>
      <c r="S192" s="1407"/>
      <c r="T192" s="1407"/>
      <c r="U192" s="1407"/>
    </row>
    <row r="193" spans="1:21" ht="12">
      <c r="A193" s="1452" t="s">
        <v>3595</v>
      </c>
      <c r="B193" s="1483">
        <v>42032</v>
      </c>
      <c r="C193" s="1452" t="s">
        <v>3470</v>
      </c>
      <c r="D193" s="1433" t="s">
        <v>3599</v>
      </c>
      <c r="E193" s="1589"/>
      <c r="F193" s="15">
        <v>12300000000000</v>
      </c>
      <c r="G193" s="1590">
        <v>47600000000</v>
      </c>
      <c r="H193" s="1590">
        <v>15400000000000</v>
      </c>
      <c r="I193" s="1428"/>
      <c r="J193" s="1407"/>
      <c r="K193" s="1431">
        <f t="shared" si="28"/>
        <v>8475630252100.8398</v>
      </c>
      <c r="L193" s="1407"/>
      <c r="M193" s="1407"/>
      <c r="N193" s="1407"/>
      <c r="O193" s="1407"/>
      <c r="P193" s="1407"/>
      <c r="Q193" s="1407"/>
      <c r="R193" s="1407"/>
      <c r="S193" s="1407"/>
      <c r="T193" s="1407"/>
      <c r="U193" s="1407"/>
    </row>
    <row r="194" spans="1:21" ht="12">
      <c r="A194" s="1452" t="s">
        <v>3595</v>
      </c>
      <c r="B194" s="1483">
        <v>42032</v>
      </c>
      <c r="C194" s="1452" t="s">
        <v>3470</v>
      </c>
      <c r="D194" s="1433" t="s">
        <v>3600</v>
      </c>
      <c r="E194" s="1589"/>
      <c r="F194" s="15">
        <v>34900000000000</v>
      </c>
      <c r="G194" s="1590">
        <v>47600000000</v>
      </c>
      <c r="H194" s="1590">
        <v>15400000000000</v>
      </c>
      <c r="I194" s="1428"/>
      <c r="J194" s="1407"/>
      <c r="K194" s="1431">
        <f t="shared" si="28"/>
        <v>24048739495798.32</v>
      </c>
      <c r="L194" s="1407"/>
      <c r="M194" s="1407"/>
      <c r="N194" s="1407"/>
      <c r="O194" s="1407"/>
      <c r="P194" s="1407"/>
      <c r="Q194" s="1407"/>
      <c r="R194" s="1407"/>
      <c r="S194" s="1407"/>
      <c r="T194" s="1407"/>
      <c r="U194" s="1407"/>
    </row>
    <row r="195" spans="1:21" ht="12">
      <c r="A195" s="1452" t="s">
        <v>3595</v>
      </c>
      <c r="B195" s="1483">
        <v>42032</v>
      </c>
      <c r="C195" s="1452" t="s">
        <v>3470</v>
      </c>
      <c r="D195" s="1433" t="s">
        <v>3605</v>
      </c>
      <c r="E195" s="1589"/>
      <c r="F195" s="15">
        <v>28200000000000</v>
      </c>
      <c r="G195" s="1590">
        <v>47600000000</v>
      </c>
      <c r="H195" s="1590">
        <v>15400000000000</v>
      </c>
      <c r="I195" s="1428"/>
      <c r="J195" s="1407"/>
      <c r="K195" s="1431">
        <f t="shared" si="28"/>
        <v>19431932773109.242</v>
      </c>
      <c r="L195" s="1407"/>
      <c r="M195" s="1407"/>
      <c r="N195" s="1407"/>
      <c r="O195" s="1407"/>
      <c r="P195" s="1407"/>
      <c r="Q195" s="1407"/>
      <c r="R195" s="1407"/>
      <c r="S195" s="1407"/>
      <c r="T195" s="1407"/>
      <c r="U195" s="1407"/>
    </row>
    <row r="196" spans="1:21" ht="12">
      <c r="A196" s="1452" t="s">
        <v>3595</v>
      </c>
      <c r="B196" s="1483">
        <v>42032</v>
      </c>
      <c r="C196" s="1452" t="s">
        <v>3470</v>
      </c>
      <c r="D196" s="1433" t="s">
        <v>3589</v>
      </c>
      <c r="E196" s="1589"/>
      <c r="F196" s="15">
        <v>13100000000000</v>
      </c>
      <c r="G196" s="1590">
        <v>47600000000</v>
      </c>
      <c r="H196" s="1590">
        <v>15400000000000</v>
      </c>
      <c r="I196" s="1428"/>
      <c r="J196" s="1407"/>
      <c r="K196" s="1431">
        <f t="shared" si="28"/>
        <v>9026890756302.5215</v>
      </c>
      <c r="L196" s="1407"/>
      <c r="M196" s="1407"/>
      <c r="N196" s="1407"/>
      <c r="O196" s="1407"/>
      <c r="P196" s="1407"/>
      <c r="Q196" s="1407"/>
      <c r="R196" s="1407"/>
      <c r="S196" s="1407"/>
      <c r="T196" s="1407"/>
      <c r="U196" s="1407"/>
    </row>
    <row r="197" spans="1:21" ht="12">
      <c r="A197" s="1452" t="s">
        <v>3595</v>
      </c>
      <c r="B197" s="1483">
        <v>42032</v>
      </c>
      <c r="C197" s="1452" t="s">
        <v>3470</v>
      </c>
      <c r="D197" s="1433" t="s">
        <v>3590</v>
      </c>
      <c r="E197" s="1600"/>
      <c r="F197" s="1601">
        <v>5310000000000</v>
      </c>
      <c r="G197" s="1590">
        <v>47600000000</v>
      </c>
      <c r="H197" s="1590">
        <v>15400000000000</v>
      </c>
      <c r="I197" s="1428"/>
      <c r="J197" s="1407"/>
      <c r="K197" s="1431">
        <f t="shared" si="28"/>
        <v>3658991596638.6553</v>
      </c>
      <c r="L197" s="1407"/>
      <c r="M197" s="1407"/>
      <c r="N197" s="1407"/>
      <c r="O197" s="1407"/>
      <c r="P197" s="1407"/>
      <c r="Q197" s="1407"/>
      <c r="R197" s="1407"/>
      <c r="S197" s="1407"/>
      <c r="T197" s="1407"/>
      <c r="U197" s="1407"/>
    </row>
    <row r="198" spans="1:21" ht="12">
      <c r="A198" s="1452" t="s">
        <v>3595</v>
      </c>
      <c r="B198" s="1483">
        <v>42032</v>
      </c>
      <c r="C198" s="1452" t="s">
        <v>3470</v>
      </c>
      <c r="D198" s="1433" t="s">
        <v>3591</v>
      </c>
      <c r="E198" s="1589"/>
      <c r="F198" s="15">
        <v>19000000000000</v>
      </c>
      <c r="G198" s="1590">
        <v>47600000000</v>
      </c>
      <c r="H198" s="1590">
        <v>15400000000000</v>
      </c>
      <c r="I198" s="1428"/>
      <c r="J198" s="1407"/>
      <c r="K198" s="1431">
        <f t="shared" si="28"/>
        <v>13092436974789.916</v>
      </c>
      <c r="L198" s="1407"/>
      <c r="M198" s="1407"/>
      <c r="N198" s="1407"/>
      <c r="O198" s="1407"/>
      <c r="P198" s="1407"/>
      <c r="Q198" s="1407"/>
      <c r="R198" s="1407"/>
      <c r="S198" s="1407"/>
      <c r="T198" s="1407"/>
      <c r="U198" s="1407"/>
    </row>
    <row r="199" spans="1:21" ht="12">
      <c r="A199" s="1452" t="s">
        <v>3595</v>
      </c>
      <c r="B199" s="1483">
        <v>42032</v>
      </c>
      <c r="C199" s="1452" t="s">
        <v>3470</v>
      </c>
      <c r="D199" s="1433" t="s">
        <v>3592</v>
      </c>
      <c r="E199" s="1589"/>
      <c r="F199" s="15">
        <v>21300000000000</v>
      </c>
      <c r="G199" s="1590">
        <v>47600000000</v>
      </c>
      <c r="H199" s="1590">
        <v>15400000000000</v>
      </c>
      <c r="I199" s="1428"/>
      <c r="J199" s="1407"/>
      <c r="K199" s="1431">
        <f t="shared" si="28"/>
        <v>14677310924369.748</v>
      </c>
      <c r="L199" s="1407"/>
      <c r="M199" s="1407"/>
      <c r="N199" s="1407"/>
      <c r="O199" s="1407"/>
      <c r="P199" s="1407"/>
      <c r="Q199" s="1407"/>
      <c r="R199" s="1407"/>
      <c r="S199" s="1407"/>
      <c r="T199" s="1407"/>
      <c r="U199" s="1407"/>
    </row>
    <row r="200" spans="1:21" ht="12">
      <c r="A200" s="1407"/>
      <c r="B200" s="1407"/>
      <c r="C200" s="1407"/>
      <c r="D200" s="1409"/>
      <c r="E200" s="1410"/>
      <c r="F200" s="1495"/>
      <c r="G200" s="1534"/>
      <c r="H200" s="1534"/>
      <c r="I200" s="1428"/>
      <c r="J200" s="1407"/>
      <c r="K200" s="1431"/>
      <c r="L200" s="1407"/>
      <c r="M200" s="1407"/>
      <c r="N200" s="1407"/>
      <c r="O200" s="1407"/>
      <c r="P200" s="1407"/>
      <c r="Q200" s="1407"/>
      <c r="R200" s="1407"/>
      <c r="S200" s="1407"/>
      <c r="T200" s="1407"/>
      <c r="U200" s="1407"/>
    </row>
    <row r="201" spans="1:21" ht="12">
      <c r="A201" s="1452" t="s">
        <v>3607</v>
      </c>
      <c r="B201" s="1483">
        <v>42039</v>
      </c>
      <c r="C201" s="1452" t="s">
        <v>3470</v>
      </c>
      <c r="D201" s="1433" t="s">
        <v>3608</v>
      </c>
      <c r="E201" s="1589"/>
      <c r="F201" s="15">
        <v>10200000000000</v>
      </c>
      <c r="G201" s="1590">
        <v>176000000000</v>
      </c>
      <c r="H201" s="1590">
        <v>36800000000000</v>
      </c>
      <c r="I201" s="1428"/>
      <c r="J201" s="1452" t="s">
        <v>400</v>
      </c>
      <c r="K201" s="1431">
        <f t="shared" ref="K201:K210" si="29">(32800000000/G201)*F201</f>
        <v>1900909090909.0911</v>
      </c>
      <c r="L201" s="1407"/>
      <c r="M201" s="1407"/>
      <c r="N201" s="1407"/>
      <c r="O201" s="1407"/>
      <c r="P201" s="1407"/>
      <c r="Q201" s="1407"/>
      <c r="R201" s="1407"/>
      <c r="S201" s="1407"/>
      <c r="T201" s="1407"/>
      <c r="U201" s="1407"/>
    </row>
    <row r="202" spans="1:21" ht="12">
      <c r="A202" s="1452" t="s">
        <v>3607</v>
      </c>
      <c r="B202" s="1483">
        <v>42039</v>
      </c>
      <c r="C202" s="1452" t="s">
        <v>3470</v>
      </c>
      <c r="D202" s="1433" t="s">
        <v>3610</v>
      </c>
      <c r="E202" s="1589"/>
      <c r="F202" s="15">
        <v>6620000000000</v>
      </c>
      <c r="G202" s="1590">
        <v>176000000000</v>
      </c>
      <c r="H202" s="1590">
        <v>36800000000000</v>
      </c>
      <c r="I202" s="1428"/>
      <c r="J202" s="1452" t="s">
        <v>400</v>
      </c>
      <c r="K202" s="1431">
        <f t="shared" si="29"/>
        <v>1233727272727.2727</v>
      </c>
      <c r="L202" s="1407"/>
      <c r="M202" s="1407"/>
      <c r="N202" s="1407"/>
      <c r="O202" s="1407"/>
      <c r="P202" s="1407"/>
      <c r="Q202" s="1407"/>
      <c r="R202" s="1407"/>
      <c r="S202" s="1407"/>
      <c r="T202" s="1407"/>
      <c r="U202" s="1407"/>
    </row>
    <row r="203" spans="1:21" ht="12">
      <c r="A203" s="1452" t="s">
        <v>3607</v>
      </c>
      <c r="B203" s="1483">
        <v>42039</v>
      </c>
      <c r="C203" s="1452" t="s">
        <v>3470</v>
      </c>
      <c r="D203" s="1433" t="s">
        <v>3611</v>
      </c>
      <c r="E203" s="1589"/>
      <c r="F203" s="15">
        <v>42200000000000</v>
      </c>
      <c r="G203" s="1590">
        <v>176000000000</v>
      </c>
      <c r="H203" s="1590">
        <v>36800000000000</v>
      </c>
      <c r="I203" s="1428"/>
      <c r="J203" s="1452" t="s">
        <v>400</v>
      </c>
      <c r="K203" s="1431">
        <f t="shared" si="29"/>
        <v>7864545454545.4551</v>
      </c>
      <c r="L203" s="1407"/>
      <c r="M203" s="1407"/>
      <c r="N203" s="1407"/>
      <c r="O203" s="1407"/>
      <c r="P203" s="1407"/>
      <c r="Q203" s="1407"/>
      <c r="R203" s="1407"/>
      <c r="S203" s="1407"/>
      <c r="T203" s="1407"/>
      <c r="U203" s="1407"/>
    </row>
    <row r="204" spans="1:21" ht="12">
      <c r="A204" s="1452" t="s">
        <v>3607</v>
      </c>
      <c r="B204" s="1483">
        <v>42039</v>
      </c>
      <c r="C204" s="1452" t="s">
        <v>3470</v>
      </c>
      <c r="D204" s="1433" t="s">
        <v>3612</v>
      </c>
      <c r="E204" s="1589"/>
      <c r="F204" s="15">
        <v>37600000000000</v>
      </c>
      <c r="G204" s="1590">
        <v>176000000000</v>
      </c>
      <c r="H204" s="1590">
        <v>36800000000000</v>
      </c>
      <c r="I204" s="1428"/>
      <c r="J204" s="1452" t="s">
        <v>400</v>
      </c>
      <c r="K204" s="1431">
        <f t="shared" si="29"/>
        <v>7007272727272.7275</v>
      </c>
      <c r="L204" s="1407"/>
      <c r="M204" s="1407"/>
      <c r="N204" s="1407"/>
      <c r="O204" s="1407"/>
      <c r="P204" s="1407"/>
      <c r="Q204" s="1407"/>
      <c r="R204" s="1407"/>
      <c r="S204" s="1407"/>
      <c r="T204" s="1407"/>
      <c r="U204" s="1407"/>
    </row>
    <row r="205" spans="1:21" ht="12">
      <c r="A205" s="1452" t="s">
        <v>3607</v>
      </c>
      <c r="B205" s="1483">
        <v>42039</v>
      </c>
      <c r="C205" s="1452" t="s">
        <v>3470</v>
      </c>
      <c r="D205" s="1433" t="s">
        <v>3613</v>
      </c>
      <c r="E205" s="1589"/>
      <c r="F205" s="15">
        <v>16400000000000</v>
      </c>
      <c r="G205" s="1590">
        <v>176000000000</v>
      </c>
      <c r="H205" s="1590">
        <v>36800000000000</v>
      </c>
      <c r="I205" s="1428"/>
      <c r="J205" s="1452" t="s">
        <v>400</v>
      </c>
      <c r="K205" s="1431">
        <f t="shared" si="29"/>
        <v>3056363636363.6362</v>
      </c>
      <c r="L205" s="1407"/>
      <c r="M205" s="1407"/>
      <c r="N205" s="1407"/>
      <c r="O205" s="1407"/>
      <c r="P205" s="1407"/>
      <c r="Q205" s="1407"/>
      <c r="R205" s="1407"/>
      <c r="S205" s="1407"/>
      <c r="T205" s="1407"/>
      <c r="U205" s="1407"/>
    </row>
    <row r="206" spans="1:21" ht="12">
      <c r="A206" s="1452" t="s">
        <v>3607</v>
      </c>
      <c r="B206" s="1483">
        <v>42039</v>
      </c>
      <c r="C206" s="1452" t="s">
        <v>3470</v>
      </c>
      <c r="D206" s="1433" t="s">
        <v>3614</v>
      </c>
      <c r="E206" s="1589"/>
      <c r="F206" s="15">
        <v>6170000000000</v>
      </c>
      <c r="G206" s="1590">
        <v>176000000000</v>
      </c>
      <c r="H206" s="1590">
        <v>36800000000000</v>
      </c>
      <c r="I206" s="1428"/>
      <c r="J206" s="1452" t="s">
        <v>400</v>
      </c>
      <c r="K206" s="1431">
        <f t="shared" si="29"/>
        <v>1149863636363.6365</v>
      </c>
      <c r="L206" s="1407"/>
      <c r="M206" s="1407"/>
      <c r="N206" s="1407"/>
      <c r="O206" s="1407"/>
      <c r="P206" s="1407"/>
      <c r="Q206" s="1407"/>
      <c r="R206" s="1407"/>
      <c r="S206" s="1407"/>
      <c r="T206" s="1407"/>
      <c r="U206" s="1407"/>
    </row>
    <row r="207" spans="1:21" ht="12">
      <c r="A207" s="1452" t="s">
        <v>3607</v>
      </c>
      <c r="B207" s="1483">
        <v>42039</v>
      </c>
      <c r="C207" s="1452" t="s">
        <v>3470</v>
      </c>
      <c r="D207" s="1433" t="s">
        <v>3615</v>
      </c>
      <c r="E207" s="1589"/>
      <c r="F207" s="15">
        <v>37000000000000</v>
      </c>
      <c r="G207" s="1590">
        <v>176000000000</v>
      </c>
      <c r="H207" s="1590">
        <v>36800000000000</v>
      </c>
      <c r="I207" s="1428"/>
      <c r="J207" s="1452" t="s">
        <v>400</v>
      </c>
      <c r="K207" s="1431">
        <f t="shared" si="29"/>
        <v>6895454545454.5459</v>
      </c>
      <c r="L207" s="1407"/>
      <c r="M207" s="1407"/>
      <c r="N207" s="1407"/>
      <c r="O207" s="1407"/>
      <c r="P207" s="1407"/>
      <c r="Q207" s="1407"/>
      <c r="R207" s="1407"/>
      <c r="S207" s="1407"/>
      <c r="T207" s="1407"/>
      <c r="U207" s="1407"/>
    </row>
    <row r="208" spans="1:21" ht="12">
      <c r="A208" s="1452" t="s">
        <v>3607</v>
      </c>
      <c r="B208" s="1483">
        <v>42039</v>
      </c>
      <c r="C208" s="1452" t="s">
        <v>3470</v>
      </c>
      <c r="D208" s="1433" t="s">
        <v>3616</v>
      </c>
      <c r="E208" s="1600"/>
      <c r="F208" s="1601">
        <v>7350000000000</v>
      </c>
      <c r="G208" s="1603">
        <v>176000000000</v>
      </c>
      <c r="H208" s="1603">
        <v>36800000000000</v>
      </c>
      <c r="I208" s="1428"/>
      <c r="J208" s="1452" t="s">
        <v>3619</v>
      </c>
      <c r="K208" s="1431">
        <f t="shared" si="29"/>
        <v>1369772727272.7273</v>
      </c>
      <c r="L208" s="1407"/>
      <c r="M208" s="1407"/>
      <c r="N208" s="1407"/>
      <c r="O208" s="1407"/>
      <c r="P208" s="1407"/>
      <c r="Q208" s="1407"/>
      <c r="R208" s="1407"/>
      <c r="S208" s="1407"/>
      <c r="T208" s="1407"/>
      <c r="U208" s="1407"/>
    </row>
    <row r="209" spans="1:21" ht="12">
      <c r="A209" s="1452" t="s">
        <v>3607</v>
      </c>
      <c r="B209" s="1483">
        <v>42039</v>
      </c>
      <c r="C209" s="1452" t="s">
        <v>3470</v>
      </c>
      <c r="D209" s="1433" t="s">
        <v>3620</v>
      </c>
      <c r="E209" s="1589"/>
      <c r="F209" s="15">
        <v>17600000000000</v>
      </c>
      <c r="G209" s="1590">
        <v>176000000000</v>
      </c>
      <c r="H209" s="1590">
        <v>36800000000000</v>
      </c>
      <c r="I209" s="1428"/>
      <c r="J209" s="1452" t="s">
        <v>400</v>
      </c>
      <c r="K209" s="1431">
        <f t="shared" si="29"/>
        <v>3280000000000</v>
      </c>
      <c r="L209" s="1407"/>
      <c r="M209" s="1407"/>
      <c r="N209" s="1407"/>
      <c r="O209" s="1407"/>
      <c r="P209" s="1407"/>
      <c r="Q209" s="1407"/>
      <c r="R209" s="1407"/>
      <c r="S209" s="1407"/>
      <c r="T209" s="1407"/>
      <c r="U209" s="1407"/>
    </row>
    <row r="210" spans="1:21" ht="12">
      <c r="A210" s="1452" t="s">
        <v>3607</v>
      </c>
      <c r="B210" s="1483">
        <v>42039</v>
      </c>
      <c r="C210" s="1452" t="s">
        <v>3470</v>
      </c>
      <c r="D210" s="1433" t="s">
        <v>3621</v>
      </c>
      <c r="E210" s="1589"/>
      <c r="F210" s="15">
        <v>23000000000000</v>
      </c>
      <c r="G210" s="1590">
        <v>176000000000</v>
      </c>
      <c r="H210" s="1590">
        <v>36800000000000</v>
      </c>
      <c r="I210" s="1428"/>
      <c r="J210" s="1452" t="s">
        <v>400</v>
      </c>
      <c r="K210" s="1431">
        <f t="shared" si="29"/>
        <v>4286363636363.6367</v>
      </c>
      <c r="L210" s="1407"/>
      <c r="M210" s="1407"/>
      <c r="N210" s="1407"/>
      <c r="O210" s="1407"/>
      <c r="P210" s="1407"/>
      <c r="Q210" s="1407"/>
      <c r="R210" s="1407"/>
      <c r="S210" s="1407"/>
      <c r="T210" s="1407"/>
      <c r="U210" s="1407"/>
    </row>
    <row r="211" spans="1:21" ht="12">
      <c r="A211" s="1407"/>
      <c r="B211" s="1407"/>
      <c r="C211" s="1407"/>
      <c r="D211" s="1409"/>
      <c r="E211" s="1410"/>
      <c r="F211" s="1495"/>
      <c r="G211" s="1534"/>
      <c r="H211" s="1534"/>
      <c r="I211" s="1428"/>
      <c r="J211" s="1407"/>
      <c r="K211" s="1431"/>
      <c r="L211" s="1407"/>
      <c r="M211" s="1407"/>
      <c r="N211" s="1407"/>
      <c r="O211" s="1407"/>
      <c r="P211" s="1407"/>
      <c r="Q211" s="1407"/>
      <c r="R211" s="1407"/>
      <c r="S211" s="1407"/>
      <c r="T211" s="1407"/>
      <c r="U211" s="1407"/>
    </row>
    <row r="212" spans="1:21" ht="12">
      <c r="A212" s="1452" t="s">
        <v>3622</v>
      </c>
      <c r="B212" s="1483">
        <v>42046</v>
      </c>
      <c r="C212" s="1452" t="s">
        <v>3470</v>
      </c>
      <c r="D212" s="1433" t="s">
        <v>3623</v>
      </c>
      <c r="E212" s="1589"/>
      <c r="F212" s="15">
        <v>1590000000000</v>
      </c>
      <c r="G212" s="1590">
        <v>17900000000</v>
      </c>
      <c r="H212" s="1590">
        <v>5710000000000</v>
      </c>
      <c r="I212" s="1428"/>
      <c r="J212" s="1407"/>
      <c r="K212" s="1431">
        <f t="shared" ref="K212:K221" si="30">(32800000000/G212)*F212</f>
        <v>2913519553072.626</v>
      </c>
      <c r="L212" s="1407"/>
      <c r="M212" s="1407"/>
      <c r="N212" s="1407"/>
      <c r="O212" s="1407"/>
      <c r="P212" s="1407"/>
      <c r="Q212" s="1407"/>
      <c r="R212" s="1407"/>
      <c r="S212" s="1407"/>
      <c r="T212" s="1407"/>
      <c r="U212" s="1407"/>
    </row>
    <row r="213" spans="1:21" ht="12">
      <c r="A213" s="1452" t="s">
        <v>3622</v>
      </c>
      <c r="B213" s="1483">
        <v>42046</v>
      </c>
      <c r="C213" s="1452" t="s">
        <v>3470</v>
      </c>
      <c r="D213" s="1433" t="s">
        <v>3624</v>
      </c>
      <c r="E213" s="1589"/>
      <c r="F213" s="15">
        <v>201000000000</v>
      </c>
      <c r="G213" s="1590">
        <v>17900000000</v>
      </c>
      <c r="H213" s="1590">
        <v>5710000000000</v>
      </c>
      <c r="I213" s="1428"/>
      <c r="J213" s="1407"/>
      <c r="K213" s="1431">
        <f t="shared" si="30"/>
        <v>368312849162.01117</v>
      </c>
      <c r="L213" s="1407"/>
      <c r="M213" s="1407"/>
      <c r="N213" s="1407"/>
      <c r="O213" s="1407"/>
      <c r="P213" s="1407"/>
      <c r="Q213" s="1407"/>
      <c r="R213" s="1407"/>
      <c r="S213" s="1407"/>
      <c r="T213" s="1407"/>
      <c r="U213" s="1407"/>
    </row>
    <row r="214" spans="1:21" ht="12">
      <c r="A214" s="1452" t="s">
        <v>3622</v>
      </c>
      <c r="B214" s="1483">
        <v>42046</v>
      </c>
      <c r="C214" s="1452" t="s">
        <v>3470</v>
      </c>
      <c r="D214" s="1433" t="s">
        <v>3626</v>
      </c>
      <c r="E214" s="1589"/>
      <c r="F214" s="15">
        <v>21400000000000</v>
      </c>
      <c r="G214" s="1590">
        <v>17900000000</v>
      </c>
      <c r="H214" s="1590">
        <v>5710000000000</v>
      </c>
      <c r="I214" s="1428"/>
      <c r="J214" s="1407"/>
      <c r="K214" s="1431">
        <f t="shared" si="30"/>
        <v>39213407821229.055</v>
      </c>
      <c r="L214" s="1407"/>
      <c r="M214" s="1407"/>
      <c r="N214" s="1407"/>
      <c r="O214" s="1407"/>
      <c r="P214" s="1407"/>
      <c r="Q214" s="1407"/>
      <c r="R214" s="1407"/>
      <c r="S214" s="1407"/>
      <c r="T214" s="1407"/>
      <c r="U214" s="1407"/>
    </row>
    <row r="215" spans="1:21" ht="12">
      <c r="A215" s="1452" t="s">
        <v>3622</v>
      </c>
      <c r="B215" s="1483">
        <v>42046</v>
      </c>
      <c r="C215" s="1452" t="s">
        <v>3470</v>
      </c>
      <c r="D215" s="1433" t="s">
        <v>3627</v>
      </c>
      <c r="E215" s="1589"/>
      <c r="F215" s="15">
        <v>34800000000000</v>
      </c>
      <c r="G215" s="1590">
        <v>17900000000</v>
      </c>
      <c r="H215" s="1590">
        <v>5710000000000</v>
      </c>
      <c r="I215" s="1428"/>
      <c r="J215" s="1407"/>
      <c r="K215" s="1431">
        <f t="shared" si="30"/>
        <v>63767597765363.133</v>
      </c>
      <c r="L215" s="1407"/>
      <c r="M215" s="1407"/>
      <c r="N215" s="1407"/>
      <c r="O215" s="1407"/>
      <c r="P215" s="1407"/>
      <c r="Q215" s="1407"/>
      <c r="R215" s="1407"/>
      <c r="S215" s="1407"/>
      <c r="T215" s="1407"/>
      <c r="U215" s="1407"/>
    </row>
    <row r="216" spans="1:21" ht="12">
      <c r="A216" s="1452" t="s">
        <v>3622</v>
      </c>
      <c r="B216" s="1483">
        <v>42046</v>
      </c>
      <c r="C216" s="1452" t="s">
        <v>3470</v>
      </c>
      <c r="D216" s="1433" t="s">
        <v>3628</v>
      </c>
      <c r="E216" s="1589"/>
      <c r="F216" s="15">
        <v>3650000000000</v>
      </c>
      <c r="G216" s="1590">
        <v>17900000000</v>
      </c>
      <c r="H216" s="1590">
        <v>5710000000000</v>
      </c>
      <c r="I216" s="1428"/>
      <c r="J216" s="1407"/>
      <c r="K216" s="1431">
        <f t="shared" si="30"/>
        <v>6688268156424.5811</v>
      </c>
      <c r="L216" s="1407"/>
      <c r="M216" s="1407"/>
      <c r="N216" s="1407"/>
      <c r="O216" s="1407"/>
      <c r="P216" s="1407"/>
      <c r="Q216" s="1407"/>
      <c r="R216" s="1407"/>
      <c r="S216" s="1407"/>
      <c r="T216" s="1407"/>
      <c r="U216" s="1407"/>
    </row>
    <row r="217" spans="1:21" ht="12">
      <c r="A217" s="1452" t="s">
        <v>3622</v>
      </c>
      <c r="B217" s="1483">
        <v>42046</v>
      </c>
      <c r="C217" s="1452" t="s">
        <v>3470</v>
      </c>
      <c r="D217" s="1433" t="s">
        <v>3629</v>
      </c>
      <c r="E217" s="1589"/>
      <c r="F217" s="15">
        <v>1450000000000</v>
      </c>
      <c r="G217" s="1590">
        <v>17900000000</v>
      </c>
      <c r="H217" s="1590">
        <v>5710000000000</v>
      </c>
      <c r="I217" s="1428"/>
      <c r="J217" s="1407"/>
      <c r="K217" s="1431">
        <f t="shared" si="30"/>
        <v>2656983240223.4639</v>
      </c>
      <c r="L217" s="1407"/>
      <c r="M217" s="1407"/>
      <c r="N217" s="1407"/>
      <c r="O217" s="1407"/>
      <c r="P217" s="1407"/>
      <c r="Q217" s="1407"/>
      <c r="R217" s="1407"/>
      <c r="S217" s="1407"/>
      <c r="T217" s="1407"/>
      <c r="U217" s="1407"/>
    </row>
    <row r="218" spans="1:21" ht="12">
      <c r="A218" s="1452" t="s">
        <v>3622</v>
      </c>
      <c r="B218" s="1483">
        <v>42046</v>
      </c>
      <c r="C218" s="1452" t="s">
        <v>3470</v>
      </c>
      <c r="D218" s="1433" t="s">
        <v>3630</v>
      </c>
      <c r="E218" s="1589"/>
      <c r="F218" s="15">
        <v>3570000000000</v>
      </c>
      <c r="G218" s="1590">
        <v>17900000000</v>
      </c>
      <c r="H218" s="1590">
        <v>5710000000000</v>
      </c>
      <c r="I218" s="1428"/>
      <c r="J218" s="1407"/>
      <c r="K218" s="1431">
        <f t="shared" si="30"/>
        <v>6541675977653.6318</v>
      </c>
      <c r="L218" s="1407"/>
      <c r="M218" s="1407"/>
      <c r="N218" s="1407"/>
      <c r="O218" s="1407"/>
      <c r="P218" s="1407"/>
      <c r="Q218" s="1407"/>
      <c r="R218" s="1407"/>
      <c r="S218" s="1407"/>
      <c r="T218" s="1407"/>
      <c r="U218" s="1407"/>
    </row>
    <row r="219" spans="1:21" ht="12">
      <c r="A219" s="1452" t="s">
        <v>3622</v>
      </c>
      <c r="B219" s="1483">
        <v>42046</v>
      </c>
      <c r="C219" s="1452" t="s">
        <v>3470</v>
      </c>
      <c r="D219" s="1607" t="s">
        <v>3631</v>
      </c>
      <c r="E219" s="1600"/>
      <c r="F219" s="1601">
        <v>598000000000</v>
      </c>
      <c r="G219" s="1590">
        <v>17900000000</v>
      </c>
      <c r="H219" s="1590">
        <v>5710000000000</v>
      </c>
      <c r="I219" s="1428"/>
      <c r="J219" s="1407"/>
      <c r="K219" s="1431">
        <f t="shared" si="30"/>
        <v>1095776536312.8492</v>
      </c>
      <c r="L219" s="1407"/>
      <c r="M219" s="1407"/>
      <c r="N219" s="1407"/>
      <c r="O219" s="1407"/>
      <c r="P219" s="1407"/>
      <c r="Q219" s="1407"/>
      <c r="R219" s="1407"/>
      <c r="S219" s="1407"/>
      <c r="T219" s="1407"/>
      <c r="U219" s="1407"/>
    </row>
    <row r="220" spans="1:21" ht="12">
      <c r="A220" s="1452" t="s">
        <v>3622</v>
      </c>
      <c r="B220" s="1483">
        <v>42046</v>
      </c>
      <c r="C220" s="1452" t="s">
        <v>3470</v>
      </c>
      <c r="D220" s="1433" t="s">
        <v>3632</v>
      </c>
      <c r="E220" s="1589"/>
      <c r="F220" s="15">
        <v>136000000000000</v>
      </c>
      <c r="G220" s="1590">
        <v>17900000000</v>
      </c>
      <c r="H220" s="1590">
        <v>5710000000000</v>
      </c>
      <c r="I220" s="1428"/>
      <c r="J220" s="1407"/>
      <c r="K220" s="1431">
        <f t="shared" si="30"/>
        <v>249206703910614.53</v>
      </c>
      <c r="L220" s="1407"/>
      <c r="M220" s="1407"/>
      <c r="N220" s="1407"/>
      <c r="O220" s="1407"/>
      <c r="P220" s="1407"/>
      <c r="Q220" s="1407"/>
      <c r="R220" s="1407"/>
      <c r="S220" s="1407"/>
      <c r="T220" s="1407"/>
      <c r="U220" s="1407"/>
    </row>
    <row r="221" spans="1:21" ht="12">
      <c r="A221" s="1452" t="s">
        <v>3622</v>
      </c>
      <c r="B221" s="1483">
        <v>42046</v>
      </c>
      <c r="C221" s="1452" t="s">
        <v>3470</v>
      </c>
      <c r="D221" s="1433" t="s">
        <v>3633</v>
      </c>
      <c r="E221" s="1589"/>
      <c r="F221" s="15">
        <v>1610000000000</v>
      </c>
      <c r="G221" s="1590">
        <v>17900000000</v>
      </c>
      <c r="H221" s="1590">
        <v>5710000000000</v>
      </c>
      <c r="I221" s="1428"/>
      <c r="J221" s="1407"/>
      <c r="K221" s="1431">
        <f t="shared" si="30"/>
        <v>2950167597765.3633</v>
      </c>
      <c r="L221" s="1407"/>
      <c r="M221" s="1407"/>
      <c r="N221" s="1407"/>
      <c r="O221" s="1407"/>
      <c r="P221" s="1407"/>
      <c r="Q221" s="1407"/>
      <c r="R221" s="1407"/>
      <c r="S221" s="1407"/>
      <c r="T221" s="1407"/>
      <c r="U221" s="1407"/>
    </row>
    <row r="222" spans="1:21" ht="12">
      <c r="A222" s="1407"/>
      <c r="B222" s="1407"/>
      <c r="C222" s="1407"/>
      <c r="D222" s="1409"/>
      <c r="E222" s="1410"/>
      <c r="F222" s="1495"/>
      <c r="G222" s="1534"/>
      <c r="H222" s="1534"/>
      <c r="I222" s="1428"/>
      <c r="J222" s="1407"/>
      <c r="K222" s="1431"/>
      <c r="L222" s="1407"/>
      <c r="M222" s="1407"/>
      <c r="N222" s="1407"/>
      <c r="O222" s="1407"/>
      <c r="P222" s="1407"/>
      <c r="Q222" s="1407"/>
      <c r="R222" s="1407"/>
      <c r="S222" s="1407"/>
      <c r="T222" s="1407"/>
      <c r="U222" s="1407"/>
    </row>
    <row r="223" spans="1:21" ht="12">
      <c r="A223" s="1452" t="s">
        <v>3634</v>
      </c>
      <c r="B223" s="1483">
        <v>42053</v>
      </c>
      <c r="C223" s="1452" t="s">
        <v>3470</v>
      </c>
      <c r="D223" s="1433" t="s">
        <v>3623</v>
      </c>
      <c r="E223" s="1589"/>
      <c r="F223" s="15">
        <v>4900000000000</v>
      </c>
      <c r="G223" s="1590">
        <v>60800000000</v>
      </c>
      <c r="H223" s="1534"/>
      <c r="I223" s="1428"/>
      <c r="J223" s="1407"/>
      <c r="K223" s="1431">
        <f t="shared" ref="K223:K232" si="31">(32800000000/G223)*F223</f>
        <v>2643421052631.5791</v>
      </c>
      <c r="L223" s="1407"/>
      <c r="M223" s="1407"/>
      <c r="N223" s="1407"/>
      <c r="O223" s="1407"/>
      <c r="P223" s="1407"/>
      <c r="Q223" s="1407"/>
      <c r="R223" s="1407"/>
      <c r="S223" s="1407"/>
      <c r="T223" s="1407"/>
      <c r="U223" s="1407"/>
    </row>
    <row r="224" spans="1:21" ht="24">
      <c r="A224" s="1452" t="s">
        <v>3634</v>
      </c>
      <c r="B224" s="1483">
        <v>42053</v>
      </c>
      <c r="C224" s="1452" t="s">
        <v>3470</v>
      </c>
      <c r="D224" s="1609" t="s">
        <v>3624</v>
      </c>
      <c r="E224" s="1610"/>
      <c r="F224" s="1611">
        <v>3580000000000</v>
      </c>
      <c r="G224" s="1590">
        <v>60800000000</v>
      </c>
      <c r="H224" s="1407"/>
      <c r="I224" s="1428"/>
      <c r="J224" s="1438" t="s">
        <v>3638</v>
      </c>
      <c r="K224" s="1431">
        <f t="shared" si="31"/>
        <v>1931315789473.6843</v>
      </c>
      <c r="L224" s="1407"/>
      <c r="M224" s="1407"/>
      <c r="N224" s="1407"/>
      <c r="O224" s="1407"/>
      <c r="P224" s="1407"/>
      <c r="Q224" s="1407"/>
      <c r="R224" s="1407"/>
      <c r="S224" s="1407"/>
      <c r="T224" s="1407"/>
      <c r="U224" s="1407"/>
    </row>
    <row r="225" spans="1:21" ht="12">
      <c r="A225" s="1452" t="s">
        <v>3634</v>
      </c>
      <c r="B225" s="1483">
        <v>42053</v>
      </c>
      <c r="C225" s="1452" t="s">
        <v>3470</v>
      </c>
      <c r="D225" s="1433" t="s">
        <v>3626</v>
      </c>
      <c r="E225" s="1589"/>
      <c r="F225" s="15">
        <v>57700000000000</v>
      </c>
      <c r="G225" s="1590">
        <v>60800000000</v>
      </c>
      <c r="H225" s="1534"/>
      <c r="I225" s="1428"/>
      <c r="J225" s="1407"/>
      <c r="K225" s="1431">
        <f t="shared" si="31"/>
        <v>31127631578947.367</v>
      </c>
      <c r="L225" s="1407"/>
      <c r="M225" s="1407"/>
      <c r="N225" s="1407"/>
      <c r="O225" s="1407"/>
      <c r="P225" s="1407"/>
      <c r="Q225" s="1407"/>
      <c r="R225" s="1407"/>
      <c r="S225" s="1407"/>
      <c r="T225" s="1407"/>
      <c r="U225" s="1407"/>
    </row>
    <row r="226" spans="1:21" ht="12">
      <c r="A226" s="1452" t="s">
        <v>3634</v>
      </c>
      <c r="B226" s="1483">
        <v>42053</v>
      </c>
      <c r="C226" s="1452" t="s">
        <v>3470</v>
      </c>
      <c r="D226" s="1433" t="s">
        <v>3627</v>
      </c>
      <c r="E226" s="1589"/>
      <c r="F226" s="15">
        <v>76500000000000</v>
      </c>
      <c r="G226" s="1590">
        <v>60800000000</v>
      </c>
      <c r="H226" s="1534"/>
      <c r="I226" s="1428"/>
      <c r="J226" s="1407"/>
      <c r="K226" s="1431">
        <f t="shared" si="31"/>
        <v>41269736842105.266</v>
      </c>
      <c r="L226" s="1407"/>
      <c r="M226" s="1407"/>
      <c r="N226" s="1407"/>
      <c r="O226" s="1407"/>
      <c r="P226" s="1407"/>
      <c r="Q226" s="1407"/>
      <c r="R226" s="1407"/>
      <c r="S226" s="1407"/>
      <c r="T226" s="1407"/>
      <c r="U226" s="1407"/>
    </row>
    <row r="227" spans="1:21" ht="12">
      <c r="A227" s="1452" t="s">
        <v>3634</v>
      </c>
      <c r="B227" s="1483">
        <v>42053</v>
      </c>
      <c r="C227" s="1452" t="s">
        <v>3470</v>
      </c>
      <c r="D227" s="1433" t="s">
        <v>3628</v>
      </c>
      <c r="E227" s="1589"/>
      <c r="F227" s="15">
        <v>8200000000000</v>
      </c>
      <c r="G227" s="1590">
        <v>60800000000</v>
      </c>
      <c r="H227" s="1534"/>
      <c r="I227" s="1428"/>
      <c r="J227" s="1407"/>
      <c r="K227" s="1431">
        <f t="shared" si="31"/>
        <v>4423684210526.3154</v>
      </c>
      <c r="L227" s="1407"/>
      <c r="M227" s="1407"/>
      <c r="N227" s="1407"/>
      <c r="O227" s="1407"/>
      <c r="P227" s="1407"/>
      <c r="Q227" s="1407"/>
      <c r="R227" s="1407"/>
      <c r="S227" s="1407"/>
      <c r="T227" s="1407"/>
      <c r="U227" s="1407"/>
    </row>
    <row r="228" spans="1:21" ht="12">
      <c r="A228" s="1452" t="s">
        <v>3634</v>
      </c>
      <c r="B228" s="1483">
        <v>42053</v>
      </c>
      <c r="C228" s="1452" t="s">
        <v>3470</v>
      </c>
      <c r="D228" s="1433" t="s">
        <v>3629</v>
      </c>
      <c r="E228" s="1589"/>
      <c r="F228" s="15">
        <v>3850000000000</v>
      </c>
      <c r="G228" s="1590">
        <v>60800000000</v>
      </c>
      <c r="H228" s="1534"/>
      <c r="I228" s="1428"/>
      <c r="J228" s="1407"/>
      <c r="K228" s="1431">
        <f t="shared" si="31"/>
        <v>2076973684210.5264</v>
      </c>
      <c r="L228" s="1407"/>
      <c r="M228" s="1407"/>
      <c r="N228" s="1407"/>
      <c r="O228" s="1407"/>
      <c r="P228" s="1407"/>
      <c r="Q228" s="1407"/>
      <c r="R228" s="1407"/>
      <c r="S228" s="1407"/>
      <c r="T228" s="1407"/>
      <c r="U228" s="1407"/>
    </row>
    <row r="229" spans="1:21" ht="12">
      <c r="A229" s="1452" t="s">
        <v>3634</v>
      </c>
      <c r="B229" s="1483">
        <v>42053</v>
      </c>
      <c r="C229" s="1452" t="s">
        <v>3470</v>
      </c>
      <c r="D229" s="1433" t="s">
        <v>3630</v>
      </c>
      <c r="E229" s="1589"/>
      <c r="F229" s="15">
        <v>7810000000000</v>
      </c>
      <c r="G229" s="1590">
        <v>60800000000</v>
      </c>
      <c r="H229" s="1534"/>
      <c r="I229" s="1428"/>
      <c r="J229" s="1407"/>
      <c r="K229" s="1431">
        <f t="shared" si="31"/>
        <v>4213289473684.2104</v>
      </c>
      <c r="L229" s="1407"/>
      <c r="M229" s="1407"/>
      <c r="N229" s="1407"/>
      <c r="O229" s="1407"/>
      <c r="P229" s="1407"/>
      <c r="Q229" s="1407"/>
      <c r="R229" s="1407"/>
      <c r="S229" s="1407"/>
      <c r="T229" s="1407"/>
      <c r="U229" s="1407"/>
    </row>
    <row r="230" spans="1:21" ht="12">
      <c r="A230" s="1452" t="s">
        <v>3634</v>
      </c>
      <c r="B230" s="1483">
        <v>42053</v>
      </c>
      <c r="C230" s="1452" t="s">
        <v>3470</v>
      </c>
      <c r="D230" s="1607" t="s">
        <v>3631</v>
      </c>
      <c r="E230" s="1600"/>
      <c r="F230" s="1601">
        <v>43600000000</v>
      </c>
      <c r="G230" s="1590">
        <v>60800000000</v>
      </c>
      <c r="H230" s="1534"/>
      <c r="I230" s="1428"/>
      <c r="J230" s="1452" t="s">
        <v>3640</v>
      </c>
      <c r="K230" s="1431">
        <f t="shared" si="31"/>
        <v>23521052631.578949</v>
      </c>
      <c r="L230" s="1407"/>
      <c r="M230" s="1407"/>
      <c r="N230" s="1407"/>
      <c r="O230" s="1407"/>
      <c r="P230" s="1407"/>
      <c r="Q230" s="1407"/>
      <c r="R230" s="1407"/>
      <c r="S230" s="1407"/>
      <c r="T230" s="1407"/>
      <c r="U230" s="1407"/>
    </row>
    <row r="231" spans="1:21" ht="12">
      <c r="A231" s="1452" t="s">
        <v>3634</v>
      </c>
      <c r="B231" s="1483">
        <v>42053</v>
      </c>
      <c r="C231" s="1452" t="s">
        <v>3470</v>
      </c>
      <c r="D231" s="1433" t="s">
        <v>3632</v>
      </c>
      <c r="E231" s="1589"/>
      <c r="F231" s="15">
        <v>210000000000000</v>
      </c>
      <c r="G231" s="1590">
        <v>60800000000</v>
      </c>
      <c r="H231" s="1534"/>
      <c r="I231" s="1428"/>
      <c r="J231" s="1407"/>
      <c r="K231" s="1431">
        <f t="shared" si="31"/>
        <v>113289473684210.53</v>
      </c>
      <c r="L231" s="1407"/>
      <c r="M231" s="1407"/>
      <c r="N231" s="1407"/>
      <c r="O231" s="1407"/>
      <c r="P231" s="1407"/>
      <c r="Q231" s="1407"/>
      <c r="R231" s="1407"/>
      <c r="S231" s="1407"/>
      <c r="T231" s="1407"/>
      <c r="U231" s="1407"/>
    </row>
    <row r="232" spans="1:21" ht="24">
      <c r="A232" s="1452" t="s">
        <v>3634</v>
      </c>
      <c r="B232" s="1483">
        <v>42053</v>
      </c>
      <c r="C232" s="1452" t="s">
        <v>3470</v>
      </c>
      <c r="D232" s="1609" t="s">
        <v>3633</v>
      </c>
      <c r="E232" s="1610"/>
      <c r="F232" s="1611">
        <v>13300000000000</v>
      </c>
      <c r="G232" s="1590">
        <v>60800000000</v>
      </c>
      <c r="H232" s="1534"/>
      <c r="I232" s="1428"/>
      <c r="J232" s="1452" t="s">
        <v>3638</v>
      </c>
      <c r="K232" s="1431">
        <f t="shared" si="31"/>
        <v>7175000000000</v>
      </c>
      <c r="L232" s="1407"/>
      <c r="M232" s="1407"/>
      <c r="N232" s="1407"/>
      <c r="O232" s="1407"/>
      <c r="P232" s="1407"/>
      <c r="Q232" s="1407"/>
      <c r="R232" s="1407"/>
      <c r="S232" s="1407"/>
      <c r="T232" s="1407"/>
      <c r="U232" s="1407"/>
    </row>
    <row r="233" spans="1:21" ht="12">
      <c r="A233" s="1407"/>
      <c r="B233" s="1407"/>
      <c r="C233" s="1407"/>
      <c r="D233" s="1409"/>
      <c r="E233" s="1410"/>
      <c r="F233" s="1495"/>
      <c r="G233" s="1534"/>
      <c r="H233" s="1534"/>
      <c r="I233" s="1428"/>
      <c r="J233" s="1407"/>
      <c r="K233" s="1431"/>
      <c r="L233" s="1407"/>
      <c r="M233" s="1407"/>
      <c r="N233" s="1407"/>
      <c r="O233" s="1407"/>
      <c r="P233" s="1407"/>
      <c r="Q233" s="1407"/>
      <c r="R233" s="1407"/>
      <c r="S233" s="1407"/>
      <c r="T233" s="1407"/>
      <c r="U233" s="1407"/>
    </row>
    <row r="234" spans="1:21" ht="12">
      <c r="A234" s="1452" t="s">
        <v>3641</v>
      </c>
      <c r="B234" s="1483">
        <v>42054</v>
      </c>
      <c r="C234" s="1452" t="s">
        <v>3470</v>
      </c>
      <c r="D234" s="1433" t="s">
        <v>3642</v>
      </c>
      <c r="E234" s="1589"/>
      <c r="F234" s="15">
        <v>53000000000000</v>
      </c>
      <c r="G234" s="1590">
        <v>16800000000</v>
      </c>
      <c r="H234" s="1590" t="s">
        <v>3029</v>
      </c>
      <c r="I234" s="1428"/>
      <c r="J234" s="1407"/>
      <c r="K234" s="1431">
        <f t="shared" ref="K234:K243" si="32">(32800000000/G234)*F234</f>
        <v>103476190476190.47</v>
      </c>
      <c r="L234" s="1407"/>
      <c r="M234" s="1407"/>
      <c r="N234" s="1407"/>
      <c r="O234" s="1407"/>
      <c r="P234" s="1407"/>
      <c r="Q234" s="1407"/>
      <c r="R234" s="1407"/>
      <c r="S234" s="1407"/>
      <c r="T234" s="1407"/>
      <c r="U234" s="1407"/>
    </row>
    <row r="235" spans="1:21" ht="12">
      <c r="A235" s="1452" t="s">
        <v>3641</v>
      </c>
      <c r="B235" s="1483">
        <v>42054</v>
      </c>
      <c r="C235" s="1452" t="s">
        <v>3470</v>
      </c>
      <c r="D235" s="1433" t="s">
        <v>3644</v>
      </c>
      <c r="E235" s="1589"/>
      <c r="F235" s="15">
        <v>254000000000000</v>
      </c>
      <c r="G235" s="1590">
        <v>16800000000</v>
      </c>
      <c r="H235" s="1590" t="s">
        <v>3029</v>
      </c>
      <c r="I235" s="1428"/>
      <c r="J235" s="1407"/>
      <c r="K235" s="1431">
        <f t="shared" si="32"/>
        <v>495904761904761.88</v>
      </c>
      <c r="L235" s="1407"/>
      <c r="M235" s="1407"/>
      <c r="N235" s="1407"/>
      <c r="O235" s="1407"/>
      <c r="P235" s="1407"/>
      <c r="Q235" s="1407"/>
      <c r="R235" s="1407"/>
      <c r="S235" s="1407"/>
      <c r="T235" s="1407"/>
      <c r="U235" s="1407"/>
    </row>
    <row r="236" spans="1:21" ht="12">
      <c r="A236" s="1452" t="s">
        <v>3641</v>
      </c>
      <c r="B236" s="1483">
        <v>42054</v>
      </c>
      <c r="C236" s="1452" t="s">
        <v>3470</v>
      </c>
      <c r="D236" s="1433" t="s">
        <v>3645</v>
      </c>
      <c r="E236" s="1589"/>
      <c r="F236" s="15">
        <v>133000000000000</v>
      </c>
      <c r="G236" s="1590">
        <v>16800000000</v>
      </c>
      <c r="H236" s="1590" t="s">
        <v>3029</v>
      </c>
      <c r="I236" s="1428"/>
      <c r="J236" s="1407"/>
      <c r="K236" s="1431">
        <f t="shared" si="32"/>
        <v>259666666666666.66</v>
      </c>
      <c r="L236" s="1407"/>
      <c r="M236" s="1407"/>
      <c r="N236" s="1407"/>
      <c r="O236" s="1407"/>
      <c r="P236" s="1407"/>
      <c r="Q236" s="1407"/>
      <c r="R236" s="1407"/>
      <c r="S236" s="1407"/>
      <c r="T236" s="1407"/>
      <c r="U236" s="1407"/>
    </row>
    <row r="237" spans="1:21" ht="12">
      <c r="A237" s="1452" t="s">
        <v>3641</v>
      </c>
      <c r="B237" s="1483">
        <v>42054</v>
      </c>
      <c r="C237" s="1452" t="s">
        <v>3470</v>
      </c>
      <c r="D237" s="1433" t="s">
        <v>3646</v>
      </c>
      <c r="E237" s="1589"/>
      <c r="F237" s="15">
        <v>42800000000000</v>
      </c>
      <c r="G237" s="1590">
        <v>16800000000</v>
      </c>
      <c r="H237" s="1590" t="s">
        <v>3029</v>
      </c>
      <c r="I237" s="1428"/>
      <c r="J237" s="1407"/>
      <c r="K237" s="1431">
        <f t="shared" si="32"/>
        <v>83561904761904.766</v>
      </c>
      <c r="L237" s="1407"/>
      <c r="M237" s="1407"/>
      <c r="N237" s="1407"/>
      <c r="O237" s="1407"/>
      <c r="P237" s="1407"/>
      <c r="Q237" s="1407"/>
      <c r="R237" s="1407"/>
      <c r="S237" s="1407"/>
      <c r="T237" s="1407"/>
      <c r="U237" s="1407"/>
    </row>
    <row r="238" spans="1:21" ht="12">
      <c r="A238" s="1452" t="s">
        <v>3641</v>
      </c>
      <c r="B238" s="1483">
        <v>42054</v>
      </c>
      <c r="C238" s="1452" t="s">
        <v>3470</v>
      </c>
      <c r="D238" s="1433" t="s">
        <v>3647</v>
      </c>
      <c r="E238" s="1589"/>
      <c r="F238" s="15">
        <v>818000000000000</v>
      </c>
      <c r="G238" s="1590">
        <v>16800000000</v>
      </c>
      <c r="H238" s="1590" t="s">
        <v>3029</v>
      </c>
      <c r="I238" s="1428"/>
      <c r="J238" s="1407"/>
      <c r="K238" s="1431">
        <f t="shared" si="32"/>
        <v>1597047619047619</v>
      </c>
      <c r="L238" s="1407"/>
      <c r="M238" s="1407"/>
      <c r="N238" s="1407"/>
      <c r="O238" s="1407"/>
      <c r="P238" s="1407"/>
      <c r="Q238" s="1407"/>
      <c r="R238" s="1407"/>
      <c r="S238" s="1407"/>
      <c r="T238" s="1407"/>
      <c r="U238" s="1407"/>
    </row>
    <row r="239" spans="1:21" ht="12">
      <c r="A239" s="1452" t="s">
        <v>3641</v>
      </c>
      <c r="B239" s="1483">
        <v>42054</v>
      </c>
      <c r="C239" s="1452" t="s">
        <v>3470</v>
      </c>
      <c r="D239" s="1433" t="s">
        <v>3648</v>
      </c>
      <c r="E239" s="1589"/>
      <c r="F239" s="15">
        <v>1790000000000000</v>
      </c>
      <c r="G239" s="1590">
        <v>16800000000</v>
      </c>
      <c r="H239" s="1590" t="s">
        <v>3029</v>
      </c>
      <c r="I239" s="1428"/>
      <c r="J239" s="1407"/>
      <c r="K239" s="1431">
        <f t="shared" si="32"/>
        <v>3494761904761904.5</v>
      </c>
      <c r="L239" s="1407"/>
      <c r="M239" s="1407"/>
      <c r="N239" s="1407"/>
      <c r="O239" s="1407"/>
      <c r="P239" s="1407"/>
      <c r="Q239" s="1407"/>
      <c r="R239" s="1407"/>
      <c r="S239" s="1407"/>
      <c r="T239" s="1407"/>
      <c r="U239" s="1407"/>
    </row>
    <row r="240" spans="1:21" ht="12">
      <c r="A240" s="1452" t="s">
        <v>3641</v>
      </c>
      <c r="B240" s="1483">
        <v>42054</v>
      </c>
      <c r="C240" s="1452" t="s">
        <v>3470</v>
      </c>
      <c r="D240" s="1433" t="s">
        <v>3650</v>
      </c>
      <c r="E240" s="1589"/>
      <c r="F240" s="15">
        <v>48900000000000</v>
      </c>
      <c r="G240" s="1590">
        <v>16800000000</v>
      </c>
      <c r="H240" s="1590" t="s">
        <v>3029</v>
      </c>
      <c r="I240" s="1428"/>
      <c r="J240" s="1407"/>
      <c r="K240" s="1431">
        <f t="shared" si="32"/>
        <v>95471428571428.562</v>
      </c>
      <c r="L240" s="1407"/>
      <c r="M240" s="1407"/>
      <c r="N240" s="1407"/>
      <c r="O240" s="1407"/>
      <c r="P240" s="1407"/>
      <c r="Q240" s="1407"/>
      <c r="R240" s="1407"/>
      <c r="S240" s="1407"/>
      <c r="T240" s="1407"/>
      <c r="U240" s="1407"/>
    </row>
    <row r="241" spans="1:21" ht="12">
      <c r="A241" s="1452" t="s">
        <v>3641</v>
      </c>
      <c r="B241" s="1483">
        <v>42054</v>
      </c>
      <c r="C241" s="1452" t="s">
        <v>3470</v>
      </c>
      <c r="D241" s="1433" t="s">
        <v>3651</v>
      </c>
      <c r="E241" s="1589"/>
      <c r="F241" s="15">
        <v>10200000000000</v>
      </c>
      <c r="G241" s="1590">
        <v>16800000000</v>
      </c>
      <c r="H241" s="1590" t="s">
        <v>3029</v>
      </c>
      <c r="I241" s="1428"/>
      <c r="J241" s="1407"/>
      <c r="K241" s="1431">
        <f t="shared" si="32"/>
        <v>19914285714285.715</v>
      </c>
      <c r="L241" s="1407"/>
      <c r="M241" s="1407"/>
      <c r="N241" s="1407"/>
      <c r="O241" s="1407"/>
      <c r="P241" s="1407"/>
      <c r="Q241" s="1407"/>
      <c r="R241" s="1407"/>
      <c r="S241" s="1407"/>
      <c r="T241" s="1407"/>
      <c r="U241" s="1407"/>
    </row>
    <row r="242" spans="1:21" ht="12">
      <c r="A242" s="1452" t="s">
        <v>3641</v>
      </c>
      <c r="B242" s="1483">
        <v>42054</v>
      </c>
      <c r="C242" s="1452" t="s">
        <v>3470</v>
      </c>
      <c r="D242" s="1433" t="s">
        <v>3653</v>
      </c>
      <c r="E242" s="1589"/>
      <c r="F242" s="15">
        <v>56200000000000</v>
      </c>
      <c r="G242" s="1590">
        <v>16800000000</v>
      </c>
      <c r="H242" s="1590" t="s">
        <v>3029</v>
      </c>
      <c r="I242" s="1428"/>
      <c r="J242" s="1407"/>
      <c r="K242" s="1431">
        <f t="shared" si="32"/>
        <v>109723809523809.52</v>
      </c>
      <c r="L242" s="1407"/>
      <c r="M242" s="1407"/>
      <c r="N242" s="1407"/>
      <c r="O242" s="1407"/>
      <c r="P242" s="1407"/>
      <c r="Q242" s="1407"/>
      <c r="R242" s="1407"/>
      <c r="S242" s="1407"/>
      <c r="T242" s="1407"/>
      <c r="U242" s="1407"/>
    </row>
    <row r="243" spans="1:21" ht="12">
      <c r="A243" s="1452" t="s">
        <v>3641</v>
      </c>
      <c r="B243" s="1483">
        <v>42054</v>
      </c>
      <c r="C243" s="1452" t="s">
        <v>3470</v>
      </c>
      <c r="D243" s="1433" t="s">
        <v>3654</v>
      </c>
      <c r="E243" s="1589"/>
      <c r="F243" s="15">
        <v>18500000000000</v>
      </c>
      <c r="G243" s="1590">
        <v>16800000000</v>
      </c>
      <c r="H243" s="1590" t="s">
        <v>3029</v>
      </c>
      <c r="I243" s="1428"/>
      <c r="J243" s="1407"/>
      <c r="K243" s="1431">
        <f t="shared" si="32"/>
        <v>36119047619047.617</v>
      </c>
      <c r="L243" s="1407"/>
      <c r="M243" s="1407"/>
      <c r="N243" s="1407"/>
      <c r="O243" s="1407"/>
      <c r="P243" s="1407"/>
      <c r="Q243" s="1407"/>
      <c r="R243" s="1407"/>
      <c r="S243" s="1407"/>
      <c r="T243" s="1407"/>
      <c r="U243" s="1407"/>
    </row>
    <row r="244" spans="1:21" ht="12">
      <c r="A244" s="1407"/>
      <c r="B244" s="1407"/>
      <c r="C244" s="1407"/>
      <c r="D244" s="1409"/>
      <c r="E244" s="1410"/>
      <c r="F244" s="1495"/>
      <c r="G244" s="1534"/>
      <c r="H244" s="1534"/>
      <c r="I244" s="1428"/>
      <c r="J244" s="1407"/>
      <c r="K244" s="1431"/>
      <c r="L244" s="1407"/>
      <c r="M244" s="1407"/>
      <c r="N244" s="1407"/>
      <c r="O244" s="1407"/>
      <c r="P244" s="1407"/>
      <c r="Q244" s="1407"/>
      <c r="R244" s="1407"/>
      <c r="S244" s="1407"/>
      <c r="T244" s="1407"/>
      <c r="U244" s="1407"/>
    </row>
    <row r="245" spans="1:21" ht="12">
      <c r="A245" s="1452" t="s">
        <v>3655</v>
      </c>
      <c r="B245" s="1483">
        <v>42055</v>
      </c>
      <c r="C245" s="1452" t="s">
        <v>881</v>
      </c>
      <c r="D245" s="1433" t="s">
        <v>3647</v>
      </c>
      <c r="E245" s="1435"/>
      <c r="F245" s="1437">
        <v>389000000000000</v>
      </c>
      <c r="G245" s="1438">
        <v>28000000000</v>
      </c>
      <c r="H245" s="1590" t="s">
        <v>3029</v>
      </c>
      <c r="I245" s="1428"/>
      <c r="J245" s="1407"/>
      <c r="K245" s="1431">
        <f t="shared" ref="K245:K250" si="33">(32800000000/G245)*F245</f>
        <v>455685714285714.31</v>
      </c>
      <c r="L245" s="1407"/>
      <c r="M245" s="1407"/>
      <c r="N245" s="1407"/>
      <c r="O245" s="1407"/>
      <c r="P245" s="1407"/>
      <c r="Q245" s="1407"/>
      <c r="R245" s="1407"/>
      <c r="S245" s="1407"/>
      <c r="T245" s="1407"/>
      <c r="U245" s="1407"/>
    </row>
    <row r="246" spans="1:21" ht="12">
      <c r="A246" s="1452" t="s">
        <v>3655</v>
      </c>
      <c r="B246" s="1483">
        <v>42055</v>
      </c>
      <c r="C246" s="1452" t="s">
        <v>881</v>
      </c>
      <c r="D246" s="1433" t="s">
        <v>3648</v>
      </c>
      <c r="E246" s="1435"/>
      <c r="F246" s="1437">
        <v>1060000000000000</v>
      </c>
      <c r="G246" s="1438">
        <v>28000000000</v>
      </c>
      <c r="H246" s="1590" t="s">
        <v>3029</v>
      </c>
      <c r="I246" s="1428"/>
      <c r="J246" s="1407"/>
      <c r="K246" s="1431">
        <f t="shared" si="33"/>
        <v>1241714285714285.8</v>
      </c>
      <c r="L246" s="1407"/>
      <c r="M246" s="1407"/>
      <c r="N246" s="1407"/>
      <c r="O246" s="1407"/>
      <c r="P246" s="1407"/>
      <c r="Q246" s="1407"/>
      <c r="R246" s="1407"/>
      <c r="S246" s="1407"/>
      <c r="T246" s="1407"/>
      <c r="U246" s="1407"/>
    </row>
    <row r="247" spans="1:21" ht="12">
      <c r="A247" s="1452" t="s">
        <v>3655</v>
      </c>
      <c r="B247" s="1483">
        <v>42055</v>
      </c>
      <c r="C247" s="1452" t="s">
        <v>881</v>
      </c>
      <c r="D247" s="1433" t="s">
        <v>3650</v>
      </c>
      <c r="E247" s="1435"/>
      <c r="F247" s="1437">
        <v>9910000000000</v>
      </c>
      <c r="G247" s="1438">
        <v>28000000000</v>
      </c>
      <c r="H247" s="1590" t="s">
        <v>3029</v>
      </c>
      <c r="I247" s="1428"/>
      <c r="J247" s="1407"/>
      <c r="K247" s="1431">
        <f t="shared" si="33"/>
        <v>11608857142857.143</v>
      </c>
      <c r="L247" s="1407"/>
      <c r="M247" s="1407"/>
      <c r="N247" s="1407"/>
      <c r="O247" s="1407"/>
      <c r="P247" s="1407"/>
      <c r="Q247" s="1407"/>
      <c r="R247" s="1407"/>
      <c r="S247" s="1407"/>
      <c r="T247" s="1407"/>
      <c r="U247" s="1407"/>
    </row>
    <row r="248" spans="1:21" ht="12">
      <c r="A248" s="1452" t="s">
        <v>3655</v>
      </c>
      <c r="B248" s="1483">
        <v>42055</v>
      </c>
      <c r="C248" s="1452" t="s">
        <v>881</v>
      </c>
      <c r="D248" s="1433" t="s">
        <v>3651</v>
      </c>
      <c r="E248" s="1435"/>
      <c r="F248" s="1437">
        <v>1740000000000</v>
      </c>
      <c r="G248" s="1438">
        <v>28000000000</v>
      </c>
      <c r="H248" s="1590" t="s">
        <v>3029</v>
      </c>
      <c r="I248" s="1428"/>
      <c r="J248" s="1407"/>
      <c r="K248" s="1431">
        <f t="shared" si="33"/>
        <v>2038285714285.7144</v>
      </c>
      <c r="L248" s="1407"/>
      <c r="M248" s="1407"/>
      <c r="N248" s="1407"/>
      <c r="O248" s="1407"/>
      <c r="P248" s="1407"/>
      <c r="Q248" s="1407"/>
      <c r="R248" s="1407"/>
      <c r="S248" s="1407"/>
      <c r="T248" s="1407"/>
      <c r="U248" s="1407"/>
    </row>
    <row r="249" spans="1:21" ht="12">
      <c r="A249" s="1452" t="s">
        <v>3655</v>
      </c>
      <c r="B249" s="1483">
        <v>42055</v>
      </c>
      <c r="C249" s="1452" t="s">
        <v>881</v>
      </c>
      <c r="D249" s="1433" t="s">
        <v>3653</v>
      </c>
      <c r="E249" s="1435"/>
      <c r="F249" s="1437">
        <v>12300000000000</v>
      </c>
      <c r="G249" s="1438">
        <v>28000000000</v>
      </c>
      <c r="H249" s="1590" t="s">
        <v>3029</v>
      </c>
      <c r="I249" s="1428"/>
      <c r="J249" s="1407"/>
      <c r="K249" s="1431">
        <f t="shared" si="33"/>
        <v>14408571428571.43</v>
      </c>
      <c r="L249" s="1407"/>
      <c r="M249" s="1407"/>
      <c r="N249" s="1407"/>
      <c r="O249" s="1407"/>
      <c r="P249" s="1407"/>
      <c r="Q249" s="1407"/>
      <c r="R249" s="1407"/>
      <c r="S249" s="1407"/>
      <c r="T249" s="1407"/>
      <c r="U249" s="1407"/>
    </row>
    <row r="250" spans="1:21" ht="12">
      <c r="A250" s="1452" t="s">
        <v>3655</v>
      </c>
      <c r="B250" s="1483">
        <v>42055</v>
      </c>
      <c r="C250" s="1452" t="s">
        <v>881</v>
      </c>
      <c r="D250" s="1433" t="s">
        <v>3654</v>
      </c>
      <c r="E250" s="1435"/>
      <c r="F250" s="1437">
        <v>1990000000000</v>
      </c>
      <c r="G250" s="1438">
        <v>28000000000</v>
      </c>
      <c r="H250" s="1590" t="s">
        <v>3029</v>
      </c>
      <c r="I250" s="1428"/>
      <c r="J250" s="1407"/>
      <c r="K250" s="1431">
        <f t="shared" si="33"/>
        <v>2331142857142.8574</v>
      </c>
      <c r="L250" s="1407"/>
      <c r="M250" s="1407"/>
      <c r="N250" s="1407"/>
      <c r="O250" s="1407"/>
      <c r="P250" s="1407"/>
      <c r="Q250" s="1407"/>
      <c r="R250" s="1407"/>
      <c r="S250" s="1407"/>
      <c r="T250" s="1407"/>
      <c r="U250" s="1407"/>
    </row>
    <row r="251" spans="1:21" ht="12">
      <c r="A251" s="1407"/>
      <c r="B251" s="1407"/>
      <c r="C251" s="1407"/>
      <c r="D251" s="1409"/>
      <c r="E251" s="1435"/>
      <c r="F251" s="1437" t="s">
        <v>1336</v>
      </c>
      <c r="G251" s="1534"/>
      <c r="H251" s="1534"/>
      <c r="I251" s="1428"/>
      <c r="J251" s="1407"/>
      <c r="K251" s="1431"/>
      <c r="L251" s="1407"/>
      <c r="M251" s="1407"/>
      <c r="N251" s="1407"/>
      <c r="O251" s="1407"/>
      <c r="P251" s="1407"/>
      <c r="Q251" s="1407"/>
      <c r="R251" s="1407"/>
      <c r="S251" s="1407"/>
      <c r="T251" s="1407"/>
      <c r="U251" s="1407"/>
    </row>
    <row r="252" spans="1:21" ht="12">
      <c r="A252" s="1452" t="s">
        <v>3657</v>
      </c>
      <c r="B252" s="1483">
        <v>42058</v>
      </c>
      <c r="C252" s="1452" t="s">
        <v>3470</v>
      </c>
      <c r="D252" s="1433" t="s">
        <v>3647</v>
      </c>
      <c r="E252" s="1435"/>
      <c r="F252" s="1437">
        <v>680000000000000</v>
      </c>
      <c r="G252" s="1438">
        <v>41200000000</v>
      </c>
      <c r="H252" s="1590" t="s">
        <v>3029</v>
      </c>
      <c r="I252" s="1428"/>
      <c r="J252" s="1407"/>
      <c r="K252" s="1431">
        <f t="shared" ref="K252:K261" si="34">(32800000000/G252)*F252</f>
        <v>541359223300970.88</v>
      </c>
      <c r="L252" s="1407"/>
      <c r="M252" s="1407"/>
      <c r="N252" s="1407"/>
      <c r="O252" s="1407"/>
      <c r="P252" s="1407"/>
      <c r="Q252" s="1407"/>
      <c r="R252" s="1407"/>
      <c r="S252" s="1407"/>
      <c r="T252" s="1407"/>
      <c r="U252" s="1407"/>
    </row>
    <row r="253" spans="1:21" ht="12">
      <c r="A253" s="1452" t="s">
        <v>3657</v>
      </c>
      <c r="B253" s="1483">
        <v>42058</v>
      </c>
      <c r="C253" s="1452" t="s">
        <v>3470</v>
      </c>
      <c r="D253" s="1433" t="s">
        <v>3648</v>
      </c>
      <c r="E253" s="1435"/>
      <c r="F253" s="1437">
        <v>1900000000000000</v>
      </c>
      <c r="G253" s="1438">
        <v>41200000000</v>
      </c>
      <c r="H253" s="1590" t="s">
        <v>3029</v>
      </c>
      <c r="I253" s="1428"/>
      <c r="J253" s="1407"/>
      <c r="K253" s="1431">
        <f t="shared" si="34"/>
        <v>1512621359223301</v>
      </c>
      <c r="L253" s="1407"/>
      <c r="M253" s="1407"/>
      <c r="N253" s="1407"/>
      <c r="O253" s="1407"/>
      <c r="P253" s="1407"/>
      <c r="Q253" s="1407"/>
      <c r="R253" s="1407"/>
      <c r="S253" s="1407"/>
      <c r="T253" s="1407"/>
      <c r="U253" s="1407"/>
    </row>
    <row r="254" spans="1:21" ht="12">
      <c r="A254" s="1452" t="s">
        <v>3657</v>
      </c>
      <c r="B254" s="1483">
        <v>42058</v>
      </c>
      <c r="C254" s="1452" t="s">
        <v>3470</v>
      </c>
      <c r="D254" s="1433" t="s">
        <v>3661</v>
      </c>
      <c r="E254" s="1435"/>
      <c r="F254" s="1437">
        <v>28900000000000</v>
      </c>
      <c r="G254" s="1438">
        <v>41200000000</v>
      </c>
      <c r="H254" s="1590" t="s">
        <v>3029</v>
      </c>
      <c r="I254" s="1428"/>
      <c r="J254" s="1407"/>
      <c r="K254" s="1431">
        <f t="shared" si="34"/>
        <v>23007766990291.262</v>
      </c>
      <c r="L254" s="1407"/>
      <c r="M254" s="1407"/>
      <c r="N254" s="1407"/>
      <c r="O254" s="1407"/>
      <c r="P254" s="1407"/>
      <c r="Q254" s="1407"/>
      <c r="R254" s="1407"/>
      <c r="S254" s="1407"/>
      <c r="T254" s="1407"/>
      <c r="U254" s="1407"/>
    </row>
    <row r="255" spans="1:21" ht="12">
      <c r="A255" s="1452" t="s">
        <v>3657</v>
      </c>
      <c r="B255" s="1483">
        <v>42058</v>
      </c>
      <c r="C255" s="1452" t="s">
        <v>3470</v>
      </c>
      <c r="D255" s="1433" t="s">
        <v>3663</v>
      </c>
      <c r="E255" s="1435"/>
      <c r="F255" s="1437">
        <v>5930000000000</v>
      </c>
      <c r="G255" s="1438">
        <v>41200000000</v>
      </c>
      <c r="H255" s="1590" t="s">
        <v>3029</v>
      </c>
      <c r="I255" s="1428"/>
      <c r="J255" s="1407"/>
      <c r="K255" s="1431">
        <f t="shared" si="34"/>
        <v>4720970873786.4072</v>
      </c>
      <c r="L255" s="1407"/>
      <c r="M255" s="1407"/>
      <c r="N255" s="1407"/>
      <c r="O255" s="1407"/>
      <c r="P255" s="1407"/>
      <c r="Q255" s="1407"/>
      <c r="R255" s="1407"/>
      <c r="S255" s="1407"/>
      <c r="T255" s="1407"/>
      <c r="U255" s="1407"/>
    </row>
    <row r="256" spans="1:21" ht="12">
      <c r="A256" s="1452" t="s">
        <v>3657</v>
      </c>
      <c r="B256" s="1483">
        <v>42058</v>
      </c>
      <c r="C256" s="1452" t="s">
        <v>3470</v>
      </c>
      <c r="D256" s="1433" t="s">
        <v>3664</v>
      </c>
      <c r="E256" s="1435"/>
      <c r="F256" s="1437">
        <v>30000000000000</v>
      </c>
      <c r="G256" s="1438">
        <v>41200000000</v>
      </c>
      <c r="H256" s="1590" t="s">
        <v>3029</v>
      </c>
      <c r="I256" s="1428"/>
      <c r="J256" s="1407"/>
      <c r="K256" s="1431">
        <f t="shared" si="34"/>
        <v>23883495145631.066</v>
      </c>
      <c r="L256" s="1407"/>
      <c r="M256" s="1407"/>
      <c r="N256" s="1407"/>
      <c r="O256" s="1407"/>
      <c r="P256" s="1407"/>
      <c r="Q256" s="1407"/>
      <c r="R256" s="1407"/>
      <c r="S256" s="1407"/>
      <c r="T256" s="1407"/>
      <c r="U256" s="1407"/>
    </row>
    <row r="257" spans="1:21" ht="12">
      <c r="A257" s="1452" t="s">
        <v>3657</v>
      </c>
      <c r="B257" s="1483">
        <v>42058</v>
      </c>
      <c r="C257" s="1452" t="s">
        <v>3470</v>
      </c>
      <c r="D257" s="1433" t="s">
        <v>3666</v>
      </c>
      <c r="E257" s="1435"/>
      <c r="F257" s="1437">
        <v>5290000000000</v>
      </c>
      <c r="G257" s="1438">
        <v>41200000000</v>
      </c>
      <c r="H257" s="1590" t="s">
        <v>3029</v>
      </c>
      <c r="I257" s="1428"/>
      <c r="J257" s="1407"/>
      <c r="K257" s="1431">
        <f t="shared" si="34"/>
        <v>4211456310679.6113</v>
      </c>
      <c r="L257" s="1407"/>
      <c r="M257" s="1407"/>
      <c r="N257" s="1407"/>
      <c r="O257" s="1407"/>
      <c r="P257" s="1407"/>
      <c r="Q257" s="1407"/>
      <c r="R257" s="1407"/>
      <c r="S257" s="1407"/>
      <c r="T257" s="1407"/>
      <c r="U257" s="1407"/>
    </row>
    <row r="258" spans="1:21" ht="12">
      <c r="A258" s="1452" t="s">
        <v>3657</v>
      </c>
      <c r="B258" s="1483">
        <v>42058</v>
      </c>
      <c r="C258" s="1452" t="s">
        <v>3470</v>
      </c>
      <c r="D258" s="1433" t="s">
        <v>3667</v>
      </c>
      <c r="E258" s="1435"/>
      <c r="F258" s="1437">
        <v>23100000000000</v>
      </c>
      <c r="G258" s="1438">
        <v>41200000000</v>
      </c>
      <c r="H258" s="1590" t="s">
        <v>3029</v>
      </c>
      <c r="I258" s="1428"/>
      <c r="J258" s="1407"/>
      <c r="K258" s="1431">
        <f t="shared" si="34"/>
        <v>18390291262135.922</v>
      </c>
      <c r="L258" s="1407"/>
      <c r="M258" s="1407"/>
      <c r="N258" s="1407"/>
      <c r="O258" s="1407"/>
      <c r="P258" s="1407"/>
      <c r="Q258" s="1407"/>
      <c r="R258" s="1407"/>
      <c r="S258" s="1407"/>
      <c r="T258" s="1407"/>
      <c r="U258" s="1407"/>
    </row>
    <row r="259" spans="1:21" ht="12">
      <c r="A259" s="1452" t="s">
        <v>3657</v>
      </c>
      <c r="B259" s="1483">
        <v>42058</v>
      </c>
      <c r="C259" s="1452" t="s">
        <v>3470</v>
      </c>
      <c r="D259" s="1433" t="s">
        <v>3668</v>
      </c>
      <c r="E259" s="1435"/>
      <c r="F259" s="1437">
        <v>17800000000000</v>
      </c>
      <c r="G259" s="1438">
        <v>41200000000</v>
      </c>
      <c r="H259" s="1590" t="s">
        <v>3029</v>
      </c>
      <c r="I259" s="1428"/>
      <c r="J259" s="1407"/>
      <c r="K259" s="1431">
        <f t="shared" si="34"/>
        <v>14170873786407.768</v>
      </c>
      <c r="L259" s="1407"/>
      <c r="M259" s="1407"/>
      <c r="N259" s="1407"/>
      <c r="O259" s="1407"/>
      <c r="P259" s="1407"/>
      <c r="Q259" s="1407"/>
      <c r="R259" s="1407"/>
      <c r="S259" s="1407"/>
      <c r="T259" s="1407"/>
      <c r="U259" s="1407"/>
    </row>
    <row r="260" spans="1:21" ht="12">
      <c r="A260" s="1452" t="s">
        <v>3657</v>
      </c>
      <c r="B260" s="1483">
        <v>42058</v>
      </c>
      <c r="C260" s="1452" t="s">
        <v>3470</v>
      </c>
      <c r="D260" s="1433" t="s">
        <v>3671</v>
      </c>
      <c r="E260" s="1435"/>
      <c r="F260" s="1437">
        <v>23300000000000</v>
      </c>
      <c r="G260" s="1438">
        <v>41200000000</v>
      </c>
      <c r="H260" s="1590" t="s">
        <v>3029</v>
      </c>
      <c r="I260" s="1428"/>
      <c r="J260" s="1407"/>
      <c r="K260" s="1431">
        <f t="shared" si="34"/>
        <v>18549514563106.797</v>
      </c>
      <c r="L260" s="1407"/>
      <c r="M260" s="1407"/>
      <c r="N260" s="1407"/>
      <c r="O260" s="1407"/>
      <c r="P260" s="1407"/>
      <c r="Q260" s="1407"/>
      <c r="R260" s="1407"/>
      <c r="S260" s="1407"/>
      <c r="T260" s="1407"/>
      <c r="U260" s="1407"/>
    </row>
    <row r="261" spans="1:21" ht="12">
      <c r="A261" s="1452" t="s">
        <v>3657</v>
      </c>
      <c r="B261" s="1483">
        <v>42058</v>
      </c>
      <c r="C261" s="1452" t="s">
        <v>3470</v>
      </c>
      <c r="D261" s="1433" t="s">
        <v>3673</v>
      </c>
      <c r="E261" s="1435"/>
      <c r="F261" s="1437">
        <v>10900000000000</v>
      </c>
      <c r="G261" s="1438">
        <v>41200000000</v>
      </c>
      <c r="H261" s="1590" t="s">
        <v>3029</v>
      </c>
      <c r="I261" s="1428"/>
      <c r="J261" s="1407"/>
      <c r="K261" s="1431">
        <f t="shared" si="34"/>
        <v>8677669902912.6211</v>
      </c>
      <c r="L261" s="1407"/>
      <c r="M261" s="1407"/>
      <c r="N261" s="1407"/>
      <c r="O261" s="1407"/>
      <c r="P261" s="1407"/>
      <c r="Q261" s="1407"/>
      <c r="R261" s="1407"/>
      <c r="S261" s="1407"/>
      <c r="T261" s="1407"/>
      <c r="U261" s="1407"/>
    </row>
    <row r="262" spans="1:21" ht="12">
      <c r="A262" s="1407"/>
      <c r="B262" s="1407"/>
      <c r="C262" s="1407"/>
      <c r="D262" s="1409"/>
      <c r="E262" s="1410"/>
      <c r="F262" s="1495"/>
      <c r="G262" s="1534"/>
      <c r="H262" s="1534"/>
      <c r="I262" s="1428"/>
      <c r="J262" s="1407"/>
      <c r="K262" s="1431"/>
      <c r="L262" s="1407"/>
      <c r="M262" s="1407"/>
      <c r="N262" s="1407"/>
      <c r="O262" s="1407"/>
      <c r="P262" s="1407"/>
      <c r="Q262" s="1407"/>
      <c r="R262" s="1407"/>
      <c r="S262" s="1407"/>
      <c r="T262" s="1407"/>
      <c r="U262" s="1407"/>
    </row>
    <row r="263" spans="1:21" ht="12">
      <c r="A263" s="1452" t="s">
        <v>3674</v>
      </c>
      <c r="B263" s="1483">
        <v>42060</v>
      </c>
      <c r="C263" s="1452" t="s">
        <v>3470</v>
      </c>
      <c r="D263" s="1433" t="s">
        <v>3675</v>
      </c>
      <c r="E263" s="1589"/>
      <c r="F263" s="15">
        <v>9790000000000</v>
      </c>
      <c r="G263" s="1590">
        <v>42300000000</v>
      </c>
      <c r="H263" s="1590" t="s">
        <v>3029</v>
      </c>
      <c r="I263" s="1428"/>
      <c r="J263" s="1407"/>
      <c r="K263" s="1431">
        <f t="shared" ref="K263:K272" si="35">(32800000000/G263)*F263</f>
        <v>7591300236406.6191</v>
      </c>
      <c r="L263" s="1407"/>
      <c r="M263" s="1407"/>
      <c r="N263" s="1407"/>
      <c r="O263" s="1407"/>
      <c r="P263" s="1407"/>
      <c r="Q263" s="1407"/>
      <c r="R263" s="1407"/>
      <c r="S263" s="1407"/>
      <c r="T263" s="1407"/>
      <c r="U263" s="1407"/>
    </row>
    <row r="264" spans="1:21" ht="12">
      <c r="A264" s="1452" t="s">
        <v>3674</v>
      </c>
      <c r="B264" s="1483">
        <v>42060</v>
      </c>
      <c r="C264" s="1452" t="s">
        <v>3470</v>
      </c>
      <c r="D264" s="1433" t="s">
        <v>3676</v>
      </c>
      <c r="E264" s="1589"/>
      <c r="F264" s="15">
        <v>20600000000</v>
      </c>
      <c r="G264" s="1590">
        <v>42300000000</v>
      </c>
      <c r="H264" s="1590" t="s">
        <v>3029</v>
      </c>
      <c r="I264" s="1428"/>
      <c r="J264" s="1407"/>
      <c r="K264" s="1431">
        <f t="shared" si="35"/>
        <v>15973522458.628841</v>
      </c>
      <c r="L264" s="1407"/>
      <c r="M264" s="1407"/>
      <c r="N264" s="1407"/>
      <c r="O264" s="1407"/>
      <c r="P264" s="1407"/>
      <c r="Q264" s="1407"/>
      <c r="R264" s="1407"/>
      <c r="S264" s="1407"/>
      <c r="T264" s="1407"/>
      <c r="U264" s="1407"/>
    </row>
    <row r="265" spans="1:21" ht="12">
      <c r="A265" s="1452" t="s">
        <v>3674</v>
      </c>
      <c r="B265" s="1483">
        <v>42060</v>
      </c>
      <c r="C265" s="1452" t="s">
        <v>3470</v>
      </c>
      <c r="D265" s="1433" t="s">
        <v>3677</v>
      </c>
      <c r="E265" s="1589"/>
      <c r="F265" s="15">
        <v>26800000000</v>
      </c>
      <c r="G265" s="1590">
        <v>42300000000</v>
      </c>
      <c r="H265" s="1590" t="s">
        <v>3029</v>
      </c>
      <c r="I265" s="1428"/>
      <c r="J265" s="1407"/>
      <c r="K265" s="1431">
        <f t="shared" si="35"/>
        <v>20781087470.449173</v>
      </c>
      <c r="L265" s="1407"/>
      <c r="M265" s="1407"/>
      <c r="N265" s="1407"/>
      <c r="O265" s="1407"/>
      <c r="P265" s="1407"/>
      <c r="Q265" s="1407"/>
      <c r="R265" s="1407"/>
      <c r="S265" s="1407"/>
      <c r="T265" s="1407"/>
      <c r="U265" s="1407"/>
    </row>
    <row r="266" spans="1:21" ht="12">
      <c r="A266" s="1452" t="s">
        <v>3674</v>
      </c>
      <c r="B266" s="1483">
        <v>42060</v>
      </c>
      <c r="C266" s="1452" t="s">
        <v>3470</v>
      </c>
      <c r="D266" s="1433" t="s">
        <v>3678</v>
      </c>
      <c r="E266" s="1589"/>
      <c r="F266" s="15">
        <v>863000000000000</v>
      </c>
      <c r="G266" s="1590">
        <v>42300000000</v>
      </c>
      <c r="H266" s="1590" t="s">
        <v>3029</v>
      </c>
      <c r="I266" s="1428"/>
      <c r="J266" s="1407"/>
      <c r="K266" s="1431">
        <f t="shared" si="35"/>
        <v>669182033096926.75</v>
      </c>
      <c r="L266" s="1407"/>
      <c r="M266" s="1407"/>
      <c r="N266" s="1407"/>
      <c r="O266" s="1407"/>
      <c r="P266" s="1407"/>
      <c r="Q266" s="1407"/>
      <c r="R266" s="1407"/>
      <c r="S266" s="1407"/>
      <c r="T266" s="1407"/>
      <c r="U266" s="1407"/>
    </row>
    <row r="267" spans="1:21" ht="12">
      <c r="A267" s="1452" t="s">
        <v>3674</v>
      </c>
      <c r="B267" s="1483">
        <v>42060</v>
      </c>
      <c r="C267" s="1452" t="s">
        <v>3470</v>
      </c>
      <c r="D267" s="1607" t="s">
        <v>3679</v>
      </c>
      <c r="E267" s="1589"/>
      <c r="F267" s="15">
        <v>12300000000000</v>
      </c>
      <c r="G267" s="1590">
        <v>42300000000</v>
      </c>
      <c r="H267" s="1590" t="s">
        <v>3029</v>
      </c>
      <c r="I267" s="1428"/>
      <c r="J267" s="1407"/>
      <c r="K267" s="1431">
        <f t="shared" si="35"/>
        <v>9537588652482.2695</v>
      </c>
      <c r="L267" s="1407"/>
      <c r="M267" s="1407"/>
      <c r="N267" s="1407"/>
      <c r="O267" s="1407"/>
      <c r="P267" s="1407"/>
      <c r="Q267" s="1407"/>
      <c r="R267" s="1407"/>
      <c r="S267" s="1407"/>
      <c r="T267" s="1407"/>
      <c r="U267" s="1407"/>
    </row>
    <row r="268" spans="1:21" ht="12">
      <c r="A268" s="1452" t="s">
        <v>3674</v>
      </c>
      <c r="B268" s="1483">
        <v>42060</v>
      </c>
      <c r="C268" s="1452" t="s">
        <v>3470</v>
      </c>
      <c r="D268" s="1607" t="s">
        <v>3680</v>
      </c>
      <c r="E268" s="1589"/>
      <c r="F268" s="15">
        <v>2180000000000</v>
      </c>
      <c r="G268" s="1590">
        <v>42300000000</v>
      </c>
      <c r="H268" s="1590" t="s">
        <v>3029</v>
      </c>
      <c r="I268" s="1428"/>
      <c r="J268" s="1452" t="s">
        <v>3681</v>
      </c>
      <c r="K268" s="1431">
        <f t="shared" si="35"/>
        <v>1690401891252.9551</v>
      </c>
      <c r="L268" s="1407"/>
      <c r="M268" s="1407"/>
      <c r="N268" s="1407"/>
      <c r="O268" s="1407"/>
      <c r="P268" s="1407"/>
      <c r="Q268" s="1407"/>
      <c r="R268" s="1407"/>
      <c r="S268" s="1407"/>
      <c r="T268" s="1407"/>
      <c r="U268" s="1407"/>
    </row>
    <row r="269" spans="1:21" ht="12">
      <c r="A269" s="1452" t="s">
        <v>3674</v>
      </c>
      <c r="B269" s="1483">
        <v>42060</v>
      </c>
      <c r="C269" s="1452" t="s">
        <v>3470</v>
      </c>
      <c r="D269" s="1433" t="s">
        <v>3682</v>
      </c>
      <c r="E269" s="1589"/>
      <c r="F269" s="15">
        <v>745000000000</v>
      </c>
      <c r="G269" s="1590">
        <v>42300000000</v>
      </c>
      <c r="H269" s="1590" t="s">
        <v>3029</v>
      </c>
      <c r="I269" s="1428"/>
      <c r="J269" s="1407"/>
      <c r="K269" s="1431">
        <f t="shared" si="35"/>
        <v>577683215130.02368</v>
      </c>
      <c r="L269" s="1407"/>
      <c r="M269" s="1407"/>
      <c r="N269" s="1407"/>
      <c r="O269" s="1407"/>
      <c r="P269" s="1407"/>
      <c r="Q269" s="1407"/>
      <c r="R269" s="1407"/>
      <c r="S269" s="1407"/>
      <c r="T269" s="1407"/>
      <c r="U269" s="1407"/>
    </row>
    <row r="270" spans="1:21" ht="12">
      <c r="A270" s="1452" t="s">
        <v>3674</v>
      </c>
      <c r="B270" s="1483">
        <v>42060</v>
      </c>
      <c r="C270" s="1452" t="s">
        <v>3470</v>
      </c>
      <c r="D270" s="1433" t="s">
        <v>3684</v>
      </c>
      <c r="E270" s="1589"/>
      <c r="F270" s="15">
        <v>7080000000000</v>
      </c>
      <c r="G270" s="1590">
        <v>42300000000</v>
      </c>
      <c r="H270" s="1590" t="s">
        <v>3029</v>
      </c>
      <c r="I270" s="1428"/>
      <c r="J270" s="1452" t="s">
        <v>3681</v>
      </c>
      <c r="K270" s="1431">
        <f t="shared" si="35"/>
        <v>5489929078014.1846</v>
      </c>
      <c r="L270" s="1407"/>
      <c r="M270" s="1407"/>
      <c r="N270" s="1407"/>
      <c r="O270" s="1407"/>
      <c r="P270" s="1407"/>
      <c r="Q270" s="1407"/>
      <c r="R270" s="1407"/>
      <c r="S270" s="1407"/>
      <c r="T270" s="1407"/>
      <c r="U270" s="1407"/>
    </row>
    <row r="271" spans="1:21" ht="12">
      <c r="A271" s="1452" t="s">
        <v>3674</v>
      </c>
      <c r="B271" s="1483">
        <v>42060</v>
      </c>
      <c r="C271" s="1452" t="s">
        <v>3470</v>
      </c>
      <c r="D271" s="1433" t="s">
        <v>3685</v>
      </c>
      <c r="E271" s="1589"/>
      <c r="F271" s="15">
        <v>1470000000000</v>
      </c>
      <c r="G271" s="1590">
        <v>42300000000</v>
      </c>
      <c r="H271" s="1590" t="s">
        <v>3029</v>
      </c>
      <c r="I271" s="1428"/>
      <c r="J271" s="1407"/>
      <c r="K271" s="1431">
        <f t="shared" si="35"/>
        <v>1139858156028.3689</v>
      </c>
      <c r="L271" s="1407"/>
      <c r="M271" s="1407"/>
      <c r="N271" s="1407"/>
      <c r="O271" s="1407"/>
      <c r="P271" s="1407"/>
      <c r="Q271" s="1407"/>
      <c r="R271" s="1407"/>
      <c r="S271" s="1407"/>
      <c r="T271" s="1407"/>
      <c r="U271" s="1407"/>
    </row>
    <row r="272" spans="1:21" ht="12">
      <c r="A272" s="1452" t="s">
        <v>3674</v>
      </c>
      <c r="B272" s="1483">
        <v>42060</v>
      </c>
      <c r="C272" s="1452" t="s">
        <v>3470</v>
      </c>
      <c r="D272" s="1433" t="s">
        <v>3686</v>
      </c>
      <c r="E272" s="1589"/>
      <c r="F272" s="15">
        <v>819000000000</v>
      </c>
      <c r="G272" s="1590">
        <v>42300000000</v>
      </c>
      <c r="H272" s="1590" t="s">
        <v>3029</v>
      </c>
      <c r="I272" s="1428"/>
      <c r="J272" s="1452" t="s">
        <v>3681</v>
      </c>
      <c r="K272" s="1431">
        <f t="shared" si="35"/>
        <v>635063829787.23401</v>
      </c>
      <c r="L272" s="1407"/>
      <c r="M272" s="1407"/>
      <c r="N272" s="1407"/>
      <c r="O272" s="1407"/>
      <c r="P272" s="1407"/>
      <c r="Q272" s="1407"/>
      <c r="R272" s="1407"/>
      <c r="S272" s="1407"/>
      <c r="T272" s="1407"/>
      <c r="U272" s="1407"/>
    </row>
    <row r="273" spans="1:21" ht="12">
      <c r="A273" s="1407"/>
      <c r="B273" s="1407"/>
      <c r="C273" s="1407"/>
      <c r="D273" s="1409"/>
      <c r="E273" s="1410"/>
      <c r="F273" s="1495"/>
      <c r="G273" s="1534"/>
      <c r="H273" s="1534"/>
      <c r="I273" s="1428"/>
      <c r="J273" s="1407"/>
      <c r="K273" s="1431"/>
      <c r="L273" s="1407"/>
      <c r="M273" s="1407"/>
      <c r="N273" s="1407"/>
      <c r="O273" s="1407"/>
      <c r="P273" s="1407"/>
      <c r="Q273" s="1407"/>
      <c r="R273" s="1407"/>
      <c r="S273" s="1407"/>
      <c r="T273" s="1407"/>
      <c r="U273" s="1407"/>
    </row>
    <row r="274" spans="1:21" ht="12">
      <c r="A274" s="1452" t="s">
        <v>3687</v>
      </c>
      <c r="B274" s="1483">
        <v>42067</v>
      </c>
      <c r="C274" s="1452" t="s">
        <v>872</v>
      </c>
      <c r="D274" s="1433" t="s">
        <v>3688</v>
      </c>
      <c r="E274" s="1589"/>
      <c r="F274" s="15">
        <v>83800000000000</v>
      </c>
      <c r="G274" s="1590">
        <v>49100000000</v>
      </c>
      <c r="H274" s="1590" t="s">
        <v>3029</v>
      </c>
      <c r="I274" s="1428"/>
      <c r="J274" s="1407"/>
      <c r="K274" s="1431">
        <f t="shared" ref="K274:K277" si="36">(32800000000/G274)*F274</f>
        <v>55980448065173.109</v>
      </c>
      <c r="L274" s="1407"/>
      <c r="M274" s="1407"/>
      <c r="N274" s="1407"/>
      <c r="O274" s="1407"/>
      <c r="P274" s="1407"/>
      <c r="Q274" s="1407"/>
      <c r="R274" s="1407"/>
      <c r="S274" s="1407"/>
      <c r="T274" s="1407"/>
      <c r="U274" s="1407"/>
    </row>
    <row r="275" spans="1:21" ht="12">
      <c r="A275" s="1452" t="s">
        <v>3687</v>
      </c>
      <c r="B275" s="1483">
        <v>42067</v>
      </c>
      <c r="C275" s="1452" t="s">
        <v>872</v>
      </c>
      <c r="D275" s="1433" t="s">
        <v>3690</v>
      </c>
      <c r="E275" s="1589"/>
      <c r="F275" s="15">
        <v>3240000000000000</v>
      </c>
      <c r="G275" s="1590">
        <v>49100000000</v>
      </c>
      <c r="H275" s="1590" t="s">
        <v>3029</v>
      </c>
      <c r="I275" s="1428"/>
      <c r="J275" s="1407"/>
      <c r="K275" s="1431">
        <f t="shared" si="36"/>
        <v>2164399185336048.8</v>
      </c>
      <c r="L275" s="1407"/>
      <c r="M275" s="1407"/>
      <c r="N275" s="1407"/>
      <c r="O275" s="1407"/>
      <c r="P275" s="1407"/>
      <c r="Q275" s="1407"/>
      <c r="R275" s="1407"/>
      <c r="S275" s="1407"/>
      <c r="T275" s="1407"/>
      <c r="U275" s="1407"/>
    </row>
    <row r="276" spans="1:21" ht="12">
      <c r="A276" s="1452" t="s">
        <v>3687</v>
      </c>
      <c r="B276" s="1483">
        <v>42067</v>
      </c>
      <c r="C276" s="1452" t="s">
        <v>872</v>
      </c>
      <c r="D276" s="1433" t="s">
        <v>3694</v>
      </c>
      <c r="E276" s="1589"/>
      <c r="F276" s="15">
        <v>5530000000000000</v>
      </c>
      <c r="G276" s="1590">
        <v>49100000000</v>
      </c>
      <c r="H276" s="1590" t="s">
        <v>3029</v>
      </c>
      <c r="I276" s="1428"/>
      <c r="J276" s="1407"/>
      <c r="K276" s="1431">
        <f t="shared" si="36"/>
        <v>3694175152749490.5</v>
      </c>
      <c r="L276" s="1407"/>
      <c r="M276" s="1407"/>
      <c r="N276" s="1407"/>
      <c r="O276" s="1407"/>
      <c r="P276" s="1407"/>
      <c r="Q276" s="1407"/>
      <c r="R276" s="1407"/>
      <c r="S276" s="1407"/>
      <c r="T276" s="1407"/>
      <c r="U276" s="1407"/>
    </row>
    <row r="277" spans="1:21" ht="12">
      <c r="A277" s="1452" t="s">
        <v>3687</v>
      </c>
      <c r="B277" s="1483">
        <v>42067</v>
      </c>
      <c r="C277" s="1452" t="s">
        <v>872</v>
      </c>
      <c r="D277" s="1433" t="s">
        <v>3695</v>
      </c>
      <c r="E277" s="1589"/>
      <c r="F277" s="15">
        <v>67000000000000</v>
      </c>
      <c r="G277" s="1590">
        <v>49100000000</v>
      </c>
      <c r="H277" s="1590" t="s">
        <v>3029</v>
      </c>
      <c r="I277" s="1428"/>
      <c r="J277" s="1407"/>
      <c r="K277" s="1431">
        <f t="shared" si="36"/>
        <v>44757637474541.75</v>
      </c>
      <c r="L277" s="1407"/>
      <c r="M277" s="1407"/>
      <c r="N277" s="1407"/>
      <c r="O277" s="1407"/>
      <c r="P277" s="1407"/>
      <c r="Q277" s="1407"/>
      <c r="R277" s="1407"/>
      <c r="S277" s="1407"/>
      <c r="T277" s="1407"/>
      <c r="U277" s="1407"/>
    </row>
    <row r="278" spans="1:21" ht="12">
      <c r="A278" s="1407"/>
      <c r="B278" s="1407"/>
      <c r="C278" s="1407"/>
      <c r="D278" s="1409"/>
      <c r="E278" s="1624"/>
      <c r="F278" s="1625"/>
      <c r="G278" s="1626"/>
      <c r="H278" s="1534"/>
      <c r="I278" s="1428"/>
      <c r="J278" s="1407"/>
      <c r="K278" s="1431"/>
      <c r="L278" s="1407"/>
      <c r="M278" s="1407"/>
      <c r="N278" s="1407"/>
      <c r="O278" s="1407"/>
      <c r="P278" s="1407"/>
      <c r="Q278" s="1407"/>
      <c r="R278" s="1407"/>
      <c r="S278" s="1407"/>
      <c r="T278" s="1407"/>
      <c r="U278" s="1407"/>
    </row>
    <row r="279" spans="1:21" ht="12">
      <c r="A279" s="1452" t="s">
        <v>3697</v>
      </c>
      <c r="B279" s="1483">
        <v>42074</v>
      </c>
      <c r="C279" s="1452" t="s">
        <v>3470</v>
      </c>
      <c r="D279" s="1433" t="s">
        <v>3698</v>
      </c>
      <c r="E279" s="1589"/>
      <c r="F279" s="15">
        <v>104000000000000</v>
      </c>
      <c r="G279" s="1590">
        <v>38300000000</v>
      </c>
      <c r="H279" s="1590" t="s">
        <v>3029</v>
      </c>
      <c r="I279" s="1428"/>
      <c r="J279" s="1407"/>
      <c r="K279" s="1431">
        <f t="shared" ref="K279:K282" si="37">(32800000000/G279)*F279</f>
        <v>89065274151436.031</v>
      </c>
      <c r="L279" s="1407"/>
      <c r="M279" s="1407"/>
      <c r="N279" s="1407"/>
      <c r="O279" s="1407"/>
      <c r="P279" s="1407"/>
      <c r="Q279" s="1407"/>
      <c r="R279" s="1407"/>
      <c r="S279" s="1407"/>
      <c r="T279" s="1407"/>
      <c r="U279" s="1407"/>
    </row>
    <row r="280" spans="1:21" ht="12">
      <c r="A280" s="1452" t="s">
        <v>3697</v>
      </c>
      <c r="B280" s="1483">
        <v>42074</v>
      </c>
      <c r="C280" s="1452" t="s">
        <v>3470</v>
      </c>
      <c r="D280" s="1433" t="s">
        <v>3699</v>
      </c>
      <c r="E280" s="1589"/>
      <c r="F280" s="15">
        <v>39900000000000</v>
      </c>
      <c r="G280" s="1590">
        <v>38300000000</v>
      </c>
      <c r="H280" s="1590" t="s">
        <v>3029</v>
      </c>
      <c r="I280" s="1428"/>
      <c r="J280" s="1407"/>
      <c r="K280" s="1431">
        <f t="shared" si="37"/>
        <v>34170234986945.168</v>
      </c>
      <c r="L280" s="1407"/>
      <c r="M280" s="1407"/>
      <c r="N280" s="1407"/>
      <c r="O280" s="1407"/>
      <c r="P280" s="1407"/>
      <c r="Q280" s="1407"/>
      <c r="R280" s="1407"/>
      <c r="S280" s="1407"/>
      <c r="T280" s="1407"/>
      <c r="U280" s="1407"/>
    </row>
    <row r="281" spans="1:21" ht="12">
      <c r="A281" s="1452" t="s">
        <v>3697</v>
      </c>
      <c r="B281" s="1483">
        <v>42074</v>
      </c>
      <c r="C281" s="1452" t="s">
        <v>3470</v>
      </c>
      <c r="D281" s="1433" t="s">
        <v>3700</v>
      </c>
      <c r="E281" s="1589"/>
      <c r="F281" s="15">
        <v>534000000000000</v>
      </c>
      <c r="G281" s="1590">
        <v>38300000000</v>
      </c>
      <c r="H281" s="1590" t="s">
        <v>3029</v>
      </c>
      <c r="I281" s="1428"/>
      <c r="J281" s="1407"/>
      <c r="K281" s="1431">
        <f t="shared" si="37"/>
        <v>457315926892950.38</v>
      </c>
      <c r="L281" s="1407"/>
      <c r="M281" s="1407"/>
      <c r="N281" s="1407"/>
      <c r="O281" s="1407"/>
      <c r="P281" s="1407"/>
      <c r="Q281" s="1407"/>
      <c r="R281" s="1407"/>
      <c r="S281" s="1407"/>
      <c r="T281" s="1407"/>
      <c r="U281" s="1407"/>
    </row>
    <row r="282" spans="1:21" ht="12">
      <c r="A282" s="1452" t="s">
        <v>3697</v>
      </c>
      <c r="B282" s="1483">
        <v>42074</v>
      </c>
      <c r="C282" s="1452" t="s">
        <v>3470</v>
      </c>
      <c r="D282" s="1433" t="s">
        <v>3702</v>
      </c>
      <c r="E282" s="1589"/>
      <c r="F282" s="15">
        <v>254000000000000</v>
      </c>
      <c r="G282" s="1590">
        <v>38300000000</v>
      </c>
      <c r="H282" s="1590" t="s">
        <v>3029</v>
      </c>
      <c r="I282" s="1428"/>
      <c r="J282" s="1407"/>
      <c r="K282" s="1431">
        <f t="shared" si="37"/>
        <v>217524804177545.69</v>
      </c>
      <c r="L282" s="1407"/>
      <c r="M282" s="1407"/>
      <c r="N282" s="1407"/>
      <c r="O282" s="1407"/>
      <c r="P282" s="1407"/>
      <c r="Q282" s="1407"/>
      <c r="R282" s="1407"/>
      <c r="S282" s="1407"/>
      <c r="T282" s="1407"/>
      <c r="U282" s="1407"/>
    </row>
    <row r="283" spans="1:21" ht="12">
      <c r="A283" s="1407"/>
      <c r="B283" s="1407"/>
      <c r="C283" s="1407"/>
      <c r="D283" s="1409"/>
      <c r="E283" s="1410"/>
      <c r="F283" s="1495"/>
      <c r="G283" s="1534"/>
      <c r="H283" s="1534"/>
      <c r="I283" s="1428"/>
      <c r="J283" s="1407"/>
      <c r="K283" s="1431"/>
      <c r="L283" s="1407"/>
      <c r="M283" s="1407"/>
      <c r="N283" s="1407"/>
      <c r="O283" s="1407"/>
      <c r="P283" s="1407"/>
      <c r="Q283" s="1407"/>
      <c r="R283" s="1407"/>
      <c r="S283" s="1407"/>
      <c r="T283" s="1407"/>
      <c r="U283" s="1407"/>
    </row>
    <row r="284" spans="1:21" ht="12">
      <c r="A284" s="1452" t="s">
        <v>3704</v>
      </c>
      <c r="B284" s="1483">
        <v>42081</v>
      </c>
      <c r="C284" s="1452" t="s">
        <v>3470</v>
      </c>
      <c r="D284" s="1433" t="s">
        <v>3705</v>
      </c>
      <c r="E284" s="1589"/>
      <c r="F284" s="15">
        <v>379000000000000</v>
      </c>
      <c r="G284" s="1590">
        <v>41100000000</v>
      </c>
      <c r="H284" s="1590" t="s">
        <v>3029</v>
      </c>
      <c r="I284" s="1428"/>
      <c r="J284" s="1407"/>
      <c r="K284" s="1431">
        <f t="shared" ref="K284:K289" si="38">(32800000000/G284)*F284</f>
        <v>302462287104622.88</v>
      </c>
      <c r="L284" s="1407"/>
      <c r="M284" s="1407"/>
      <c r="N284" s="1407"/>
      <c r="O284" s="1407"/>
      <c r="P284" s="1407"/>
      <c r="Q284" s="1407"/>
      <c r="R284" s="1407"/>
      <c r="S284" s="1407"/>
      <c r="T284" s="1407"/>
      <c r="U284" s="1407"/>
    </row>
    <row r="285" spans="1:21" ht="12">
      <c r="A285" s="1452" t="s">
        <v>3704</v>
      </c>
      <c r="B285" s="1483">
        <v>42081</v>
      </c>
      <c r="C285" s="1452" t="s">
        <v>3470</v>
      </c>
      <c r="D285" s="1433" t="s">
        <v>3707</v>
      </c>
      <c r="E285" s="1589"/>
      <c r="F285" s="15">
        <v>4710000000000</v>
      </c>
      <c r="G285" s="1590">
        <v>41100000000</v>
      </c>
      <c r="H285" s="1590" t="s">
        <v>3029</v>
      </c>
      <c r="I285" s="1428"/>
      <c r="J285" s="1407"/>
      <c r="K285" s="1431">
        <f t="shared" si="38"/>
        <v>3758832116788.3213</v>
      </c>
      <c r="L285" s="1407"/>
      <c r="M285" s="1407"/>
      <c r="N285" s="1407"/>
      <c r="O285" s="1407"/>
      <c r="P285" s="1407"/>
      <c r="Q285" s="1407"/>
      <c r="R285" s="1407"/>
      <c r="S285" s="1407"/>
      <c r="T285" s="1407"/>
      <c r="U285" s="1407"/>
    </row>
    <row r="286" spans="1:21" ht="12">
      <c r="A286" s="1452" t="s">
        <v>3704</v>
      </c>
      <c r="B286" s="1483">
        <v>42081</v>
      </c>
      <c r="C286" s="1452" t="s">
        <v>3470</v>
      </c>
      <c r="D286" s="1433" t="s">
        <v>3708</v>
      </c>
      <c r="E286" s="1589"/>
      <c r="F286" s="15">
        <v>2960000000000</v>
      </c>
      <c r="G286" s="1590">
        <v>41100000000</v>
      </c>
      <c r="H286" s="1590" t="s">
        <v>3029</v>
      </c>
      <c r="I286" s="1428"/>
      <c r="J286" s="1407"/>
      <c r="K286" s="1431">
        <f t="shared" si="38"/>
        <v>2362238442822.3843</v>
      </c>
      <c r="L286" s="1407"/>
      <c r="M286" s="1407"/>
      <c r="N286" s="1407"/>
      <c r="O286" s="1407"/>
      <c r="P286" s="1407"/>
      <c r="Q286" s="1407"/>
      <c r="R286" s="1407"/>
      <c r="S286" s="1407"/>
      <c r="T286" s="1407"/>
      <c r="U286" s="1407"/>
    </row>
    <row r="287" spans="1:21" ht="12">
      <c r="A287" s="1452" t="s">
        <v>3704</v>
      </c>
      <c r="B287" s="1483">
        <v>42081</v>
      </c>
      <c r="C287" s="1452" t="s">
        <v>3470</v>
      </c>
      <c r="D287" s="1433" t="s">
        <v>3710</v>
      </c>
      <c r="E287" s="1589"/>
      <c r="F287" s="15">
        <v>1200000000000000</v>
      </c>
      <c r="G287" s="1590">
        <v>41100000000</v>
      </c>
      <c r="H287" s="1590" t="s">
        <v>3029</v>
      </c>
      <c r="I287" s="1428"/>
      <c r="J287" s="1407"/>
      <c r="K287" s="1431">
        <f t="shared" si="38"/>
        <v>957664233576642.38</v>
      </c>
      <c r="L287" s="1407"/>
      <c r="M287" s="1407"/>
      <c r="N287" s="1407"/>
      <c r="O287" s="1407"/>
      <c r="P287" s="1407"/>
      <c r="Q287" s="1407"/>
      <c r="R287" s="1407"/>
      <c r="S287" s="1407"/>
      <c r="T287" s="1407"/>
      <c r="U287" s="1407"/>
    </row>
    <row r="288" spans="1:21" ht="12">
      <c r="A288" s="1452" t="s">
        <v>3704</v>
      </c>
      <c r="B288" s="1483">
        <v>42081</v>
      </c>
      <c r="C288" s="1452" t="s">
        <v>3470</v>
      </c>
      <c r="D288" s="1433" t="s">
        <v>3565</v>
      </c>
      <c r="E288" s="1589"/>
      <c r="F288" s="15">
        <v>17200000000000</v>
      </c>
      <c r="G288" s="1590">
        <v>41100000000</v>
      </c>
      <c r="H288" s="1590" t="s">
        <v>3029</v>
      </c>
      <c r="I288" s="1428"/>
      <c r="J288" s="1452" t="s">
        <v>3681</v>
      </c>
      <c r="K288" s="1431">
        <f t="shared" si="38"/>
        <v>13726520681265.207</v>
      </c>
      <c r="L288" s="1407"/>
      <c r="M288" s="1407"/>
      <c r="N288" s="1407"/>
      <c r="O288" s="1407"/>
      <c r="P288" s="1407"/>
      <c r="Q288" s="1407"/>
      <c r="R288" s="1407"/>
      <c r="S288" s="1407"/>
      <c r="T288" s="1407"/>
      <c r="U288" s="1407"/>
    </row>
    <row r="289" spans="1:21" ht="12">
      <c r="A289" s="1452" t="s">
        <v>3704</v>
      </c>
      <c r="B289" s="1483">
        <v>42081</v>
      </c>
      <c r="C289" s="1452" t="s">
        <v>3470</v>
      </c>
      <c r="D289" s="1433" t="s">
        <v>3566</v>
      </c>
      <c r="E289" s="1589"/>
      <c r="F289" s="15">
        <v>11700000000000</v>
      </c>
      <c r="G289" s="1590">
        <v>41100000000</v>
      </c>
      <c r="H289" s="1590" t="s">
        <v>3029</v>
      </c>
      <c r="I289" s="1428"/>
      <c r="J289" s="1452" t="s">
        <v>3681</v>
      </c>
      <c r="K289" s="1431">
        <f t="shared" si="38"/>
        <v>9337226277372.2637</v>
      </c>
      <c r="L289" s="1407"/>
      <c r="M289" s="1407"/>
      <c r="N289" s="1407"/>
      <c r="O289" s="1407"/>
      <c r="P289" s="1407"/>
      <c r="Q289" s="1407"/>
      <c r="R289" s="1407"/>
      <c r="S289" s="1407"/>
      <c r="T289" s="1407"/>
      <c r="U289" s="1407"/>
    </row>
    <row r="290" spans="1:21" ht="12">
      <c r="A290" s="1407"/>
      <c r="B290" s="1407"/>
      <c r="C290" s="1407"/>
      <c r="D290" s="1409"/>
      <c r="E290" s="1410"/>
      <c r="F290" s="1495"/>
      <c r="G290" s="1534"/>
      <c r="H290" s="1534"/>
      <c r="I290" s="1428"/>
      <c r="J290" s="1407"/>
      <c r="K290" s="1431"/>
      <c r="L290" s="1407"/>
      <c r="M290" s="1407"/>
      <c r="N290" s="1407"/>
      <c r="O290" s="1407"/>
      <c r="P290" s="1407"/>
      <c r="Q290" s="1407"/>
      <c r="R290" s="1407"/>
      <c r="S290" s="1407"/>
      <c r="T290" s="1407"/>
      <c r="U290" s="1407"/>
    </row>
    <row r="291" spans="1:21" ht="12">
      <c r="A291" s="1452" t="s">
        <v>3711</v>
      </c>
      <c r="B291" s="1483">
        <v>42089</v>
      </c>
      <c r="C291" s="1452" t="s">
        <v>3470</v>
      </c>
      <c r="D291" s="1433" t="s">
        <v>3712</v>
      </c>
      <c r="E291" s="1589"/>
      <c r="F291" s="15">
        <v>569000000000000</v>
      </c>
      <c r="G291" s="1590">
        <v>37400000000</v>
      </c>
      <c r="H291" s="1590" t="s">
        <v>3029</v>
      </c>
      <c r="I291" s="1428"/>
      <c r="J291" s="1407"/>
      <c r="K291" s="1431">
        <f t="shared" ref="K291:K298" si="39">(32800000000/G291)*F291</f>
        <v>499016042780748.62</v>
      </c>
      <c r="L291" s="1407"/>
      <c r="M291" s="1407"/>
      <c r="N291" s="1407"/>
      <c r="O291" s="1407"/>
      <c r="P291" s="1407"/>
      <c r="Q291" s="1407"/>
      <c r="R291" s="1407"/>
      <c r="S291" s="1407"/>
      <c r="T291" s="1407"/>
      <c r="U291" s="1407"/>
    </row>
    <row r="292" spans="1:21" ht="12">
      <c r="A292" s="1452" t="s">
        <v>3711</v>
      </c>
      <c r="B292" s="1483">
        <v>42089</v>
      </c>
      <c r="C292" s="1452" t="s">
        <v>3470</v>
      </c>
      <c r="D292" s="1433" t="s">
        <v>3714</v>
      </c>
      <c r="E292" s="1589"/>
      <c r="F292" s="15">
        <v>74900000000000</v>
      </c>
      <c r="G292" s="1590">
        <v>37400000000</v>
      </c>
      <c r="H292" s="1590" t="s">
        <v>3029</v>
      </c>
      <c r="I292" s="1428"/>
      <c r="J292" s="1407"/>
      <c r="K292" s="1431">
        <f t="shared" si="39"/>
        <v>65687700534759.352</v>
      </c>
      <c r="L292" s="1407"/>
      <c r="M292" s="1407"/>
      <c r="N292" s="1407"/>
      <c r="O292" s="1407"/>
      <c r="P292" s="1407"/>
      <c r="Q292" s="1407"/>
      <c r="R292" s="1407"/>
      <c r="S292" s="1407"/>
      <c r="T292" s="1407"/>
      <c r="U292" s="1407"/>
    </row>
    <row r="293" spans="1:21" ht="12">
      <c r="A293" s="1452" t="s">
        <v>3711</v>
      </c>
      <c r="B293" s="1483">
        <v>42089</v>
      </c>
      <c r="C293" s="1452" t="s">
        <v>3470</v>
      </c>
      <c r="D293" s="1433" t="s">
        <v>3716</v>
      </c>
      <c r="E293" s="1589"/>
      <c r="F293" s="15">
        <v>4940000000000</v>
      </c>
      <c r="G293" s="1590">
        <v>37400000000</v>
      </c>
      <c r="H293" s="1590" t="s">
        <v>3029</v>
      </c>
      <c r="I293" s="1428"/>
      <c r="J293" s="1407"/>
      <c r="K293" s="1431">
        <f t="shared" si="39"/>
        <v>4332406417112.2993</v>
      </c>
      <c r="L293" s="1407"/>
      <c r="M293" s="1407"/>
      <c r="N293" s="1407"/>
      <c r="O293" s="1407"/>
      <c r="P293" s="1407"/>
      <c r="Q293" s="1407"/>
      <c r="R293" s="1407"/>
      <c r="S293" s="1407"/>
      <c r="T293" s="1407"/>
      <c r="U293" s="1407"/>
    </row>
    <row r="294" spans="1:21" ht="12">
      <c r="A294" s="1452" t="s">
        <v>3711</v>
      </c>
      <c r="B294" s="1483">
        <v>42089</v>
      </c>
      <c r="C294" s="1452" t="s">
        <v>3470</v>
      </c>
      <c r="D294" s="1433" t="s">
        <v>3717</v>
      </c>
      <c r="E294" s="1589"/>
      <c r="F294" s="15">
        <v>2890000000000</v>
      </c>
      <c r="G294" s="1590">
        <v>37400000000</v>
      </c>
      <c r="H294" s="1590" t="s">
        <v>3029</v>
      </c>
      <c r="I294" s="1428"/>
      <c r="J294" s="1407"/>
      <c r="K294" s="1431">
        <f t="shared" si="39"/>
        <v>2534545454545.4546</v>
      </c>
      <c r="L294" s="1407"/>
      <c r="M294" s="1407"/>
      <c r="N294" s="1407"/>
      <c r="O294" s="1407"/>
      <c r="P294" s="1407"/>
      <c r="Q294" s="1407"/>
      <c r="R294" s="1407"/>
      <c r="S294" s="1407"/>
      <c r="T294" s="1407"/>
      <c r="U294" s="1407"/>
    </row>
    <row r="295" spans="1:21" ht="12">
      <c r="A295" s="1452" t="s">
        <v>3711</v>
      </c>
      <c r="B295" s="1483">
        <v>42089</v>
      </c>
      <c r="C295" s="1452" t="s">
        <v>3470</v>
      </c>
      <c r="D295" s="1433" t="s">
        <v>3718</v>
      </c>
      <c r="E295" s="1589"/>
      <c r="F295" s="15">
        <v>3990000000000</v>
      </c>
      <c r="G295" s="1590">
        <v>37400000000</v>
      </c>
      <c r="H295" s="1590" t="s">
        <v>3029</v>
      </c>
      <c r="I295" s="1428"/>
      <c r="J295" s="1407"/>
      <c r="K295" s="1431">
        <f t="shared" si="39"/>
        <v>3499251336898.3955</v>
      </c>
      <c r="L295" s="1407"/>
      <c r="M295" s="1407"/>
      <c r="N295" s="1407"/>
      <c r="O295" s="1407"/>
      <c r="P295" s="1407"/>
      <c r="Q295" s="1407"/>
      <c r="R295" s="1407"/>
      <c r="S295" s="1407"/>
      <c r="T295" s="1407"/>
      <c r="U295" s="1407"/>
    </row>
    <row r="296" spans="1:21" ht="12">
      <c r="A296" s="1452" t="s">
        <v>3711</v>
      </c>
      <c r="B296" s="1483">
        <v>42089</v>
      </c>
      <c r="C296" s="1452" t="s">
        <v>3470</v>
      </c>
      <c r="D296" s="1433" t="s">
        <v>3719</v>
      </c>
      <c r="E296" s="1589"/>
      <c r="F296" s="15">
        <v>1130000000000000</v>
      </c>
      <c r="G296" s="1590">
        <v>37400000000</v>
      </c>
      <c r="H296" s="1590" t="s">
        <v>3029</v>
      </c>
      <c r="I296" s="1428"/>
      <c r="J296" s="1407"/>
      <c r="K296" s="1431">
        <f t="shared" si="39"/>
        <v>991016042780748.62</v>
      </c>
      <c r="L296" s="1407"/>
      <c r="M296" s="1407"/>
      <c r="N296" s="1407"/>
      <c r="O296" s="1407"/>
      <c r="P296" s="1407"/>
      <c r="Q296" s="1407"/>
      <c r="R296" s="1407"/>
      <c r="S296" s="1407"/>
      <c r="T296" s="1407"/>
      <c r="U296" s="1407"/>
    </row>
    <row r="297" spans="1:21" ht="12">
      <c r="A297" s="1452" t="s">
        <v>3711</v>
      </c>
      <c r="B297" s="1483">
        <v>42089</v>
      </c>
      <c r="C297" s="1452" t="s">
        <v>3470</v>
      </c>
      <c r="D297" s="1433" t="s">
        <v>3721</v>
      </c>
      <c r="E297" s="1589"/>
      <c r="F297" s="15">
        <v>11000000000000</v>
      </c>
      <c r="G297" s="1590">
        <v>37400000000</v>
      </c>
      <c r="H297" s="1590" t="s">
        <v>3029</v>
      </c>
      <c r="I297" s="1428"/>
      <c r="J297" s="1407"/>
      <c r="K297" s="1431">
        <f t="shared" si="39"/>
        <v>9647058823529.4121</v>
      </c>
      <c r="L297" s="1407"/>
      <c r="M297" s="1407"/>
      <c r="N297" s="1407"/>
      <c r="O297" s="1407"/>
      <c r="P297" s="1407"/>
      <c r="Q297" s="1407"/>
      <c r="R297" s="1407"/>
      <c r="S297" s="1407"/>
      <c r="T297" s="1407"/>
      <c r="U297" s="1407"/>
    </row>
    <row r="298" spans="1:21" ht="12">
      <c r="A298" s="1452" t="s">
        <v>3711</v>
      </c>
      <c r="B298" s="1483">
        <v>42089</v>
      </c>
      <c r="C298" s="1452" t="s">
        <v>3470</v>
      </c>
      <c r="D298" s="1433" t="s">
        <v>3723</v>
      </c>
      <c r="E298" s="1589"/>
      <c r="F298" s="15">
        <v>262000000000</v>
      </c>
      <c r="G298" s="1590">
        <v>37400000000</v>
      </c>
      <c r="H298" s="1590" t="s">
        <v>3029</v>
      </c>
      <c r="I298" s="1428"/>
      <c r="J298" s="1407"/>
      <c r="K298" s="1431">
        <f t="shared" si="39"/>
        <v>229775401069.51871</v>
      </c>
      <c r="L298" s="1407"/>
      <c r="M298" s="1407"/>
      <c r="N298" s="1407"/>
      <c r="O298" s="1407"/>
      <c r="P298" s="1407"/>
      <c r="Q298" s="1407"/>
      <c r="R298" s="1407"/>
      <c r="S298" s="1407"/>
      <c r="T298" s="1407"/>
      <c r="U298" s="1407"/>
    </row>
    <row r="299" spans="1:21" ht="12">
      <c r="A299" s="1407"/>
      <c r="B299" s="1407"/>
      <c r="C299" s="1407"/>
      <c r="D299" s="1409"/>
      <c r="E299" s="1410"/>
      <c r="F299" s="1495"/>
      <c r="G299" s="1534"/>
      <c r="H299" s="1534"/>
      <c r="I299" s="1428"/>
      <c r="J299" s="1407"/>
      <c r="K299" s="1431"/>
      <c r="L299" s="1407"/>
      <c r="M299" s="1407"/>
      <c r="N299" s="1407"/>
      <c r="O299" s="1407"/>
      <c r="P299" s="1407"/>
      <c r="Q299" s="1407"/>
      <c r="R299" s="1407"/>
      <c r="S299" s="1407"/>
      <c r="T299" s="1407"/>
      <c r="U299" s="1407"/>
    </row>
    <row r="300" spans="1:21" ht="12">
      <c r="A300" s="1452" t="s">
        <v>3725</v>
      </c>
      <c r="B300" s="1483">
        <v>42005</v>
      </c>
      <c r="C300" s="1452" t="s">
        <v>3470</v>
      </c>
      <c r="D300" s="1433" t="s">
        <v>3727</v>
      </c>
      <c r="E300" s="1589"/>
      <c r="F300" s="15">
        <v>771000000000000</v>
      </c>
      <c r="G300" s="1590">
        <v>11200000000</v>
      </c>
      <c r="H300" s="1590" t="s">
        <v>3029</v>
      </c>
      <c r="I300" s="1428"/>
      <c r="J300" s="1407"/>
      <c r="K300" s="1431">
        <f t="shared" ref="K300:K305" si="40">(32800000000/G300)*F300</f>
        <v>2257928571428571.5</v>
      </c>
      <c r="L300" s="1407"/>
      <c r="M300" s="1407"/>
      <c r="N300" s="1407"/>
      <c r="O300" s="1407"/>
      <c r="P300" s="1407"/>
      <c r="Q300" s="1407"/>
      <c r="R300" s="1407"/>
      <c r="S300" s="1407"/>
      <c r="T300" s="1407"/>
      <c r="U300" s="1407"/>
    </row>
    <row r="301" spans="1:21" ht="12">
      <c r="A301" s="1452" t="s">
        <v>3725</v>
      </c>
      <c r="B301" s="1483">
        <v>42005</v>
      </c>
      <c r="C301" s="1452" t="s">
        <v>3470</v>
      </c>
      <c r="D301" s="1433" t="s">
        <v>3729</v>
      </c>
      <c r="E301" s="1589"/>
      <c r="F301" s="15">
        <v>1410000000</v>
      </c>
      <c r="G301" s="1590">
        <v>11200000000</v>
      </c>
      <c r="H301" s="1590" t="s">
        <v>3029</v>
      </c>
      <c r="I301" s="1428"/>
      <c r="J301" s="1407"/>
      <c r="K301" s="1431">
        <f t="shared" si="40"/>
        <v>4129285714.2857141</v>
      </c>
      <c r="L301" s="1407"/>
      <c r="M301" s="1407"/>
      <c r="N301" s="1407"/>
      <c r="O301" s="1407"/>
      <c r="P301" s="1407"/>
      <c r="Q301" s="1407"/>
      <c r="R301" s="1407"/>
      <c r="S301" s="1407"/>
      <c r="T301" s="1407"/>
      <c r="U301" s="1407"/>
    </row>
    <row r="302" spans="1:21" ht="12">
      <c r="A302" s="1452" t="s">
        <v>3725</v>
      </c>
      <c r="B302" s="1483">
        <v>42005</v>
      </c>
      <c r="C302" s="1452" t="s">
        <v>3470</v>
      </c>
      <c r="D302" s="1433" t="s">
        <v>3730</v>
      </c>
      <c r="E302" s="1589"/>
      <c r="F302" s="15">
        <v>25400000000000</v>
      </c>
      <c r="G302" s="1590">
        <v>11200000000</v>
      </c>
      <c r="H302" s="1590" t="s">
        <v>3029</v>
      </c>
      <c r="I302" s="1428"/>
      <c r="J302" s="1438">
        <v>4290000000000</v>
      </c>
      <c r="K302" s="1431">
        <f t="shared" si="40"/>
        <v>74385714285714.281</v>
      </c>
      <c r="L302" s="1407"/>
      <c r="M302" s="1407"/>
      <c r="N302" s="1407"/>
      <c r="O302" s="1407"/>
      <c r="P302" s="1407"/>
      <c r="Q302" s="1407"/>
      <c r="R302" s="1407"/>
      <c r="S302" s="1407"/>
      <c r="T302" s="1407"/>
      <c r="U302" s="1407"/>
    </row>
    <row r="303" spans="1:21" ht="12">
      <c r="A303" s="1452" t="s">
        <v>3725</v>
      </c>
      <c r="B303" s="1483">
        <v>42005</v>
      </c>
      <c r="C303" s="1452" t="s">
        <v>3470</v>
      </c>
      <c r="D303" s="1433" t="s">
        <v>3731</v>
      </c>
      <c r="E303" s="1589"/>
      <c r="F303" s="15">
        <v>35600000000000</v>
      </c>
      <c r="G303" s="1590">
        <v>11200000000</v>
      </c>
      <c r="H303" s="1590" t="s">
        <v>3029</v>
      </c>
      <c r="I303" s="1428"/>
      <c r="J303" s="1438">
        <v>4060000000000</v>
      </c>
      <c r="K303" s="1431">
        <f t="shared" si="40"/>
        <v>104257142857142.84</v>
      </c>
      <c r="L303" s="1407"/>
      <c r="M303" s="1407"/>
      <c r="N303" s="1407"/>
      <c r="O303" s="1407"/>
      <c r="P303" s="1407"/>
      <c r="Q303" s="1407"/>
      <c r="R303" s="1407"/>
      <c r="S303" s="1407"/>
      <c r="T303" s="1407"/>
      <c r="U303" s="1407"/>
    </row>
    <row r="304" spans="1:21" ht="12">
      <c r="A304" s="1452" t="s">
        <v>3725</v>
      </c>
      <c r="B304" s="1483">
        <v>42005</v>
      </c>
      <c r="C304" s="1452" t="s">
        <v>3470</v>
      </c>
      <c r="D304" s="1433" t="s">
        <v>3732</v>
      </c>
      <c r="E304" s="1589"/>
      <c r="F304" s="15">
        <v>25700000000000</v>
      </c>
      <c r="G304" s="1590">
        <v>11200000000</v>
      </c>
      <c r="H304" s="1590" t="s">
        <v>3029</v>
      </c>
      <c r="I304" s="1428"/>
      <c r="J304" s="1438">
        <v>4590000000000</v>
      </c>
      <c r="K304" s="1431">
        <f t="shared" si="40"/>
        <v>75264285714285.703</v>
      </c>
      <c r="L304" s="1407"/>
      <c r="M304" s="1407"/>
      <c r="N304" s="1407"/>
      <c r="O304" s="1407"/>
      <c r="P304" s="1407"/>
      <c r="Q304" s="1407"/>
      <c r="R304" s="1407"/>
      <c r="S304" s="1407"/>
      <c r="T304" s="1407"/>
      <c r="U304" s="1407"/>
    </row>
    <row r="305" spans="1:21" ht="12">
      <c r="A305" s="1452" t="s">
        <v>3725</v>
      </c>
      <c r="B305" s="1483">
        <v>42005</v>
      </c>
      <c r="C305" s="1452" t="s">
        <v>3470</v>
      </c>
      <c r="D305" s="1433" t="s">
        <v>3733</v>
      </c>
      <c r="E305" s="1589"/>
      <c r="F305" s="15">
        <v>24100000000000</v>
      </c>
      <c r="G305" s="1590">
        <v>11200000000</v>
      </c>
      <c r="H305" s="1590" t="s">
        <v>3029</v>
      </c>
      <c r="I305" s="1428"/>
      <c r="J305" s="1438">
        <v>13500000000000</v>
      </c>
      <c r="K305" s="1431">
        <f t="shared" si="40"/>
        <v>70578571428571.422</v>
      </c>
      <c r="L305" s="1407"/>
      <c r="M305" s="1407"/>
      <c r="N305" s="1407"/>
      <c r="O305" s="1407"/>
      <c r="P305" s="1407"/>
      <c r="Q305" s="1407"/>
      <c r="R305" s="1407"/>
      <c r="S305" s="1407"/>
      <c r="T305" s="1407"/>
      <c r="U305" s="1407"/>
    </row>
    <row r="306" spans="1:21" ht="12">
      <c r="A306" s="1407"/>
      <c r="B306" s="1407"/>
      <c r="C306" s="1407"/>
      <c r="D306" s="1409"/>
      <c r="E306" s="1410"/>
      <c r="F306" s="1495"/>
      <c r="G306" s="1534"/>
      <c r="H306" s="1534"/>
      <c r="I306" s="1428"/>
      <c r="J306" s="1407"/>
      <c r="K306" s="1431"/>
      <c r="L306" s="1407"/>
      <c r="M306" s="1407"/>
      <c r="N306" s="1407"/>
      <c r="O306" s="1407"/>
      <c r="P306" s="1407"/>
      <c r="Q306" s="1407"/>
      <c r="R306" s="1407"/>
      <c r="S306" s="1407"/>
      <c r="T306" s="1407"/>
      <c r="U306" s="1407"/>
    </row>
    <row r="307" spans="1:21" ht="30">
      <c r="A307" s="1407"/>
      <c r="B307" s="1407"/>
      <c r="C307" s="1407"/>
      <c r="D307" s="1636" t="s">
        <v>3730</v>
      </c>
      <c r="E307" s="1637"/>
      <c r="F307" s="1638">
        <v>25400000000000</v>
      </c>
      <c r="G307" s="1639">
        <v>4290000000000</v>
      </c>
      <c r="H307" s="1662" t="s">
        <v>3735</v>
      </c>
      <c r="I307" s="1428"/>
      <c r="J307" s="1407"/>
      <c r="K307" s="1431">
        <f t="shared" ref="K307:K310" si="41">(32800000000/G307)*F307</f>
        <v>194200466200.46619</v>
      </c>
      <c r="L307" s="1407"/>
      <c r="M307" s="1407"/>
      <c r="N307" s="1407"/>
      <c r="O307" s="1407"/>
      <c r="P307" s="1407"/>
      <c r="Q307" s="1407"/>
      <c r="R307" s="1407"/>
      <c r="S307" s="1407"/>
      <c r="T307" s="1407"/>
      <c r="U307" s="1407"/>
    </row>
    <row r="308" spans="1:21" ht="20">
      <c r="A308" s="1407"/>
      <c r="B308" s="1407"/>
      <c r="C308" s="1407"/>
      <c r="D308" s="1636" t="s">
        <v>3731</v>
      </c>
      <c r="E308" s="1637"/>
      <c r="F308" s="1638">
        <v>35600000000000</v>
      </c>
      <c r="G308" s="1639">
        <v>4060000000000</v>
      </c>
      <c r="H308" s="1662" t="s">
        <v>3746</v>
      </c>
      <c r="I308" s="1428"/>
      <c r="J308" s="1407"/>
      <c r="K308" s="1431">
        <f t="shared" si="41"/>
        <v>287605911330.04926</v>
      </c>
      <c r="L308" s="1407"/>
      <c r="M308" s="1407"/>
      <c r="N308" s="1407"/>
      <c r="O308" s="1407"/>
      <c r="P308" s="1407"/>
      <c r="Q308" s="1407"/>
      <c r="R308" s="1407"/>
      <c r="S308" s="1407"/>
      <c r="T308" s="1407"/>
      <c r="U308" s="1407"/>
    </row>
    <row r="309" spans="1:21" ht="20">
      <c r="A309" s="1407"/>
      <c r="B309" s="1407"/>
      <c r="C309" s="1407"/>
      <c r="D309" s="1636" t="s">
        <v>3732</v>
      </c>
      <c r="E309" s="1637"/>
      <c r="F309" s="1638">
        <v>25700000000000</v>
      </c>
      <c r="G309" s="1639">
        <v>4590000000000</v>
      </c>
      <c r="H309" s="1662" t="s">
        <v>3748</v>
      </c>
      <c r="I309" s="1428"/>
      <c r="J309" s="1407"/>
      <c r="K309" s="1431">
        <f t="shared" si="41"/>
        <v>183651416122.00436</v>
      </c>
      <c r="L309" s="1407"/>
      <c r="M309" s="1407"/>
      <c r="N309" s="1407"/>
      <c r="O309" s="1407"/>
      <c r="P309" s="1407"/>
      <c r="Q309" s="1407"/>
      <c r="R309" s="1407"/>
      <c r="S309" s="1407"/>
      <c r="T309" s="1407"/>
      <c r="U309" s="1407"/>
    </row>
    <row r="310" spans="1:21" ht="20">
      <c r="A310" s="1407"/>
      <c r="B310" s="1407"/>
      <c r="C310" s="1407"/>
      <c r="D310" s="1636" t="s">
        <v>3733</v>
      </c>
      <c r="E310" s="1637"/>
      <c r="F310" s="1638">
        <v>24100000000000</v>
      </c>
      <c r="G310" s="1639">
        <v>13500000000000</v>
      </c>
      <c r="H310" s="1662" t="s">
        <v>3749</v>
      </c>
      <c r="I310" s="1428"/>
      <c r="J310" s="1407"/>
      <c r="K310" s="1431">
        <f t="shared" si="41"/>
        <v>58554074074.074074</v>
      </c>
      <c r="L310" s="1407"/>
      <c r="M310" s="1407"/>
      <c r="N310" s="1407"/>
      <c r="O310" s="1407"/>
      <c r="P310" s="1407"/>
      <c r="Q310" s="1407"/>
      <c r="R310" s="1407"/>
      <c r="S310" s="1407"/>
      <c r="T310" s="1407"/>
      <c r="U310" s="1407"/>
    </row>
    <row r="311" spans="1:21" ht="12">
      <c r="A311" s="1407"/>
      <c r="B311" s="1407"/>
      <c r="C311" s="1407"/>
      <c r="D311" s="1409"/>
      <c r="E311" s="1410"/>
      <c r="F311" s="1495"/>
      <c r="G311" s="1534"/>
      <c r="H311" s="1534"/>
      <c r="I311" s="1428"/>
      <c r="J311" s="1407"/>
      <c r="K311" s="1431"/>
      <c r="L311" s="1407"/>
      <c r="M311" s="1407"/>
      <c r="N311" s="1407"/>
      <c r="O311" s="1407"/>
      <c r="P311" s="1407"/>
      <c r="Q311" s="1407"/>
      <c r="R311" s="1407"/>
      <c r="S311" s="1407"/>
      <c r="T311" s="1407"/>
      <c r="U311" s="1407"/>
    </row>
    <row r="312" spans="1:21" ht="12">
      <c r="A312" s="1452" t="s">
        <v>3750</v>
      </c>
      <c r="B312" s="1483">
        <v>42104</v>
      </c>
      <c r="C312" s="1452" t="s">
        <v>3470</v>
      </c>
      <c r="D312" s="1433" t="s">
        <v>3723</v>
      </c>
      <c r="E312" s="1435"/>
      <c r="F312" s="1437">
        <v>2870000000000</v>
      </c>
      <c r="G312" s="1438">
        <v>51000000000</v>
      </c>
      <c r="H312" s="1438" t="s">
        <v>3029</v>
      </c>
      <c r="I312" s="1428"/>
      <c r="J312" s="1407"/>
      <c r="K312" s="1431">
        <f t="shared" ref="K312:K315" si="42">(32800000000/G312)*F312</f>
        <v>1845803921568.6277</v>
      </c>
      <c r="L312" s="1407"/>
      <c r="M312" s="1407"/>
      <c r="N312" s="1407"/>
      <c r="O312" s="1407"/>
      <c r="P312" s="1407"/>
      <c r="Q312" s="1407"/>
      <c r="R312" s="1407"/>
      <c r="S312" s="1407"/>
      <c r="T312" s="1407"/>
      <c r="U312" s="1407"/>
    </row>
    <row r="313" spans="1:21" ht="12">
      <c r="A313" s="1452" t="s">
        <v>3750</v>
      </c>
      <c r="B313" s="1483">
        <v>42104</v>
      </c>
      <c r="C313" s="1452" t="s">
        <v>3470</v>
      </c>
      <c r="D313" s="1433" t="s">
        <v>3751</v>
      </c>
      <c r="E313" s="1435"/>
      <c r="F313" s="1437">
        <v>2190000000000</v>
      </c>
      <c r="G313" s="1438">
        <v>51000000000</v>
      </c>
      <c r="H313" s="1438" t="s">
        <v>3029</v>
      </c>
      <c r="I313" s="1428"/>
      <c r="J313" s="1407"/>
      <c r="K313" s="1431">
        <f t="shared" si="42"/>
        <v>1408470588235.2942</v>
      </c>
      <c r="L313" s="1407"/>
      <c r="M313" s="1407"/>
      <c r="N313" s="1407"/>
      <c r="O313" s="1407"/>
      <c r="P313" s="1407"/>
      <c r="Q313" s="1407"/>
      <c r="R313" s="1407"/>
      <c r="S313" s="1407"/>
      <c r="T313" s="1407"/>
      <c r="U313" s="1407"/>
    </row>
    <row r="314" spans="1:21" ht="12">
      <c r="A314" s="1452" t="s">
        <v>3750</v>
      </c>
      <c r="B314" s="1483">
        <v>42104</v>
      </c>
      <c r="C314" s="1452" t="s">
        <v>3470</v>
      </c>
      <c r="D314" s="1433" t="s">
        <v>3752</v>
      </c>
      <c r="E314" s="1435"/>
      <c r="F314" s="1437">
        <v>4150000000000</v>
      </c>
      <c r="G314" s="1438">
        <v>51000000000</v>
      </c>
      <c r="H314" s="1438" t="s">
        <v>3029</v>
      </c>
      <c r="I314" s="1428"/>
      <c r="J314" s="1407"/>
      <c r="K314" s="1431">
        <f t="shared" si="42"/>
        <v>2669019607843.1372</v>
      </c>
      <c r="L314" s="1407"/>
      <c r="M314" s="1407"/>
      <c r="N314" s="1407"/>
      <c r="O314" s="1407"/>
      <c r="P314" s="1407"/>
      <c r="Q314" s="1407"/>
      <c r="R314" s="1407"/>
      <c r="S314" s="1407"/>
      <c r="T314" s="1407"/>
      <c r="U314" s="1407"/>
    </row>
    <row r="315" spans="1:21" ht="12">
      <c r="A315" s="1452" t="s">
        <v>3750</v>
      </c>
      <c r="B315" s="1483">
        <v>42104</v>
      </c>
      <c r="C315" s="1452" t="s">
        <v>3470</v>
      </c>
      <c r="D315" s="1433" t="s">
        <v>3753</v>
      </c>
      <c r="E315" s="1435"/>
      <c r="F315" s="1437">
        <v>812000000000</v>
      </c>
      <c r="G315" s="1438">
        <v>51000000000</v>
      </c>
      <c r="H315" s="1438" t="s">
        <v>3029</v>
      </c>
      <c r="I315" s="1428"/>
      <c r="J315" s="1407"/>
      <c r="K315" s="1431">
        <f t="shared" si="42"/>
        <v>522227450980.39221</v>
      </c>
      <c r="L315" s="1407"/>
      <c r="M315" s="1407"/>
      <c r="N315" s="1407"/>
      <c r="O315" s="1407"/>
      <c r="P315" s="1407"/>
      <c r="Q315" s="1407"/>
      <c r="R315" s="1407"/>
      <c r="S315" s="1407"/>
      <c r="T315" s="1407"/>
      <c r="U315" s="1407"/>
    </row>
    <row r="316" spans="1:21" ht="12">
      <c r="A316" s="1407"/>
      <c r="B316" s="1407"/>
      <c r="C316" s="1407"/>
      <c r="D316" s="1409"/>
      <c r="E316" s="1410"/>
      <c r="F316" s="1495"/>
      <c r="G316" s="1534"/>
      <c r="H316" s="1534"/>
      <c r="I316" s="1428"/>
      <c r="J316" s="1407"/>
      <c r="K316" s="1431"/>
      <c r="L316" s="1407"/>
      <c r="M316" s="1407"/>
      <c r="N316" s="1407"/>
      <c r="O316" s="1407"/>
      <c r="P316" s="1407"/>
      <c r="Q316" s="1407"/>
      <c r="R316" s="1407"/>
      <c r="S316" s="1407"/>
      <c r="T316" s="1407"/>
      <c r="U316" s="1407"/>
    </row>
    <row r="317" spans="1:21" ht="13">
      <c r="A317" s="1452" t="s">
        <v>3754</v>
      </c>
      <c r="B317" s="1483">
        <v>42109</v>
      </c>
      <c r="C317" s="1452" t="s">
        <v>881</v>
      </c>
      <c r="D317" s="1670" t="s">
        <v>3755</v>
      </c>
      <c r="E317" s="1435"/>
      <c r="F317" s="1437">
        <v>28800000000</v>
      </c>
      <c r="G317" s="1438">
        <v>25900000000</v>
      </c>
      <c r="H317" s="1438" t="s">
        <v>3029</v>
      </c>
      <c r="I317" s="1428"/>
      <c r="J317" s="1407"/>
      <c r="K317" s="1431">
        <f t="shared" ref="K317:K324" si="43">(32800000000/G317)*F317</f>
        <v>36472586872.586868</v>
      </c>
      <c r="L317" s="1407"/>
      <c r="M317" s="1407"/>
      <c r="N317" s="1407"/>
      <c r="O317" s="1407"/>
      <c r="P317" s="1407"/>
      <c r="Q317" s="1407"/>
      <c r="R317" s="1407"/>
      <c r="S317" s="1407"/>
      <c r="T317" s="1407"/>
      <c r="U317" s="1407"/>
    </row>
    <row r="318" spans="1:21" ht="13">
      <c r="A318" s="1452" t="s">
        <v>3754</v>
      </c>
      <c r="B318" s="1483">
        <v>42109</v>
      </c>
      <c r="C318" s="1452" t="s">
        <v>881</v>
      </c>
      <c r="D318" s="1670" t="s">
        <v>3756</v>
      </c>
      <c r="E318" s="1435"/>
      <c r="F318" s="1437">
        <v>804000000000</v>
      </c>
      <c r="G318" s="1438">
        <v>25900000000</v>
      </c>
      <c r="H318" s="1438" t="s">
        <v>3029</v>
      </c>
      <c r="I318" s="1428"/>
      <c r="J318" s="1407"/>
      <c r="K318" s="1431">
        <f t="shared" si="43"/>
        <v>1018193050193.0502</v>
      </c>
      <c r="L318" s="1407"/>
      <c r="M318" s="1407"/>
      <c r="N318" s="1407"/>
      <c r="O318" s="1407"/>
      <c r="P318" s="1407"/>
      <c r="Q318" s="1407"/>
      <c r="R318" s="1407"/>
      <c r="S318" s="1407"/>
      <c r="T318" s="1407"/>
      <c r="U318" s="1407"/>
    </row>
    <row r="319" spans="1:21" ht="13">
      <c r="A319" s="1452" t="s">
        <v>3754</v>
      </c>
      <c r="B319" s="1483">
        <v>42109</v>
      </c>
      <c r="C319" s="1452" t="s">
        <v>881</v>
      </c>
      <c r="D319" s="1670" t="s">
        <v>3757</v>
      </c>
      <c r="E319" s="1435"/>
      <c r="F319" s="1437">
        <v>35600000000000</v>
      </c>
      <c r="G319" s="1438">
        <v>25900000000</v>
      </c>
      <c r="H319" s="1438" t="s">
        <v>3029</v>
      </c>
      <c r="I319" s="1428"/>
      <c r="J319" s="1407"/>
      <c r="K319" s="1431">
        <f t="shared" si="43"/>
        <v>45084169884169.883</v>
      </c>
      <c r="L319" s="1407"/>
      <c r="M319" s="1407"/>
      <c r="N319" s="1407"/>
      <c r="O319" s="1407"/>
      <c r="P319" s="1407"/>
      <c r="Q319" s="1407"/>
      <c r="R319" s="1407"/>
      <c r="S319" s="1407"/>
      <c r="T319" s="1407"/>
      <c r="U319" s="1407"/>
    </row>
    <row r="320" spans="1:21" ht="13">
      <c r="A320" s="1452" t="s">
        <v>3754</v>
      </c>
      <c r="B320" s="1483">
        <v>42109</v>
      </c>
      <c r="C320" s="1452" t="s">
        <v>881</v>
      </c>
      <c r="D320" s="1670" t="s">
        <v>3758</v>
      </c>
      <c r="E320" s="1435"/>
      <c r="F320" s="1437">
        <v>8850000000000</v>
      </c>
      <c r="G320" s="1438">
        <v>25900000000</v>
      </c>
      <c r="H320" s="1438" t="s">
        <v>3029</v>
      </c>
      <c r="I320" s="1428"/>
      <c r="J320" s="1407"/>
      <c r="K320" s="1431">
        <f t="shared" si="43"/>
        <v>11207722007722.008</v>
      </c>
      <c r="L320" s="1407"/>
      <c r="M320" s="1407"/>
      <c r="N320" s="1407"/>
      <c r="O320" s="1407"/>
      <c r="P320" s="1407"/>
      <c r="Q320" s="1407"/>
      <c r="R320" s="1407"/>
      <c r="S320" s="1407"/>
      <c r="T320" s="1407"/>
      <c r="U320" s="1407"/>
    </row>
    <row r="321" spans="1:21" ht="13">
      <c r="A321" s="1452" t="s">
        <v>3754</v>
      </c>
      <c r="B321" s="1483">
        <v>42109</v>
      </c>
      <c r="C321" s="1452" t="s">
        <v>881</v>
      </c>
      <c r="D321" s="1670" t="s">
        <v>3761</v>
      </c>
      <c r="E321" s="1435"/>
      <c r="F321" s="1437">
        <v>866000000000</v>
      </c>
      <c r="G321" s="1438">
        <v>25900000000</v>
      </c>
      <c r="H321" s="1438" t="s">
        <v>3029</v>
      </c>
      <c r="I321" s="1428"/>
      <c r="J321" s="1407"/>
      <c r="K321" s="1431">
        <f t="shared" si="43"/>
        <v>1096710424710.4247</v>
      </c>
      <c r="L321" s="1407"/>
      <c r="M321" s="1407"/>
      <c r="N321" s="1407"/>
      <c r="O321" s="1407"/>
      <c r="P321" s="1407"/>
      <c r="Q321" s="1407"/>
      <c r="R321" s="1407"/>
      <c r="S321" s="1407"/>
      <c r="T321" s="1407"/>
      <c r="U321" s="1407"/>
    </row>
    <row r="322" spans="1:21" ht="13">
      <c r="A322" s="1452" t="s">
        <v>3754</v>
      </c>
      <c r="B322" s="1483">
        <v>42109</v>
      </c>
      <c r="C322" s="1452" t="s">
        <v>881</v>
      </c>
      <c r="D322" s="1670" t="s">
        <v>3763</v>
      </c>
      <c r="E322" s="1435"/>
      <c r="F322" s="1437">
        <v>10500000000000</v>
      </c>
      <c r="G322" s="1438">
        <v>25900000000</v>
      </c>
      <c r="H322" s="1438" t="s">
        <v>3029</v>
      </c>
      <c r="I322" s="1428"/>
      <c r="J322" s="1407"/>
      <c r="K322" s="1431">
        <f t="shared" si="43"/>
        <v>13297297297297.297</v>
      </c>
      <c r="L322" s="1407"/>
      <c r="M322" s="1407"/>
      <c r="N322" s="1407"/>
      <c r="O322" s="1407"/>
      <c r="P322" s="1407"/>
      <c r="Q322" s="1407"/>
      <c r="R322" s="1407"/>
      <c r="S322" s="1407"/>
      <c r="T322" s="1407"/>
      <c r="U322" s="1407"/>
    </row>
    <row r="323" spans="1:21" ht="13">
      <c r="A323" s="1452" t="s">
        <v>3754</v>
      </c>
      <c r="B323" s="1483">
        <v>42109</v>
      </c>
      <c r="C323" s="1452" t="s">
        <v>881</v>
      </c>
      <c r="D323" s="1670" t="s">
        <v>3766</v>
      </c>
      <c r="E323" s="1435"/>
      <c r="F323" s="1437">
        <v>596000000000</v>
      </c>
      <c r="G323" s="1438">
        <v>25900000000</v>
      </c>
      <c r="H323" s="1438" t="s">
        <v>3029</v>
      </c>
      <c r="I323" s="1428"/>
      <c r="J323" s="1407"/>
      <c r="K323" s="1431">
        <f t="shared" si="43"/>
        <v>754779922779.92273</v>
      </c>
      <c r="L323" s="1407"/>
      <c r="M323" s="1407"/>
      <c r="N323" s="1407"/>
      <c r="O323" s="1407"/>
      <c r="P323" s="1407"/>
      <c r="Q323" s="1407"/>
      <c r="R323" s="1407"/>
      <c r="S323" s="1407"/>
      <c r="T323" s="1407"/>
      <c r="U323" s="1407"/>
    </row>
    <row r="324" spans="1:21" ht="13">
      <c r="A324" s="1452" t="s">
        <v>3754</v>
      </c>
      <c r="B324" s="1483">
        <v>42109</v>
      </c>
      <c r="C324" s="1452" t="s">
        <v>881</v>
      </c>
      <c r="D324" s="1670" t="s">
        <v>3768</v>
      </c>
      <c r="E324" s="1435"/>
      <c r="F324" s="1437">
        <v>263000000000</v>
      </c>
      <c r="G324" s="1438">
        <v>25900000000</v>
      </c>
      <c r="H324" s="1438" t="s">
        <v>3029</v>
      </c>
      <c r="I324" s="1428"/>
      <c r="J324" s="1407"/>
      <c r="K324" s="1431">
        <f t="shared" si="43"/>
        <v>333065637065.63702</v>
      </c>
      <c r="L324" s="1407"/>
      <c r="M324" s="1407"/>
      <c r="N324" s="1407"/>
      <c r="O324" s="1407"/>
      <c r="P324" s="1407"/>
      <c r="Q324" s="1407"/>
      <c r="R324" s="1407"/>
      <c r="S324" s="1407"/>
      <c r="T324" s="1407"/>
      <c r="U324" s="1407"/>
    </row>
    <row r="325" spans="1:21" ht="12">
      <c r="A325" s="1407"/>
      <c r="B325" s="1407"/>
      <c r="C325" s="1407"/>
      <c r="D325" s="1409"/>
      <c r="E325" s="1410"/>
      <c r="F325" s="1495"/>
      <c r="G325" s="1534"/>
      <c r="H325" s="1534"/>
      <c r="I325" s="1428"/>
      <c r="J325" s="1407"/>
      <c r="K325" s="1431"/>
      <c r="L325" s="1407"/>
      <c r="M325" s="1407"/>
      <c r="N325" s="1407"/>
      <c r="O325" s="1407"/>
      <c r="P325" s="1407"/>
      <c r="Q325" s="1407"/>
      <c r="R325" s="1407"/>
      <c r="S325" s="1407"/>
      <c r="T325" s="1407"/>
      <c r="U325" s="1407"/>
    </row>
    <row r="326" spans="1:21" ht="12">
      <c r="A326" s="1452" t="s">
        <v>3770</v>
      </c>
      <c r="B326" s="1483">
        <v>42116</v>
      </c>
      <c r="C326" s="1452" t="s">
        <v>95</v>
      </c>
      <c r="D326" s="1433" t="s">
        <v>3771</v>
      </c>
      <c r="E326" s="1435"/>
      <c r="F326" s="1437">
        <v>2380000000</v>
      </c>
      <c r="G326" s="1438">
        <v>447000000000</v>
      </c>
      <c r="H326" s="1438" t="s">
        <v>3772</v>
      </c>
      <c r="I326" s="1428"/>
      <c r="J326" s="1407"/>
      <c r="K326" s="1431">
        <f t="shared" ref="K326:K334" si="44">(32800000000/G326)*F326</f>
        <v>174639821.02908278</v>
      </c>
      <c r="L326" s="1407"/>
      <c r="M326" s="1407"/>
      <c r="N326" s="1407"/>
      <c r="O326" s="1407"/>
      <c r="P326" s="1407"/>
      <c r="Q326" s="1407"/>
      <c r="R326" s="1407"/>
      <c r="S326" s="1407"/>
      <c r="T326" s="1407"/>
      <c r="U326" s="1407"/>
    </row>
    <row r="327" spans="1:21" ht="12">
      <c r="A327" s="1452" t="s">
        <v>3770</v>
      </c>
      <c r="B327" s="1483">
        <v>42116</v>
      </c>
      <c r="C327" s="1452" t="s">
        <v>95</v>
      </c>
      <c r="D327" s="1433" t="s">
        <v>3779</v>
      </c>
      <c r="E327" s="1435"/>
      <c r="F327" s="1437">
        <v>261000000000000</v>
      </c>
      <c r="G327" s="1438">
        <v>447000000000</v>
      </c>
      <c r="H327" s="1534"/>
      <c r="I327" s="1428"/>
      <c r="J327" s="1407"/>
      <c r="K327" s="1431">
        <f t="shared" si="44"/>
        <v>19151677852348.996</v>
      </c>
      <c r="L327" s="1407"/>
      <c r="M327" s="1407"/>
      <c r="N327" s="1407"/>
      <c r="O327" s="1407"/>
      <c r="P327" s="1407"/>
      <c r="Q327" s="1407"/>
      <c r="R327" s="1407"/>
      <c r="S327" s="1407"/>
      <c r="T327" s="1407"/>
      <c r="U327" s="1407"/>
    </row>
    <row r="328" spans="1:21" ht="12">
      <c r="A328" s="1452" t="s">
        <v>3770</v>
      </c>
      <c r="B328" s="1483">
        <v>42116</v>
      </c>
      <c r="C328" s="1452" t="s">
        <v>95</v>
      </c>
      <c r="D328" s="1433" t="s">
        <v>3781</v>
      </c>
      <c r="E328" s="1435"/>
      <c r="F328" s="1437">
        <v>346000000000000</v>
      </c>
      <c r="G328" s="1438">
        <v>447000000000</v>
      </c>
      <c r="H328" s="1534"/>
      <c r="I328" s="1428"/>
      <c r="J328" s="1407"/>
      <c r="K328" s="1431">
        <f t="shared" si="44"/>
        <v>25388814317673.379</v>
      </c>
      <c r="L328" s="1407"/>
      <c r="M328" s="1407"/>
      <c r="N328" s="1407"/>
      <c r="O328" s="1407"/>
      <c r="P328" s="1407"/>
      <c r="Q328" s="1407"/>
      <c r="R328" s="1407"/>
      <c r="S328" s="1407"/>
      <c r="T328" s="1407"/>
      <c r="U328" s="1407"/>
    </row>
    <row r="329" spans="1:21" ht="12">
      <c r="A329" s="1452" t="s">
        <v>3770</v>
      </c>
      <c r="B329" s="1483">
        <v>42116</v>
      </c>
      <c r="C329" s="1452" t="s">
        <v>95</v>
      </c>
      <c r="D329" s="1433" t="s">
        <v>3783</v>
      </c>
      <c r="E329" s="1435"/>
      <c r="F329" s="1437">
        <v>377000000000000</v>
      </c>
      <c r="G329" s="1438">
        <v>447000000000</v>
      </c>
      <c r="H329" s="1534"/>
      <c r="I329" s="1428"/>
      <c r="J329" s="1407"/>
      <c r="K329" s="1431">
        <f t="shared" si="44"/>
        <v>27663534675615.215</v>
      </c>
      <c r="L329" s="1407"/>
      <c r="M329" s="1407"/>
      <c r="N329" s="1407"/>
      <c r="O329" s="1407"/>
      <c r="P329" s="1407"/>
      <c r="Q329" s="1407"/>
      <c r="R329" s="1407"/>
      <c r="S329" s="1407"/>
      <c r="T329" s="1407"/>
      <c r="U329" s="1407"/>
    </row>
    <row r="330" spans="1:21" ht="12">
      <c r="A330" s="1452" t="s">
        <v>3770</v>
      </c>
      <c r="B330" s="1483">
        <v>42116</v>
      </c>
      <c r="C330" s="1452" t="s">
        <v>95</v>
      </c>
      <c r="D330" s="1433" t="s">
        <v>3785</v>
      </c>
      <c r="E330" s="1435"/>
      <c r="F330" s="1437">
        <v>61900000000</v>
      </c>
      <c r="G330" s="1438">
        <v>447000000000</v>
      </c>
      <c r="H330" s="1534"/>
      <c r="I330" s="1428"/>
      <c r="J330" s="1407"/>
      <c r="K330" s="1431">
        <f t="shared" si="44"/>
        <v>4542102908.2774048</v>
      </c>
      <c r="L330" s="1407"/>
      <c r="M330" s="1407"/>
      <c r="N330" s="1407"/>
      <c r="O330" s="1407"/>
      <c r="P330" s="1407"/>
      <c r="Q330" s="1407"/>
      <c r="R330" s="1407"/>
      <c r="S330" s="1407"/>
      <c r="T330" s="1407"/>
      <c r="U330" s="1407"/>
    </row>
    <row r="331" spans="1:21" ht="12">
      <c r="A331" s="1452" t="s">
        <v>3770</v>
      </c>
      <c r="B331" s="1483">
        <v>42116</v>
      </c>
      <c r="C331" s="1452" t="s">
        <v>95</v>
      </c>
      <c r="D331" s="1433" t="s">
        <v>3787</v>
      </c>
      <c r="E331" s="1435"/>
      <c r="F331" s="1437">
        <v>3720000000000</v>
      </c>
      <c r="G331" s="1438">
        <v>447000000000</v>
      </c>
      <c r="H331" s="1534"/>
      <c r="I331" s="1428"/>
      <c r="J331" s="1407"/>
      <c r="K331" s="1431">
        <f t="shared" si="44"/>
        <v>272966442953.02014</v>
      </c>
      <c r="L331" s="1407"/>
      <c r="M331" s="1407"/>
      <c r="N331" s="1407"/>
      <c r="O331" s="1407"/>
      <c r="P331" s="1407"/>
      <c r="Q331" s="1407"/>
      <c r="R331" s="1407"/>
      <c r="S331" s="1407"/>
      <c r="T331" s="1407"/>
      <c r="U331" s="1407"/>
    </row>
    <row r="332" spans="1:21" ht="12">
      <c r="A332" s="1452" t="s">
        <v>3770</v>
      </c>
      <c r="B332" s="1483">
        <v>42116</v>
      </c>
      <c r="C332" s="1452" t="s">
        <v>95</v>
      </c>
      <c r="D332" s="1433" t="s">
        <v>3789</v>
      </c>
      <c r="E332" s="1435"/>
      <c r="F332" s="1437">
        <v>1260000000000</v>
      </c>
      <c r="G332" s="1438">
        <v>447000000000</v>
      </c>
      <c r="H332" s="1534"/>
      <c r="I332" s="1428"/>
      <c r="J332" s="1407"/>
      <c r="K332" s="1431">
        <f t="shared" si="44"/>
        <v>92456375838.926178</v>
      </c>
      <c r="L332" s="1407"/>
      <c r="M332" s="1407"/>
      <c r="N332" s="1407"/>
      <c r="O332" s="1407"/>
      <c r="P332" s="1407"/>
      <c r="Q332" s="1407"/>
      <c r="R332" s="1407"/>
      <c r="S332" s="1407"/>
      <c r="T332" s="1407"/>
      <c r="U332" s="1407"/>
    </row>
    <row r="333" spans="1:21" ht="12">
      <c r="A333" s="1452" t="s">
        <v>3770</v>
      </c>
      <c r="B333" s="1483">
        <v>42116</v>
      </c>
      <c r="C333" s="1452" t="s">
        <v>95</v>
      </c>
      <c r="D333" s="1433" t="s">
        <v>3791</v>
      </c>
      <c r="E333" s="1435"/>
      <c r="F333" s="1437">
        <v>1990000000000</v>
      </c>
      <c r="G333" s="1438">
        <v>447000000000</v>
      </c>
      <c r="H333" s="1534"/>
      <c r="I333" s="1428"/>
      <c r="J333" s="1407"/>
      <c r="K333" s="1431">
        <f t="shared" si="44"/>
        <v>146022371364.65326</v>
      </c>
      <c r="L333" s="1407"/>
      <c r="M333" s="1407"/>
      <c r="N333" s="1407"/>
      <c r="O333" s="1407"/>
      <c r="P333" s="1407"/>
      <c r="Q333" s="1407"/>
      <c r="R333" s="1407"/>
      <c r="S333" s="1407"/>
      <c r="T333" s="1407"/>
      <c r="U333" s="1407"/>
    </row>
    <row r="334" spans="1:21" ht="12">
      <c r="A334" s="1407"/>
      <c r="B334" s="1407"/>
      <c r="C334" s="1407"/>
      <c r="D334" s="1409"/>
      <c r="E334" s="1435"/>
      <c r="F334" s="1437">
        <v>2380000000000</v>
      </c>
      <c r="G334" s="1438">
        <v>447000000000</v>
      </c>
      <c r="H334" s="1534"/>
      <c r="I334" s="1428"/>
      <c r="J334" s="1407"/>
      <c r="K334" s="1431">
        <f t="shared" si="44"/>
        <v>174639821029.08279</v>
      </c>
      <c r="L334" s="1407"/>
      <c r="M334" s="1407"/>
      <c r="N334" s="1407"/>
      <c r="O334" s="1407"/>
      <c r="P334" s="1407"/>
      <c r="Q334" s="1407"/>
      <c r="R334" s="1407"/>
      <c r="S334" s="1407"/>
      <c r="T334" s="1407"/>
      <c r="U334" s="1407"/>
    </row>
    <row r="335" spans="1:21" ht="12">
      <c r="A335" s="1407"/>
      <c r="B335" s="1407"/>
      <c r="C335" s="1407"/>
      <c r="D335" s="1409"/>
      <c r="E335" s="1410"/>
      <c r="F335" s="1495"/>
      <c r="G335" s="1534"/>
      <c r="H335" s="1534"/>
      <c r="I335" s="1428"/>
      <c r="J335" s="1407"/>
      <c r="K335" s="1431"/>
      <c r="L335" s="1407"/>
      <c r="M335" s="1407"/>
      <c r="N335" s="1407"/>
      <c r="O335" s="1407"/>
      <c r="P335" s="1407"/>
      <c r="Q335" s="1407"/>
      <c r="R335" s="1407"/>
      <c r="S335" s="1407"/>
      <c r="T335" s="1407"/>
      <c r="U335" s="1407"/>
    </row>
    <row r="336" spans="1:21" ht="12">
      <c r="A336" s="1452" t="s">
        <v>3792</v>
      </c>
      <c r="B336" s="1483">
        <v>42123</v>
      </c>
      <c r="C336" s="1452" t="s">
        <v>881</v>
      </c>
      <c r="D336" s="1433" t="s">
        <v>3793</v>
      </c>
      <c r="E336" s="1435"/>
      <c r="F336" s="1437">
        <v>6920000000000</v>
      </c>
      <c r="G336" s="1438">
        <v>106000000000</v>
      </c>
      <c r="H336" s="1534"/>
      <c r="I336" s="1428"/>
      <c r="J336" s="1407"/>
      <c r="K336" s="1431">
        <f t="shared" ref="K336:K343" si="45">(32800000000/G336)*F336</f>
        <v>2141283018867.9243</v>
      </c>
      <c r="L336" s="1407"/>
      <c r="M336" s="1407"/>
      <c r="N336" s="1407"/>
      <c r="O336" s="1407"/>
      <c r="P336" s="1407"/>
      <c r="Q336" s="1407"/>
      <c r="R336" s="1407"/>
      <c r="S336" s="1407"/>
      <c r="T336" s="1407"/>
      <c r="U336" s="1407"/>
    </row>
    <row r="337" spans="1:21" ht="12">
      <c r="A337" s="1452" t="s">
        <v>3792</v>
      </c>
      <c r="B337" s="1483">
        <v>42123</v>
      </c>
      <c r="C337" s="1452" t="s">
        <v>881</v>
      </c>
      <c r="D337" s="1433" t="s">
        <v>3794</v>
      </c>
      <c r="E337" s="1435"/>
      <c r="F337" s="1437">
        <v>23300000000000</v>
      </c>
      <c r="G337" s="1438">
        <v>106000000000</v>
      </c>
      <c r="H337" s="1534"/>
      <c r="I337" s="1428"/>
      <c r="J337" s="1407"/>
      <c r="K337" s="1431">
        <f t="shared" si="45"/>
        <v>7209811320754.7168</v>
      </c>
      <c r="L337" s="1407"/>
      <c r="M337" s="1407"/>
      <c r="N337" s="1407"/>
      <c r="O337" s="1407"/>
      <c r="P337" s="1407"/>
      <c r="Q337" s="1407"/>
      <c r="R337" s="1407"/>
      <c r="S337" s="1407"/>
      <c r="T337" s="1407"/>
      <c r="U337" s="1407"/>
    </row>
    <row r="338" spans="1:21" ht="12">
      <c r="A338" s="1452" t="s">
        <v>3792</v>
      </c>
      <c r="B338" s="1483">
        <v>42123</v>
      </c>
      <c r="C338" s="1452" t="s">
        <v>881</v>
      </c>
      <c r="D338" s="1433" t="s">
        <v>3795</v>
      </c>
      <c r="E338" s="1435"/>
      <c r="F338" s="1437">
        <v>31000000000000</v>
      </c>
      <c r="G338" s="1438">
        <v>106000000000</v>
      </c>
      <c r="H338" s="1534"/>
      <c r="I338" s="1428"/>
      <c r="J338" s="1407"/>
      <c r="K338" s="1431">
        <f t="shared" si="45"/>
        <v>9592452830188.6797</v>
      </c>
      <c r="L338" s="1407"/>
      <c r="M338" s="1407"/>
      <c r="N338" s="1407"/>
      <c r="O338" s="1407"/>
      <c r="P338" s="1407"/>
      <c r="Q338" s="1407"/>
      <c r="R338" s="1407"/>
      <c r="S338" s="1407"/>
      <c r="T338" s="1407"/>
      <c r="U338" s="1407"/>
    </row>
    <row r="339" spans="1:21" ht="12">
      <c r="A339" s="1452" t="s">
        <v>3792</v>
      </c>
      <c r="B339" s="1483">
        <v>42123</v>
      </c>
      <c r="C339" s="1452" t="s">
        <v>881</v>
      </c>
      <c r="D339" s="1433" t="s">
        <v>3796</v>
      </c>
      <c r="E339" s="1435"/>
      <c r="F339" s="1437">
        <v>6770000000000</v>
      </c>
      <c r="G339" s="1438">
        <v>106000000000</v>
      </c>
      <c r="H339" s="1534"/>
      <c r="I339" s="1428"/>
      <c r="J339" s="1407"/>
      <c r="K339" s="1431">
        <f t="shared" si="45"/>
        <v>2094867924528.3018</v>
      </c>
      <c r="L339" s="1407"/>
      <c r="M339" s="1407"/>
      <c r="N339" s="1407"/>
      <c r="O339" s="1407"/>
      <c r="P339" s="1407"/>
      <c r="Q339" s="1407"/>
      <c r="R339" s="1407"/>
      <c r="S339" s="1407"/>
      <c r="T339" s="1407"/>
      <c r="U339" s="1407"/>
    </row>
    <row r="340" spans="1:21" ht="12">
      <c r="A340" s="1452" t="s">
        <v>3792</v>
      </c>
      <c r="B340" s="1483">
        <v>42123</v>
      </c>
      <c r="C340" s="1452" t="s">
        <v>881</v>
      </c>
      <c r="D340" s="1433" t="s">
        <v>3797</v>
      </c>
      <c r="E340" s="1435"/>
      <c r="F340" s="1437">
        <v>4600000000000</v>
      </c>
      <c r="G340" s="1438">
        <v>106000000000</v>
      </c>
      <c r="H340" s="1534"/>
      <c r="I340" s="1428"/>
      <c r="J340" s="1407"/>
      <c r="K340" s="1431">
        <f t="shared" si="45"/>
        <v>1423396226415.0942</v>
      </c>
      <c r="L340" s="1407"/>
      <c r="M340" s="1407"/>
      <c r="N340" s="1407"/>
      <c r="O340" s="1407"/>
      <c r="P340" s="1407"/>
      <c r="Q340" s="1407"/>
      <c r="R340" s="1407"/>
      <c r="S340" s="1407"/>
      <c r="T340" s="1407"/>
      <c r="U340" s="1407"/>
    </row>
    <row r="341" spans="1:21" ht="12">
      <c r="A341" s="1452" t="s">
        <v>3792</v>
      </c>
      <c r="B341" s="1483">
        <v>42123</v>
      </c>
      <c r="C341" s="1452" t="s">
        <v>881</v>
      </c>
      <c r="D341" s="1433" t="s">
        <v>3798</v>
      </c>
      <c r="E341" s="1435"/>
      <c r="F341" s="1437">
        <v>3980000000000</v>
      </c>
      <c r="G341" s="1438">
        <v>106000000000</v>
      </c>
      <c r="H341" s="1534"/>
      <c r="I341" s="1428"/>
      <c r="J341" s="1407"/>
      <c r="K341" s="1431">
        <f t="shared" si="45"/>
        <v>1231547169811.3208</v>
      </c>
      <c r="L341" s="1407"/>
      <c r="M341" s="1407"/>
      <c r="N341" s="1407"/>
      <c r="O341" s="1407"/>
      <c r="P341" s="1407"/>
      <c r="Q341" s="1407"/>
      <c r="R341" s="1407"/>
      <c r="S341" s="1407"/>
      <c r="T341" s="1407"/>
      <c r="U341" s="1407"/>
    </row>
    <row r="342" spans="1:21" ht="12">
      <c r="A342" s="1452" t="s">
        <v>3792</v>
      </c>
      <c r="B342" s="1483">
        <v>42123</v>
      </c>
      <c r="C342" s="1452" t="s">
        <v>881</v>
      </c>
      <c r="D342" s="1433" t="s">
        <v>3800</v>
      </c>
      <c r="E342" s="1435"/>
      <c r="F342" s="1437">
        <v>50700000000000</v>
      </c>
      <c r="G342" s="1438">
        <v>106000000000</v>
      </c>
      <c r="H342" s="1534"/>
      <c r="I342" s="1428"/>
      <c r="J342" s="1407"/>
      <c r="K342" s="1431">
        <f t="shared" si="45"/>
        <v>15688301886792.453</v>
      </c>
      <c r="L342" s="1407"/>
      <c r="M342" s="1407"/>
      <c r="N342" s="1407"/>
      <c r="O342" s="1407"/>
      <c r="P342" s="1407"/>
      <c r="Q342" s="1407"/>
      <c r="R342" s="1407"/>
      <c r="S342" s="1407"/>
      <c r="T342" s="1407"/>
      <c r="U342" s="1407"/>
    </row>
    <row r="343" spans="1:21" ht="12">
      <c r="A343" s="1452" t="s">
        <v>3792</v>
      </c>
      <c r="B343" s="1483">
        <v>42123</v>
      </c>
      <c r="C343" s="1452" t="s">
        <v>881</v>
      </c>
      <c r="D343" s="1433" t="s">
        <v>3801</v>
      </c>
      <c r="E343" s="1435"/>
      <c r="F343" s="1437">
        <v>26200000000000</v>
      </c>
      <c r="G343" s="1438">
        <v>106000000000</v>
      </c>
      <c r="H343" s="1534"/>
      <c r="I343" s="1428"/>
      <c r="J343" s="1407"/>
      <c r="K343" s="1431">
        <f t="shared" si="45"/>
        <v>8107169811320.7539</v>
      </c>
      <c r="L343" s="1407"/>
      <c r="M343" s="1407"/>
      <c r="N343" s="1407"/>
      <c r="O343" s="1407"/>
      <c r="P343" s="1407"/>
      <c r="Q343" s="1407"/>
      <c r="R343" s="1407"/>
      <c r="S343" s="1407"/>
      <c r="T343" s="1407"/>
      <c r="U343" s="1407"/>
    </row>
    <row r="344" spans="1:21" ht="12">
      <c r="A344" s="1407"/>
      <c r="B344" s="1407"/>
      <c r="C344" s="1407"/>
      <c r="D344" s="1409"/>
      <c r="E344" s="1410"/>
      <c r="F344" s="1495"/>
      <c r="G344" s="1534"/>
      <c r="H344" s="1534"/>
      <c r="I344" s="1428"/>
      <c r="J344" s="1407"/>
      <c r="K344" s="1431"/>
      <c r="L344" s="1407"/>
      <c r="M344" s="1407"/>
      <c r="N344" s="1407"/>
      <c r="O344" s="1407"/>
      <c r="P344" s="1407"/>
      <c r="Q344" s="1407"/>
      <c r="R344" s="1407"/>
      <c r="S344" s="1407"/>
      <c r="T344" s="1407"/>
      <c r="U344" s="1407"/>
    </row>
    <row r="345" spans="1:21" ht="12">
      <c r="A345" s="1452" t="s">
        <v>3802</v>
      </c>
      <c r="B345" s="1483">
        <v>42129</v>
      </c>
      <c r="C345" s="1452" t="s">
        <v>95</v>
      </c>
      <c r="D345" s="1433" t="s">
        <v>3803</v>
      </c>
      <c r="E345" s="1435"/>
      <c r="F345" s="1437">
        <v>1470000000000000</v>
      </c>
      <c r="G345" s="1438">
        <v>10500000000</v>
      </c>
      <c r="H345" s="1534"/>
      <c r="I345" s="1428"/>
      <c r="J345" s="1407"/>
      <c r="K345" s="1431">
        <f t="shared" ref="K345:K347" si="46">(32800000000/G345)*F345</f>
        <v>4592000000000000</v>
      </c>
      <c r="L345" s="1407"/>
      <c r="M345" s="1407"/>
      <c r="N345" s="1407"/>
      <c r="O345" s="1407"/>
      <c r="P345" s="1407"/>
      <c r="Q345" s="1407"/>
      <c r="R345" s="1407"/>
      <c r="S345" s="1407"/>
      <c r="T345" s="1407"/>
      <c r="U345" s="1407"/>
    </row>
    <row r="346" spans="1:21" ht="12">
      <c r="A346" s="1452" t="s">
        <v>3802</v>
      </c>
      <c r="B346" s="1483">
        <v>42129</v>
      </c>
      <c r="C346" s="1452" t="s">
        <v>95</v>
      </c>
      <c r="D346" s="1433" t="s">
        <v>3805</v>
      </c>
      <c r="E346" s="1435"/>
      <c r="F346" s="1437">
        <v>5970000000000</v>
      </c>
      <c r="G346" s="1438">
        <v>10500000000</v>
      </c>
      <c r="H346" s="1534"/>
      <c r="I346" s="1428"/>
      <c r="J346" s="1407"/>
      <c r="K346" s="1431">
        <f t="shared" si="46"/>
        <v>18649142857142.855</v>
      </c>
      <c r="L346" s="1407"/>
      <c r="M346" s="1407"/>
      <c r="N346" s="1407"/>
      <c r="O346" s="1407"/>
      <c r="P346" s="1407"/>
      <c r="Q346" s="1407"/>
      <c r="R346" s="1407"/>
      <c r="S346" s="1407"/>
      <c r="T346" s="1407"/>
      <c r="U346" s="1407"/>
    </row>
    <row r="347" spans="1:21" ht="12">
      <c r="A347" s="1452" t="s">
        <v>3802</v>
      </c>
      <c r="B347" s="1483">
        <v>42129</v>
      </c>
      <c r="C347" s="1452" t="s">
        <v>95</v>
      </c>
      <c r="D347" s="1433" t="s">
        <v>3807</v>
      </c>
      <c r="E347" s="1435"/>
      <c r="F347" s="1437">
        <v>4420000000000</v>
      </c>
      <c r="G347" s="1438">
        <v>10500000000</v>
      </c>
      <c r="H347" s="1534"/>
      <c r="I347" s="1428"/>
      <c r="J347" s="1407"/>
      <c r="K347" s="1431">
        <f t="shared" si="46"/>
        <v>13807238095238.096</v>
      </c>
      <c r="L347" s="1407"/>
      <c r="M347" s="1407"/>
      <c r="N347" s="1407"/>
      <c r="O347" s="1407"/>
      <c r="P347" s="1407"/>
      <c r="Q347" s="1407"/>
      <c r="R347" s="1407"/>
      <c r="S347" s="1407"/>
      <c r="T347" s="1407"/>
      <c r="U347" s="1407"/>
    </row>
    <row r="348" spans="1:21" ht="12">
      <c r="A348" s="1407"/>
      <c r="B348" s="1407"/>
      <c r="C348" s="1407"/>
      <c r="D348" s="1409"/>
      <c r="E348" s="1410"/>
      <c r="F348" s="1495"/>
      <c r="G348" s="1534"/>
      <c r="H348" s="1534"/>
      <c r="I348" s="1428"/>
      <c r="J348" s="1407"/>
      <c r="K348" s="1431"/>
      <c r="L348" s="1407"/>
      <c r="M348" s="1407"/>
      <c r="N348" s="1407"/>
      <c r="O348" s="1407"/>
      <c r="P348" s="1407"/>
      <c r="Q348" s="1407"/>
      <c r="R348" s="1407"/>
      <c r="S348" s="1407"/>
      <c r="T348" s="1407"/>
      <c r="U348" s="1407"/>
    </row>
    <row r="349" spans="1:21" ht="12">
      <c r="A349" s="1452" t="s">
        <v>3810</v>
      </c>
      <c r="B349" s="1483">
        <v>42137</v>
      </c>
      <c r="C349" s="1452" t="s">
        <v>881</v>
      </c>
      <c r="D349" s="1433" t="s">
        <v>3811</v>
      </c>
      <c r="E349" s="1435"/>
      <c r="F349" s="1437">
        <v>9430000000000</v>
      </c>
      <c r="G349" s="1438">
        <v>48800000000</v>
      </c>
      <c r="H349" s="1534"/>
      <c r="I349" s="1428"/>
      <c r="J349" s="1407"/>
      <c r="K349" s="1431">
        <f t="shared" ref="K349:K352" si="47">(32800000000/G349)*F349</f>
        <v>6338196721311.4756</v>
      </c>
      <c r="L349" s="1407"/>
      <c r="M349" s="1407"/>
      <c r="N349" s="1407"/>
      <c r="O349" s="1407"/>
      <c r="P349" s="1407"/>
      <c r="Q349" s="1407"/>
      <c r="R349" s="1407"/>
      <c r="S349" s="1407"/>
      <c r="T349" s="1407"/>
      <c r="U349" s="1407"/>
    </row>
    <row r="350" spans="1:21" ht="12">
      <c r="A350" s="1452" t="s">
        <v>3810</v>
      </c>
      <c r="B350" s="1483">
        <v>42137</v>
      </c>
      <c r="C350" s="1452" t="s">
        <v>881</v>
      </c>
      <c r="D350" s="1433" t="s">
        <v>3812</v>
      </c>
      <c r="E350" s="1435"/>
      <c r="F350" s="1437">
        <v>518000000000000</v>
      </c>
      <c r="G350" s="1438">
        <v>48800000000</v>
      </c>
      <c r="H350" s="1534"/>
      <c r="I350" s="1428"/>
      <c r="J350" s="1407"/>
      <c r="K350" s="1431">
        <f t="shared" si="47"/>
        <v>348163934426229.5</v>
      </c>
      <c r="L350" s="1407"/>
      <c r="M350" s="1407"/>
      <c r="N350" s="1407"/>
      <c r="O350" s="1407"/>
      <c r="P350" s="1407"/>
      <c r="Q350" s="1407"/>
      <c r="R350" s="1407"/>
      <c r="S350" s="1407"/>
      <c r="T350" s="1407"/>
      <c r="U350" s="1407"/>
    </row>
    <row r="351" spans="1:21" ht="12">
      <c r="A351" s="1452" t="s">
        <v>3810</v>
      </c>
      <c r="B351" s="1483">
        <v>42137</v>
      </c>
      <c r="C351" s="1452" t="s">
        <v>881</v>
      </c>
      <c r="D351" s="1433" t="s">
        <v>3813</v>
      </c>
      <c r="E351" s="1435"/>
      <c r="F351" s="1437">
        <v>19700000000000</v>
      </c>
      <c r="G351" s="1438">
        <v>48800000000</v>
      </c>
      <c r="H351" s="1534"/>
      <c r="I351" s="1428"/>
      <c r="J351" s="1407"/>
      <c r="K351" s="1431">
        <f t="shared" si="47"/>
        <v>13240983606557.377</v>
      </c>
      <c r="L351" s="1407"/>
      <c r="M351" s="1407"/>
      <c r="N351" s="1407"/>
      <c r="O351" s="1407"/>
      <c r="P351" s="1407"/>
      <c r="Q351" s="1407"/>
      <c r="R351" s="1407"/>
      <c r="S351" s="1407"/>
      <c r="T351" s="1407"/>
      <c r="U351" s="1407"/>
    </row>
    <row r="352" spans="1:21" ht="12">
      <c r="A352" s="1452" t="s">
        <v>3810</v>
      </c>
      <c r="B352" s="1483">
        <v>42137</v>
      </c>
      <c r="C352" s="1452" t="s">
        <v>881</v>
      </c>
      <c r="D352" s="1433" t="s">
        <v>3814</v>
      </c>
      <c r="E352" s="1435"/>
      <c r="F352" s="1437">
        <v>25300000000000</v>
      </c>
      <c r="G352" s="1438">
        <v>48800000000</v>
      </c>
      <c r="H352" s="1534"/>
      <c r="I352" s="1428"/>
      <c r="J352" s="1407"/>
      <c r="K352" s="1431">
        <f t="shared" si="47"/>
        <v>17004918032786.885</v>
      </c>
      <c r="L352" s="1407"/>
      <c r="M352" s="1407"/>
      <c r="N352" s="1407"/>
      <c r="O352" s="1407"/>
      <c r="P352" s="1407"/>
      <c r="Q352" s="1407"/>
      <c r="R352" s="1407"/>
      <c r="S352" s="1407"/>
      <c r="T352" s="1407"/>
      <c r="U352" s="1407"/>
    </row>
    <row r="353" spans="1:21" ht="12">
      <c r="A353" s="1407"/>
      <c r="B353" s="1407"/>
      <c r="C353" s="1407"/>
      <c r="D353" s="1409"/>
      <c r="E353" s="1410"/>
      <c r="F353" s="1495"/>
      <c r="G353" s="1534"/>
      <c r="H353" s="1534"/>
      <c r="I353" s="1428"/>
      <c r="J353" s="1407"/>
      <c r="K353" s="1431"/>
      <c r="L353" s="1407"/>
      <c r="M353" s="1407"/>
      <c r="N353" s="1407"/>
      <c r="O353" s="1407"/>
      <c r="P353" s="1407"/>
      <c r="Q353" s="1407"/>
      <c r="R353" s="1407"/>
      <c r="S353" s="1407"/>
      <c r="T353" s="1407"/>
      <c r="U353" s="1407"/>
    </row>
    <row r="354" spans="1:21" ht="12">
      <c r="A354" s="1452" t="s">
        <v>3815</v>
      </c>
      <c r="B354" s="1483">
        <v>42144</v>
      </c>
      <c r="C354" s="1452" t="s">
        <v>881</v>
      </c>
      <c r="D354" s="1433" t="s">
        <v>3816</v>
      </c>
      <c r="E354" s="1435"/>
      <c r="F354" s="1437">
        <v>15200000000000</v>
      </c>
      <c r="G354" s="1438">
        <v>148000000000</v>
      </c>
      <c r="H354" s="1534"/>
      <c r="I354" s="1428"/>
      <c r="J354" s="639" t="s">
        <v>3817</v>
      </c>
      <c r="K354" s="1431">
        <f t="shared" ref="K354:K359" si="48">(32800000000/G354)*F354</f>
        <v>3368648648648.6489</v>
      </c>
      <c r="L354" s="1407"/>
      <c r="M354" s="1407"/>
      <c r="N354" s="1407"/>
      <c r="O354" s="1407"/>
      <c r="P354" s="1407"/>
      <c r="Q354" s="1407"/>
      <c r="R354" s="1407"/>
      <c r="S354" s="1407"/>
      <c r="T354" s="1407"/>
      <c r="U354" s="1407"/>
    </row>
    <row r="355" spans="1:21" ht="12">
      <c r="A355" s="1452" t="s">
        <v>3815</v>
      </c>
      <c r="B355" s="1483">
        <v>42144</v>
      </c>
      <c r="C355" s="1452" t="s">
        <v>881</v>
      </c>
      <c r="D355" s="1433" t="s">
        <v>3818</v>
      </c>
      <c r="E355" s="1435"/>
      <c r="F355" s="1437">
        <v>4290000000000</v>
      </c>
      <c r="G355" s="1438">
        <v>148000000000</v>
      </c>
      <c r="H355" s="1534"/>
      <c r="I355" s="1428"/>
      <c r="J355" s="1407"/>
      <c r="K355" s="1431">
        <f t="shared" si="48"/>
        <v>950756756756.75684</v>
      </c>
      <c r="L355" s="1407"/>
      <c r="M355" s="1407"/>
      <c r="N355" s="1407"/>
      <c r="O355" s="1407"/>
      <c r="P355" s="1407"/>
      <c r="Q355" s="1407"/>
      <c r="R355" s="1407"/>
      <c r="S355" s="1407"/>
      <c r="T355" s="1407"/>
      <c r="U355" s="1407"/>
    </row>
    <row r="356" spans="1:21" ht="12">
      <c r="A356" s="1452" t="s">
        <v>3815</v>
      </c>
      <c r="B356" s="1483">
        <v>42144</v>
      </c>
      <c r="C356" s="1452" t="s">
        <v>881</v>
      </c>
      <c r="D356" s="1433" t="s">
        <v>3819</v>
      </c>
      <c r="E356" s="1435"/>
      <c r="F356" s="1437">
        <v>2810000000000</v>
      </c>
      <c r="G356" s="1438">
        <v>148000000000</v>
      </c>
      <c r="H356" s="1534"/>
      <c r="I356" s="1428"/>
      <c r="J356" s="1407"/>
      <c r="K356" s="1431">
        <f t="shared" si="48"/>
        <v>622756756756.75684</v>
      </c>
      <c r="L356" s="1407"/>
      <c r="M356" s="1407"/>
      <c r="N356" s="1407"/>
      <c r="O356" s="1407"/>
      <c r="P356" s="1407"/>
      <c r="Q356" s="1407"/>
      <c r="R356" s="1407"/>
      <c r="S356" s="1407"/>
      <c r="T356" s="1407"/>
      <c r="U356" s="1407"/>
    </row>
    <row r="357" spans="1:21" ht="12">
      <c r="A357" s="1452" t="s">
        <v>3815</v>
      </c>
      <c r="B357" s="1483">
        <v>42144</v>
      </c>
      <c r="C357" s="1452" t="s">
        <v>881</v>
      </c>
      <c r="D357" s="1433" t="s">
        <v>3820</v>
      </c>
      <c r="E357" s="1435"/>
      <c r="F357" s="1437">
        <v>3160000000000</v>
      </c>
      <c r="G357" s="1438">
        <v>148000000000</v>
      </c>
      <c r="H357" s="1534"/>
      <c r="I357" s="1428"/>
      <c r="J357" s="1407"/>
      <c r="K357" s="1431">
        <f t="shared" si="48"/>
        <v>700324324324.32434</v>
      </c>
      <c r="L357" s="1407"/>
      <c r="M357" s="1407"/>
      <c r="N357" s="1407"/>
      <c r="O357" s="1407"/>
      <c r="P357" s="1407"/>
      <c r="Q357" s="1407"/>
      <c r="R357" s="1407"/>
      <c r="S357" s="1407"/>
      <c r="T357" s="1407"/>
      <c r="U357" s="1407"/>
    </row>
    <row r="358" spans="1:21" ht="12">
      <c r="A358" s="1452" t="s">
        <v>3815</v>
      </c>
      <c r="B358" s="1483">
        <v>42144</v>
      </c>
      <c r="C358" s="1452" t="s">
        <v>881</v>
      </c>
      <c r="D358" s="1433" t="s">
        <v>3821</v>
      </c>
      <c r="E358" s="1435"/>
      <c r="F358" s="1437">
        <v>7640000000000</v>
      </c>
      <c r="G358" s="1438">
        <v>148000000000</v>
      </c>
      <c r="H358" s="1534"/>
      <c r="I358" s="1428"/>
      <c r="J358" s="1407"/>
      <c r="K358" s="1431">
        <f t="shared" si="48"/>
        <v>1693189189189.1892</v>
      </c>
      <c r="L358" s="1407"/>
      <c r="M358" s="1407"/>
      <c r="N358" s="1407"/>
      <c r="O358" s="1407"/>
      <c r="P358" s="1407"/>
      <c r="Q358" s="1407"/>
      <c r="R358" s="1407"/>
      <c r="S358" s="1407"/>
      <c r="T358" s="1407"/>
      <c r="U358" s="1407"/>
    </row>
    <row r="359" spans="1:21" ht="12">
      <c r="A359" s="1452" t="s">
        <v>3815</v>
      </c>
      <c r="B359" s="1483">
        <v>42144</v>
      </c>
      <c r="C359" s="1452" t="s">
        <v>881</v>
      </c>
      <c r="D359" s="1433" t="s">
        <v>3822</v>
      </c>
      <c r="E359" s="1435"/>
      <c r="F359" s="1437">
        <v>4130000000000</v>
      </c>
      <c r="G359" s="1438">
        <v>148000000000</v>
      </c>
      <c r="H359" s="1534"/>
      <c r="I359" s="1428"/>
      <c r="J359" s="1407"/>
      <c r="K359" s="1431">
        <f t="shared" si="48"/>
        <v>915297297297.29736</v>
      </c>
      <c r="L359" s="1407"/>
      <c r="M359" s="1407"/>
      <c r="N359" s="1407"/>
      <c r="O359" s="1407"/>
      <c r="P359" s="1407"/>
      <c r="Q359" s="1407"/>
      <c r="R359" s="1407"/>
      <c r="S359" s="1407"/>
      <c r="T359" s="1407"/>
      <c r="U359" s="1407"/>
    </row>
    <row r="360" spans="1:21" ht="12">
      <c r="A360" s="1407"/>
      <c r="B360" s="1407"/>
      <c r="C360" s="1407"/>
      <c r="D360" s="1409"/>
      <c r="E360" s="1410"/>
      <c r="F360" s="1495"/>
      <c r="G360" s="1534"/>
      <c r="H360" s="1534"/>
      <c r="I360" s="1428"/>
      <c r="J360" s="1407"/>
      <c r="K360" s="1431"/>
      <c r="L360" s="1407"/>
      <c r="M360" s="1407"/>
      <c r="N360" s="1407"/>
      <c r="O360" s="1407"/>
      <c r="P360" s="1407"/>
      <c r="Q360" s="1407"/>
      <c r="R360" s="1407"/>
      <c r="S360" s="1407"/>
      <c r="T360" s="1407"/>
      <c r="U360" s="1407"/>
    </row>
    <row r="361" spans="1:21" ht="12">
      <c r="A361" s="1452" t="s">
        <v>3823</v>
      </c>
      <c r="B361" s="1483">
        <v>42152</v>
      </c>
      <c r="C361" s="1452" t="s">
        <v>3470</v>
      </c>
      <c r="D361" s="1433" t="s">
        <v>3824</v>
      </c>
      <c r="E361" s="1589"/>
      <c r="F361" s="15">
        <v>10300000000000</v>
      </c>
      <c r="G361" s="1590">
        <v>15100000000</v>
      </c>
      <c r="H361" s="1534"/>
      <c r="I361" s="1428"/>
      <c r="J361" s="1407"/>
      <c r="K361" s="1431">
        <f t="shared" ref="K361:K366" si="49">(32800000000/G361)*F361</f>
        <v>22373509933774.836</v>
      </c>
      <c r="L361" s="1407"/>
      <c r="M361" s="1407"/>
      <c r="N361" s="1407"/>
      <c r="O361" s="1407"/>
      <c r="P361" s="1407"/>
      <c r="Q361" s="1407"/>
      <c r="R361" s="1407"/>
      <c r="S361" s="1407"/>
      <c r="T361" s="1407"/>
      <c r="U361" s="1407"/>
    </row>
    <row r="362" spans="1:21" ht="12">
      <c r="A362" s="1452" t="s">
        <v>3823</v>
      </c>
      <c r="B362" s="1483">
        <v>42152</v>
      </c>
      <c r="C362" s="1452" t="s">
        <v>3470</v>
      </c>
      <c r="D362" s="1433" t="s">
        <v>3825</v>
      </c>
      <c r="E362" s="1589"/>
      <c r="F362" s="15">
        <v>12700000000000</v>
      </c>
      <c r="G362" s="1590">
        <v>15100000000</v>
      </c>
      <c r="H362" s="1534"/>
      <c r="I362" s="1428"/>
      <c r="J362" s="1407"/>
      <c r="K362" s="1431">
        <f t="shared" si="49"/>
        <v>27586754966887.418</v>
      </c>
      <c r="L362" s="1407"/>
      <c r="M362" s="1407"/>
      <c r="N362" s="1407"/>
      <c r="O362" s="1407"/>
      <c r="P362" s="1407"/>
      <c r="Q362" s="1407"/>
      <c r="R362" s="1407"/>
      <c r="S362" s="1407"/>
      <c r="T362" s="1407"/>
      <c r="U362" s="1407"/>
    </row>
    <row r="363" spans="1:21" ht="12">
      <c r="A363" s="1452" t="s">
        <v>3823</v>
      </c>
      <c r="B363" s="1483">
        <v>42152</v>
      </c>
      <c r="C363" s="1452" t="s">
        <v>3470</v>
      </c>
      <c r="D363" s="1433" t="s">
        <v>3826</v>
      </c>
      <c r="E363" s="1589"/>
      <c r="F363" s="15">
        <v>34400000000000</v>
      </c>
      <c r="G363" s="1590">
        <v>15100000000</v>
      </c>
      <c r="H363" s="1534"/>
      <c r="I363" s="1428"/>
      <c r="J363" s="1407"/>
      <c r="K363" s="1431">
        <f t="shared" si="49"/>
        <v>74723178807947.016</v>
      </c>
      <c r="L363" s="1407"/>
      <c r="M363" s="1407"/>
      <c r="N363" s="1407"/>
      <c r="O363" s="1407"/>
      <c r="P363" s="1407"/>
      <c r="Q363" s="1407"/>
      <c r="R363" s="1407"/>
      <c r="S363" s="1407"/>
      <c r="T363" s="1407"/>
      <c r="U363" s="1407"/>
    </row>
    <row r="364" spans="1:21" ht="12">
      <c r="A364" s="1452" t="s">
        <v>3823</v>
      </c>
      <c r="B364" s="1483">
        <v>42152</v>
      </c>
      <c r="C364" s="1452" t="s">
        <v>3470</v>
      </c>
      <c r="D364" s="1433" t="s">
        <v>3827</v>
      </c>
      <c r="E364" s="1589"/>
      <c r="F364" s="15">
        <v>82100000000000</v>
      </c>
      <c r="G364" s="1590">
        <v>15100000000</v>
      </c>
      <c r="H364" s="1534"/>
      <c r="I364" s="1428"/>
      <c r="J364" s="1407"/>
      <c r="K364" s="1431">
        <f t="shared" si="49"/>
        <v>178336423841059.59</v>
      </c>
      <c r="L364" s="1407"/>
      <c r="M364" s="1407"/>
      <c r="N364" s="1407"/>
      <c r="O364" s="1407"/>
      <c r="P364" s="1407"/>
      <c r="Q364" s="1407"/>
      <c r="R364" s="1407"/>
      <c r="S364" s="1407"/>
      <c r="T364" s="1407"/>
      <c r="U364" s="1407"/>
    </row>
    <row r="365" spans="1:21" ht="12">
      <c r="A365" s="1452" t="s">
        <v>3823</v>
      </c>
      <c r="B365" s="1483">
        <v>42152</v>
      </c>
      <c r="C365" s="1452" t="s">
        <v>3470</v>
      </c>
      <c r="D365" s="1433" t="s">
        <v>3828</v>
      </c>
      <c r="E365" s="1589"/>
      <c r="F365" s="15">
        <v>371000000000000</v>
      </c>
      <c r="G365" s="1590">
        <v>15100000000</v>
      </c>
      <c r="H365" s="1534"/>
      <c r="I365" s="1428"/>
      <c r="J365" s="1407"/>
      <c r="K365" s="1431">
        <f t="shared" si="49"/>
        <v>805880794701986.75</v>
      </c>
      <c r="L365" s="1407"/>
      <c r="M365" s="1407"/>
      <c r="N365" s="1407"/>
      <c r="O365" s="1407"/>
      <c r="P365" s="1407"/>
      <c r="Q365" s="1407"/>
      <c r="R365" s="1407"/>
      <c r="S365" s="1407"/>
      <c r="T365" s="1407"/>
      <c r="U365" s="1407"/>
    </row>
    <row r="366" spans="1:21" ht="12">
      <c r="A366" s="1452" t="s">
        <v>3823</v>
      </c>
      <c r="B366" s="1483">
        <v>42152</v>
      </c>
      <c r="C366" s="1452" t="s">
        <v>3470</v>
      </c>
      <c r="D366" s="1433" t="s">
        <v>3829</v>
      </c>
      <c r="E366" s="1589"/>
      <c r="F366" s="15">
        <v>77100000000000</v>
      </c>
      <c r="G366" s="1590">
        <v>15100000000</v>
      </c>
      <c r="H366" s="1534"/>
      <c r="I366" s="1428"/>
      <c r="J366" s="1407"/>
      <c r="K366" s="1431">
        <f t="shared" si="49"/>
        <v>167475496688741.72</v>
      </c>
      <c r="L366" s="1407"/>
      <c r="M366" s="1407"/>
      <c r="N366" s="1407"/>
      <c r="O366" s="1407"/>
      <c r="P366" s="1407"/>
      <c r="Q366" s="1407"/>
      <c r="R366" s="1407"/>
      <c r="S366" s="1407"/>
      <c r="T366" s="1407"/>
      <c r="U366" s="1407"/>
    </row>
    <row r="367" spans="1:21" ht="12">
      <c r="A367" s="1407"/>
      <c r="B367" s="1407"/>
      <c r="C367" s="1407"/>
      <c r="D367" s="1409"/>
      <c r="E367" s="1410"/>
      <c r="F367" s="1495"/>
      <c r="G367" s="1534"/>
      <c r="H367" s="1534"/>
      <c r="I367" s="1428"/>
      <c r="J367" s="1407"/>
      <c r="K367" s="1431"/>
      <c r="L367" s="1407"/>
      <c r="M367" s="1407"/>
      <c r="N367" s="1407"/>
      <c r="O367" s="1407"/>
      <c r="P367" s="1407"/>
      <c r="Q367" s="1407"/>
      <c r="R367" s="1407"/>
      <c r="S367" s="1407"/>
      <c r="T367" s="1407"/>
      <c r="U367" s="1407"/>
    </row>
    <row r="368" spans="1:21" ht="12">
      <c r="A368" s="1452" t="s">
        <v>3830</v>
      </c>
      <c r="B368" s="1483">
        <v>42158</v>
      </c>
      <c r="C368" s="1452" t="s">
        <v>3470</v>
      </c>
      <c r="D368" s="1433" t="s">
        <v>3831</v>
      </c>
      <c r="E368" s="1589"/>
      <c r="F368" s="15">
        <v>15900000000000</v>
      </c>
      <c r="G368" s="1590">
        <v>35400000000</v>
      </c>
      <c r="H368" s="1534"/>
      <c r="I368" s="1428"/>
      <c r="J368" s="1407"/>
      <c r="K368" s="1431">
        <f t="shared" ref="K368:K376" si="50">(32800000000/G368)*F368</f>
        <v>14732203389830.508</v>
      </c>
      <c r="L368" s="1407"/>
      <c r="M368" s="1407"/>
      <c r="N368" s="1407"/>
      <c r="O368" s="1407"/>
      <c r="P368" s="1407"/>
      <c r="Q368" s="1407"/>
      <c r="R368" s="1407"/>
      <c r="S368" s="1407"/>
      <c r="T368" s="1407"/>
      <c r="U368" s="1407"/>
    </row>
    <row r="369" spans="1:21" ht="12">
      <c r="A369" s="1452" t="s">
        <v>3830</v>
      </c>
      <c r="B369" s="1483">
        <v>42158</v>
      </c>
      <c r="C369" s="1452" t="s">
        <v>3470</v>
      </c>
      <c r="D369" s="1433" t="s">
        <v>3836</v>
      </c>
      <c r="E369" s="1589"/>
      <c r="F369" s="15">
        <v>18000000000000</v>
      </c>
      <c r="G369" s="1590">
        <v>35400000000</v>
      </c>
      <c r="H369" s="1534"/>
      <c r="I369" s="1428"/>
      <c r="J369" s="1407"/>
      <c r="K369" s="1431">
        <f t="shared" si="50"/>
        <v>16677966101694.916</v>
      </c>
      <c r="L369" s="1407"/>
      <c r="M369" s="1407"/>
      <c r="N369" s="1407"/>
      <c r="O369" s="1407"/>
      <c r="P369" s="1407"/>
      <c r="Q369" s="1407"/>
      <c r="R369" s="1407"/>
      <c r="S369" s="1407"/>
      <c r="T369" s="1407"/>
      <c r="U369" s="1407"/>
    </row>
    <row r="370" spans="1:21" ht="12">
      <c r="A370" s="1452" t="s">
        <v>3830</v>
      </c>
      <c r="B370" s="1483">
        <v>42158</v>
      </c>
      <c r="C370" s="1452" t="s">
        <v>3470</v>
      </c>
      <c r="D370" s="1433" t="s">
        <v>3838</v>
      </c>
      <c r="E370" s="1589"/>
      <c r="F370" s="15">
        <v>13000000000000</v>
      </c>
      <c r="G370" s="1590">
        <v>35400000000</v>
      </c>
      <c r="H370" s="1534"/>
      <c r="I370" s="1428"/>
      <c r="J370" s="1407"/>
      <c r="K370" s="1431">
        <f t="shared" si="50"/>
        <v>12045197740112.994</v>
      </c>
      <c r="L370" s="1407"/>
      <c r="M370" s="1407"/>
      <c r="N370" s="1407"/>
      <c r="O370" s="1407"/>
      <c r="P370" s="1407"/>
      <c r="Q370" s="1407"/>
      <c r="R370" s="1407"/>
      <c r="S370" s="1407"/>
      <c r="T370" s="1407"/>
      <c r="U370" s="1407"/>
    </row>
    <row r="371" spans="1:21" ht="12">
      <c r="A371" s="1452" t="s">
        <v>3830</v>
      </c>
      <c r="B371" s="1483">
        <v>42158</v>
      </c>
      <c r="C371" s="1452" t="s">
        <v>3470</v>
      </c>
      <c r="D371" s="1433" t="s">
        <v>3839</v>
      </c>
      <c r="E371" s="1589"/>
      <c r="F371" s="15">
        <v>137000000000</v>
      </c>
      <c r="G371" s="1590">
        <v>35400000000</v>
      </c>
      <c r="H371" s="1534"/>
      <c r="I371" s="1428"/>
      <c r="J371" s="1407"/>
      <c r="K371" s="1431">
        <f t="shared" si="50"/>
        <v>126937853107.34464</v>
      </c>
      <c r="L371" s="1407"/>
      <c r="M371" s="1407"/>
      <c r="N371" s="1407"/>
      <c r="O371" s="1407"/>
      <c r="P371" s="1407"/>
      <c r="Q371" s="1407"/>
      <c r="R371" s="1407"/>
      <c r="S371" s="1407"/>
      <c r="T371" s="1407"/>
      <c r="U371" s="1407"/>
    </row>
    <row r="372" spans="1:21" ht="12">
      <c r="A372" s="1452" t="s">
        <v>3830</v>
      </c>
      <c r="B372" s="1483">
        <v>42158</v>
      </c>
      <c r="C372" s="1452" t="s">
        <v>3470</v>
      </c>
      <c r="D372" s="1433" t="s">
        <v>3840</v>
      </c>
      <c r="E372" s="1589"/>
      <c r="F372" s="15">
        <v>55400000000000</v>
      </c>
      <c r="G372" s="1590">
        <v>35400000000</v>
      </c>
      <c r="H372" s="1534"/>
      <c r="I372" s="1428"/>
      <c r="J372" s="1407"/>
      <c r="K372" s="1431">
        <f t="shared" si="50"/>
        <v>51331073446327.688</v>
      </c>
      <c r="L372" s="1407"/>
      <c r="M372" s="1407"/>
      <c r="N372" s="1407"/>
      <c r="O372" s="1407"/>
      <c r="P372" s="1407"/>
      <c r="Q372" s="1407"/>
      <c r="R372" s="1407"/>
      <c r="S372" s="1407"/>
      <c r="T372" s="1407"/>
      <c r="U372" s="1407"/>
    </row>
    <row r="373" spans="1:21" ht="12">
      <c r="A373" s="1452" t="s">
        <v>3830</v>
      </c>
      <c r="B373" s="1483">
        <v>42158</v>
      </c>
      <c r="C373" s="1452" t="s">
        <v>3470</v>
      </c>
      <c r="D373" s="1433" t="s">
        <v>3841</v>
      </c>
      <c r="E373" s="1589"/>
      <c r="F373" s="15">
        <v>10900000000000</v>
      </c>
      <c r="G373" s="1590">
        <v>35400000000</v>
      </c>
      <c r="H373" s="1534"/>
      <c r="I373" s="1428"/>
      <c r="J373" s="1407"/>
      <c r="K373" s="1431">
        <f t="shared" si="50"/>
        <v>10099435028248.588</v>
      </c>
      <c r="L373" s="1407"/>
      <c r="M373" s="1407"/>
      <c r="N373" s="1407"/>
      <c r="O373" s="1407"/>
      <c r="P373" s="1407"/>
      <c r="Q373" s="1407"/>
      <c r="R373" s="1407"/>
      <c r="S373" s="1407"/>
      <c r="T373" s="1407"/>
      <c r="U373" s="1407"/>
    </row>
    <row r="374" spans="1:21" ht="12">
      <c r="A374" s="1452" t="s">
        <v>3830</v>
      </c>
      <c r="B374" s="1483">
        <v>42158</v>
      </c>
      <c r="C374" s="1452" t="s">
        <v>3470</v>
      </c>
      <c r="D374" s="1433" t="s">
        <v>3842</v>
      </c>
      <c r="E374" s="1589"/>
      <c r="F374" s="15">
        <v>26700000000000</v>
      </c>
      <c r="G374" s="1590">
        <v>35400000000</v>
      </c>
      <c r="H374" s="1534"/>
      <c r="I374" s="1428"/>
      <c r="J374" s="1407"/>
      <c r="K374" s="1431">
        <f t="shared" si="50"/>
        <v>24738983050847.457</v>
      </c>
      <c r="L374" s="1407"/>
      <c r="M374" s="1407"/>
      <c r="N374" s="1407"/>
      <c r="O374" s="1407"/>
      <c r="P374" s="1407"/>
      <c r="Q374" s="1407"/>
      <c r="R374" s="1407"/>
      <c r="S374" s="1407"/>
      <c r="T374" s="1407"/>
      <c r="U374" s="1407"/>
    </row>
    <row r="375" spans="1:21" ht="12">
      <c r="A375" s="1452" t="s">
        <v>3830</v>
      </c>
      <c r="B375" s="1483">
        <v>42158</v>
      </c>
      <c r="C375" s="1452" t="s">
        <v>3470</v>
      </c>
      <c r="D375" s="1433" t="s">
        <v>3843</v>
      </c>
      <c r="E375" s="1589"/>
      <c r="F375" s="15">
        <v>575000000000000</v>
      </c>
      <c r="G375" s="1590">
        <v>35400000000</v>
      </c>
      <c r="H375" s="1534"/>
      <c r="I375" s="1428"/>
      <c r="J375" s="1407"/>
      <c r="K375" s="1431">
        <f t="shared" si="50"/>
        <v>532768361581920.94</v>
      </c>
      <c r="L375" s="1407"/>
      <c r="M375" s="1407"/>
      <c r="N375" s="1407"/>
      <c r="O375" s="1407"/>
      <c r="P375" s="1407"/>
      <c r="Q375" s="1407"/>
      <c r="R375" s="1407"/>
      <c r="S375" s="1407"/>
      <c r="T375" s="1407"/>
      <c r="U375" s="1407"/>
    </row>
    <row r="376" spans="1:21" ht="12">
      <c r="A376" s="1452" t="s">
        <v>3830</v>
      </c>
      <c r="B376" s="1483">
        <v>42158</v>
      </c>
      <c r="C376" s="1452" t="s">
        <v>3470</v>
      </c>
      <c r="D376" s="1433" t="s">
        <v>3559</v>
      </c>
      <c r="E376" s="1589"/>
      <c r="F376" s="15">
        <v>15300000000000</v>
      </c>
      <c r="G376" s="1590">
        <v>35400000000</v>
      </c>
      <c r="H376" s="1534"/>
      <c r="I376" s="1428"/>
      <c r="J376" s="1452" t="s">
        <v>3844</v>
      </c>
      <c r="K376" s="1431">
        <f t="shared" si="50"/>
        <v>14176271186440.678</v>
      </c>
      <c r="L376" s="1407"/>
      <c r="M376" s="1407"/>
      <c r="N376" s="1407"/>
      <c r="O376" s="1407"/>
      <c r="P376" s="1407"/>
      <c r="Q376" s="1407"/>
      <c r="R376" s="1407"/>
      <c r="S376" s="1407"/>
      <c r="T376" s="1407"/>
      <c r="U376" s="1407"/>
    </row>
    <row r="377" spans="1:21" ht="12">
      <c r="A377" s="1407"/>
      <c r="B377" s="1407"/>
      <c r="C377" s="1407"/>
      <c r="D377" s="1409"/>
      <c r="E377" s="1410"/>
      <c r="F377" s="1495"/>
      <c r="G377" s="1534"/>
      <c r="H377" s="1534"/>
      <c r="I377" s="1428"/>
      <c r="J377" s="1407"/>
      <c r="K377" s="1431"/>
      <c r="L377" s="1407"/>
      <c r="M377" s="1407"/>
      <c r="N377" s="1407"/>
      <c r="O377" s="1407"/>
      <c r="P377" s="1407"/>
      <c r="Q377" s="1407"/>
      <c r="R377" s="1407"/>
      <c r="S377" s="1407"/>
      <c r="T377" s="1407"/>
      <c r="U377" s="1407"/>
    </row>
    <row r="378" spans="1:21" ht="12">
      <c r="A378" s="1716" t="s">
        <v>3845</v>
      </c>
      <c r="B378" s="1476">
        <v>42165</v>
      </c>
      <c r="C378" s="1716" t="s">
        <v>881</v>
      </c>
      <c r="D378" s="1424" t="s">
        <v>3846</v>
      </c>
      <c r="E378" s="1425"/>
      <c r="F378" s="1426">
        <v>9920000000000</v>
      </c>
      <c r="G378" s="1427">
        <v>295000000000</v>
      </c>
      <c r="H378" s="1492"/>
      <c r="I378" s="1478"/>
      <c r="J378" s="1480"/>
      <c r="K378" s="1719">
        <f t="shared" ref="K378:K387" si="51">(32800000000/G378)*F378</f>
        <v>1102969491525.4236</v>
      </c>
      <c r="L378" s="1480"/>
      <c r="M378" s="1480"/>
      <c r="N378" s="1716" t="s">
        <v>3850</v>
      </c>
      <c r="O378" s="1480"/>
      <c r="P378" s="1407"/>
      <c r="Q378" s="1407"/>
      <c r="R378" s="1407"/>
      <c r="S378" s="1407"/>
      <c r="T378" s="1407"/>
      <c r="U378" s="1407"/>
    </row>
    <row r="379" spans="1:21" ht="12">
      <c r="A379" s="639" t="s">
        <v>3845</v>
      </c>
      <c r="B379" s="1483">
        <v>42165</v>
      </c>
      <c r="C379" s="639" t="s">
        <v>881</v>
      </c>
      <c r="D379" s="1433" t="s">
        <v>3851</v>
      </c>
      <c r="E379" s="1435"/>
      <c r="F379" s="1437">
        <v>20100000000000</v>
      </c>
      <c r="G379" s="1438">
        <v>295000000000</v>
      </c>
      <c r="H379" s="1534"/>
      <c r="I379" s="1428"/>
      <c r="J379" s="1407"/>
      <c r="K379" s="1431">
        <f t="shared" si="51"/>
        <v>2234847457627.1187</v>
      </c>
      <c r="L379" s="1407"/>
      <c r="M379" s="1407"/>
      <c r="N379" s="1407"/>
      <c r="O379" s="1407"/>
      <c r="P379" s="1407"/>
      <c r="Q379" s="1407"/>
      <c r="R379" s="1407"/>
      <c r="S379" s="1407"/>
      <c r="T379" s="1407"/>
      <c r="U379" s="1407"/>
    </row>
    <row r="380" spans="1:21" ht="12">
      <c r="A380" s="639" t="s">
        <v>3845</v>
      </c>
      <c r="B380" s="1483">
        <v>42165</v>
      </c>
      <c r="C380" s="639" t="s">
        <v>881</v>
      </c>
      <c r="D380" s="1433" t="s">
        <v>3853</v>
      </c>
      <c r="E380" s="1435"/>
      <c r="F380" s="1437">
        <v>52200000000000</v>
      </c>
      <c r="G380" s="1438">
        <v>295000000000</v>
      </c>
      <c r="H380" s="1534"/>
      <c r="I380" s="1428"/>
      <c r="J380" s="1407"/>
      <c r="K380" s="1431">
        <f t="shared" si="51"/>
        <v>5803932203389.8301</v>
      </c>
      <c r="L380" s="1407"/>
      <c r="M380" s="1407"/>
      <c r="N380" s="1407"/>
      <c r="O380" s="1407"/>
      <c r="P380" s="1407"/>
      <c r="Q380" s="1407"/>
      <c r="R380" s="1407"/>
      <c r="S380" s="1407"/>
      <c r="T380" s="1407"/>
      <c r="U380" s="1407"/>
    </row>
    <row r="381" spans="1:21" ht="12">
      <c r="A381" s="639" t="s">
        <v>3845</v>
      </c>
      <c r="B381" s="1483">
        <v>42165</v>
      </c>
      <c r="C381" s="639" t="s">
        <v>881</v>
      </c>
      <c r="D381" s="1433" t="s">
        <v>3855</v>
      </c>
      <c r="E381" s="1435"/>
      <c r="F381" s="1437">
        <v>9220000000000</v>
      </c>
      <c r="G381" s="1438">
        <v>295000000000</v>
      </c>
      <c r="H381" s="1534"/>
      <c r="I381" s="1428"/>
      <c r="J381" s="1407"/>
      <c r="K381" s="1431">
        <f t="shared" si="51"/>
        <v>1025138983050.8474</v>
      </c>
      <c r="L381" s="1407"/>
      <c r="M381" s="1407"/>
      <c r="N381" s="1407"/>
      <c r="O381" s="1407"/>
      <c r="P381" s="1407"/>
      <c r="Q381" s="1407"/>
      <c r="R381" s="1407"/>
      <c r="S381" s="1407"/>
      <c r="T381" s="1407"/>
      <c r="U381" s="1407"/>
    </row>
    <row r="382" spans="1:21" ht="12">
      <c r="A382" s="639" t="s">
        <v>3845</v>
      </c>
      <c r="B382" s="1483">
        <v>42165</v>
      </c>
      <c r="C382" s="639" t="s">
        <v>881</v>
      </c>
      <c r="D382" s="1433" t="s">
        <v>3856</v>
      </c>
      <c r="E382" s="1435"/>
      <c r="F382" s="1437">
        <v>12800000000000</v>
      </c>
      <c r="G382" s="1438">
        <v>295000000000</v>
      </c>
      <c r="H382" s="1534"/>
      <c r="I382" s="1428"/>
      <c r="J382" s="1407"/>
      <c r="K382" s="1431">
        <f t="shared" si="51"/>
        <v>1423186440677.9661</v>
      </c>
      <c r="L382" s="1407"/>
      <c r="M382" s="1407"/>
      <c r="N382" s="1407"/>
      <c r="O382" s="1407"/>
      <c r="P382" s="1407"/>
      <c r="Q382" s="1407"/>
      <c r="R382" s="1407"/>
      <c r="S382" s="1407"/>
      <c r="T382" s="1407"/>
      <c r="U382" s="1407"/>
    </row>
    <row r="383" spans="1:21" ht="12">
      <c r="A383" s="639" t="s">
        <v>3845</v>
      </c>
      <c r="B383" s="1483">
        <v>42165</v>
      </c>
      <c r="C383" s="639" t="s">
        <v>881</v>
      </c>
      <c r="D383" s="1433" t="s">
        <v>3858</v>
      </c>
      <c r="E383" s="1435"/>
      <c r="F383" s="1437">
        <v>7690000000000</v>
      </c>
      <c r="G383" s="1438">
        <v>295000000000</v>
      </c>
      <c r="H383" s="1534"/>
      <c r="I383" s="1428"/>
      <c r="J383" s="1407"/>
      <c r="K383" s="1431">
        <f t="shared" si="51"/>
        <v>855023728813.55933</v>
      </c>
      <c r="L383" s="1407"/>
      <c r="M383" s="1407"/>
      <c r="N383" s="1407"/>
      <c r="O383" s="1407"/>
      <c r="P383" s="1407"/>
      <c r="Q383" s="1407"/>
      <c r="R383" s="1407"/>
      <c r="S383" s="1407"/>
      <c r="T383" s="1407"/>
      <c r="U383" s="1407"/>
    </row>
    <row r="384" spans="1:21" ht="12">
      <c r="A384" s="639" t="s">
        <v>3845</v>
      </c>
      <c r="B384" s="1483">
        <v>42165</v>
      </c>
      <c r="C384" s="639" t="s">
        <v>881</v>
      </c>
      <c r="D384" s="1433" t="s">
        <v>3862</v>
      </c>
      <c r="E384" s="1435"/>
      <c r="F384" s="1437">
        <v>12100000000000</v>
      </c>
      <c r="G384" s="1438">
        <v>295000000000</v>
      </c>
      <c r="H384" s="1534"/>
      <c r="I384" s="1428"/>
      <c r="J384" s="1407"/>
      <c r="K384" s="1431">
        <f t="shared" si="51"/>
        <v>1345355932203.3899</v>
      </c>
      <c r="L384" s="1407"/>
      <c r="M384" s="1407"/>
      <c r="N384" s="1407"/>
      <c r="O384" s="1407"/>
      <c r="P384" s="1407"/>
      <c r="Q384" s="1407"/>
      <c r="R384" s="1407"/>
      <c r="S384" s="1407"/>
      <c r="T384" s="1407"/>
      <c r="U384" s="1407"/>
    </row>
    <row r="385" spans="1:21" ht="12">
      <c r="A385" s="639" t="s">
        <v>3845</v>
      </c>
      <c r="B385" s="1483">
        <v>42165</v>
      </c>
      <c r="C385" s="639" t="s">
        <v>881</v>
      </c>
      <c r="D385" s="1433" t="s">
        <v>3867</v>
      </c>
      <c r="E385" s="1435"/>
      <c r="F385" s="1437">
        <v>19000000000000</v>
      </c>
      <c r="G385" s="1438">
        <v>295000000000</v>
      </c>
      <c r="H385" s="1534"/>
      <c r="I385" s="1428"/>
      <c r="J385" s="1407"/>
      <c r="K385" s="1431">
        <f t="shared" si="51"/>
        <v>2112542372881.356</v>
      </c>
      <c r="L385" s="1407"/>
      <c r="M385" s="1407"/>
      <c r="N385" s="1407"/>
      <c r="O385" s="1407"/>
      <c r="P385" s="1407"/>
      <c r="Q385" s="1407"/>
      <c r="R385" s="1407"/>
      <c r="S385" s="1407"/>
      <c r="T385" s="1407"/>
      <c r="U385" s="1407"/>
    </row>
    <row r="386" spans="1:21" ht="12">
      <c r="A386" s="639" t="s">
        <v>3845</v>
      </c>
      <c r="B386" s="1483">
        <v>42165</v>
      </c>
      <c r="C386" s="639" t="s">
        <v>881</v>
      </c>
      <c r="D386" s="1433" t="s">
        <v>3869</v>
      </c>
      <c r="E386" s="1435"/>
      <c r="F386" s="1437">
        <v>582000000000</v>
      </c>
      <c r="G386" s="1438">
        <v>295000000000</v>
      </c>
      <c r="H386" s="1534"/>
      <c r="I386" s="1428"/>
      <c r="J386" s="1407"/>
      <c r="K386" s="1431">
        <f t="shared" si="51"/>
        <v>64710508474.576271</v>
      </c>
      <c r="L386" s="1407"/>
      <c r="M386" s="1407"/>
      <c r="N386" s="1407"/>
      <c r="O386" s="1407"/>
      <c r="P386" s="1407"/>
      <c r="Q386" s="1407"/>
      <c r="R386" s="1407"/>
      <c r="S386" s="1407"/>
      <c r="T386" s="1407"/>
      <c r="U386" s="1407"/>
    </row>
    <row r="387" spans="1:21" ht="12">
      <c r="A387" s="639" t="s">
        <v>3845</v>
      </c>
      <c r="B387" s="1483">
        <v>42165</v>
      </c>
      <c r="C387" s="639" t="s">
        <v>881</v>
      </c>
      <c r="D387" s="1433" t="s">
        <v>3839</v>
      </c>
      <c r="E387" s="1435"/>
      <c r="F387" s="1437">
        <v>100000000000</v>
      </c>
      <c r="G387" s="1438">
        <v>295000000000</v>
      </c>
      <c r="H387" s="1534"/>
      <c r="I387" s="1428"/>
      <c r="J387" s="1452" t="s">
        <v>3844</v>
      </c>
      <c r="K387" s="1431">
        <f t="shared" si="51"/>
        <v>11118644067.79661</v>
      </c>
      <c r="L387" s="1407"/>
      <c r="M387" s="1407"/>
      <c r="N387" s="1407"/>
      <c r="O387" s="1407"/>
      <c r="P387" s="1407"/>
      <c r="Q387" s="1407"/>
      <c r="R387" s="1407"/>
      <c r="S387" s="1407"/>
      <c r="T387" s="1407"/>
      <c r="U387" s="1407"/>
    </row>
    <row r="388" spans="1:21" ht="12">
      <c r="A388" s="1407"/>
      <c r="B388" s="1407"/>
      <c r="C388" s="1407"/>
      <c r="D388" s="1409"/>
      <c r="E388" s="1410"/>
      <c r="F388" s="1495"/>
      <c r="G388" s="1534"/>
      <c r="H388" s="1534"/>
      <c r="I388" s="1428"/>
      <c r="J388" s="1407"/>
      <c r="K388" s="1431"/>
      <c r="L388" s="1407"/>
      <c r="M388" s="1407"/>
      <c r="N388" s="1407"/>
      <c r="O388" s="1407"/>
      <c r="P388" s="1407"/>
      <c r="Q388" s="1407"/>
      <c r="R388" s="1407"/>
      <c r="S388" s="1407"/>
      <c r="T388" s="1407"/>
      <c r="U388" s="1407"/>
    </row>
    <row r="389" spans="1:21" ht="12">
      <c r="A389" s="639" t="s">
        <v>3870</v>
      </c>
      <c r="B389" s="1483">
        <v>42166</v>
      </c>
      <c r="C389" s="639" t="s">
        <v>881</v>
      </c>
      <c r="D389" s="1433" t="s">
        <v>3871</v>
      </c>
      <c r="E389" s="1435"/>
      <c r="F389" s="1437">
        <v>65300000000000</v>
      </c>
      <c r="G389" s="1438">
        <v>116000000000</v>
      </c>
      <c r="H389" s="1534"/>
      <c r="I389" s="1731"/>
      <c r="J389" s="1452" t="s">
        <v>3844</v>
      </c>
      <c r="K389" s="1431">
        <f t="shared" ref="K389:K392" si="52">(32800000000/G389)*F389</f>
        <v>18464137931034.484</v>
      </c>
      <c r="L389" s="1407"/>
      <c r="M389" s="1407"/>
      <c r="N389" s="1407"/>
      <c r="O389" s="1407"/>
      <c r="P389" s="1407"/>
      <c r="Q389" s="1407"/>
      <c r="R389" s="1407"/>
      <c r="S389" s="1407"/>
      <c r="T389" s="1407"/>
      <c r="U389" s="1407"/>
    </row>
    <row r="390" spans="1:21" ht="13">
      <c r="A390" s="639" t="s">
        <v>3870</v>
      </c>
      <c r="B390" s="1483">
        <v>42166</v>
      </c>
      <c r="C390" s="639" t="s">
        <v>881</v>
      </c>
      <c r="D390" s="1433" t="s">
        <v>3779</v>
      </c>
      <c r="E390" s="1435"/>
      <c r="F390" s="1437">
        <v>53600000000000</v>
      </c>
      <c r="G390" s="1438">
        <v>116000000000</v>
      </c>
      <c r="H390" s="1534"/>
      <c r="I390" s="1740"/>
      <c r="J390" s="1452" t="s">
        <v>3844</v>
      </c>
      <c r="K390" s="1431">
        <f t="shared" si="52"/>
        <v>15155862068965.518</v>
      </c>
      <c r="L390" s="1407"/>
      <c r="M390" s="1407"/>
      <c r="N390" s="1407"/>
      <c r="O390" s="1407"/>
      <c r="P390" s="1407"/>
      <c r="Q390" s="1407"/>
      <c r="R390" s="1407"/>
      <c r="S390" s="1407"/>
      <c r="T390" s="1407"/>
      <c r="U390" s="1407"/>
    </row>
    <row r="391" spans="1:21" ht="13">
      <c r="A391" s="639" t="s">
        <v>3870</v>
      </c>
      <c r="B391" s="1483">
        <v>42166</v>
      </c>
      <c r="C391" s="639" t="s">
        <v>881</v>
      </c>
      <c r="D391" s="1433" t="s">
        <v>3781</v>
      </c>
      <c r="E391" s="1435"/>
      <c r="F391" s="1437">
        <v>675000000000000</v>
      </c>
      <c r="G391" s="1438">
        <v>116000000000</v>
      </c>
      <c r="H391" s="1534"/>
      <c r="I391" s="1740"/>
      <c r="J391" s="1452" t="s">
        <v>3844</v>
      </c>
      <c r="K391" s="1431">
        <f t="shared" si="52"/>
        <v>190862068965517.25</v>
      </c>
      <c r="L391" s="1407"/>
      <c r="M391" s="1407"/>
      <c r="N391" s="1407"/>
      <c r="O391" s="1407"/>
      <c r="P391" s="1407"/>
      <c r="Q391" s="1407"/>
      <c r="R391" s="1407"/>
      <c r="S391" s="1407"/>
      <c r="T391" s="1407"/>
      <c r="U391" s="1407"/>
    </row>
    <row r="392" spans="1:21" ht="13">
      <c r="A392" s="639" t="s">
        <v>3870</v>
      </c>
      <c r="B392" s="1483">
        <v>42166</v>
      </c>
      <c r="C392" s="639" t="s">
        <v>881</v>
      </c>
      <c r="D392" s="1433" t="s">
        <v>3783</v>
      </c>
      <c r="E392" s="1435"/>
      <c r="F392" s="1437">
        <v>291000000000000</v>
      </c>
      <c r="G392" s="1438">
        <v>116000000000</v>
      </c>
      <c r="H392" s="1534"/>
      <c r="I392" s="1740"/>
      <c r="J392" s="1452" t="s">
        <v>3844</v>
      </c>
      <c r="K392" s="1431">
        <f t="shared" si="52"/>
        <v>82282758620689.656</v>
      </c>
      <c r="L392" s="1407"/>
      <c r="M392" s="1407"/>
      <c r="N392" s="1407"/>
      <c r="O392" s="1407"/>
      <c r="P392" s="1407"/>
      <c r="Q392" s="1407"/>
      <c r="R392" s="1407"/>
      <c r="S392" s="1407"/>
      <c r="T392" s="1407"/>
      <c r="U392" s="1407"/>
    </row>
    <row r="393" spans="1:21" ht="12">
      <c r="A393" s="1407"/>
      <c r="B393" s="1407"/>
      <c r="C393" s="1407"/>
      <c r="D393" s="1409"/>
      <c r="E393" s="1410"/>
      <c r="F393" s="1495"/>
      <c r="G393" s="1534"/>
      <c r="H393" s="1534"/>
      <c r="I393" s="1428"/>
      <c r="J393" s="1407"/>
      <c r="K393" s="1416"/>
      <c r="L393" s="1407"/>
      <c r="M393" s="1407"/>
      <c r="N393" s="1407"/>
      <c r="O393" s="1407"/>
      <c r="P393" s="1407"/>
      <c r="Q393" s="1407"/>
      <c r="R393" s="1407"/>
      <c r="S393" s="1407"/>
      <c r="T393" s="1407"/>
      <c r="U393" s="1407"/>
    </row>
    <row r="394" spans="1:21" ht="12">
      <c r="A394" s="639" t="s">
        <v>3879</v>
      </c>
      <c r="B394" s="1483">
        <v>42166</v>
      </c>
      <c r="C394" s="639" t="s">
        <v>881</v>
      </c>
      <c r="D394" s="1433" t="s">
        <v>3855</v>
      </c>
      <c r="E394" s="1410"/>
      <c r="F394" s="1495"/>
      <c r="G394" s="1534"/>
      <c r="H394" s="1534"/>
      <c r="I394" s="1428"/>
      <c r="J394" s="1407"/>
      <c r="K394" s="1416"/>
      <c r="L394" s="1407"/>
      <c r="M394" s="1407"/>
      <c r="N394" s="1407"/>
      <c r="O394" s="1407"/>
      <c r="P394" s="1407"/>
      <c r="Q394" s="1407"/>
      <c r="R394" s="1407"/>
      <c r="S394" s="1407"/>
      <c r="T394" s="1407"/>
      <c r="U394" s="1407"/>
    </row>
    <row r="395" spans="1:21" ht="12">
      <c r="A395" s="639" t="s">
        <v>3879</v>
      </c>
      <c r="B395" s="1483">
        <v>42166</v>
      </c>
      <c r="C395" s="639" t="s">
        <v>881</v>
      </c>
      <c r="D395" s="1433" t="s">
        <v>3856</v>
      </c>
      <c r="E395" s="1410"/>
      <c r="F395" s="1495"/>
      <c r="G395" s="1534"/>
      <c r="H395" s="1534"/>
      <c r="I395" s="1428"/>
      <c r="J395" s="1407"/>
      <c r="K395" s="1416"/>
      <c r="L395" s="1407"/>
      <c r="M395" s="1407"/>
      <c r="N395" s="1407"/>
      <c r="O395" s="1407"/>
      <c r="P395" s="1407"/>
      <c r="Q395" s="1407"/>
      <c r="R395" s="1407"/>
      <c r="S395" s="1407"/>
      <c r="T395" s="1407"/>
      <c r="U395" s="1407"/>
    </row>
    <row r="396" spans="1:21" ht="12">
      <c r="A396" s="639" t="s">
        <v>3879</v>
      </c>
      <c r="B396" s="1483">
        <v>42166</v>
      </c>
      <c r="C396" s="639" t="s">
        <v>881</v>
      </c>
      <c r="D396" s="1433" t="s">
        <v>3858</v>
      </c>
      <c r="E396" s="1410"/>
      <c r="F396" s="1495"/>
      <c r="G396" s="1534"/>
      <c r="H396" s="1534"/>
      <c r="I396" s="1428"/>
      <c r="J396" s="1407"/>
      <c r="K396" s="1416"/>
      <c r="L396" s="1407"/>
      <c r="M396" s="1407"/>
      <c r="N396" s="1407"/>
      <c r="O396" s="1407"/>
      <c r="P396" s="1407"/>
      <c r="Q396" s="1407"/>
      <c r="R396" s="1407"/>
      <c r="S396" s="1407"/>
      <c r="T396" s="1407"/>
      <c r="U396" s="1407"/>
    </row>
    <row r="397" spans="1:21" ht="12">
      <c r="A397" s="1407"/>
      <c r="B397" s="1407"/>
      <c r="C397" s="1407"/>
      <c r="D397" s="1409"/>
      <c r="E397" s="1410"/>
      <c r="F397" s="1495"/>
      <c r="G397" s="1534"/>
      <c r="H397" s="1534"/>
      <c r="I397" s="1428"/>
      <c r="J397" s="1407"/>
      <c r="K397" s="1416"/>
      <c r="L397" s="1407"/>
      <c r="M397" s="1407"/>
      <c r="N397" s="1407"/>
      <c r="O397" s="1407"/>
      <c r="P397" s="1407"/>
      <c r="Q397" s="1407"/>
      <c r="R397" s="1407"/>
      <c r="S397" s="1407"/>
      <c r="T397" s="1407"/>
      <c r="U397" s="1407"/>
    </row>
    <row r="398" spans="1:21" ht="24">
      <c r="A398" s="639" t="s">
        <v>3880</v>
      </c>
      <c r="B398" s="1483">
        <v>42173</v>
      </c>
      <c r="C398" s="639" t="s">
        <v>881</v>
      </c>
      <c r="D398" s="1433" t="s">
        <v>3881</v>
      </c>
      <c r="E398" s="1435"/>
      <c r="F398" s="1437">
        <v>112000000000000</v>
      </c>
      <c r="G398" s="1438">
        <v>55000000000</v>
      </c>
      <c r="H398" s="1534"/>
      <c r="I398" s="1407"/>
      <c r="J398" s="1407"/>
      <c r="K398" s="1431">
        <f t="shared" ref="K398:K404" si="53">(32800000000/G398)*F398</f>
        <v>66792727272727.266</v>
      </c>
      <c r="L398" s="1407"/>
      <c r="M398" s="1407"/>
      <c r="N398" s="1407"/>
      <c r="O398" s="1407"/>
      <c r="P398" s="1407"/>
      <c r="Q398" s="1407"/>
      <c r="R398" s="1407"/>
      <c r="S398" s="1407"/>
      <c r="T398" s="1407"/>
      <c r="U398" s="1407"/>
    </row>
    <row r="399" spans="1:21" ht="24">
      <c r="A399" s="639" t="s">
        <v>3880</v>
      </c>
      <c r="B399" s="1483">
        <v>42173</v>
      </c>
      <c r="C399" s="639" t="s">
        <v>881</v>
      </c>
      <c r="D399" s="1433" t="s">
        <v>3883</v>
      </c>
      <c r="E399" s="1435"/>
      <c r="F399" s="1437">
        <v>169000000000000</v>
      </c>
      <c r="G399" s="1438">
        <v>55000000000</v>
      </c>
      <c r="H399" s="1534"/>
      <c r="I399" s="1407"/>
      <c r="J399" s="1407"/>
      <c r="K399" s="1431">
        <f t="shared" si="53"/>
        <v>100785454545454.53</v>
      </c>
      <c r="L399" s="1407"/>
      <c r="M399" s="1407"/>
      <c r="N399" s="1407"/>
      <c r="O399" s="1407"/>
      <c r="P399" s="1407"/>
      <c r="Q399" s="1407"/>
      <c r="R399" s="1407"/>
      <c r="S399" s="1407"/>
      <c r="T399" s="1407"/>
      <c r="U399" s="1407"/>
    </row>
    <row r="400" spans="1:21" ht="24">
      <c r="A400" s="639" t="s">
        <v>3880</v>
      </c>
      <c r="B400" s="1483">
        <v>42173</v>
      </c>
      <c r="C400" s="639" t="s">
        <v>881</v>
      </c>
      <c r="D400" s="1433" t="s">
        <v>3884</v>
      </c>
      <c r="E400" s="1435"/>
      <c r="F400" s="1437">
        <v>603000000000000</v>
      </c>
      <c r="G400" s="1438">
        <v>55000000000</v>
      </c>
      <c r="H400" s="1534"/>
      <c r="I400" s="1407"/>
      <c r="J400" s="1407"/>
      <c r="K400" s="1431">
        <f t="shared" si="53"/>
        <v>359607272727272.69</v>
      </c>
      <c r="L400" s="1407"/>
      <c r="M400" s="1407"/>
      <c r="N400" s="1407"/>
      <c r="O400" s="1407"/>
      <c r="P400" s="1407"/>
      <c r="Q400" s="1407"/>
      <c r="R400" s="1407"/>
      <c r="S400" s="1407"/>
      <c r="T400" s="1407"/>
      <c r="U400" s="1407"/>
    </row>
    <row r="401" spans="1:21" ht="24">
      <c r="A401" s="639" t="s">
        <v>3880</v>
      </c>
      <c r="B401" s="1483">
        <v>42173</v>
      </c>
      <c r="C401" s="639" t="s">
        <v>881</v>
      </c>
      <c r="D401" s="1433" t="s">
        <v>3885</v>
      </c>
      <c r="E401" s="1435"/>
      <c r="F401" s="1437">
        <v>264000000000000</v>
      </c>
      <c r="G401" s="1438">
        <v>55000000000</v>
      </c>
      <c r="H401" s="1534"/>
      <c r="I401" s="1407"/>
      <c r="J401" s="1407"/>
      <c r="K401" s="1431">
        <f t="shared" si="53"/>
        <v>157440000000000</v>
      </c>
      <c r="L401" s="1407"/>
      <c r="M401" s="1407"/>
      <c r="N401" s="1407"/>
      <c r="O401" s="1407"/>
      <c r="P401" s="1407"/>
      <c r="Q401" s="1407"/>
      <c r="R401" s="1407"/>
      <c r="S401" s="1407"/>
      <c r="T401" s="1407"/>
      <c r="U401" s="1407"/>
    </row>
    <row r="402" spans="1:21" ht="24">
      <c r="A402" s="639" t="s">
        <v>3880</v>
      </c>
      <c r="B402" s="1483">
        <v>42173</v>
      </c>
      <c r="C402" s="639" t="s">
        <v>881</v>
      </c>
      <c r="D402" s="1433" t="s">
        <v>3886</v>
      </c>
      <c r="E402" s="1731"/>
      <c r="F402" s="1406">
        <v>160000000000000</v>
      </c>
      <c r="G402" s="1438">
        <v>55000000000</v>
      </c>
      <c r="H402" s="1534"/>
      <c r="I402" s="1407"/>
      <c r="J402" s="1407"/>
      <c r="K402" s="1431">
        <f t="shared" si="53"/>
        <v>95418181818181.812</v>
      </c>
      <c r="L402" s="1407"/>
      <c r="M402" s="1407"/>
      <c r="N402" s="1407"/>
      <c r="O402" s="1407"/>
      <c r="P402" s="1407"/>
      <c r="Q402" s="1407"/>
      <c r="R402" s="1407"/>
      <c r="S402" s="1407"/>
      <c r="T402" s="1407"/>
      <c r="U402" s="1407"/>
    </row>
    <row r="403" spans="1:21" ht="24">
      <c r="A403" s="639" t="s">
        <v>3880</v>
      </c>
      <c r="B403" s="1483">
        <v>42173</v>
      </c>
      <c r="C403" s="639" t="s">
        <v>881</v>
      </c>
      <c r="D403" s="1433" t="s">
        <v>3768</v>
      </c>
      <c r="E403" s="1435"/>
      <c r="F403" s="1437">
        <v>463000000000</v>
      </c>
      <c r="G403" s="1438">
        <v>55000000000</v>
      </c>
      <c r="H403" s="1534"/>
      <c r="I403" s="1407"/>
      <c r="J403" s="1452" t="s">
        <v>3844</v>
      </c>
      <c r="K403" s="1431">
        <f t="shared" si="53"/>
        <v>276116363636.36359</v>
      </c>
      <c r="L403" s="1407"/>
      <c r="M403" s="1407"/>
      <c r="N403" s="1407"/>
      <c r="O403" s="1407"/>
      <c r="P403" s="1407"/>
      <c r="Q403" s="1407"/>
      <c r="R403" s="1407"/>
      <c r="S403" s="1407"/>
      <c r="T403" s="1407"/>
      <c r="U403" s="1407"/>
    </row>
    <row r="404" spans="1:21" ht="24">
      <c r="A404" s="639" t="s">
        <v>3880</v>
      </c>
      <c r="B404" s="1483">
        <v>42173</v>
      </c>
      <c r="C404" s="639" t="s">
        <v>881</v>
      </c>
      <c r="D404" s="1433" t="s">
        <v>3791</v>
      </c>
      <c r="E404" s="1435"/>
      <c r="F404" s="1437">
        <v>1730000000000</v>
      </c>
      <c r="G404" s="1438">
        <v>55000000000</v>
      </c>
      <c r="H404" s="1534"/>
      <c r="I404" s="1407"/>
      <c r="J404" s="1452" t="s">
        <v>3844</v>
      </c>
      <c r="K404" s="1431">
        <f t="shared" si="53"/>
        <v>1031709090909.0908</v>
      </c>
      <c r="L404" s="1407"/>
      <c r="M404" s="1407"/>
      <c r="N404" s="1407"/>
      <c r="O404" s="1407"/>
      <c r="P404" s="1407"/>
      <c r="Q404" s="1407"/>
      <c r="R404" s="1407"/>
      <c r="S404" s="1407"/>
      <c r="T404" s="1407"/>
      <c r="U404" s="1407"/>
    </row>
    <row r="405" spans="1:21" ht="12">
      <c r="A405" s="1407"/>
      <c r="B405" s="1407"/>
      <c r="C405" s="1407"/>
      <c r="D405" s="1409"/>
      <c r="E405" s="1410"/>
      <c r="F405" s="1495"/>
      <c r="G405" s="1534"/>
      <c r="H405" s="1534"/>
      <c r="I405" s="1407"/>
      <c r="J405" s="1407"/>
      <c r="K405" s="1431"/>
      <c r="L405" s="1407"/>
      <c r="M405" s="1407"/>
      <c r="N405" s="1407"/>
      <c r="O405" s="1407"/>
      <c r="P405" s="1407"/>
      <c r="Q405" s="1407"/>
      <c r="R405" s="1407"/>
      <c r="S405" s="1407"/>
      <c r="T405" s="1407"/>
      <c r="U405" s="1407"/>
    </row>
    <row r="406" spans="1:21" ht="12">
      <c r="A406" s="639" t="s">
        <v>3887</v>
      </c>
      <c r="B406" s="1483">
        <v>42180</v>
      </c>
      <c r="C406" s="639" t="s">
        <v>881</v>
      </c>
      <c r="D406" s="1433" t="s">
        <v>3888</v>
      </c>
      <c r="E406" s="1435"/>
      <c r="F406" s="1437">
        <v>998000000000</v>
      </c>
      <c r="G406" s="1438">
        <v>29200000000</v>
      </c>
      <c r="H406" s="1534"/>
      <c r="I406" s="1407"/>
      <c r="J406" s="1407"/>
      <c r="K406" s="1431">
        <f t="shared" ref="K406:K410" si="54">(32800000000/G406)*F406</f>
        <v>1121041095890.4109</v>
      </c>
      <c r="L406" s="1407"/>
      <c r="M406" s="1407"/>
      <c r="N406" s="1407"/>
      <c r="O406" s="1407"/>
      <c r="P406" s="1407"/>
      <c r="Q406" s="1407"/>
      <c r="R406" s="1407"/>
      <c r="S406" s="1407"/>
      <c r="T406" s="1407"/>
      <c r="U406" s="1407"/>
    </row>
    <row r="407" spans="1:21" ht="12">
      <c r="A407" s="639" t="s">
        <v>3887</v>
      </c>
      <c r="B407" s="1483">
        <v>42180</v>
      </c>
      <c r="C407" s="639" t="s">
        <v>881</v>
      </c>
      <c r="D407" s="1433" t="s">
        <v>3889</v>
      </c>
      <c r="E407" s="1435"/>
      <c r="F407" s="1437">
        <v>6120000000000</v>
      </c>
      <c r="G407" s="1438">
        <v>29200000000</v>
      </c>
      <c r="H407" s="1534"/>
      <c r="I407" s="1407"/>
      <c r="J407" s="1407"/>
      <c r="K407" s="1431">
        <f t="shared" si="54"/>
        <v>6874520547945.2061</v>
      </c>
      <c r="L407" s="1407"/>
      <c r="M407" s="1407"/>
      <c r="N407" s="1407"/>
      <c r="O407" s="1407"/>
      <c r="P407" s="1407"/>
      <c r="Q407" s="1407"/>
      <c r="R407" s="1407"/>
      <c r="S407" s="1407"/>
      <c r="T407" s="1407"/>
      <c r="U407" s="1407"/>
    </row>
    <row r="408" spans="1:21" ht="12">
      <c r="A408" s="639" t="s">
        <v>3887</v>
      </c>
      <c r="B408" s="1483">
        <v>42180</v>
      </c>
      <c r="C408" s="639" t="s">
        <v>881</v>
      </c>
      <c r="D408" s="1433" t="s">
        <v>3892</v>
      </c>
      <c r="E408" s="1435"/>
      <c r="F408" s="1437">
        <v>16600000000000</v>
      </c>
      <c r="G408" s="1438">
        <v>29200000000</v>
      </c>
      <c r="H408" s="1534"/>
      <c r="I408" s="1407"/>
      <c r="J408" s="1407"/>
      <c r="K408" s="1431">
        <f t="shared" si="54"/>
        <v>18646575342465.754</v>
      </c>
      <c r="L408" s="1407"/>
      <c r="M408" s="1407"/>
      <c r="N408" s="1407"/>
      <c r="O408" s="1407"/>
      <c r="P408" s="1407"/>
      <c r="Q408" s="1407"/>
      <c r="R408" s="1407"/>
      <c r="S408" s="1407"/>
      <c r="T408" s="1407"/>
      <c r="U408" s="1407"/>
    </row>
    <row r="409" spans="1:21" ht="12">
      <c r="A409" s="639" t="s">
        <v>3887</v>
      </c>
      <c r="B409" s="1483">
        <v>42180</v>
      </c>
      <c r="C409" s="639" t="s">
        <v>881</v>
      </c>
      <c r="D409" s="1433" t="s">
        <v>3893</v>
      </c>
      <c r="E409" s="1435"/>
      <c r="F409" s="1437">
        <v>4770000000000</v>
      </c>
      <c r="G409" s="1438">
        <v>29200000000</v>
      </c>
      <c r="H409" s="1534"/>
      <c r="I409" s="1407"/>
      <c r="J409" s="1407"/>
      <c r="K409" s="1431">
        <f t="shared" si="54"/>
        <v>5358082191780.8223</v>
      </c>
      <c r="L409" s="1407"/>
      <c r="M409" s="1407"/>
      <c r="N409" s="1407"/>
      <c r="O409" s="1407"/>
      <c r="P409" s="1407"/>
      <c r="Q409" s="1407"/>
      <c r="R409" s="1407"/>
      <c r="S409" s="1407"/>
      <c r="T409" s="1407"/>
      <c r="U409" s="1407"/>
    </row>
    <row r="410" spans="1:21" ht="12">
      <c r="A410" s="639" t="s">
        <v>3887</v>
      </c>
      <c r="B410" s="1483">
        <v>42180</v>
      </c>
      <c r="C410" s="639" t="s">
        <v>881</v>
      </c>
      <c r="D410" s="1433" t="s">
        <v>3894</v>
      </c>
      <c r="E410" s="1435"/>
      <c r="F410" s="1437">
        <v>1110000000000</v>
      </c>
      <c r="G410" s="1438">
        <v>29200000000</v>
      </c>
      <c r="H410" s="1534"/>
      <c r="I410" s="1407"/>
      <c r="J410" s="1407"/>
      <c r="K410" s="1431">
        <f t="shared" si="54"/>
        <v>1246849315068.4932</v>
      </c>
      <c r="L410" s="1407"/>
      <c r="M410" s="1407"/>
      <c r="N410" s="1407"/>
      <c r="O410" s="1407"/>
      <c r="P410" s="1407"/>
      <c r="Q410" s="1407"/>
      <c r="R410" s="1407"/>
      <c r="S410" s="1407"/>
      <c r="T410" s="1407"/>
      <c r="U410" s="1407"/>
    </row>
    <row r="411" spans="1:21" ht="12">
      <c r="A411" s="1407"/>
      <c r="B411" s="1407"/>
      <c r="C411" s="639"/>
      <c r="D411" s="1409"/>
      <c r="E411" s="1410"/>
      <c r="F411" s="1495"/>
      <c r="G411" s="1534"/>
      <c r="H411" s="1534"/>
      <c r="I411" s="1407"/>
      <c r="J411" s="1407"/>
      <c r="K411" s="1431"/>
      <c r="L411" s="1407"/>
      <c r="M411" s="1407"/>
      <c r="N411" s="1407"/>
      <c r="O411" s="1407"/>
      <c r="P411" s="1407"/>
      <c r="Q411" s="1407"/>
      <c r="R411" s="1407"/>
      <c r="S411" s="1407"/>
      <c r="T411" s="1407"/>
      <c r="U411" s="1407"/>
    </row>
    <row r="412" spans="1:21" ht="12">
      <c r="A412" s="639" t="s">
        <v>3895</v>
      </c>
      <c r="B412" s="1483">
        <v>42187</v>
      </c>
      <c r="C412" s="639" t="s">
        <v>881</v>
      </c>
      <c r="D412" s="1433" t="s">
        <v>3896</v>
      </c>
      <c r="E412" s="1435"/>
      <c r="F412" s="1437">
        <v>1170000000000</v>
      </c>
      <c r="G412" s="1438">
        <v>88500000000</v>
      </c>
      <c r="H412" s="1534"/>
      <c r="I412" s="1407"/>
      <c r="J412" s="1407"/>
      <c r="K412" s="1431">
        <f t="shared" ref="K412:K416" si="55">(32800000000/G412)*F412</f>
        <v>433627118644.06781</v>
      </c>
      <c r="L412" s="1407"/>
      <c r="M412" s="1407"/>
      <c r="N412" s="1407"/>
      <c r="O412" s="1407"/>
      <c r="P412" s="1407"/>
      <c r="Q412" s="1407"/>
      <c r="R412" s="1407"/>
      <c r="S412" s="1407"/>
      <c r="T412" s="1407"/>
      <c r="U412" s="1407"/>
    </row>
    <row r="413" spans="1:21" ht="12">
      <c r="A413" s="639" t="s">
        <v>3895</v>
      </c>
      <c r="B413" s="1483">
        <v>42187</v>
      </c>
      <c r="C413" s="639" t="s">
        <v>881</v>
      </c>
      <c r="D413" s="1433" t="s">
        <v>3897</v>
      </c>
      <c r="E413" s="1435"/>
      <c r="F413" s="1437">
        <v>11300000000000</v>
      </c>
      <c r="G413" s="1438">
        <v>88500000000</v>
      </c>
      <c r="H413" s="1534"/>
      <c r="I413" s="1407"/>
      <c r="J413" s="1407"/>
      <c r="K413" s="1431">
        <f t="shared" si="55"/>
        <v>4188022598870.0566</v>
      </c>
      <c r="L413" s="1407"/>
      <c r="M413" s="1407"/>
      <c r="N413" s="1407"/>
      <c r="O413" s="1407"/>
      <c r="P413" s="1407"/>
      <c r="Q413" s="1407"/>
      <c r="R413" s="1407"/>
      <c r="S413" s="1407"/>
      <c r="T413" s="1407"/>
      <c r="U413" s="1407"/>
    </row>
    <row r="414" spans="1:21" ht="12">
      <c r="A414" s="639" t="s">
        <v>3895</v>
      </c>
      <c r="B414" s="1483">
        <v>42187</v>
      </c>
      <c r="C414" s="639" t="s">
        <v>881</v>
      </c>
      <c r="D414" s="1433" t="s">
        <v>3898</v>
      </c>
      <c r="E414" s="1435"/>
      <c r="F414" s="1437">
        <v>8830000000000</v>
      </c>
      <c r="G414" s="1438">
        <v>88500000000</v>
      </c>
      <c r="H414" s="1534"/>
      <c r="I414" s="1407"/>
      <c r="J414" s="1407"/>
      <c r="K414" s="1431">
        <f t="shared" si="55"/>
        <v>3272587570621.4688</v>
      </c>
      <c r="L414" s="1407"/>
      <c r="M414" s="1407"/>
      <c r="N414" s="1407"/>
      <c r="O414" s="1407"/>
      <c r="P414" s="1407"/>
      <c r="Q414" s="1407"/>
      <c r="R414" s="1407"/>
      <c r="S414" s="1407"/>
      <c r="T414" s="1407"/>
      <c r="U414" s="1407"/>
    </row>
    <row r="415" spans="1:21" ht="12">
      <c r="A415" s="639" t="s">
        <v>3895</v>
      </c>
      <c r="B415" s="1483">
        <v>42187</v>
      </c>
      <c r="C415" s="639" t="s">
        <v>881</v>
      </c>
      <c r="D415" s="1433" t="s">
        <v>3899</v>
      </c>
      <c r="E415" s="1435"/>
      <c r="F415" s="1437">
        <v>9510000000000</v>
      </c>
      <c r="G415" s="1438">
        <v>88500000000</v>
      </c>
      <c r="H415" s="1534"/>
      <c r="I415" s="1407"/>
      <c r="J415" s="1407"/>
      <c r="K415" s="1431">
        <f t="shared" si="55"/>
        <v>3524610169491.5254</v>
      </c>
      <c r="L415" s="1407"/>
      <c r="M415" s="1407"/>
      <c r="N415" s="1407"/>
      <c r="O415" s="1407"/>
      <c r="P415" s="1407"/>
      <c r="Q415" s="1407"/>
      <c r="R415" s="1407"/>
      <c r="S415" s="1407"/>
      <c r="T415" s="1407"/>
      <c r="U415" s="1407"/>
    </row>
    <row r="416" spans="1:21" ht="12">
      <c r="A416" s="639" t="s">
        <v>3895</v>
      </c>
      <c r="B416" s="1483">
        <v>42187</v>
      </c>
      <c r="C416" s="639" t="s">
        <v>881</v>
      </c>
      <c r="D416" s="1433" t="s">
        <v>3900</v>
      </c>
      <c r="E416" s="1435"/>
      <c r="F416" s="1437">
        <v>23600000000000</v>
      </c>
      <c r="G416" s="1438">
        <v>88500000000</v>
      </c>
      <c r="H416" s="1534"/>
      <c r="I416" s="1407"/>
      <c r="J416" s="1407"/>
      <c r="K416" s="1431">
        <f t="shared" si="55"/>
        <v>8746666666666.667</v>
      </c>
      <c r="L416" s="1407"/>
      <c r="M416" s="1407"/>
      <c r="N416" s="1407"/>
      <c r="O416" s="1407"/>
      <c r="P416" s="1407"/>
      <c r="Q416" s="1407"/>
      <c r="R416" s="1407"/>
      <c r="S416" s="1407"/>
      <c r="T416" s="1407"/>
      <c r="U416" s="1407"/>
    </row>
    <row r="417" spans="1:21" ht="12">
      <c r="A417" s="1407"/>
      <c r="B417" s="1407"/>
      <c r="C417" s="1407"/>
      <c r="D417" s="1433"/>
      <c r="E417" s="1410"/>
      <c r="F417" s="1495"/>
      <c r="G417" s="1438"/>
      <c r="H417" s="1534"/>
      <c r="I417" s="1407"/>
      <c r="J417" s="1407"/>
      <c r="K417" s="1431"/>
      <c r="L417" s="1407"/>
      <c r="M417" s="1407"/>
      <c r="N417" s="1407"/>
      <c r="O417" s="1407"/>
      <c r="P417" s="1407"/>
      <c r="Q417" s="1407"/>
      <c r="R417" s="1407"/>
      <c r="S417" s="1407"/>
      <c r="T417" s="1407"/>
      <c r="U417" s="1407"/>
    </row>
    <row r="418" spans="1:21" ht="12">
      <c r="A418" s="639" t="s">
        <v>3901</v>
      </c>
      <c r="B418" s="1483">
        <v>42193</v>
      </c>
      <c r="C418" s="639" t="s">
        <v>881</v>
      </c>
      <c r="D418" s="1433" t="s">
        <v>3902</v>
      </c>
      <c r="E418" s="1731"/>
      <c r="F418" s="1406">
        <v>22300000000000</v>
      </c>
      <c r="G418" s="1438">
        <v>54200000000</v>
      </c>
      <c r="H418" s="1534"/>
      <c r="I418" s="1407"/>
      <c r="J418" s="1407"/>
      <c r="K418" s="1431">
        <f t="shared" ref="K418:K421" si="56">(32800000000/G418)*F418</f>
        <v>13495202952029.521</v>
      </c>
      <c r="L418" s="1407"/>
      <c r="M418" s="1407"/>
      <c r="N418" s="1407"/>
      <c r="O418" s="1407"/>
      <c r="P418" s="1407"/>
      <c r="Q418" s="1407"/>
      <c r="R418" s="1407"/>
      <c r="S418" s="1407"/>
      <c r="T418" s="1407"/>
      <c r="U418" s="1407"/>
    </row>
    <row r="419" spans="1:21" ht="12">
      <c r="A419" s="639" t="s">
        <v>3901</v>
      </c>
      <c r="B419" s="1483">
        <v>42193</v>
      </c>
      <c r="C419" s="639" t="s">
        <v>881</v>
      </c>
      <c r="D419" s="1433" t="s">
        <v>3903</v>
      </c>
      <c r="E419" s="1435"/>
      <c r="F419" s="1437">
        <v>8000000000000</v>
      </c>
      <c r="G419" s="1438">
        <v>54200000000</v>
      </c>
      <c r="H419" s="1534"/>
      <c r="I419" s="1407"/>
      <c r="J419" s="1407"/>
      <c r="K419" s="1431">
        <f t="shared" si="56"/>
        <v>4841328413284.1328</v>
      </c>
      <c r="L419" s="1407"/>
      <c r="M419" s="1407"/>
      <c r="N419" s="1407"/>
      <c r="O419" s="1407"/>
      <c r="P419" s="1407"/>
      <c r="Q419" s="1407"/>
      <c r="R419" s="1407"/>
      <c r="S419" s="1407"/>
      <c r="T419" s="1407"/>
      <c r="U419" s="1407"/>
    </row>
    <row r="420" spans="1:21" ht="12">
      <c r="A420" s="639" t="s">
        <v>3901</v>
      </c>
      <c r="B420" s="1483">
        <v>42193</v>
      </c>
      <c r="C420" s="639" t="s">
        <v>881</v>
      </c>
      <c r="D420" s="1433" t="s">
        <v>3904</v>
      </c>
      <c r="E420" s="1435"/>
      <c r="F420" s="1437">
        <v>691000000000</v>
      </c>
      <c r="G420" s="1438">
        <v>54200000000</v>
      </c>
      <c r="H420" s="1534"/>
      <c r="I420" s="1407"/>
      <c r="J420" s="1407"/>
      <c r="K420" s="1431">
        <f t="shared" si="56"/>
        <v>418169741697.41699</v>
      </c>
      <c r="L420" s="1407"/>
      <c r="M420" s="1407"/>
      <c r="N420" s="1407"/>
      <c r="O420" s="1407"/>
      <c r="P420" s="1407"/>
      <c r="Q420" s="1407"/>
      <c r="R420" s="1407"/>
      <c r="S420" s="1407"/>
      <c r="T420" s="1407"/>
      <c r="U420" s="1407"/>
    </row>
    <row r="421" spans="1:21" ht="12">
      <c r="A421" s="639" t="s">
        <v>3901</v>
      </c>
      <c r="B421" s="1483">
        <v>42193</v>
      </c>
      <c r="C421" s="639" t="s">
        <v>881</v>
      </c>
      <c r="D421" s="1433" t="s">
        <v>3905</v>
      </c>
      <c r="E421" s="1435"/>
      <c r="F421" s="1437">
        <v>21900000000000</v>
      </c>
      <c r="G421" s="1438">
        <v>54200000000</v>
      </c>
      <c r="H421" s="1534"/>
      <c r="I421" s="1407"/>
      <c r="J421" s="1407"/>
      <c r="K421" s="1431">
        <f t="shared" si="56"/>
        <v>13253136531365.314</v>
      </c>
      <c r="L421" s="1407"/>
      <c r="M421" s="1407"/>
      <c r="N421" s="1407"/>
      <c r="O421" s="1407"/>
      <c r="P421" s="1407"/>
      <c r="Q421" s="1407"/>
      <c r="R421" s="1407"/>
      <c r="S421" s="1407"/>
      <c r="T421" s="1407"/>
      <c r="U421" s="1407"/>
    </row>
    <row r="422" spans="1:21" ht="12">
      <c r="A422" s="1407"/>
      <c r="B422" s="1407"/>
      <c r="C422" s="1407"/>
      <c r="D422" s="1409"/>
      <c r="E422" s="1410"/>
      <c r="F422" s="1495"/>
      <c r="G422" s="1534"/>
      <c r="H422" s="1534"/>
      <c r="I422" s="1407"/>
      <c r="J422" s="1407"/>
      <c r="K422" s="1431"/>
      <c r="L422" s="1407"/>
      <c r="M422" s="1407"/>
      <c r="N422" s="1407"/>
      <c r="O422" s="1407"/>
      <c r="P422" s="1407"/>
      <c r="Q422" s="1407"/>
      <c r="R422" s="1407"/>
      <c r="S422" s="1407"/>
      <c r="T422" s="1407"/>
      <c r="U422" s="1407"/>
    </row>
    <row r="423" spans="1:21" ht="12">
      <c r="A423" s="639" t="s">
        <v>3906</v>
      </c>
      <c r="B423" s="1483">
        <v>42201</v>
      </c>
      <c r="C423" s="639" t="s">
        <v>881</v>
      </c>
      <c r="D423" s="1433" t="s">
        <v>3907</v>
      </c>
      <c r="E423" s="1435"/>
      <c r="F423" s="1437">
        <v>26100000000000</v>
      </c>
      <c r="G423" s="1438">
        <v>48200000000</v>
      </c>
      <c r="H423" s="1438">
        <v>83500000000000</v>
      </c>
      <c r="I423" s="1407"/>
      <c r="J423" s="5327" t="s">
        <v>3908</v>
      </c>
      <c r="K423" s="1431">
        <f t="shared" ref="K423:K429" si="57">(32800000000/G423)*F423</f>
        <v>17760995850622.406</v>
      </c>
      <c r="L423" s="1407"/>
      <c r="M423" s="1407"/>
      <c r="N423" s="1407"/>
      <c r="O423" s="1407"/>
      <c r="P423" s="1407"/>
      <c r="Q423" s="1407"/>
      <c r="R423" s="1407"/>
      <c r="S423" s="1407"/>
      <c r="T423" s="1407"/>
      <c r="U423" s="1407"/>
    </row>
    <row r="424" spans="1:21" ht="12">
      <c r="A424" s="639" t="s">
        <v>3906</v>
      </c>
      <c r="B424" s="1483">
        <v>42201</v>
      </c>
      <c r="C424" s="639" t="s">
        <v>881</v>
      </c>
      <c r="D424" s="1433" t="s">
        <v>3909</v>
      </c>
      <c r="E424" s="1435"/>
      <c r="F424" s="1437">
        <v>39900000000000</v>
      </c>
      <c r="G424" s="1438">
        <v>48200000000</v>
      </c>
      <c r="H424" s="1438">
        <v>83500000000000</v>
      </c>
      <c r="I424" s="1407"/>
      <c r="J424" s="5320"/>
      <c r="K424" s="1431">
        <f t="shared" si="57"/>
        <v>27151867219917.012</v>
      </c>
      <c r="L424" s="1407"/>
      <c r="M424" s="1407"/>
      <c r="N424" s="1407"/>
      <c r="O424" s="1407"/>
      <c r="P424" s="1407"/>
      <c r="Q424" s="1407"/>
      <c r="R424" s="1407"/>
      <c r="S424" s="1407"/>
      <c r="T424" s="1407"/>
      <c r="U424" s="1407"/>
    </row>
    <row r="425" spans="1:21" ht="12">
      <c r="A425" s="639" t="s">
        <v>3906</v>
      </c>
      <c r="B425" s="1483">
        <v>42201</v>
      </c>
      <c r="C425" s="639" t="s">
        <v>881</v>
      </c>
      <c r="D425" s="1433" t="s">
        <v>3910</v>
      </c>
      <c r="E425" s="1435"/>
      <c r="F425" s="1437">
        <v>819000000000000</v>
      </c>
      <c r="G425" s="1438">
        <v>48200000000</v>
      </c>
      <c r="H425" s="1438">
        <v>83500000000000</v>
      </c>
      <c r="I425" s="1407"/>
      <c r="J425" s="5320"/>
      <c r="K425" s="1431">
        <f t="shared" si="57"/>
        <v>557327800829875.56</v>
      </c>
      <c r="L425" s="1407"/>
      <c r="M425" s="1407"/>
      <c r="N425" s="1407"/>
      <c r="O425" s="1407"/>
      <c r="P425" s="1407"/>
      <c r="Q425" s="1407"/>
      <c r="R425" s="1407"/>
      <c r="S425" s="1407"/>
      <c r="T425" s="1407"/>
      <c r="U425" s="1407"/>
    </row>
    <row r="426" spans="1:21" ht="12">
      <c r="A426" s="639" t="s">
        <v>3906</v>
      </c>
      <c r="B426" s="1483">
        <v>42201</v>
      </c>
      <c r="C426" s="639" t="s">
        <v>881</v>
      </c>
      <c r="D426" s="1433" t="s">
        <v>3911</v>
      </c>
      <c r="E426" s="1435"/>
      <c r="F426" s="1437">
        <v>205000000000000</v>
      </c>
      <c r="G426" s="1438">
        <v>48200000000</v>
      </c>
      <c r="H426" s="1438">
        <v>83500000000000</v>
      </c>
      <c r="I426" s="1407"/>
      <c r="J426" s="5320"/>
      <c r="K426" s="1431">
        <f t="shared" si="57"/>
        <v>139502074688796.69</v>
      </c>
      <c r="L426" s="1407"/>
      <c r="M426" s="1407"/>
      <c r="N426" s="1407"/>
      <c r="O426" s="1407"/>
      <c r="P426" s="1407"/>
      <c r="Q426" s="1407"/>
      <c r="R426" s="1407"/>
      <c r="S426" s="1407"/>
      <c r="T426" s="1407"/>
      <c r="U426" s="1407"/>
    </row>
    <row r="427" spans="1:21" ht="12">
      <c r="A427" s="639" t="s">
        <v>3906</v>
      </c>
      <c r="B427" s="1483">
        <v>42201</v>
      </c>
      <c r="C427" s="639" t="s">
        <v>881</v>
      </c>
      <c r="D427" s="1433" t="s">
        <v>3912</v>
      </c>
      <c r="E427" s="1435"/>
      <c r="F427" s="1437">
        <v>8610000000000</v>
      </c>
      <c r="G427" s="1438">
        <v>48200000000</v>
      </c>
      <c r="H427" s="1438">
        <v>83500000000000</v>
      </c>
      <c r="I427" s="1407"/>
      <c r="J427" s="5320"/>
      <c r="K427" s="1431">
        <f t="shared" si="57"/>
        <v>5859087136929.4609</v>
      </c>
      <c r="L427" s="1407"/>
      <c r="M427" s="1407"/>
      <c r="N427" s="1407"/>
      <c r="O427" s="1407"/>
      <c r="P427" s="1407"/>
      <c r="Q427" s="1407"/>
      <c r="R427" s="1407"/>
      <c r="S427" s="1407"/>
      <c r="T427" s="1407"/>
      <c r="U427" s="1407"/>
    </row>
    <row r="428" spans="1:21" ht="12">
      <c r="A428" s="639" t="s">
        <v>3906</v>
      </c>
      <c r="B428" s="1483">
        <v>42201</v>
      </c>
      <c r="C428" s="639" t="s">
        <v>881</v>
      </c>
      <c r="D428" s="1433" t="s">
        <v>3913</v>
      </c>
      <c r="E428" s="1435"/>
      <c r="F428" s="1437">
        <v>78900000000</v>
      </c>
      <c r="G428" s="1438">
        <v>48200000000</v>
      </c>
      <c r="H428" s="1438">
        <v>83500000000000</v>
      </c>
      <c r="I428" s="1407"/>
      <c r="J428" s="5320"/>
      <c r="K428" s="1431">
        <f t="shared" si="57"/>
        <v>53691286307.053947</v>
      </c>
      <c r="L428" s="1407"/>
      <c r="M428" s="1407"/>
      <c r="N428" s="1407"/>
      <c r="O428" s="1407"/>
      <c r="P428" s="1407"/>
      <c r="Q428" s="1407"/>
      <c r="R428" s="1407"/>
      <c r="S428" s="1407"/>
      <c r="T428" s="1407"/>
      <c r="U428" s="1407"/>
    </row>
    <row r="429" spans="1:21" ht="12">
      <c r="A429" s="639" t="s">
        <v>3906</v>
      </c>
      <c r="B429" s="1483">
        <v>42201</v>
      </c>
      <c r="C429" s="639" t="s">
        <v>881</v>
      </c>
      <c r="D429" s="1433" t="s">
        <v>3914</v>
      </c>
      <c r="E429" s="1435"/>
      <c r="F429" s="1437">
        <v>6720000000000</v>
      </c>
      <c r="G429" s="1438">
        <v>48200000000</v>
      </c>
      <c r="H429" s="1438">
        <v>83500000000000</v>
      </c>
      <c r="I429" s="1407"/>
      <c r="J429" s="5320"/>
      <c r="K429" s="1776">
        <f t="shared" si="57"/>
        <v>4572946058091.2861</v>
      </c>
      <c r="L429" s="1407"/>
      <c r="M429" s="1407"/>
      <c r="N429" s="1407"/>
      <c r="O429" s="1407"/>
      <c r="P429" s="1407"/>
      <c r="Q429" s="1407"/>
      <c r="R429" s="1407"/>
      <c r="S429" s="1407"/>
      <c r="T429" s="1407"/>
      <c r="U429" s="1407"/>
    </row>
    <row r="430" spans="1:21" ht="12">
      <c r="A430" s="1407"/>
      <c r="B430" s="1407"/>
      <c r="C430" s="1407"/>
      <c r="D430" s="1433"/>
      <c r="E430" s="1407"/>
      <c r="F430" s="1416"/>
      <c r="G430" s="1534"/>
      <c r="H430" s="1534"/>
      <c r="I430" s="1407"/>
      <c r="J430" s="1407"/>
      <c r="K430" s="1431"/>
      <c r="L430" s="1407"/>
      <c r="M430" s="1407"/>
      <c r="N430" s="1407"/>
      <c r="O430" s="1407"/>
      <c r="P430" s="1407"/>
      <c r="Q430" s="1407"/>
      <c r="R430" s="1407"/>
      <c r="S430" s="1407"/>
      <c r="T430" s="1407"/>
      <c r="U430" s="1407"/>
    </row>
    <row r="431" spans="1:21" ht="12">
      <c r="A431" s="639" t="s">
        <v>3915</v>
      </c>
      <c r="B431" s="1483">
        <v>42208</v>
      </c>
      <c r="C431" s="639" t="s">
        <v>881</v>
      </c>
      <c r="D431" s="1433" t="s">
        <v>3916</v>
      </c>
      <c r="E431" s="1435"/>
      <c r="F431" s="1437">
        <v>181000000000000</v>
      </c>
      <c r="G431" s="1591">
        <v>521000000000</v>
      </c>
      <c r="H431" s="1591">
        <v>282000000000000</v>
      </c>
      <c r="I431" s="1407"/>
      <c r="J431" s="5327" t="s">
        <v>3917</v>
      </c>
      <c r="K431" s="1781">
        <f t="shared" ref="K431:K436" si="58">(32800000000/G431)*F431</f>
        <v>11395009596928.982</v>
      </c>
      <c r="L431" s="1407"/>
      <c r="M431" s="1407"/>
      <c r="N431" s="1407"/>
      <c r="O431" s="1407"/>
      <c r="P431" s="1407"/>
      <c r="Q431" s="1407"/>
      <c r="R431" s="1407"/>
      <c r="S431" s="1407"/>
      <c r="T431" s="1407"/>
      <c r="U431" s="1407"/>
    </row>
    <row r="432" spans="1:21" ht="12">
      <c r="A432" s="639" t="s">
        <v>3915</v>
      </c>
      <c r="B432" s="1483">
        <v>42208</v>
      </c>
      <c r="C432" s="639" t="s">
        <v>881</v>
      </c>
      <c r="D432" s="1433" t="s">
        <v>3918</v>
      </c>
      <c r="E432" s="1435"/>
      <c r="F432" s="1437">
        <v>2780000000000000</v>
      </c>
      <c r="G432" s="1591">
        <v>521000000000</v>
      </c>
      <c r="H432" s="1591">
        <v>282000000000000</v>
      </c>
      <c r="I432" s="1407"/>
      <c r="J432" s="5320"/>
      <c r="K432" s="1781">
        <f t="shared" si="58"/>
        <v>175017274472168.91</v>
      </c>
      <c r="L432" s="1407"/>
      <c r="M432" s="1407"/>
      <c r="N432" s="1407"/>
      <c r="O432" s="1407"/>
      <c r="P432" s="1407"/>
      <c r="Q432" s="1407"/>
      <c r="R432" s="1407"/>
      <c r="S432" s="1407"/>
      <c r="T432" s="1407"/>
      <c r="U432" s="1407"/>
    </row>
    <row r="433" spans="1:21" ht="12">
      <c r="A433" s="639" t="s">
        <v>3915</v>
      </c>
      <c r="B433" s="1483">
        <v>42208</v>
      </c>
      <c r="C433" s="639" t="s">
        <v>881</v>
      </c>
      <c r="D433" s="1433" t="s">
        <v>3919</v>
      </c>
      <c r="E433" s="1435"/>
      <c r="F433" s="1437">
        <v>1980000000000000</v>
      </c>
      <c r="G433" s="1591">
        <v>521000000000</v>
      </c>
      <c r="H433" s="1591">
        <v>282000000000000</v>
      </c>
      <c r="I433" s="1407"/>
      <c r="J433" s="5320"/>
      <c r="K433" s="1431">
        <f t="shared" si="58"/>
        <v>124652591170825.34</v>
      </c>
      <c r="L433" s="1407"/>
      <c r="M433" s="1407"/>
      <c r="N433" s="1407"/>
      <c r="O433" s="1407"/>
      <c r="P433" s="1407"/>
      <c r="Q433" s="1407"/>
      <c r="R433" s="1407"/>
      <c r="S433" s="1407"/>
      <c r="T433" s="1407"/>
      <c r="U433" s="1407"/>
    </row>
    <row r="434" spans="1:21" ht="12">
      <c r="A434" s="639" t="s">
        <v>3915</v>
      </c>
      <c r="B434" s="1483">
        <v>42208</v>
      </c>
      <c r="C434" s="639" t="s">
        <v>881</v>
      </c>
      <c r="D434" s="1433" t="s">
        <v>3921</v>
      </c>
      <c r="E434" s="1435"/>
      <c r="F434" s="1437">
        <v>703000000000000</v>
      </c>
      <c r="G434" s="1591">
        <v>521000000000</v>
      </c>
      <c r="H434" s="1591">
        <v>282000000000000</v>
      </c>
      <c r="I434" s="1407"/>
      <c r="J434" s="5320"/>
      <c r="K434" s="1431">
        <f t="shared" si="58"/>
        <v>44257965451055.664</v>
      </c>
      <c r="L434" s="1407"/>
      <c r="M434" s="1407"/>
      <c r="N434" s="1407"/>
      <c r="O434" s="1407"/>
      <c r="P434" s="1407"/>
      <c r="Q434" s="1407"/>
      <c r="R434" s="1407"/>
      <c r="S434" s="1407"/>
      <c r="T434" s="1407"/>
      <c r="U434" s="1407"/>
    </row>
    <row r="435" spans="1:21" ht="12">
      <c r="A435" s="639" t="s">
        <v>3915</v>
      </c>
      <c r="B435" s="1483">
        <v>42208</v>
      </c>
      <c r="C435" s="639" t="s">
        <v>881</v>
      </c>
      <c r="D435" s="1433" t="s">
        <v>3913</v>
      </c>
      <c r="E435" s="1435"/>
      <c r="F435" s="1437">
        <v>389000000000</v>
      </c>
      <c r="G435" s="1591">
        <v>521000000000</v>
      </c>
      <c r="H435" s="1591">
        <v>282000000000000</v>
      </c>
      <c r="I435" s="1407"/>
      <c r="J435" s="5320"/>
      <c r="K435" s="1431">
        <f t="shared" si="58"/>
        <v>24489827255.278313</v>
      </c>
      <c r="L435" s="1407"/>
      <c r="M435" s="1407"/>
      <c r="N435" s="1407"/>
      <c r="O435" s="1407"/>
      <c r="P435" s="1407"/>
      <c r="Q435" s="1407"/>
      <c r="R435" s="1407"/>
      <c r="S435" s="1407"/>
      <c r="T435" s="1407"/>
      <c r="U435" s="1407"/>
    </row>
    <row r="436" spans="1:21" ht="12">
      <c r="A436" s="639" t="s">
        <v>3915</v>
      </c>
      <c r="B436" s="1483">
        <v>42208</v>
      </c>
      <c r="C436" s="639" t="s">
        <v>881</v>
      </c>
      <c r="D436" s="1433" t="s">
        <v>3914</v>
      </c>
      <c r="E436" s="1731"/>
      <c r="F436" s="1406">
        <v>24400000000000</v>
      </c>
      <c r="G436" s="1591">
        <v>521000000000</v>
      </c>
      <c r="H436" s="1591">
        <v>282000000000000</v>
      </c>
      <c r="I436" s="1407"/>
      <c r="J436" s="5320"/>
      <c r="K436" s="1431">
        <f t="shared" si="58"/>
        <v>1536122840690.979</v>
      </c>
      <c r="L436" s="1407"/>
      <c r="M436" s="1407"/>
      <c r="N436" s="1407"/>
      <c r="O436" s="1407"/>
      <c r="P436" s="1407"/>
      <c r="Q436" s="1407"/>
      <c r="R436" s="1407"/>
      <c r="S436" s="1407"/>
      <c r="T436" s="1407"/>
      <c r="U436" s="1407"/>
    </row>
    <row r="437" spans="1:21" ht="12">
      <c r="A437" s="1407"/>
      <c r="B437" s="1407"/>
      <c r="C437" s="1407"/>
      <c r="D437" s="1409"/>
      <c r="E437" s="1410"/>
      <c r="F437" s="1495"/>
      <c r="G437" s="1534"/>
      <c r="H437" s="1534"/>
      <c r="I437" s="1407"/>
      <c r="J437" s="1407"/>
      <c r="K437" s="1431"/>
      <c r="L437" s="1407"/>
      <c r="M437" s="1407"/>
      <c r="N437" s="1407"/>
      <c r="O437" s="1407"/>
      <c r="P437" s="1407"/>
      <c r="Q437" s="1407"/>
      <c r="R437" s="1407"/>
      <c r="S437" s="1407"/>
      <c r="T437" s="1407"/>
      <c r="U437" s="1407"/>
    </row>
    <row r="438" spans="1:21" ht="12">
      <c r="A438" s="639" t="s">
        <v>3922</v>
      </c>
      <c r="B438" s="1483">
        <v>42213</v>
      </c>
      <c r="C438" s="639" t="s">
        <v>881</v>
      </c>
      <c r="D438" s="1433" t="s">
        <v>3916</v>
      </c>
      <c r="E438" s="1435"/>
      <c r="F438" s="1437">
        <v>74100000000000</v>
      </c>
      <c r="G438" s="1438">
        <v>94900000000</v>
      </c>
      <c r="H438" s="1438">
        <v>111000000000000</v>
      </c>
      <c r="I438" s="1407"/>
      <c r="J438" s="1407"/>
      <c r="K438" s="1781">
        <f t="shared" ref="K438:K443" si="59">(32800000000/G438)*F438</f>
        <v>25610958904109.59</v>
      </c>
      <c r="L438" s="1407"/>
      <c r="M438" s="1407"/>
      <c r="N438" s="1407"/>
      <c r="O438" s="1407"/>
      <c r="P438" s="1407"/>
      <c r="Q438" s="1407"/>
      <c r="R438" s="1407"/>
      <c r="S438" s="1407"/>
      <c r="T438" s="1407"/>
      <c r="U438" s="1407"/>
    </row>
    <row r="439" spans="1:21" ht="12">
      <c r="A439" s="639" t="s">
        <v>3922</v>
      </c>
      <c r="B439" s="1483">
        <v>42213</v>
      </c>
      <c r="C439" s="639" t="s">
        <v>881</v>
      </c>
      <c r="D439" s="1433" t="s">
        <v>3918</v>
      </c>
      <c r="E439" s="1435"/>
      <c r="F439" s="1437">
        <v>914000000000000</v>
      </c>
      <c r="G439" s="1438">
        <v>94900000000</v>
      </c>
      <c r="H439" s="1438">
        <v>111000000000000</v>
      </c>
      <c r="I439" s="1407"/>
      <c r="J439" s="1407"/>
      <c r="K439" s="1781">
        <f t="shared" si="59"/>
        <v>315903055848261.31</v>
      </c>
      <c r="L439" s="1407"/>
      <c r="M439" s="1407"/>
      <c r="N439" s="1407"/>
      <c r="O439" s="1407"/>
      <c r="P439" s="1407"/>
      <c r="Q439" s="1407"/>
      <c r="R439" s="1407"/>
      <c r="S439" s="1407"/>
      <c r="T439" s="1407"/>
      <c r="U439" s="1407"/>
    </row>
    <row r="440" spans="1:21" ht="12">
      <c r="A440" s="639" t="s">
        <v>3922</v>
      </c>
      <c r="B440" s="1483">
        <v>42213</v>
      </c>
      <c r="C440" s="639" t="s">
        <v>881</v>
      </c>
      <c r="D440" s="1433" t="s">
        <v>3919</v>
      </c>
      <c r="E440" s="1435"/>
      <c r="F440" s="1437">
        <v>715000000000000</v>
      </c>
      <c r="G440" s="1438">
        <v>94900000000</v>
      </c>
      <c r="H440" s="1438">
        <v>111000000000000</v>
      </c>
      <c r="I440" s="1407"/>
      <c r="J440" s="1407"/>
      <c r="K440" s="1431">
        <f t="shared" si="59"/>
        <v>247123287671232.88</v>
      </c>
      <c r="L440" s="1407"/>
      <c r="M440" s="1407"/>
      <c r="N440" s="1407"/>
      <c r="O440" s="1407"/>
      <c r="P440" s="1407"/>
      <c r="Q440" s="1407"/>
      <c r="R440" s="1407"/>
      <c r="S440" s="1407"/>
      <c r="T440" s="1407"/>
      <c r="U440" s="1407"/>
    </row>
    <row r="441" spans="1:21" ht="12">
      <c r="A441" s="639" t="s">
        <v>3922</v>
      </c>
      <c r="B441" s="1483">
        <v>42213</v>
      </c>
      <c r="C441" s="639" t="s">
        <v>881</v>
      </c>
      <c r="D441" s="1433" t="s">
        <v>3921</v>
      </c>
      <c r="E441" s="1435"/>
      <c r="F441" s="1437">
        <v>276000000000000</v>
      </c>
      <c r="G441" s="1438">
        <v>94900000000</v>
      </c>
      <c r="H441" s="1438">
        <v>111000000000000</v>
      </c>
      <c r="I441" s="1407"/>
      <c r="J441" s="1407"/>
      <c r="K441" s="1431">
        <f t="shared" si="59"/>
        <v>95393045310853.531</v>
      </c>
      <c r="L441" s="1407"/>
      <c r="M441" s="1407"/>
      <c r="N441" s="1407"/>
      <c r="O441" s="1407"/>
      <c r="P441" s="1407"/>
      <c r="Q441" s="1407"/>
      <c r="R441" s="1407"/>
      <c r="S441" s="1407"/>
      <c r="T441" s="1407"/>
      <c r="U441" s="1407"/>
    </row>
    <row r="442" spans="1:21" ht="12">
      <c r="A442" s="639" t="s">
        <v>3922</v>
      </c>
      <c r="B442" s="1483">
        <v>42213</v>
      </c>
      <c r="C442" s="639" t="s">
        <v>881</v>
      </c>
      <c r="D442" s="1433" t="s">
        <v>3913</v>
      </c>
      <c r="E442" s="1731"/>
      <c r="F442" s="1406">
        <v>191000000000</v>
      </c>
      <c r="G442" s="1438">
        <v>94900000000</v>
      </c>
      <c r="H442" s="1438">
        <v>111000000000000</v>
      </c>
      <c r="I442" s="1407"/>
      <c r="J442" s="1407"/>
      <c r="K442" s="1431">
        <f t="shared" si="59"/>
        <v>66014752370.916756</v>
      </c>
      <c r="L442" s="1407"/>
      <c r="M442" s="1407"/>
      <c r="N442" s="1407"/>
      <c r="O442" s="1407"/>
      <c r="P442" s="1407"/>
      <c r="Q442" s="1407"/>
      <c r="R442" s="1407"/>
      <c r="S442" s="1407"/>
      <c r="T442" s="1407"/>
      <c r="U442" s="1407"/>
    </row>
    <row r="443" spans="1:21" ht="12">
      <c r="A443" s="639" t="s">
        <v>3922</v>
      </c>
      <c r="B443" s="1483">
        <v>42213</v>
      </c>
      <c r="C443" s="639" t="s">
        <v>881</v>
      </c>
      <c r="D443" s="1433" t="s">
        <v>3914</v>
      </c>
      <c r="E443" s="1731"/>
      <c r="F443" s="1406">
        <v>12800000000000</v>
      </c>
      <c r="G443" s="1438">
        <v>94900000000</v>
      </c>
      <c r="H443" s="1438">
        <v>111000000000000</v>
      </c>
      <c r="I443" s="1407"/>
      <c r="J443" s="1407"/>
      <c r="K443" s="1776">
        <f t="shared" si="59"/>
        <v>4424025289778.7148</v>
      </c>
      <c r="L443" s="1407"/>
      <c r="M443" s="1407"/>
      <c r="N443" s="1407"/>
      <c r="O443" s="1407"/>
      <c r="P443" s="1407"/>
      <c r="Q443" s="1407"/>
      <c r="R443" s="1407"/>
      <c r="S443" s="1407"/>
      <c r="T443" s="1407"/>
      <c r="U443" s="1407"/>
    </row>
    <row r="444" spans="1:21" ht="12">
      <c r="A444" s="1407"/>
      <c r="B444" s="1407"/>
      <c r="C444" s="1407"/>
      <c r="D444" s="1409"/>
      <c r="E444" s="1410"/>
      <c r="F444" s="1495"/>
      <c r="G444" s="1534"/>
      <c r="H444" s="1534"/>
      <c r="I444" s="1407"/>
      <c r="J444" s="1407"/>
      <c r="K444" s="1431"/>
      <c r="L444" s="1407"/>
      <c r="M444" s="1407"/>
      <c r="N444" s="1407"/>
      <c r="O444" s="1407"/>
      <c r="P444" s="1407"/>
      <c r="Q444" s="1407"/>
      <c r="R444" s="1407"/>
      <c r="S444" s="1407"/>
      <c r="T444" s="1407"/>
      <c r="U444" s="1407"/>
    </row>
    <row r="445" spans="1:21" ht="12">
      <c r="A445" s="639" t="s">
        <v>3925</v>
      </c>
      <c r="B445" s="1483">
        <v>42215</v>
      </c>
      <c r="C445" s="639" t="s">
        <v>881</v>
      </c>
      <c r="D445" s="1433" t="s">
        <v>3926</v>
      </c>
      <c r="E445" s="1435"/>
      <c r="F445" s="1437">
        <v>25600000000000</v>
      </c>
      <c r="G445" s="1438">
        <v>65700000000</v>
      </c>
      <c r="H445" s="1438">
        <v>77100000000000</v>
      </c>
      <c r="I445" s="1407"/>
      <c r="J445" s="1407"/>
      <c r="K445" s="1431">
        <f t="shared" ref="K445:K450" si="60">(32800000000/G445)*F445</f>
        <v>12780517503805.174</v>
      </c>
      <c r="L445" s="1407"/>
      <c r="M445" s="1407"/>
      <c r="N445" s="1407"/>
      <c r="O445" s="1407"/>
      <c r="P445" s="1407"/>
      <c r="Q445" s="1407"/>
      <c r="R445" s="1407"/>
      <c r="S445" s="1407"/>
      <c r="T445" s="1407"/>
      <c r="U445" s="1407"/>
    </row>
    <row r="446" spans="1:21" ht="12">
      <c r="A446" s="639" t="s">
        <v>3925</v>
      </c>
      <c r="B446" s="1483">
        <v>42215</v>
      </c>
      <c r="C446" s="639" t="s">
        <v>881</v>
      </c>
      <c r="D446" s="1433" t="s">
        <v>3927</v>
      </c>
      <c r="E446" s="1435"/>
      <c r="F446" s="1437">
        <v>65300000000000</v>
      </c>
      <c r="G446" s="1438">
        <v>65700000000</v>
      </c>
      <c r="H446" s="1438">
        <v>77100000000000</v>
      </c>
      <c r="I446" s="1407"/>
      <c r="J446" s="1407"/>
      <c r="K446" s="1431">
        <f t="shared" si="60"/>
        <v>32600304414003.043</v>
      </c>
      <c r="L446" s="1407"/>
      <c r="M446" s="1407"/>
      <c r="N446" s="1407"/>
      <c r="O446" s="1407"/>
      <c r="P446" s="1407"/>
      <c r="Q446" s="1407"/>
      <c r="R446" s="1407"/>
      <c r="S446" s="1407"/>
      <c r="T446" s="1407"/>
      <c r="U446" s="1407"/>
    </row>
    <row r="447" spans="1:21" ht="12">
      <c r="A447" s="639" t="s">
        <v>3925</v>
      </c>
      <c r="B447" s="1483">
        <v>42215</v>
      </c>
      <c r="C447" s="639" t="s">
        <v>881</v>
      </c>
      <c r="D447" s="1433" t="s">
        <v>3928</v>
      </c>
      <c r="E447" s="1435"/>
      <c r="F447" s="1437">
        <v>57300000000000</v>
      </c>
      <c r="G447" s="1438">
        <v>65700000000</v>
      </c>
      <c r="H447" s="1438">
        <v>77100000000000</v>
      </c>
      <c r="I447" s="1407"/>
      <c r="J447" s="1407"/>
      <c r="K447" s="1431">
        <f t="shared" si="60"/>
        <v>28606392694063.926</v>
      </c>
      <c r="L447" s="1407"/>
      <c r="M447" s="1407"/>
      <c r="N447" s="1407"/>
      <c r="O447" s="1407"/>
      <c r="P447" s="1407"/>
      <c r="Q447" s="1407"/>
      <c r="R447" s="1407"/>
      <c r="S447" s="1407"/>
      <c r="T447" s="1407"/>
      <c r="U447" s="1407"/>
    </row>
    <row r="448" spans="1:21" ht="12">
      <c r="A448" s="639" t="s">
        <v>3925</v>
      </c>
      <c r="B448" s="1483">
        <v>42215</v>
      </c>
      <c r="C448" s="639" t="s">
        <v>881</v>
      </c>
      <c r="D448" s="1433" t="s">
        <v>3929</v>
      </c>
      <c r="E448" s="1435"/>
      <c r="F448" s="1437">
        <v>39700000000000</v>
      </c>
      <c r="G448" s="1438">
        <v>65700000000</v>
      </c>
      <c r="H448" s="1438">
        <v>77100000000000</v>
      </c>
      <c r="I448" s="1407"/>
      <c r="J448" s="1407"/>
      <c r="K448" s="1431">
        <f t="shared" si="60"/>
        <v>19819786910197.867</v>
      </c>
      <c r="L448" s="1407"/>
      <c r="M448" s="1407"/>
      <c r="N448" s="1407"/>
      <c r="O448" s="1407"/>
      <c r="P448" s="1407"/>
      <c r="Q448" s="1407"/>
      <c r="R448" s="1407"/>
      <c r="S448" s="1407"/>
      <c r="T448" s="1407"/>
      <c r="U448" s="1407"/>
    </row>
    <row r="449" spans="1:21" ht="12">
      <c r="A449" s="639" t="s">
        <v>3925</v>
      </c>
      <c r="B449" s="1483">
        <v>42215</v>
      </c>
      <c r="C449" s="639" t="s">
        <v>881</v>
      </c>
      <c r="D449" s="1433" t="s">
        <v>3913</v>
      </c>
      <c r="E449" s="1435"/>
      <c r="F449" s="1437">
        <v>56200000000</v>
      </c>
      <c r="G449" s="1438">
        <v>65700000000</v>
      </c>
      <c r="H449" s="1438">
        <v>77100000000000</v>
      </c>
      <c r="I449" s="1407"/>
      <c r="J449" s="1407"/>
      <c r="K449" s="1431">
        <f t="shared" si="60"/>
        <v>28057229832.572296</v>
      </c>
      <c r="L449" s="1407"/>
      <c r="M449" s="1407"/>
      <c r="N449" s="1407"/>
      <c r="O449" s="1407"/>
      <c r="P449" s="1407"/>
      <c r="Q449" s="1407"/>
      <c r="R449" s="1407"/>
      <c r="S449" s="1407"/>
      <c r="T449" s="1407"/>
      <c r="U449" s="1407"/>
    </row>
    <row r="450" spans="1:21" ht="12">
      <c r="A450" s="639" t="s">
        <v>3925</v>
      </c>
      <c r="B450" s="1483">
        <v>42215</v>
      </c>
      <c r="C450" s="639" t="s">
        <v>881</v>
      </c>
      <c r="D450" s="1433" t="s">
        <v>3914</v>
      </c>
      <c r="E450" s="1435"/>
      <c r="F450" s="1437">
        <v>6090000000000</v>
      </c>
      <c r="G450" s="1438">
        <v>65700000000</v>
      </c>
      <c r="H450" s="1438">
        <v>77100000000000</v>
      </c>
      <c r="I450" s="1407"/>
      <c r="J450" s="1407"/>
      <c r="K450" s="1776">
        <f t="shared" si="60"/>
        <v>3040365296803.6528</v>
      </c>
      <c r="L450" s="1407"/>
      <c r="M450" s="1407"/>
      <c r="N450" s="1407"/>
      <c r="O450" s="1407"/>
      <c r="P450" s="1407"/>
      <c r="Q450" s="1407"/>
      <c r="R450" s="1407"/>
      <c r="S450" s="1407"/>
      <c r="T450" s="1407"/>
      <c r="U450" s="1407"/>
    </row>
    <row r="451" spans="1:21" ht="12">
      <c r="A451" s="1407"/>
      <c r="B451" s="1407"/>
      <c r="C451" s="1407"/>
      <c r="D451" s="1409"/>
      <c r="E451" s="1410"/>
      <c r="F451" s="1495"/>
      <c r="G451" s="1534"/>
      <c r="H451" s="1534"/>
      <c r="I451" s="1428"/>
      <c r="J451" s="1407"/>
      <c r="K451" s="1431"/>
      <c r="L451" s="1407"/>
      <c r="M451" s="1407"/>
      <c r="N451" s="1407"/>
      <c r="O451" s="1407"/>
      <c r="P451" s="1407"/>
      <c r="Q451" s="1407"/>
      <c r="R451" s="1407"/>
      <c r="S451" s="1407"/>
      <c r="T451" s="1407"/>
      <c r="U451" s="1407"/>
    </row>
    <row r="452" spans="1:21" ht="12">
      <c r="A452" s="639" t="s">
        <v>3931</v>
      </c>
      <c r="B452" s="1483">
        <v>42221</v>
      </c>
      <c r="C452" s="639" t="s">
        <v>881</v>
      </c>
      <c r="D452" s="1433" t="s">
        <v>3916</v>
      </c>
      <c r="E452" s="1435"/>
      <c r="F452" s="1437">
        <v>635000000000000</v>
      </c>
      <c r="G452" s="1591">
        <v>940000000000</v>
      </c>
      <c r="H452" s="1591">
        <v>623000000000000</v>
      </c>
      <c r="I452" s="1428"/>
      <c r="J452" s="1407"/>
      <c r="K452" s="1781">
        <f t="shared" ref="K452:K459" si="61">(32800000000/G452)*F452</f>
        <v>22157446808510.637</v>
      </c>
      <c r="L452" s="1407"/>
      <c r="M452" s="1407"/>
      <c r="N452" s="1407"/>
      <c r="O452" s="1407"/>
      <c r="P452" s="1407"/>
      <c r="Q452" s="1407"/>
      <c r="R452" s="1407"/>
      <c r="S452" s="1407"/>
      <c r="T452" s="1407"/>
      <c r="U452" s="1407"/>
    </row>
    <row r="453" spans="1:21" ht="12">
      <c r="A453" s="639" t="s">
        <v>3931</v>
      </c>
      <c r="B453" s="1483">
        <v>42221</v>
      </c>
      <c r="C453" s="639" t="s">
        <v>881</v>
      </c>
      <c r="D453" s="1433" t="s">
        <v>3918</v>
      </c>
      <c r="E453" s="1435"/>
      <c r="F453" s="1437">
        <v>1260000000000000</v>
      </c>
      <c r="G453" s="1591">
        <v>940000000000</v>
      </c>
      <c r="H453" s="1591">
        <v>623000000000000</v>
      </c>
      <c r="I453" s="1428"/>
      <c r="J453" s="1407"/>
      <c r="K453" s="1781">
        <f t="shared" si="61"/>
        <v>43965957446808.508</v>
      </c>
      <c r="L453" s="1407"/>
      <c r="M453" s="1407"/>
      <c r="N453" s="1407"/>
      <c r="O453" s="1407"/>
      <c r="P453" s="1407"/>
      <c r="Q453" s="1407"/>
      <c r="R453" s="1407"/>
      <c r="S453" s="1407"/>
      <c r="T453" s="1407"/>
      <c r="U453" s="1407"/>
    </row>
    <row r="454" spans="1:21" ht="12">
      <c r="A454" s="639" t="s">
        <v>3931</v>
      </c>
      <c r="B454" s="1483">
        <v>42221</v>
      </c>
      <c r="C454" s="639" t="s">
        <v>881</v>
      </c>
      <c r="D454" s="1433" t="s">
        <v>3932</v>
      </c>
      <c r="E454" s="1435"/>
      <c r="F454" s="1437">
        <v>665000000000000</v>
      </c>
      <c r="G454" s="1591">
        <v>940000000000</v>
      </c>
      <c r="H454" s="1591">
        <v>623000000000000</v>
      </c>
      <c r="I454" s="1428"/>
      <c r="J454" s="1407"/>
      <c r="K454" s="1431">
        <f t="shared" si="61"/>
        <v>23204255319148.934</v>
      </c>
      <c r="L454" s="1407"/>
      <c r="M454" s="1407"/>
      <c r="N454" s="1407"/>
      <c r="O454" s="1407"/>
      <c r="P454" s="1407"/>
      <c r="Q454" s="1407"/>
      <c r="R454" s="1407"/>
      <c r="S454" s="1407"/>
      <c r="T454" s="1407"/>
      <c r="U454" s="1407"/>
    </row>
    <row r="455" spans="1:21" ht="12">
      <c r="A455" s="639" t="s">
        <v>3931</v>
      </c>
      <c r="B455" s="1483">
        <v>42221</v>
      </c>
      <c r="C455" s="639" t="s">
        <v>881</v>
      </c>
      <c r="D455" s="1433" t="s">
        <v>3933</v>
      </c>
      <c r="E455" s="1435"/>
      <c r="F455" s="1437">
        <v>214000000000000</v>
      </c>
      <c r="G455" s="1591">
        <v>940000000000</v>
      </c>
      <c r="H455" s="1591">
        <v>623000000000000</v>
      </c>
      <c r="I455" s="1428"/>
      <c r="J455" s="1407"/>
      <c r="K455" s="1431">
        <f t="shared" si="61"/>
        <v>7467234042553.1914</v>
      </c>
      <c r="L455" s="1407"/>
      <c r="M455" s="1407"/>
      <c r="N455" s="1407"/>
      <c r="O455" s="1407"/>
      <c r="P455" s="1407"/>
      <c r="Q455" s="1407"/>
      <c r="R455" s="1407"/>
      <c r="S455" s="1407"/>
      <c r="T455" s="1407"/>
      <c r="U455" s="1407"/>
    </row>
    <row r="456" spans="1:21" ht="12">
      <c r="A456" s="639" t="s">
        <v>3931</v>
      </c>
      <c r="B456" s="1483">
        <v>42221</v>
      </c>
      <c r="C456" s="639" t="s">
        <v>881</v>
      </c>
      <c r="D456" s="1433" t="s">
        <v>3934</v>
      </c>
      <c r="E456" s="1435"/>
      <c r="F456" s="1437">
        <v>859000000000000</v>
      </c>
      <c r="G456" s="1591">
        <v>940000000000</v>
      </c>
      <c r="H456" s="1591">
        <v>623000000000000</v>
      </c>
      <c r="I456" s="1428"/>
      <c r="J456" s="1407"/>
      <c r="K456" s="1431">
        <f t="shared" si="61"/>
        <v>29973617021276.594</v>
      </c>
      <c r="L456" s="1407"/>
      <c r="M456" s="1407"/>
      <c r="N456" s="1407"/>
      <c r="O456" s="1407"/>
      <c r="P456" s="1407"/>
      <c r="Q456" s="1407"/>
      <c r="R456" s="1407"/>
      <c r="S456" s="1407"/>
      <c r="T456" s="1407"/>
      <c r="U456" s="1407"/>
    </row>
    <row r="457" spans="1:21" ht="12">
      <c r="A457" s="639" t="s">
        <v>3931</v>
      </c>
      <c r="B457" s="1483">
        <v>42221</v>
      </c>
      <c r="C457" s="639" t="s">
        <v>881</v>
      </c>
      <c r="D457" s="1433" t="s">
        <v>3935</v>
      </c>
      <c r="E457" s="1435"/>
      <c r="F457" s="1437">
        <v>2910000000000000</v>
      </c>
      <c r="G457" s="1591">
        <v>940000000000</v>
      </c>
      <c r="H457" s="1591">
        <v>623000000000000</v>
      </c>
      <c r="I457" s="1428"/>
      <c r="J457" s="1407"/>
      <c r="K457" s="1431">
        <f t="shared" si="61"/>
        <v>101540425531914.89</v>
      </c>
      <c r="L457" s="1407"/>
      <c r="M457" s="1407"/>
      <c r="N457" s="1407"/>
      <c r="O457" s="1407"/>
      <c r="P457" s="1407"/>
      <c r="Q457" s="1407"/>
      <c r="R457" s="1407"/>
      <c r="S457" s="1407"/>
      <c r="T457" s="1407"/>
      <c r="U457" s="1407"/>
    </row>
    <row r="458" spans="1:21" ht="12">
      <c r="A458" s="639" t="s">
        <v>3931</v>
      </c>
      <c r="B458" s="1483">
        <v>42221</v>
      </c>
      <c r="C458" s="639" t="s">
        <v>881</v>
      </c>
      <c r="D458" s="1433" t="s">
        <v>3913</v>
      </c>
      <c r="E458" s="1438"/>
      <c r="F458" s="1794">
        <v>147000000000</v>
      </c>
      <c r="G458" s="1591">
        <v>940000000000</v>
      </c>
      <c r="H458" s="1591">
        <v>623000000000000</v>
      </c>
      <c r="I458" s="1428"/>
      <c r="J458" s="1407"/>
      <c r="K458" s="1431">
        <f t="shared" si="61"/>
        <v>5129361702.1276588</v>
      </c>
      <c r="L458" s="1407"/>
      <c r="M458" s="1407"/>
      <c r="N458" s="1407"/>
      <c r="O458" s="1407"/>
      <c r="P458" s="1407"/>
      <c r="Q458" s="1407"/>
      <c r="R458" s="1407"/>
      <c r="S458" s="1407"/>
      <c r="T458" s="1407"/>
      <c r="U458" s="1407"/>
    </row>
    <row r="459" spans="1:21" ht="12">
      <c r="A459" s="639" t="s">
        <v>3931</v>
      </c>
      <c r="B459" s="1483">
        <v>42221</v>
      </c>
      <c r="C459" s="639" t="s">
        <v>881</v>
      </c>
      <c r="D459" s="1433" t="s">
        <v>3914</v>
      </c>
      <c r="E459" s="1438"/>
      <c r="F459" s="1794">
        <v>36700000000000</v>
      </c>
      <c r="G459" s="1591">
        <v>940000000000</v>
      </c>
      <c r="H459" s="1591">
        <v>623000000000000</v>
      </c>
      <c r="I459" s="1428"/>
      <c r="J459" s="1407"/>
      <c r="K459" s="1776">
        <f t="shared" si="61"/>
        <v>1280595744680.8511</v>
      </c>
      <c r="L459" s="1407"/>
      <c r="M459" s="1407"/>
      <c r="N459" s="1407"/>
      <c r="O459" s="1407"/>
      <c r="P459" s="1407"/>
      <c r="Q459" s="1407"/>
      <c r="R459" s="1407"/>
      <c r="S459" s="1407"/>
      <c r="T459" s="1407"/>
      <c r="U459" s="1407"/>
    </row>
    <row r="460" spans="1:21" ht="12">
      <c r="A460" s="1407"/>
      <c r="B460" s="1407"/>
      <c r="C460" s="1407"/>
      <c r="D460" s="1409"/>
      <c r="E460" s="1410"/>
      <c r="F460" s="1495"/>
      <c r="G460" s="1534"/>
      <c r="H460" s="1534"/>
      <c r="I460" s="1428"/>
      <c r="J460" s="1407"/>
      <c r="K460" s="1431"/>
      <c r="L460" s="1407"/>
      <c r="M460" s="1407"/>
      <c r="N460" s="1407"/>
      <c r="O460" s="1407"/>
      <c r="P460" s="1407"/>
      <c r="Q460" s="1407"/>
      <c r="R460" s="1407"/>
      <c r="S460" s="1407"/>
      <c r="T460" s="1407"/>
      <c r="U460" s="1407"/>
    </row>
    <row r="461" spans="1:21" ht="12">
      <c r="A461" s="639" t="s">
        <v>3936</v>
      </c>
      <c r="B461" s="1483">
        <v>42228</v>
      </c>
      <c r="C461" s="639" t="s">
        <v>881</v>
      </c>
      <c r="D461" s="1433" t="s">
        <v>3937</v>
      </c>
      <c r="E461" s="1435"/>
      <c r="F461" s="1437">
        <v>56700000000000</v>
      </c>
      <c r="G461" s="1438">
        <v>143000000000</v>
      </c>
      <c r="H461" s="1438">
        <v>53000000000000</v>
      </c>
      <c r="I461" s="1428"/>
      <c r="J461" s="1407"/>
      <c r="K461" s="1431">
        <f t="shared" ref="K461:K470" si="62">(32800000000/G461)*F461</f>
        <v>13005314685314.686</v>
      </c>
      <c r="L461" s="1407"/>
      <c r="M461" s="1407"/>
      <c r="N461" s="1407"/>
      <c r="O461" s="1407"/>
      <c r="P461" s="1407"/>
      <c r="Q461" s="1407"/>
      <c r="R461" s="1407"/>
      <c r="S461" s="1407"/>
      <c r="T461" s="1407"/>
      <c r="U461" s="1407"/>
    </row>
    <row r="462" spans="1:21" ht="12">
      <c r="A462" s="639" t="s">
        <v>3936</v>
      </c>
      <c r="B462" s="1483">
        <v>42228</v>
      </c>
      <c r="C462" s="639" t="s">
        <v>881</v>
      </c>
      <c r="D462" s="1433" t="s">
        <v>3938</v>
      </c>
      <c r="E462" s="1435"/>
      <c r="F462" s="1437">
        <v>163000000000000</v>
      </c>
      <c r="G462" s="1438">
        <v>143000000000</v>
      </c>
      <c r="H462" s="1438">
        <v>53000000000000</v>
      </c>
      <c r="I462" s="1428"/>
      <c r="J462" s="1407"/>
      <c r="K462" s="1431">
        <f t="shared" si="62"/>
        <v>37387412587412.586</v>
      </c>
      <c r="L462" s="1407"/>
      <c r="M462" s="1407"/>
      <c r="N462" s="1407"/>
      <c r="O462" s="1407"/>
      <c r="P462" s="1407"/>
      <c r="Q462" s="1407"/>
      <c r="R462" s="1407"/>
      <c r="S462" s="1407"/>
      <c r="T462" s="1407"/>
      <c r="U462" s="1407"/>
    </row>
    <row r="463" spans="1:21" ht="12">
      <c r="A463" s="639" t="s">
        <v>3936</v>
      </c>
      <c r="B463" s="1483">
        <v>42228</v>
      </c>
      <c r="C463" s="639" t="s">
        <v>881</v>
      </c>
      <c r="D463" s="1433" t="s">
        <v>3939</v>
      </c>
      <c r="E463" s="1435"/>
      <c r="F463" s="1437">
        <v>168000000000000</v>
      </c>
      <c r="G463" s="1438">
        <v>143000000000</v>
      </c>
      <c r="H463" s="1438">
        <v>53000000000000</v>
      </c>
      <c r="I463" s="1428"/>
      <c r="J463" s="1407"/>
      <c r="K463" s="1431">
        <f t="shared" si="62"/>
        <v>38534265734265.734</v>
      </c>
      <c r="L463" s="1407"/>
      <c r="M463" s="1407"/>
      <c r="N463" s="1407"/>
      <c r="O463" s="1407"/>
      <c r="P463" s="1407"/>
      <c r="Q463" s="1407"/>
      <c r="R463" s="1407"/>
      <c r="S463" s="1407"/>
      <c r="T463" s="1407"/>
      <c r="U463" s="1407"/>
    </row>
    <row r="464" spans="1:21" ht="12">
      <c r="A464" s="639" t="s">
        <v>3936</v>
      </c>
      <c r="B464" s="1483">
        <v>42228</v>
      </c>
      <c r="C464" s="639" t="s">
        <v>881</v>
      </c>
      <c r="D464" s="1433" t="s">
        <v>3940</v>
      </c>
      <c r="E464" s="1435"/>
      <c r="F464" s="1437">
        <v>97300000000000</v>
      </c>
      <c r="G464" s="1438">
        <v>143000000000</v>
      </c>
      <c r="H464" s="1438">
        <v>53000000000000</v>
      </c>
      <c r="I464" s="1428"/>
      <c r="J464" s="1407"/>
      <c r="K464" s="1431">
        <f t="shared" si="62"/>
        <v>22317762237762.238</v>
      </c>
      <c r="L464" s="1407"/>
      <c r="M464" s="1407"/>
      <c r="N464" s="1407"/>
      <c r="O464" s="1407"/>
      <c r="P464" s="1407"/>
      <c r="Q464" s="1407"/>
      <c r="R464" s="1407"/>
      <c r="S464" s="1407"/>
      <c r="T464" s="1407"/>
      <c r="U464" s="1407"/>
    </row>
    <row r="465" spans="1:21" ht="12">
      <c r="A465" s="639" t="s">
        <v>3936</v>
      </c>
      <c r="B465" s="1483">
        <v>42228</v>
      </c>
      <c r="C465" s="639" t="s">
        <v>881</v>
      </c>
      <c r="D465" s="1433" t="s">
        <v>3913</v>
      </c>
      <c r="E465" s="1435"/>
      <c r="F465" s="1437">
        <v>31200000000</v>
      </c>
      <c r="G465" s="1438">
        <v>143000000000</v>
      </c>
      <c r="H465" s="1438">
        <v>53000000000000</v>
      </c>
      <c r="I465" s="1428"/>
      <c r="J465" s="1407"/>
      <c r="K465" s="1431">
        <f t="shared" si="62"/>
        <v>7156363636.363637</v>
      </c>
      <c r="L465" s="1407"/>
      <c r="M465" s="1407"/>
      <c r="N465" s="1407"/>
      <c r="O465" s="1407"/>
      <c r="P465" s="1407"/>
      <c r="Q465" s="1407"/>
      <c r="R465" s="1407"/>
      <c r="S465" s="1407"/>
      <c r="T465" s="1407"/>
      <c r="U465" s="1407"/>
    </row>
    <row r="466" spans="1:21" ht="12">
      <c r="A466" s="639" t="s">
        <v>3936</v>
      </c>
      <c r="B466" s="1483">
        <v>42228</v>
      </c>
      <c r="C466" s="639" t="s">
        <v>881</v>
      </c>
      <c r="D466" s="1433" t="s">
        <v>3914</v>
      </c>
      <c r="E466" s="1435"/>
      <c r="F466" s="1437">
        <v>12500000000000</v>
      </c>
      <c r="G466" s="1438">
        <v>143000000000</v>
      </c>
      <c r="H466" s="1438">
        <v>53000000000000</v>
      </c>
      <c r="I466" s="1428"/>
      <c r="J466" s="1407"/>
      <c r="K466" s="1776">
        <f t="shared" si="62"/>
        <v>2867132867132.8672</v>
      </c>
      <c r="L466" s="1407"/>
      <c r="M466" s="1407"/>
      <c r="N466" s="1407"/>
      <c r="O466" s="1407"/>
      <c r="P466" s="1407"/>
      <c r="Q466" s="1407"/>
      <c r="R466" s="1407"/>
      <c r="S466" s="1407"/>
      <c r="T466" s="1407"/>
      <c r="U466" s="1407"/>
    </row>
    <row r="467" spans="1:21" ht="12">
      <c r="A467" s="639" t="s">
        <v>3936</v>
      </c>
      <c r="B467" s="1483">
        <v>42228</v>
      </c>
      <c r="C467" s="639" t="s">
        <v>881</v>
      </c>
      <c r="D467" s="1433" t="s">
        <v>3916</v>
      </c>
      <c r="E467" s="1435"/>
      <c r="F467" s="1437">
        <v>101000000000000</v>
      </c>
      <c r="G467" s="1438">
        <v>143000000000</v>
      </c>
      <c r="H467" s="1438">
        <v>53000000000000</v>
      </c>
      <c r="I467" s="1428"/>
      <c r="J467" s="1407"/>
      <c r="K467" s="1781">
        <f t="shared" si="62"/>
        <v>23166433566433.566</v>
      </c>
      <c r="L467" s="1407"/>
      <c r="M467" s="1407"/>
      <c r="N467" s="1407"/>
      <c r="O467" s="1407"/>
      <c r="P467" s="1407"/>
      <c r="Q467" s="1407"/>
      <c r="R467" s="1407"/>
      <c r="S467" s="1407"/>
      <c r="T467" s="1407"/>
      <c r="U467" s="1407"/>
    </row>
    <row r="468" spans="1:21" ht="12">
      <c r="A468" s="639" t="s">
        <v>3936</v>
      </c>
      <c r="B468" s="1483">
        <v>42228</v>
      </c>
      <c r="C468" s="639" t="s">
        <v>881</v>
      </c>
      <c r="D468" s="1433" t="s">
        <v>3918</v>
      </c>
      <c r="E468" s="1435"/>
      <c r="F468" s="1437">
        <v>1800000000000000</v>
      </c>
      <c r="G468" s="1438">
        <v>143000000000</v>
      </c>
      <c r="H468" s="1438">
        <v>53000000000000</v>
      </c>
      <c r="I468" s="1428"/>
      <c r="J468" s="1407"/>
      <c r="K468" s="1781">
        <f t="shared" si="62"/>
        <v>412867132867132.88</v>
      </c>
      <c r="L468" s="1407"/>
      <c r="M468" s="1407"/>
      <c r="N468" s="1407"/>
      <c r="O468" s="1407"/>
      <c r="P468" s="1407"/>
      <c r="Q468" s="1407"/>
      <c r="R468" s="1407"/>
      <c r="S468" s="1407"/>
      <c r="T468" s="1407"/>
      <c r="U468" s="1407"/>
    </row>
    <row r="469" spans="1:21" ht="12">
      <c r="A469" s="639" t="s">
        <v>3936</v>
      </c>
      <c r="B469" s="1483">
        <v>42228</v>
      </c>
      <c r="C469" s="639" t="s">
        <v>881</v>
      </c>
      <c r="D469" s="1433" t="s">
        <v>3718</v>
      </c>
      <c r="E469" s="1435"/>
      <c r="F469" s="1437">
        <v>7670000000000</v>
      </c>
      <c r="G469" s="1438">
        <v>143000000000</v>
      </c>
      <c r="H469" s="1438">
        <v>53000000000000</v>
      </c>
      <c r="I469" s="1428"/>
      <c r="J469" s="1407"/>
      <c r="K469" s="1431">
        <f t="shared" si="62"/>
        <v>1759272727272.7273</v>
      </c>
      <c r="L469" s="1407"/>
      <c r="M469" s="15">
        <v>3990000000000</v>
      </c>
      <c r="N469" s="1407"/>
      <c r="O469" s="1407"/>
      <c r="P469" s="1407"/>
      <c r="Q469" s="1407"/>
      <c r="R469" s="1407"/>
      <c r="S469" s="1407"/>
      <c r="T469" s="1407"/>
      <c r="U469" s="1407"/>
    </row>
    <row r="470" spans="1:21" ht="12">
      <c r="A470" s="639" t="s">
        <v>3936</v>
      </c>
      <c r="B470" s="1483">
        <v>42228</v>
      </c>
      <c r="C470" s="639" t="s">
        <v>881</v>
      </c>
      <c r="D470" s="1433" t="s">
        <v>3698</v>
      </c>
      <c r="E470" s="1435"/>
      <c r="F470" s="1437">
        <v>99300000000000</v>
      </c>
      <c r="G470" s="1438">
        <v>143000000000</v>
      </c>
      <c r="H470" s="1438">
        <v>53000000000000</v>
      </c>
      <c r="I470" s="1428"/>
      <c r="J470" s="1407"/>
      <c r="K470" s="1431">
        <f t="shared" si="62"/>
        <v>22776503496503.496</v>
      </c>
      <c r="L470" s="1407"/>
      <c r="M470" s="15">
        <v>104000000000000</v>
      </c>
      <c r="N470" s="1407"/>
      <c r="O470" s="1407"/>
      <c r="P470" s="1407"/>
      <c r="Q470" s="1407"/>
      <c r="R470" s="1407"/>
      <c r="S470" s="1407"/>
      <c r="T470" s="1407"/>
      <c r="U470" s="1407"/>
    </row>
    <row r="471" spans="1:21" ht="12">
      <c r="A471" s="639"/>
      <c r="B471" s="1407"/>
      <c r="C471" s="1407"/>
      <c r="D471" s="1409"/>
      <c r="E471" s="1410"/>
      <c r="F471" s="1495"/>
      <c r="G471" s="1534"/>
      <c r="H471" s="1534"/>
      <c r="I471" s="1428"/>
      <c r="J471" s="1407"/>
      <c r="K471" s="1431"/>
      <c r="L471" s="1407"/>
      <c r="M471" s="1407"/>
      <c r="N471" s="1407"/>
      <c r="O471" s="1407"/>
      <c r="P471" s="1407"/>
      <c r="Q471" s="1407"/>
      <c r="R471" s="1407"/>
      <c r="S471" s="1407"/>
      <c r="T471" s="1407"/>
      <c r="U471" s="1407"/>
    </row>
    <row r="472" spans="1:21" ht="12">
      <c r="A472" s="639" t="s">
        <v>3941</v>
      </c>
      <c r="B472" s="1483">
        <v>42228</v>
      </c>
      <c r="C472" s="639" t="s">
        <v>881</v>
      </c>
      <c r="D472" s="1433" t="s">
        <v>3932</v>
      </c>
      <c r="E472" s="1435"/>
      <c r="F472" s="1437">
        <v>96700000000000</v>
      </c>
      <c r="G472" s="1438">
        <v>38500000000</v>
      </c>
      <c r="H472" s="1438">
        <v>11300000000000</v>
      </c>
      <c r="I472" s="1428"/>
      <c r="J472" s="1407"/>
      <c r="K472" s="1431">
        <f t="shared" ref="K472:K475" si="63">(32800000000/G472)*F472</f>
        <v>82383376623376.625</v>
      </c>
      <c r="L472" s="1407"/>
      <c r="M472" s="1407"/>
      <c r="N472" s="1407"/>
      <c r="O472" s="1407"/>
      <c r="P472" s="1407"/>
      <c r="Q472" s="1407"/>
      <c r="R472" s="1407"/>
      <c r="S472" s="1407"/>
      <c r="T472" s="1407"/>
      <c r="U472" s="1407"/>
    </row>
    <row r="473" spans="1:21" ht="12">
      <c r="A473" s="639" t="s">
        <v>3941</v>
      </c>
      <c r="B473" s="1483">
        <v>42228</v>
      </c>
      <c r="C473" s="639" t="s">
        <v>881</v>
      </c>
      <c r="D473" s="1433" t="s">
        <v>3933</v>
      </c>
      <c r="E473" s="1435"/>
      <c r="F473" s="1437">
        <v>26200000000000</v>
      </c>
      <c r="G473" s="1438">
        <v>38500000000</v>
      </c>
      <c r="H473" s="1438">
        <v>11300000000000</v>
      </c>
      <c r="I473" s="1428"/>
      <c r="J473" s="1407"/>
      <c r="K473" s="1431">
        <f t="shared" si="63"/>
        <v>22321038961038.961</v>
      </c>
      <c r="L473" s="1407"/>
      <c r="M473" s="1407"/>
      <c r="N473" s="1407"/>
      <c r="O473" s="1407"/>
      <c r="P473" s="1407"/>
      <c r="Q473" s="1407"/>
      <c r="R473" s="1407"/>
      <c r="S473" s="1407"/>
      <c r="T473" s="1407"/>
      <c r="U473" s="1407"/>
    </row>
    <row r="474" spans="1:21" ht="12">
      <c r="A474" s="639" t="s">
        <v>3941</v>
      </c>
      <c r="B474" s="1483">
        <v>42228</v>
      </c>
      <c r="C474" s="639" t="s">
        <v>881</v>
      </c>
      <c r="D474" s="1433" t="s">
        <v>3934</v>
      </c>
      <c r="E474" s="1435"/>
      <c r="F474" s="1437">
        <v>98100000000000</v>
      </c>
      <c r="G474" s="1438">
        <v>38500000000</v>
      </c>
      <c r="H474" s="1438">
        <v>11300000000000</v>
      </c>
      <c r="I474" s="1428"/>
      <c r="J474" s="1407"/>
      <c r="K474" s="1431">
        <f t="shared" si="63"/>
        <v>83576103896103.891</v>
      </c>
      <c r="L474" s="1407"/>
      <c r="M474" s="1407"/>
      <c r="N474" s="1407"/>
      <c r="O474" s="1407"/>
      <c r="P474" s="1407"/>
      <c r="Q474" s="1407"/>
      <c r="R474" s="1407"/>
      <c r="S474" s="1407"/>
      <c r="T474" s="1407"/>
      <c r="U474" s="1407"/>
    </row>
    <row r="475" spans="1:21" ht="12">
      <c r="A475" s="639" t="s">
        <v>3941</v>
      </c>
      <c r="B475" s="1483">
        <v>42228</v>
      </c>
      <c r="C475" s="639" t="s">
        <v>881</v>
      </c>
      <c r="D475" s="1433" t="s">
        <v>3935</v>
      </c>
      <c r="E475" s="1435"/>
      <c r="F475" s="1437">
        <v>188000000000000</v>
      </c>
      <c r="G475" s="1438">
        <v>38500000000</v>
      </c>
      <c r="H475" s="1438">
        <v>11300000000000</v>
      </c>
      <c r="I475" s="1428"/>
      <c r="J475" s="1407"/>
      <c r="K475" s="1431">
        <f t="shared" si="63"/>
        <v>160166233766233.75</v>
      </c>
      <c r="L475" s="1407"/>
      <c r="M475" s="1407"/>
      <c r="N475" s="1407"/>
      <c r="O475" s="1407"/>
      <c r="P475" s="1407"/>
      <c r="Q475" s="1407"/>
      <c r="R475" s="1407"/>
      <c r="S475" s="1407"/>
      <c r="T475" s="1407"/>
      <c r="U475" s="1407"/>
    </row>
    <row r="476" spans="1:21" ht="24">
      <c r="A476" s="639" t="s">
        <v>3941</v>
      </c>
      <c r="B476" s="1483">
        <v>42228</v>
      </c>
      <c r="C476" s="639" t="s">
        <v>881</v>
      </c>
      <c r="D476" s="1433" t="s">
        <v>3913</v>
      </c>
      <c r="E476" s="1435"/>
      <c r="F476" s="1437" t="s">
        <v>3942</v>
      </c>
      <c r="G476" s="1438">
        <v>38500000000</v>
      </c>
      <c r="H476" s="1438">
        <v>11300000000000</v>
      </c>
      <c r="I476" s="1428"/>
      <c r="J476" s="1407"/>
      <c r="K476" s="1431"/>
      <c r="L476" s="1407"/>
      <c r="M476" s="1407"/>
      <c r="N476" s="1407"/>
      <c r="O476" s="1407"/>
      <c r="P476" s="1407"/>
      <c r="Q476" s="1407"/>
      <c r="R476" s="1407"/>
      <c r="S476" s="1407"/>
      <c r="T476" s="1407"/>
      <c r="U476" s="1407"/>
    </row>
    <row r="477" spans="1:21" ht="12">
      <c r="A477" s="639" t="s">
        <v>3941</v>
      </c>
      <c r="B477" s="1483">
        <v>42228</v>
      </c>
      <c r="C477" s="639" t="s">
        <v>881</v>
      </c>
      <c r="D477" s="1433" t="s">
        <v>3914</v>
      </c>
      <c r="E477" s="1435"/>
      <c r="F477" s="1437">
        <v>2990000000000</v>
      </c>
      <c r="G477" s="1438">
        <v>38500000000</v>
      </c>
      <c r="H477" s="1438">
        <v>11300000000000</v>
      </c>
      <c r="I477" s="1428"/>
      <c r="J477" s="1407"/>
      <c r="K477" s="1431">
        <f>(32800000000/G477)*F477</f>
        <v>2547324675324.6753</v>
      </c>
      <c r="L477" s="1407"/>
      <c r="M477" s="1407"/>
      <c r="N477" s="1407"/>
      <c r="O477" s="1407"/>
      <c r="P477" s="1407"/>
      <c r="Q477" s="1407"/>
      <c r="R477" s="1407"/>
      <c r="S477" s="1407"/>
      <c r="T477" s="1407"/>
      <c r="U477" s="1407"/>
    </row>
    <row r="478" spans="1:21" ht="12">
      <c r="A478" s="1407"/>
      <c r="B478" s="1407"/>
      <c r="C478" s="1407"/>
      <c r="D478" s="1409"/>
      <c r="E478" s="1410"/>
      <c r="F478" s="1495"/>
      <c r="G478" s="1534"/>
      <c r="H478" s="1534"/>
      <c r="I478" s="1428"/>
      <c r="J478" s="1407"/>
      <c r="K478" s="1431"/>
      <c r="L478" s="1407"/>
      <c r="M478" s="1407"/>
      <c r="N478" s="1407"/>
      <c r="O478" s="1407"/>
      <c r="P478" s="1407"/>
      <c r="Q478" s="1407"/>
      <c r="R478" s="1407"/>
      <c r="S478" s="1407"/>
      <c r="T478" s="1407"/>
      <c r="U478" s="1407"/>
    </row>
    <row r="479" spans="1:21" ht="12">
      <c r="A479" s="639" t="s">
        <v>3943</v>
      </c>
      <c r="B479" s="1483">
        <v>42235</v>
      </c>
      <c r="C479" s="639" t="s">
        <v>881</v>
      </c>
      <c r="D479" s="1433" t="s">
        <v>3944</v>
      </c>
      <c r="E479" s="1435"/>
      <c r="F479" s="1437">
        <v>40000000000000</v>
      </c>
      <c r="G479" s="1438">
        <v>18600000000</v>
      </c>
      <c r="H479" s="1438">
        <v>8270000000000</v>
      </c>
      <c r="I479" s="1428"/>
      <c r="J479" s="1407"/>
      <c r="K479" s="1431">
        <f t="shared" ref="K479:K483" si="64">(32800000000/G479)*F479</f>
        <v>70537634408602.156</v>
      </c>
      <c r="L479" s="1407"/>
      <c r="M479" s="1407"/>
      <c r="N479" s="1407"/>
      <c r="O479" s="1407"/>
      <c r="P479" s="1407"/>
      <c r="Q479" s="1407"/>
      <c r="R479" s="1407"/>
      <c r="S479" s="1407"/>
      <c r="T479" s="1407"/>
      <c r="U479" s="1407"/>
    </row>
    <row r="480" spans="1:21" ht="12">
      <c r="A480" s="639" t="s">
        <v>3943</v>
      </c>
      <c r="B480" s="1483">
        <v>42235</v>
      </c>
      <c r="C480" s="639" t="s">
        <v>881</v>
      </c>
      <c r="D480" s="1433" t="s">
        <v>3945</v>
      </c>
      <c r="E480" s="1435"/>
      <c r="F480" s="1437">
        <v>260000000000</v>
      </c>
      <c r="G480" s="1438">
        <v>18600000000</v>
      </c>
      <c r="H480" s="1438">
        <v>8270000000000</v>
      </c>
      <c r="I480" s="1428"/>
      <c r="J480" s="1407"/>
      <c r="K480" s="1431">
        <f t="shared" si="64"/>
        <v>458494623655.914</v>
      </c>
      <c r="L480" s="1407"/>
      <c r="M480" s="1407"/>
      <c r="N480" s="1407"/>
      <c r="O480" s="1407"/>
      <c r="P480" s="1407"/>
      <c r="Q480" s="1407"/>
      <c r="R480" s="1407"/>
      <c r="S480" s="1407"/>
      <c r="T480" s="1407"/>
      <c r="U480" s="1407"/>
    </row>
    <row r="481" spans="1:21" ht="12">
      <c r="A481" s="639" t="s">
        <v>3943</v>
      </c>
      <c r="B481" s="1483">
        <v>42235</v>
      </c>
      <c r="C481" s="639" t="s">
        <v>881</v>
      </c>
      <c r="D481" s="1433" t="s">
        <v>3946</v>
      </c>
      <c r="E481" s="1435"/>
      <c r="F481" s="1437">
        <v>50000000000000</v>
      </c>
      <c r="G481" s="1438">
        <v>18600000000</v>
      </c>
      <c r="H481" s="1438">
        <v>8270000000000</v>
      </c>
      <c r="I481" s="1428"/>
      <c r="J481" s="1407"/>
      <c r="K481" s="1431">
        <f t="shared" si="64"/>
        <v>88172043010752.688</v>
      </c>
      <c r="L481" s="1407"/>
      <c r="M481" s="1407"/>
      <c r="N481" s="1407"/>
      <c r="O481" s="1407"/>
      <c r="P481" s="1407"/>
      <c r="Q481" s="1407"/>
      <c r="R481" s="1407"/>
      <c r="S481" s="1407"/>
      <c r="T481" s="1407"/>
      <c r="U481" s="1407"/>
    </row>
    <row r="482" spans="1:21" ht="12">
      <c r="A482" s="639" t="s">
        <v>3943</v>
      </c>
      <c r="B482" s="1483">
        <v>42235</v>
      </c>
      <c r="C482" s="639" t="s">
        <v>881</v>
      </c>
      <c r="D482" s="1433" t="s">
        <v>3913</v>
      </c>
      <c r="E482" s="1435"/>
      <c r="F482" s="1437">
        <v>11700000000</v>
      </c>
      <c r="G482" s="1438">
        <v>18600000000</v>
      </c>
      <c r="H482" s="1438">
        <v>8270000000000</v>
      </c>
      <c r="I482" s="1428"/>
      <c r="J482" s="1407"/>
      <c r="K482" s="1431">
        <f t="shared" si="64"/>
        <v>20632258064.516129</v>
      </c>
      <c r="L482" s="1407"/>
      <c r="M482" s="1407"/>
      <c r="N482" s="1407"/>
      <c r="O482" s="1407"/>
      <c r="P482" s="1407"/>
      <c r="Q482" s="1407"/>
      <c r="R482" s="1407"/>
      <c r="S482" s="1407"/>
      <c r="T482" s="1407"/>
      <c r="U482" s="1407"/>
    </row>
    <row r="483" spans="1:21" ht="24">
      <c r="A483" s="639" t="s">
        <v>3943</v>
      </c>
      <c r="B483" s="1483">
        <v>42235</v>
      </c>
      <c r="C483" s="639" t="s">
        <v>881</v>
      </c>
      <c r="D483" s="1433" t="s">
        <v>3914</v>
      </c>
      <c r="E483" s="1435"/>
      <c r="F483" s="1437">
        <v>73300000000</v>
      </c>
      <c r="G483" s="1438">
        <v>18600000000</v>
      </c>
      <c r="H483" s="1438">
        <v>8270000000000</v>
      </c>
      <c r="I483" s="1428"/>
      <c r="J483" s="639" t="s">
        <v>3947</v>
      </c>
      <c r="K483" s="1431">
        <f t="shared" si="64"/>
        <v>129260215053.76344</v>
      </c>
      <c r="L483" s="1407"/>
      <c r="M483" s="1407"/>
      <c r="N483" s="1407"/>
      <c r="O483" s="1407"/>
      <c r="P483" s="1407"/>
      <c r="Q483" s="1407"/>
      <c r="R483" s="1407"/>
      <c r="S483" s="1407"/>
      <c r="T483" s="1407"/>
      <c r="U483" s="1407"/>
    </row>
    <row r="484" spans="1:21" ht="12">
      <c r="A484" s="1407"/>
      <c r="B484" s="1407"/>
      <c r="C484" s="1407"/>
      <c r="D484" s="1409"/>
      <c r="E484" s="1410"/>
      <c r="F484" s="1495"/>
      <c r="G484" s="1534"/>
      <c r="H484" s="1534"/>
      <c r="I484" s="1428"/>
      <c r="J484" s="1407"/>
      <c r="K484" s="1431"/>
      <c r="L484" s="1407"/>
      <c r="M484" s="1407"/>
      <c r="N484" s="1407"/>
      <c r="O484" s="1407"/>
      <c r="P484" s="1407"/>
      <c r="Q484" s="1407"/>
      <c r="R484" s="1407"/>
      <c r="S484" s="1407"/>
      <c r="T484" s="1407"/>
      <c r="U484" s="1407"/>
    </row>
    <row r="485" spans="1:21" ht="12">
      <c r="A485" s="639" t="s">
        <v>3948</v>
      </c>
      <c r="B485" s="1483">
        <v>42242</v>
      </c>
      <c r="C485" s="639" t="s">
        <v>881</v>
      </c>
      <c r="D485" s="1433" t="s">
        <v>3949</v>
      </c>
      <c r="E485" s="1435"/>
      <c r="F485" s="1437">
        <v>111000000000000</v>
      </c>
      <c r="G485" s="1438">
        <v>21900000000</v>
      </c>
      <c r="H485" s="1438">
        <v>33300000000000</v>
      </c>
      <c r="I485" s="1428"/>
      <c r="J485" s="1407"/>
      <c r="K485" s="1431">
        <f>(32800000000/G485)*F485</f>
        <v>166246575342465.75</v>
      </c>
      <c r="L485" s="1407"/>
      <c r="M485" s="1407"/>
      <c r="N485" s="1407"/>
      <c r="O485" s="1407"/>
      <c r="P485" s="1407"/>
      <c r="Q485" s="1407"/>
      <c r="R485" s="1407"/>
      <c r="S485" s="1407"/>
      <c r="T485" s="1407"/>
      <c r="U485" s="1407"/>
    </row>
    <row r="486" spans="1:21" ht="12">
      <c r="A486" s="639" t="s">
        <v>3948</v>
      </c>
      <c r="B486" s="1483">
        <v>42242</v>
      </c>
      <c r="C486" s="639" t="s">
        <v>881</v>
      </c>
      <c r="D486" s="1433" t="s">
        <v>3950</v>
      </c>
      <c r="E486" s="1435"/>
      <c r="F486" s="1437" t="s">
        <v>3951</v>
      </c>
      <c r="G486" s="1438"/>
      <c r="H486" s="1438"/>
      <c r="I486" s="1428"/>
      <c r="J486" s="1407"/>
      <c r="K486" s="1431"/>
      <c r="L486" s="1407"/>
      <c r="M486" s="1407"/>
      <c r="N486" s="1407"/>
      <c r="O486" s="1407"/>
      <c r="P486" s="1407"/>
      <c r="Q486" s="1407"/>
      <c r="R486" s="1407"/>
      <c r="S486" s="1407"/>
      <c r="T486" s="1407"/>
      <c r="U486" s="1407"/>
    </row>
    <row r="487" spans="1:21" ht="12">
      <c r="A487" s="639" t="s">
        <v>3948</v>
      </c>
      <c r="B487" s="1483">
        <v>42242</v>
      </c>
      <c r="C487" s="639" t="s">
        <v>881</v>
      </c>
      <c r="D487" s="1433" t="s">
        <v>3952</v>
      </c>
      <c r="E487" s="1435"/>
      <c r="F487" s="1437">
        <v>222000000000000</v>
      </c>
      <c r="G487" s="1438">
        <v>21900000000</v>
      </c>
      <c r="H487" s="1438">
        <v>33300000000000</v>
      </c>
      <c r="I487" s="1428"/>
      <c r="J487" s="1407"/>
      <c r="K487" s="1431">
        <f t="shared" ref="K487:K492" si="65">(32800000000/G487)*F487</f>
        <v>332493150684931.5</v>
      </c>
      <c r="L487" s="1407"/>
      <c r="M487" s="1407"/>
      <c r="N487" s="1407"/>
      <c r="O487" s="1407"/>
      <c r="P487" s="1407"/>
      <c r="Q487" s="1407"/>
      <c r="R487" s="1407"/>
      <c r="S487" s="1407"/>
      <c r="T487" s="1407"/>
      <c r="U487" s="1407"/>
    </row>
    <row r="488" spans="1:21" ht="12">
      <c r="A488" s="639" t="s">
        <v>3948</v>
      </c>
      <c r="B488" s="1483">
        <v>42242</v>
      </c>
      <c r="C488" s="639" t="s">
        <v>881</v>
      </c>
      <c r="D488" s="1433" t="s">
        <v>3953</v>
      </c>
      <c r="E488" s="1435"/>
      <c r="F488" s="1437">
        <v>145000000000000</v>
      </c>
      <c r="G488" s="1438">
        <v>21900000000</v>
      </c>
      <c r="H488" s="1438">
        <v>33300000000000</v>
      </c>
      <c r="I488" s="1428"/>
      <c r="J488" s="1407"/>
      <c r="K488" s="1431">
        <f t="shared" si="65"/>
        <v>217168949771689.5</v>
      </c>
      <c r="L488" s="1407"/>
      <c r="M488" s="1407"/>
      <c r="N488" s="1407"/>
      <c r="O488" s="1407"/>
      <c r="P488" s="1407"/>
      <c r="Q488" s="1407"/>
      <c r="R488" s="1407"/>
      <c r="S488" s="1407"/>
      <c r="T488" s="1407"/>
      <c r="U488" s="1407"/>
    </row>
    <row r="489" spans="1:21" ht="12">
      <c r="A489" s="639" t="s">
        <v>3948</v>
      </c>
      <c r="B489" s="1483">
        <v>42242</v>
      </c>
      <c r="C489" s="639" t="s">
        <v>881</v>
      </c>
      <c r="D489" s="1433" t="s">
        <v>3913</v>
      </c>
      <c r="E489" s="1435"/>
      <c r="F489" s="1437">
        <v>11800000000</v>
      </c>
      <c r="G489" s="1438">
        <v>21900000000</v>
      </c>
      <c r="H489" s="1438">
        <v>33300000000000</v>
      </c>
      <c r="I489" s="1428"/>
      <c r="J489" s="1407"/>
      <c r="K489" s="1431">
        <f t="shared" si="65"/>
        <v>17673059360.730591</v>
      </c>
      <c r="L489" s="1407"/>
      <c r="M489" s="1407"/>
      <c r="N489" s="1407"/>
      <c r="O489" s="1407"/>
      <c r="P489" s="1407"/>
      <c r="Q489" s="1407"/>
      <c r="R489" s="1407"/>
      <c r="S489" s="1407"/>
      <c r="T489" s="1407"/>
      <c r="U489" s="1407"/>
    </row>
    <row r="490" spans="1:21" ht="24">
      <c r="A490" s="639" t="s">
        <v>3948</v>
      </c>
      <c r="B490" s="1483">
        <v>42242</v>
      </c>
      <c r="C490" s="639" t="s">
        <v>881</v>
      </c>
      <c r="D490" s="1433" t="s">
        <v>3954</v>
      </c>
      <c r="E490" s="1435"/>
      <c r="F490" s="1437">
        <v>192000000000</v>
      </c>
      <c r="G490" s="1438">
        <v>21900000000</v>
      </c>
      <c r="H490" s="1438">
        <v>33300000000000</v>
      </c>
      <c r="I490" s="1428"/>
      <c r="J490" s="639" t="s">
        <v>3947</v>
      </c>
      <c r="K490" s="1431">
        <f t="shared" si="65"/>
        <v>287561643835.61639</v>
      </c>
      <c r="L490" s="1407"/>
      <c r="M490" s="1407"/>
      <c r="N490" s="1407"/>
      <c r="O490" s="1407"/>
      <c r="P490" s="1407"/>
      <c r="Q490" s="1407"/>
      <c r="R490" s="1407"/>
      <c r="S490" s="1407"/>
      <c r="T490" s="1407"/>
      <c r="U490" s="1407"/>
    </row>
    <row r="491" spans="1:21" ht="36">
      <c r="A491" s="639" t="s">
        <v>3948</v>
      </c>
      <c r="B491" s="1483">
        <v>42242</v>
      </c>
      <c r="C491" s="639" t="s">
        <v>881</v>
      </c>
      <c r="D491" s="1433" t="s">
        <v>3914</v>
      </c>
      <c r="E491" s="1435"/>
      <c r="F491" s="1437">
        <v>4780000000000</v>
      </c>
      <c r="G491" s="1438">
        <v>21900000000</v>
      </c>
      <c r="H491" s="1438">
        <v>33300000000000</v>
      </c>
      <c r="I491" s="1428"/>
      <c r="J491" s="639" t="s">
        <v>3955</v>
      </c>
      <c r="K491" s="1431">
        <f t="shared" si="65"/>
        <v>7159086757990.8672</v>
      </c>
      <c r="L491" s="1407"/>
      <c r="M491" s="1407"/>
      <c r="N491" s="1407"/>
      <c r="O491" s="1407"/>
      <c r="P491" s="1407"/>
      <c r="Q491" s="1407"/>
      <c r="R491" s="1407"/>
      <c r="S491" s="1407"/>
      <c r="T491" s="1407"/>
      <c r="U491" s="1407"/>
    </row>
    <row r="492" spans="1:21" ht="12">
      <c r="A492" s="639" t="s">
        <v>3948</v>
      </c>
      <c r="B492" s="1483">
        <v>42242</v>
      </c>
      <c r="C492" s="639" t="s">
        <v>881</v>
      </c>
      <c r="D492" s="1433" t="s">
        <v>3956</v>
      </c>
      <c r="E492" s="1435"/>
      <c r="F492" s="1437">
        <v>17200000000</v>
      </c>
      <c r="G492" s="1438">
        <v>21900000000</v>
      </c>
      <c r="H492" s="1438">
        <v>33300000000000</v>
      </c>
      <c r="I492" s="1428"/>
      <c r="J492" s="639" t="s">
        <v>3957</v>
      </c>
      <c r="K492" s="1431">
        <f t="shared" si="65"/>
        <v>25760730593.607304</v>
      </c>
      <c r="L492" s="1407"/>
      <c r="M492" s="1407"/>
      <c r="N492" s="1407"/>
      <c r="O492" s="1407"/>
      <c r="P492" s="1407"/>
      <c r="Q492" s="1407"/>
      <c r="R492" s="1407"/>
      <c r="S492" s="1407"/>
      <c r="T492" s="1407"/>
      <c r="U492" s="1407"/>
    </row>
    <row r="493" spans="1:21" ht="12">
      <c r="A493" s="1407"/>
      <c r="B493" s="1407"/>
      <c r="C493" s="1407"/>
      <c r="D493" s="1409"/>
      <c r="E493" s="1410"/>
      <c r="F493" s="1495"/>
      <c r="G493" s="1534"/>
      <c r="H493" s="1534"/>
      <c r="I493" s="1428"/>
      <c r="J493" s="1407"/>
      <c r="K493" s="1431"/>
      <c r="L493" s="1407"/>
      <c r="M493" s="1407"/>
      <c r="N493" s="1407"/>
      <c r="O493" s="1407"/>
      <c r="P493" s="1407"/>
      <c r="Q493" s="1407"/>
      <c r="R493" s="1407"/>
      <c r="S493" s="1407"/>
      <c r="T493" s="1407"/>
      <c r="U493" s="1407"/>
    </row>
    <row r="494" spans="1:21" ht="12">
      <c r="A494" s="639" t="s">
        <v>3958</v>
      </c>
      <c r="B494" s="1483">
        <v>42250</v>
      </c>
      <c r="C494" s="639" t="s">
        <v>881</v>
      </c>
      <c r="D494" s="1433" t="s">
        <v>3949</v>
      </c>
      <c r="E494" s="1435"/>
      <c r="F494" s="1437">
        <v>82100000000000</v>
      </c>
      <c r="G494" s="1438">
        <v>34800000000</v>
      </c>
      <c r="H494" s="1438">
        <v>29400000000000</v>
      </c>
      <c r="I494" s="1428"/>
      <c r="J494" s="1407"/>
      <c r="K494" s="1431">
        <f t="shared" ref="K494:K501" si="66">(32800000000/G494)*F494</f>
        <v>77381609195402.297</v>
      </c>
      <c r="L494" s="1407"/>
      <c r="M494" s="1407"/>
      <c r="N494" s="1407"/>
      <c r="O494" s="1407"/>
      <c r="P494" s="1407"/>
      <c r="Q494" s="1407"/>
      <c r="R494" s="1407"/>
      <c r="S494" s="1407"/>
      <c r="T494" s="1407"/>
      <c r="U494" s="1407"/>
    </row>
    <row r="495" spans="1:21" ht="12">
      <c r="A495" s="639" t="s">
        <v>3958</v>
      </c>
      <c r="B495" s="1483">
        <v>42250</v>
      </c>
      <c r="C495" s="639" t="s">
        <v>881</v>
      </c>
      <c r="D495" s="1433" t="s">
        <v>3950</v>
      </c>
      <c r="E495" s="1435"/>
      <c r="F495" s="1437">
        <v>76500000000000</v>
      </c>
      <c r="G495" s="1438">
        <v>34800000000</v>
      </c>
      <c r="H495" s="1438">
        <v>29400000000000</v>
      </c>
      <c r="I495" s="1428"/>
      <c r="J495" s="1407"/>
      <c r="K495" s="1431">
        <f t="shared" si="66"/>
        <v>72103448275862.062</v>
      </c>
      <c r="L495" s="1407"/>
      <c r="M495" s="1407"/>
      <c r="N495" s="1407"/>
      <c r="O495" s="1407"/>
      <c r="P495" s="1407"/>
      <c r="Q495" s="1407"/>
      <c r="R495" s="1407"/>
      <c r="S495" s="1407"/>
      <c r="T495" s="1407"/>
      <c r="U495" s="1407"/>
    </row>
    <row r="496" spans="1:21" ht="12">
      <c r="A496" s="639" t="s">
        <v>3958</v>
      </c>
      <c r="B496" s="1483">
        <v>42250</v>
      </c>
      <c r="C496" s="639" t="s">
        <v>881</v>
      </c>
      <c r="D496" s="1433" t="s">
        <v>3959</v>
      </c>
      <c r="E496" s="1435"/>
      <c r="F496" s="1437">
        <v>157000000000000</v>
      </c>
      <c r="G496" s="1438">
        <v>34800000000</v>
      </c>
      <c r="H496" s="1438">
        <v>29400000000000</v>
      </c>
      <c r="I496" s="1428"/>
      <c r="J496" s="1407"/>
      <c r="K496" s="1431">
        <f t="shared" si="66"/>
        <v>147977011494252.88</v>
      </c>
      <c r="L496" s="1407"/>
      <c r="M496" s="1407"/>
      <c r="N496" s="1407"/>
      <c r="O496" s="1407"/>
      <c r="P496" s="1407"/>
      <c r="Q496" s="1407"/>
      <c r="R496" s="1407"/>
      <c r="S496" s="1407"/>
      <c r="T496" s="1407"/>
      <c r="U496" s="1407"/>
    </row>
    <row r="497" spans="1:21" ht="12">
      <c r="A497" s="639" t="s">
        <v>3958</v>
      </c>
      <c r="B497" s="1483">
        <v>42250</v>
      </c>
      <c r="C497" s="639" t="s">
        <v>881</v>
      </c>
      <c r="D497" s="1433" t="s">
        <v>3960</v>
      </c>
      <c r="E497" s="1435"/>
      <c r="F497" s="1437">
        <v>8250000000000</v>
      </c>
      <c r="G497" s="1438">
        <v>34800000000</v>
      </c>
      <c r="H497" s="1438">
        <v>29400000000000</v>
      </c>
      <c r="I497" s="1428"/>
      <c r="J497" s="1407"/>
      <c r="K497" s="1431">
        <f t="shared" si="66"/>
        <v>7775862068965.5166</v>
      </c>
      <c r="L497" s="1407"/>
      <c r="M497" s="1407"/>
      <c r="N497" s="1407"/>
      <c r="O497" s="1407"/>
      <c r="P497" s="1407"/>
      <c r="Q497" s="1407"/>
      <c r="R497" s="1407"/>
      <c r="S497" s="1407"/>
      <c r="T497" s="1407"/>
      <c r="U497" s="1407"/>
    </row>
    <row r="498" spans="1:21" ht="12">
      <c r="A498" s="639" t="s">
        <v>3958</v>
      </c>
      <c r="B498" s="1483">
        <v>42250</v>
      </c>
      <c r="C498" s="639" t="s">
        <v>881</v>
      </c>
      <c r="D498" s="1433" t="s">
        <v>3961</v>
      </c>
      <c r="E498" s="1435"/>
      <c r="F498" s="1437">
        <v>132000000000000</v>
      </c>
      <c r="G498" s="1438">
        <v>34800000000</v>
      </c>
      <c r="H498" s="1438">
        <v>29400000000000</v>
      </c>
      <c r="I498" s="1428"/>
      <c r="J498" s="1407"/>
      <c r="K498" s="1431">
        <f t="shared" si="66"/>
        <v>124413793103448.27</v>
      </c>
      <c r="L498" s="1407"/>
      <c r="M498" s="1407"/>
      <c r="N498" s="1407"/>
      <c r="O498" s="1407"/>
      <c r="P498" s="1407"/>
      <c r="Q498" s="1407"/>
      <c r="R498" s="1407"/>
      <c r="S498" s="1407"/>
      <c r="T498" s="1407"/>
      <c r="U498" s="1407"/>
    </row>
    <row r="499" spans="1:21" ht="12">
      <c r="A499" s="639" t="s">
        <v>3958</v>
      </c>
      <c r="B499" s="1483">
        <v>42250</v>
      </c>
      <c r="C499" s="639" t="s">
        <v>881</v>
      </c>
      <c r="D499" s="1433" t="s">
        <v>3913</v>
      </c>
      <c r="E499" s="1435"/>
      <c r="F499" s="1437">
        <v>10000000000</v>
      </c>
      <c r="G499" s="1438">
        <v>34800000000</v>
      </c>
      <c r="H499" s="1438">
        <v>29400000000000</v>
      </c>
      <c r="I499" s="1428"/>
      <c r="J499" s="1407"/>
      <c r="K499" s="1431">
        <f t="shared" si="66"/>
        <v>9425287356.3218384</v>
      </c>
      <c r="L499" s="1407"/>
      <c r="M499" s="1407"/>
      <c r="N499" s="1407"/>
      <c r="O499" s="1407"/>
      <c r="P499" s="1407"/>
      <c r="Q499" s="1407"/>
      <c r="R499" s="1407"/>
      <c r="S499" s="1407"/>
      <c r="T499" s="1407"/>
      <c r="U499" s="1407"/>
    </row>
    <row r="500" spans="1:21" ht="24">
      <c r="A500" s="639" t="s">
        <v>3958</v>
      </c>
      <c r="B500" s="1483">
        <v>42250</v>
      </c>
      <c r="C500" s="639" t="s">
        <v>881</v>
      </c>
      <c r="D500" s="1433" t="s">
        <v>3954</v>
      </c>
      <c r="E500" s="1435"/>
      <c r="F500" s="1437">
        <v>116000000000</v>
      </c>
      <c r="G500" s="1438">
        <v>34800000000</v>
      </c>
      <c r="H500" s="1438">
        <v>29400000000000</v>
      </c>
      <c r="I500" s="1428"/>
      <c r="J500" s="639" t="s">
        <v>3947</v>
      </c>
      <c r="K500" s="1431">
        <f t="shared" si="66"/>
        <v>109333333333.33333</v>
      </c>
      <c r="L500" s="1407"/>
      <c r="M500" s="1407"/>
      <c r="N500" s="1407"/>
      <c r="O500" s="1407"/>
      <c r="P500" s="1407"/>
      <c r="Q500" s="1407"/>
      <c r="R500" s="1407"/>
      <c r="S500" s="1407"/>
      <c r="T500" s="1407"/>
      <c r="U500" s="1407"/>
    </row>
    <row r="501" spans="1:21" ht="24">
      <c r="A501" s="639" t="s">
        <v>3958</v>
      </c>
      <c r="B501" s="1483">
        <v>42250</v>
      </c>
      <c r="C501" s="639" t="s">
        <v>881</v>
      </c>
      <c r="D501" s="1433" t="s">
        <v>3954</v>
      </c>
      <c r="E501" s="1435"/>
      <c r="F501" s="1437">
        <v>205000000000</v>
      </c>
      <c r="G501" s="1438">
        <v>34800000000</v>
      </c>
      <c r="H501" s="1438">
        <v>29400000000000</v>
      </c>
      <c r="I501" s="1428"/>
      <c r="J501" s="639" t="s">
        <v>3962</v>
      </c>
      <c r="K501" s="1431">
        <f t="shared" si="66"/>
        <v>193218390804.59769</v>
      </c>
      <c r="L501" s="1407"/>
      <c r="M501" s="1407"/>
      <c r="N501" s="1407"/>
      <c r="O501" s="1407"/>
      <c r="P501" s="1407"/>
      <c r="Q501" s="1407"/>
      <c r="R501" s="1407"/>
      <c r="S501" s="1407"/>
      <c r="T501" s="1407"/>
      <c r="U501" s="1407"/>
    </row>
    <row r="502" spans="1:21" ht="12">
      <c r="A502" s="1407"/>
      <c r="B502" s="1407"/>
      <c r="C502" s="1407"/>
      <c r="D502" s="1409"/>
      <c r="E502" s="1410"/>
      <c r="F502" s="1495"/>
      <c r="G502" s="1534"/>
      <c r="H502" s="1534"/>
      <c r="I502" s="1428"/>
      <c r="J502" s="1407"/>
      <c r="K502" s="1431"/>
      <c r="L502" s="1407"/>
      <c r="M502" s="1407"/>
      <c r="N502" s="1407"/>
      <c r="O502" s="1407"/>
      <c r="P502" s="1407"/>
      <c r="Q502" s="1407"/>
      <c r="R502" s="1407"/>
      <c r="S502" s="1407"/>
      <c r="T502" s="1407"/>
      <c r="U502" s="1407"/>
    </row>
    <row r="503" spans="1:21" ht="12">
      <c r="A503" s="639" t="s">
        <v>3963</v>
      </c>
      <c r="B503" s="1483">
        <v>42257</v>
      </c>
      <c r="C503" s="639" t="s">
        <v>925</v>
      </c>
      <c r="D503" s="1433" t="s">
        <v>3964</v>
      </c>
      <c r="E503" s="1435"/>
      <c r="F503" s="1437">
        <v>59100000000000</v>
      </c>
      <c r="G503" s="1438" t="s">
        <v>3965</v>
      </c>
      <c r="H503" s="1438" t="s">
        <v>3966</v>
      </c>
      <c r="I503" s="1428"/>
      <c r="J503" s="1407"/>
      <c r="K503" s="1431"/>
      <c r="L503" s="1407"/>
      <c r="M503" s="1407"/>
      <c r="N503" s="1407"/>
      <c r="O503" s="1407"/>
      <c r="P503" s="1407"/>
      <c r="Q503" s="1407"/>
      <c r="R503" s="1407"/>
      <c r="S503" s="1407"/>
      <c r="T503" s="1407"/>
      <c r="U503" s="1407"/>
    </row>
    <row r="504" spans="1:21" ht="12">
      <c r="A504" s="639" t="s">
        <v>3963</v>
      </c>
      <c r="B504" s="1483">
        <v>42257</v>
      </c>
      <c r="C504" s="639" t="s">
        <v>925</v>
      </c>
      <c r="D504" s="1433" t="s">
        <v>3967</v>
      </c>
      <c r="E504" s="1435"/>
      <c r="F504" s="1437">
        <v>189000000000000</v>
      </c>
      <c r="G504" s="1438" t="s">
        <v>3965</v>
      </c>
      <c r="H504" s="1438" t="s">
        <v>3966</v>
      </c>
      <c r="I504" s="1428"/>
      <c r="J504" s="1407"/>
      <c r="K504" s="1431"/>
      <c r="L504" s="1407"/>
      <c r="M504" s="1407"/>
      <c r="N504" s="1407"/>
      <c r="O504" s="1407"/>
      <c r="P504" s="1407"/>
      <c r="Q504" s="1407"/>
      <c r="R504" s="1407"/>
      <c r="S504" s="1407"/>
      <c r="T504" s="1407"/>
      <c r="U504" s="1407"/>
    </row>
    <row r="505" spans="1:21" ht="12">
      <c r="A505" s="639" t="s">
        <v>3963</v>
      </c>
      <c r="B505" s="1483">
        <v>42257</v>
      </c>
      <c r="C505" s="639" t="s">
        <v>925</v>
      </c>
      <c r="D505" s="1433" t="s">
        <v>3968</v>
      </c>
      <c r="E505" s="1435"/>
      <c r="F505" s="1437">
        <v>545000000000</v>
      </c>
      <c r="G505" s="1438" t="s">
        <v>3965</v>
      </c>
      <c r="H505" s="1438" t="s">
        <v>3966</v>
      </c>
      <c r="I505" s="1428"/>
      <c r="J505" s="1407"/>
      <c r="K505" s="1431"/>
      <c r="L505" s="1407"/>
      <c r="M505" s="1407"/>
      <c r="N505" s="1407"/>
      <c r="O505" s="1407"/>
      <c r="P505" s="1407"/>
      <c r="Q505" s="1407"/>
      <c r="R505" s="1407"/>
      <c r="S505" s="1407"/>
      <c r="T505" s="1407"/>
      <c r="U505" s="1407"/>
    </row>
    <row r="506" spans="1:21" ht="12">
      <c r="A506" s="639" t="s">
        <v>3963</v>
      </c>
      <c r="B506" s="1483">
        <v>42257</v>
      </c>
      <c r="C506" s="639" t="s">
        <v>925</v>
      </c>
      <c r="D506" s="1433" t="s">
        <v>3969</v>
      </c>
      <c r="E506" s="1435"/>
      <c r="F506" s="1437">
        <v>266000000000000</v>
      </c>
      <c r="G506" s="1438" t="s">
        <v>3965</v>
      </c>
      <c r="H506" s="1438" t="s">
        <v>3966</v>
      </c>
      <c r="I506" s="1428"/>
      <c r="J506" s="1407"/>
      <c r="K506" s="1431"/>
      <c r="L506" s="1407"/>
      <c r="M506" s="1407"/>
      <c r="N506" s="1407"/>
      <c r="O506" s="1407"/>
      <c r="P506" s="1407"/>
      <c r="Q506" s="1407"/>
      <c r="R506" s="1407"/>
      <c r="S506" s="1407"/>
      <c r="T506" s="1407"/>
      <c r="U506" s="1407"/>
    </row>
    <row r="507" spans="1:21" ht="12">
      <c r="A507" s="639" t="s">
        <v>3963</v>
      </c>
      <c r="B507" s="1483">
        <v>42257</v>
      </c>
      <c r="C507" s="639" t="s">
        <v>925</v>
      </c>
      <c r="D507" s="1433" t="s">
        <v>3971</v>
      </c>
      <c r="E507" s="1435"/>
      <c r="F507" s="1437">
        <v>721000000000000</v>
      </c>
      <c r="G507" s="1438" t="s">
        <v>3965</v>
      </c>
      <c r="H507" s="1438" t="s">
        <v>3966</v>
      </c>
      <c r="I507" s="1428"/>
      <c r="J507" s="1407"/>
      <c r="K507" s="1431"/>
      <c r="L507" s="1407"/>
      <c r="M507" s="1407"/>
      <c r="N507" s="1407"/>
      <c r="O507" s="1407"/>
      <c r="P507" s="1407"/>
      <c r="Q507" s="1407"/>
      <c r="R507" s="1407"/>
      <c r="S507" s="1407"/>
      <c r="T507" s="1407"/>
      <c r="U507" s="1407"/>
    </row>
    <row r="508" spans="1:21" ht="12">
      <c r="A508" s="1407"/>
      <c r="B508" s="1407"/>
      <c r="C508" s="1407"/>
      <c r="D508" s="1409"/>
      <c r="E508" s="1410"/>
      <c r="F508" s="1495"/>
      <c r="G508" s="1534"/>
      <c r="H508" s="1534"/>
      <c r="I508" s="1428"/>
      <c r="J508" s="1407"/>
      <c r="K508" s="1431"/>
      <c r="L508" s="1407"/>
      <c r="M508" s="1407"/>
      <c r="N508" s="1407"/>
      <c r="O508" s="1407"/>
      <c r="P508" s="1407"/>
      <c r="Q508" s="1407"/>
      <c r="R508" s="1407"/>
      <c r="S508" s="1407"/>
      <c r="T508" s="1407"/>
      <c r="U508" s="1407"/>
    </row>
    <row r="509" spans="1:21" ht="12">
      <c r="A509" s="639" t="s">
        <v>3972</v>
      </c>
      <c r="B509" s="1483">
        <v>42272</v>
      </c>
      <c r="C509" s="639" t="s">
        <v>881</v>
      </c>
      <c r="D509" s="1433" t="s">
        <v>3964</v>
      </c>
      <c r="E509" s="1797"/>
      <c r="F509" s="1799">
        <v>180000000000000</v>
      </c>
      <c r="G509" s="1801">
        <v>4260000000000</v>
      </c>
      <c r="H509" s="1801">
        <v>205000000000000</v>
      </c>
      <c r="I509" s="1428"/>
      <c r="J509" s="1407"/>
      <c r="K509" s="1431">
        <f t="shared" ref="K509:K515" si="67">(32800000000/G509)*F509</f>
        <v>1385915492957.7463</v>
      </c>
      <c r="L509" s="1407"/>
      <c r="M509" s="1407"/>
      <c r="N509" s="1407"/>
      <c r="O509" s="1407"/>
      <c r="P509" s="1407"/>
      <c r="Q509" s="1407"/>
      <c r="R509" s="1407"/>
      <c r="S509" s="1407"/>
      <c r="T509" s="1407"/>
      <c r="U509" s="1407"/>
    </row>
    <row r="510" spans="1:21" ht="12">
      <c r="A510" s="639" t="s">
        <v>3972</v>
      </c>
      <c r="B510" s="1483">
        <v>42272</v>
      </c>
      <c r="C510" s="639" t="s">
        <v>881</v>
      </c>
      <c r="D510" s="1433" t="s">
        <v>3967</v>
      </c>
      <c r="E510" s="1797"/>
      <c r="F510" s="1799">
        <v>556000000000000</v>
      </c>
      <c r="G510" s="1801">
        <v>4260000000000</v>
      </c>
      <c r="H510" s="1801">
        <v>205000000000000</v>
      </c>
      <c r="I510" s="1428"/>
      <c r="J510" s="1407"/>
      <c r="K510" s="1431">
        <f t="shared" si="67"/>
        <v>4280938967136.1499</v>
      </c>
      <c r="L510" s="1407"/>
      <c r="M510" s="1407"/>
      <c r="N510" s="1407"/>
      <c r="O510" s="1407"/>
      <c r="P510" s="1407"/>
      <c r="Q510" s="1407"/>
      <c r="R510" s="1407"/>
      <c r="S510" s="1407"/>
      <c r="T510" s="1407"/>
      <c r="U510" s="1407"/>
    </row>
    <row r="511" spans="1:21" ht="12">
      <c r="A511" s="639" t="s">
        <v>3972</v>
      </c>
      <c r="B511" s="1483">
        <v>42272</v>
      </c>
      <c r="C511" s="639" t="s">
        <v>881</v>
      </c>
      <c r="D511" s="1433" t="s">
        <v>3968</v>
      </c>
      <c r="E511" s="1797"/>
      <c r="F511" s="1799">
        <v>2570000000000</v>
      </c>
      <c r="G511" s="1801">
        <v>4260000000000</v>
      </c>
      <c r="H511" s="1801">
        <v>205000000000000</v>
      </c>
      <c r="I511" s="1428"/>
      <c r="J511" s="1407"/>
      <c r="K511" s="1431">
        <f t="shared" si="67"/>
        <v>19787793427.230045</v>
      </c>
      <c r="L511" s="1407"/>
      <c r="M511" s="1407"/>
      <c r="N511" s="1407"/>
      <c r="O511" s="1407"/>
      <c r="P511" s="1407"/>
      <c r="Q511" s="1407"/>
      <c r="R511" s="1407"/>
      <c r="S511" s="1407"/>
      <c r="T511" s="1407"/>
      <c r="U511" s="1407"/>
    </row>
    <row r="512" spans="1:21" ht="12">
      <c r="A512" s="639" t="s">
        <v>3972</v>
      </c>
      <c r="B512" s="1483">
        <v>42272</v>
      </c>
      <c r="C512" s="639" t="s">
        <v>881</v>
      </c>
      <c r="D512" s="1433" t="s">
        <v>3969</v>
      </c>
      <c r="E512" s="1797"/>
      <c r="F512" s="1799">
        <v>624000000000000</v>
      </c>
      <c r="G512" s="1801">
        <v>4260000000000</v>
      </c>
      <c r="H512" s="1801">
        <v>205000000000000</v>
      </c>
      <c r="I512" s="1428"/>
      <c r="J512" s="1407"/>
      <c r="K512" s="1431">
        <f t="shared" si="67"/>
        <v>4804507042253.5205</v>
      </c>
      <c r="L512" s="1407"/>
      <c r="M512" s="1407"/>
      <c r="N512" s="1407"/>
      <c r="O512" s="1407"/>
      <c r="P512" s="1407"/>
      <c r="Q512" s="1407"/>
      <c r="R512" s="1407"/>
      <c r="S512" s="1407"/>
      <c r="T512" s="1407"/>
      <c r="U512" s="1407"/>
    </row>
    <row r="513" spans="1:21" ht="12">
      <c r="A513" s="639" t="s">
        <v>3972</v>
      </c>
      <c r="B513" s="1483">
        <v>42272</v>
      </c>
      <c r="C513" s="639" t="s">
        <v>881</v>
      </c>
      <c r="D513" s="1433" t="s">
        <v>3971</v>
      </c>
      <c r="E513" s="1797"/>
      <c r="F513" s="1799">
        <v>2530000000000000</v>
      </c>
      <c r="G513" s="1801">
        <v>4260000000000</v>
      </c>
      <c r="H513" s="1801">
        <v>205000000000000</v>
      </c>
      <c r="I513" s="1428"/>
      <c r="J513" s="1407"/>
      <c r="K513" s="1431">
        <f t="shared" si="67"/>
        <v>19479812206572.77</v>
      </c>
      <c r="L513" s="1407"/>
      <c r="M513" s="1407"/>
      <c r="N513" s="1407"/>
      <c r="O513" s="1407"/>
      <c r="P513" s="1407"/>
      <c r="Q513" s="1407"/>
      <c r="R513" s="1407"/>
      <c r="S513" s="1407"/>
      <c r="T513" s="1407"/>
      <c r="U513" s="1407"/>
    </row>
    <row r="514" spans="1:21" ht="12">
      <c r="A514" s="639" t="s">
        <v>3972</v>
      </c>
      <c r="B514" s="1483">
        <v>42272</v>
      </c>
      <c r="C514" s="639" t="s">
        <v>881</v>
      </c>
      <c r="D514" s="1433" t="s">
        <v>3913</v>
      </c>
      <c r="E514" s="1797"/>
      <c r="F514" s="1799">
        <v>180000000000</v>
      </c>
      <c r="G514" s="1801">
        <v>4260000000000</v>
      </c>
      <c r="H514" s="1801">
        <v>205000000000000</v>
      </c>
      <c r="I514" s="1428"/>
      <c r="J514" s="1407"/>
      <c r="K514" s="1431">
        <f t="shared" si="67"/>
        <v>1385915492.9577465</v>
      </c>
      <c r="L514" s="1407"/>
      <c r="M514" s="1407"/>
      <c r="N514" s="1407"/>
      <c r="O514" s="1407"/>
      <c r="P514" s="1407"/>
      <c r="Q514" s="1407"/>
      <c r="R514" s="1407"/>
      <c r="S514" s="1407"/>
      <c r="T514" s="1407"/>
      <c r="U514" s="1407"/>
    </row>
    <row r="515" spans="1:21" ht="12">
      <c r="A515" s="639" t="s">
        <v>3972</v>
      </c>
      <c r="B515" s="1483">
        <v>42272</v>
      </c>
      <c r="C515" s="639" t="s">
        <v>881</v>
      </c>
      <c r="D515" s="1433" t="s">
        <v>3954</v>
      </c>
      <c r="E515" s="1797"/>
      <c r="F515" s="1799">
        <v>284000000000</v>
      </c>
      <c r="G515" s="1801">
        <v>4260000000000</v>
      </c>
      <c r="H515" s="1801">
        <v>205000000000000</v>
      </c>
      <c r="I515" s="1428"/>
      <c r="J515" s="1407"/>
      <c r="K515" s="1431">
        <f t="shared" si="67"/>
        <v>2186666666.6666665</v>
      </c>
      <c r="L515" s="1407"/>
      <c r="M515" s="1407"/>
      <c r="N515" s="1407"/>
      <c r="O515" s="1407"/>
      <c r="P515" s="1407"/>
      <c r="Q515" s="1407"/>
      <c r="R515" s="1407"/>
      <c r="S515" s="1407"/>
      <c r="T515" s="1407"/>
      <c r="U515" s="1407"/>
    </row>
    <row r="516" spans="1:21" ht="12">
      <c r="A516" s="639"/>
      <c r="B516" s="1483"/>
      <c r="C516" s="639"/>
      <c r="D516" s="1409"/>
      <c r="E516" s="1410"/>
      <c r="F516" s="1495"/>
      <c r="G516" s="1534"/>
      <c r="H516" s="1534"/>
      <c r="I516" s="1428"/>
      <c r="J516" s="1407"/>
      <c r="K516" s="1431"/>
      <c r="L516" s="1407"/>
      <c r="M516" s="1407"/>
      <c r="N516" s="1407"/>
      <c r="O516" s="1407"/>
      <c r="P516" s="1407"/>
      <c r="Q516" s="1407"/>
      <c r="R516" s="1407"/>
      <c r="S516" s="1407"/>
      <c r="T516" s="1407"/>
      <c r="U516" s="1407"/>
    </row>
    <row r="517" spans="1:21" ht="12">
      <c r="A517" s="639" t="s">
        <v>3974</v>
      </c>
      <c r="B517" s="1483">
        <v>42276</v>
      </c>
      <c r="C517" s="639" t="s">
        <v>95</v>
      </c>
      <c r="D517" s="1433" t="s">
        <v>3964</v>
      </c>
      <c r="E517" s="1797"/>
      <c r="F517" s="1799">
        <v>7930000000000</v>
      </c>
      <c r="G517" s="1801">
        <v>3950000000</v>
      </c>
      <c r="H517" s="1801">
        <v>2191000000000</v>
      </c>
      <c r="I517" s="1428"/>
      <c r="J517" s="1407"/>
      <c r="K517" s="1431">
        <f t="shared" ref="K517:K523" si="68">(32800000000/G517)*F517</f>
        <v>65849113924050.633</v>
      </c>
      <c r="L517" s="1407"/>
      <c r="M517" s="1407"/>
      <c r="N517" s="1407"/>
      <c r="O517" s="1407"/>
      <c r="P517" s="1407"/>
      <c r="Q517" s="1407"/>
      <c r="R517" s="1407"/>
      <c r="S517" s="1407"/>
      <c r="T517" s="1407"/>
      <c r="U517" s="1407"/>
    </row>
    <row r="518" spans="1:21" ht="12">
      <c r="A518" s="639" t="s">
        <v>3974</v>
      </c>
      <c r="B518" s="1483">
        <v>42276</v>
      </c>
      <c r="C518" s="639" t="s">
        <v>95</v>
      </c>
      <c r="D518" s="1433" t="s">
        <v>3967</v>
      </c>
      <c r="E518" s="1797"/>
      <c r="F518" s="1799">
        <v>33400000000000</v>
      </c>
      <c r="G518" s="1801">
        <v>3950000000</v>
      </c>
      <c r="H518" s="1801">
        <v>2191000000000</v>
      </c>
      <c r="I518" s="1428"/>
      <c r="J518" s="1407"/>
      <c r="K518" s="1431">
        <f t="shared" si="68"/>
        <v>277346835443037.97</v>
      </c>
      <c r="L518" s="1407"/>
      <c r="M518" s="1407"/>
      <c r="N518" s="1407"/>
      <c r="O518" s="1407"/>
      <c r="P518" s="1407"/>
      <c r="Q518" s="1407"/>
      <c r="R518" s="1407"/>
      <c r="S518" s="1407"/>
      <c r="T518" s="1407"/>
      <c r="U518" s="1407"/>
    </row>
    <row r="519" spans="1:21" ht="12">
      <c r="A519" s="639" t="s">
        <v>3974</v>
      </c>
      <c r="B519" s="1483">
        <v>42276</v>
      </c>
      <c r="C519" s="639" t="s">
        <v>95</v>
      </c>
      <c r="D519" s="1433" t="s">
        <v>3968</v>
      </c>
      <c r="E519" s="1797"/>
      <c r="F519" s="1799">
        <v>95100000000</v>
      </c>
      <c r="G519" s="1801">
        <v>3950000000</v>
      </c>
      <c r="H519" s="1801">
        <v>2191000000000</v>
      </c>
      <c r="I519" s="1428"/>
      <c r="J519" s="1407"/>
      <c r="K519" s="1431">
        <f t="shared" si="68"/>
        <v>789691139240.50635</v>
      </c>
      <c r="L519" s="1407"/>
      <c r="M519" s="1407"/>
      <c r="N519" s="1407"/>
      <c r="O519" s="1407"/>
      <c r="P519" s="1407"/>
      <c r="Q519" s="1407"/>
      <c r="R519" s="1407"/>
      <c r="S519" s="1407"/>
      <c r="T519" s="1407"/>
      <c r="U519" s="1407"/>
    </row>
    <row r="520" spans="1:21" ht="12">
      <c r="A520" s="639" t="s">
        <v>3974</v>
      </c>
      <c r="B520" s="1483">
        <v>42276</v>
      </c>
      <c r="C520" s="639" t="s">
        <v>95</v>
      </c>
      <c r="D520" s="1433" t="s">
        <v>3969</v>
      </c>
      <c r="E520" s="1797"/>
      <c r="F520" s="1799">
        <v>42000000000000</v>
      </c>
      <c r="G520" s="1801">
        <v>3950000000</v>
      </c>
      <c r="H520" s="1801">
        <v>2191000000000</v>
      </c>
      <c r="I520" s="1428"/>
      <c r="J520" s="1407"/>
      <c r="K520" s="1431">
        <f t="shared" si="68"/>
        <v>348759493670886.06</v>
      </c>
      <c r="L520" s="1407"/>
      <c r="M520" s="1407"/>
      <c r="N520" s="1407"/>
      <c r="O520" s="1407"/>
      <c r="P520" s="1407"/>
      <c r="Q520" s="1407"/>
      <c r="R520" s="1407"/>
      <c r="S520" s="1407"/>
      <c r="T520" s="1407"/>
      <c r="U520" s="1407"/>
    </row>
    <row r="521" spans="1:21" ht="12">
      <c r="A521" s="639" t="s">
        <v>3974</v>
      </c>
      <c r="B521" s="1483">
        <v>42276</v>
      </c>
      <c r="C521" s="639" t="s">
        <v>95</v>
      </c>
      <c r="D521" s="1433" t="s">
        <v>3971</v>
      </c>
      <c r="E521" s="1797"/>
      <c r="F521" s="1799">
        <v>130000000000000</v>
      </c>
      <c r="G521" s="1801">
        <v>3950000000</v>
      </c>
      <c r="H521" s="1801">
        <v>2191000000000</v>
      </c>
      <c r="I521" s="1428"/>
      <c r="J521" s="1407"/>
      <c r="K521" s="1431">
        <f t="shared" si="68"/>
        <v>1079493670886075.9</v>
      </c>
      <c r="L521" s="1407"/>
      <c r="M521" s="1407"/>
      <c r="N521" s="1407"/>
      <c r="O521" s="1407"/>
      <c r="P521" s="1407"/>
      <c r="Q521" s="1407"/>
      <c r="R521" s="1407"/>
      <c r="S521" s="1407"/>
      <c r="T521" s="1407"/>
      <c r="U521" s="1407"/>
    </row>
    <row r="522" spans="1:21" ht="12">
      <c r="A522" s="639" t="s">
        <v>3975</v>
      </c>
      <c r="B522" s="1483">
        <v>42276</v>
      </c>
      <c r="C522" s="639" t="s">
        <v>95</v>
      </c>
      <c r="D522" s="1433" t="s">
        <v>3913</v>
      </c>
      <c r="E522" s="1797"/>
      <c r="F522" s="1799">
        <v>2740000000</v>
      </c>
      <c r="G522" s="1801">
        <v>3950000000</v>
      </c>
      <c r="H522" s="1801">
        <v>2191000000000</v>
      </c>
      <c r="I522" s="1428"/>
      <c r="J522" s="1407"/>
      <c r="K522" s="1431">
        <f t="shared" si="68"/>
        <v>22752405063.291138</v>
      </c>
      <c r="L522" s="1407"/>
      <c r="M522" s="1407"/>
      <c r="N522" s="1407"/>
      <c r="O522" s="1407"/>
      <c r="P522" s="1407"/>
      <c r="Q522" s="1407"/>
      <c r="R522" s="1407"/>
      <c r="S522" s="1407"/>
      <c r="T522" s="1407"/>
      <c r="U522" s="1407"/>
    </row>
    <row r="523" spans="1:21" ht="12">
      <c r="A523" s="639" t="s">
        <v>3974</v>
      </c>
      <c r="B523" s="1483">
        <v>42276</v>
      </c>
      <c r="C523" s="639" t="s">
        <v>95</v>
      </c>
      <c r="D523" s="1433" t="s">
        <v>3954</v>
      </c>
      <c r="E523" s="1797"/>
      <c r="F523" s="1799">
        <v>15900000000</v>
      </c>
      <c r="G523" s="1801">
        <v>3950000000</v>
      </c>
      <c r="H523" s="1801">
        <v>2191000000000</v>
      </c>
      <c r="I523" s="1428"/>
      <c r="J523" s="1407"/>
      <c r="K523" s="1431">
        <f t="shared" si="68"/>
        <v>132030379746.83543</v>
      </c>
      <c r="L523" s="1407"/>
      <c r="M523" s="1407"/>
      <c r="N523" s="1407"/>
      <c r="O523" s="1407"/>
      <c r="P523" s="1407"/>
      <c r="Q523" s="1407"/>
      <c r="R523" s="1407"/>
      <c r="S523" s="1407"/>
      <c r="T523" s="1407"/>
      <c r="U523" s="1407"/>
    </row>
    <row r="524" spans="1:21" ht="24">
      <c r="A524" s="1407"/>
      <c r="B524" s="1407"/>
      <c r="C524" s="639"/>
      <c r="D524" s="1409"/>
      <c r="E524" s="1410"/>
      <c r="F524" s="1495"/>
      <c r="G524" s="1438" t="s">
        <v>3976</v>
      </c>
      <c r="H524" s="1534"/>
      <c r="I524" s="1428"/>
      <c r="J524" s="1407"/>
      <c r="K524" s="1431"/>
      <c r="L524" s="1407"/>
      <c r="M524" s="1407"/>
      <c r="N524" s="1407"/>
      <c r="O524" s="1407"/>
      <c r="P524" s="1407"/>
      <c r="Q524" s="1407"/>
      <c r="R524" s="1407"/>
      <c r="S524" s="1407"/>
      <c r="T524" s="1407"/>
      <c r="U524" s="1407"/>
    </row>
    <row r="525" spans="1:21" ht="12">
      <c r="A525" s="639" t="s">
        <v>3977</v>
      </c>
      <c r="B525" s="1483">
        <v>42284</v>
      </c>
      <c r="C525" s="639" t="s">
        <v>881</v>
      </c>
      <c r="D525" s="1433" t="s">
        <v>3978</v>
      </c>
      <c r="E525" s="1435"/>
      <c r="F525" s="1437">
        <v>4810000000000</v>
      </c>
      <c r="G525" s="1435">
        <v>20900000000</v>
      </c>
      <c r="H525" s="1438">
        <v>123000000000000</v>
      </c>
      <c r="I525" s="1428"/>
      <c r="J525" s="1407"/>
      <c r="K525" s="1431">
        <f t="shared" ref="K525:K532" si="69">(32800000000/G525)*F525</f>
        <v>7548708133971.292</v>
      </c>
      <c r="L525" s="1407"/>
      <c r="M525" s="1407"/>
      <c r="N525" s="1407"/>
      <c r="O525" s="1407"/>
      <c r="P525" s="1407"/>
      <c r="Q525" s="1407"/>
      <c r="R525" s="1407"/>
      <c r="S525" s="1407"/>
      <c r="T525" s="1407"/>
      <c r="U525" s="1407"/>
    </row>
    <row r="526" spans="1:21" ht="12">
      <c r="A526" s="639" t="s">
        <v>3977</v>
      </c>
      <c r="B526" s="1483">
        <v>42284</v>
      </c>
      <c r="C526" s="639" t="s">
        <v>881</v>
      </c>
      <c r="D526" s="1433" t="s">
        <v>3979</v>
      </c>
      <c r="E526" s="1435"/>
      <c r="F526" s="1437">
        <v>5240000000000</v>
      </c>
      <c r="G526" s="1435">
        <v>20900000000</v>
      </c>
      <c r="H526" s="1438">
        <v>123000000000000</v>
      </c>
      <c r="I526" s="1428"/>
      <c r="J526" s="1407"/>
      <c r="K526" s="1431">
        <f t="shared" si="69"/>
        <v>8223540669856.459</v>
      </c>
      <c r="L526" s="1407"/>
      <c r="M526" s="1407"/>
      <c r="N526" s="1407"/>
      <c r="O526" s="1407"/>
      <c r="P526" s="1407"/>
      <c r="Q526" s="1407"/>
      <c r="R526" s="1407"/>
      <c r="S526" s="1407"/>
      <c r="T526" s="1407"/>
      <c r="U526" s="1407"/>
    </row>
    <row r="527" spans="1:21" ht="12">
      <c r="A527" s="639" t="s">
        <v>3977</v>
      </c>
      <c r="B527" s="1483">
        <v>42284</v>
      </c>
      <c r="C527" s="639" t="s">
        <v>881</v>
      </c>
      <c r="D527" s="1433" t="s">
        <v>3980</v>
      </c>
      <c r="E527" s="1435"/>
      <c r="F527" s="1437">
        <v>50200000000000</v>
      </c>
      <c r="G527" s="1435">
        <v>20900000000</v>
      </c>
      <c r="H527" s="1438">
        <v>123000000000000</v>
      </c>
      <c r="I527" s="1428"/>
      <c r="J527" s="1407"/>
      <c r="K527" s="1431">
        <f t="shared" si="69"/>
        <v>78782775119617.219</v>
      </c>
      <c r="L527" s="1407"/>
      <c r="M527" s="1407"/>
      <c r="N527" s="1407"/>
      <c r="O527" s="1407"/>
      <c r="P527" s="1407"/>
      <c r="Q527" s="1407"/>
      <c r="R527" s="1407"/>
      <c r="S527" s="1407"/>
      <c r="T527" s="1407"/>
      <c r="U527" s="1407"/>
    </row>
    <row r="528" spans="1:21" ht="12">
      <c r="A528" s="639" t="s">
        <v>3977</v>
      </c>
      <c r="B528" s="1483">
        <v>42284</v>
      </c>
      <c r="C528" s="639" t="s">
        <v>881</v>
      </c>
      <c r="D528" s="1433" t="s">
        <v>3981</v>
      </c>
      <c r="E528" s="1435"/>
      <c r="F528" s="1437">
        <v>34000000000000</v>
      </c>
      <c r="G528" s="1435">
        <v>20900000000</v>
      </c>
      <c r="H528" s="1438">
        <v>123000000000000</v>
      </c>
      <c r="I528" s="1428"/>
      <c r="J528" s="1407"/>
      <c r="K528" s="1431">
        <f t="shared" si="69"/>
        <v>53358851674641.148</v>
      </c>
      <c r="L528" s="1407"/>
      <c r="M528" s="1407"/>
      <c r="N528" s="1407"/>
      <c r="O528" s="1407"/>
      <c r="P528" s="1407"/>
      <c r="Q528" s="1407"/>
      <c r="R528" s="1407"/>
      <c r="S528" s="1407"/>
      <c r="T528" s="1407"/>
      <c r="U528" s="1407"/>
    </row>
    <row r="529" spans="1:21" ht="12">
      <c r="A529" s="639" t="s">
        <v>3977</v>
      </c>
      <c r="B529" s="1483">
        <v>42284</v>
      </c>
      <c r="C529" s="639" t="s">
        <v>881</v>
      </c>
      <c r="D529" s="1433" t="s">
        <v>3984</v>
      </c>
      <c r="E529" s="1435"/>
      <c r="F529" s="1437">
        <v>135000000000000</v>
      </c>
      <c r="G529" s="1435">
        <v>20900000000</v>
      </c>
      <c r="H529" s="1438">
        <v>123000000000000</v>
      </c>
      <c r="I529" s="1428"/>
      <c r="J529" s="1407"/>
      <c r="K529" s="1431">
        <f t="shared" si="69"/>
        <v>211866028708133.97</v>
      </c>
      <c r="L529" s="1407"/>
      <c r="M529" s="1407"/>
      <c r="N529" s="1407"/>
      <c r="O529" s="1407"/>
      <c r="P529" s="1407"/>
      <c r="Q529" s="1407"/>
      <c r="R529" s="1407"/>
      <c r="S529" s="1407"/>
      <c r="T529" s="1407"/>
      <c r="U529" s="1407"/>
    </row>
    <row r="530" spans="1:21" ht="12">
      <c r="A530" s="639" t="s">
        <v>3977</v>
      </c>
      <c r="B530" s="1483">
        <v>42284</v>
      </c>
      <c r="C530" s="639" t="s">
        <v>881</v>
      </c>
      <c r="D530" s="1433" t="s">
        <v>3985</v>
      </c>
      <c r="E530" s="1435"/>
      <c r="F530" s="1437">
        <v>450000000000000</v>
      </c>
      <c r="G530" s="1435">
        <v>20900000000</v>
      </c>
      <c r="H530" s="1438">
        <v>123000000000000</v>
      </c>
      <c r="I530" s="1428"/>
      <c r="J530" s="1407"/>
      <c r="K530" s="1431">
        <f t="shared" si="69"/>
        <v>706220095693779.88</v>
      </c>
      <c r="L530" s="1407"/>
      <c r="M530" s="1407"/>
      <c r="N530" s="1407"/>
      <c r="O530" s="1407"/>
      <c r="P530" s="1407"/>
      <c r="Q530" s="1407"/>
      <c r="R530" s="1407"/>
      <c r="S530" s="1407"/>
      <c r="T530" s="1407"/>
      <c r="U530" s="1407"/>
    </row>
    <row r="531" spans="1:21" ht="12">
      <c r="A531" s="639" t="s">
        <v>3977</v>
      </c>
      <c r="B531" s="1483">
        <v>42284</v>
      </c>
      <c r="C531" s="639" t="s">
        <v>881</v>
      </c>
      <c r="D531" s="1433" t="s">
        <v>3956</v>
      </c>
      <c r="E531" s="1435"/>
      <c r="F531" s="1437">
        <v>179000000000</v>
      </c>
      <c r="G531" s="1435">
        <v>20900000000</v>
      </c>
      <c r="H531" s="1438">
        <v>123000000000000</v>
      </c>
      <c r="I531" s="1428"/>
      <c r="J531" s="1407"/>
      <c r="K531" s="1431">
        <f t="shared" si="69"/>
        <v>280918660287.08136</v>
      </c>
      <c r="L531" s="1407"/>
      <c r="M531" s="1407"/>
      <c r="N531" s="1407"/>
      <c r="O531" s="1407"/>
      <c r="P531" s="1407"/>
      <c r="Q531" s="1407"/>
      <c r="R531" s="1407"/>
      <c r="S531" s="1407"/>
      <c r="T531" s="1407"/>
      <c r="U531" s="1407"/>
    </row>
    <row r="532" spans="1:21" ht="12">
      <c r="A532" s="639" t="s">
        <v>3977</v>
      </c>
      <c r="B532" s="1483">
        <v>42284</v>
      </c>
      <c r="C532" s="639" t="s">
        <v>881</v>
      </c>
      <c r="D532" s="1433" t="s">
        <v>3954</v>
      </c>
      <c r="E532" s="1435"/>
      <c r="F532" s="1437">
        <v>72400000000</v>
      </c>
      <c r="G532" s="1435">
        <v>20900000000</v>
      </c>
      <c r="H532" s="1438">
        <v>123000000000000</v>
      </c>
      <c r="I532" s="1428"/>
      <c r="J532" s="1407"/>
      <c r="K532" s="1431">
        <f t="shared" si="69"/>
        <v>113622966507.17703</v>
      </c>
      <c r="L532" s="1407"/>
      <c r="M532" s="1407"/>
      <c r="N532" s="1407"/>
      <c r="O532" s="1407"/>
      <c r="P532" s="1407"/>
      <c r="Q532" s="1407"/>
      <c r="R532" s="1407"/>
      <c r="S532" s="1407"/>
      <c r="T532" s="1407"/>
      <c r="U532" s="1407"/>
    </row>
    <row r="533" spans="1:21" ht="12">
      <c r="A533" s="1407"/>
      <c r="B533" s="1407"/>
      <c r="C533" s="639"/>
      <c r="D533" s="1409"/>
      <c r="E533" s="1410"/>
      <c r="F533" s="1495"/>
      <c r="G533" s="1534"/>
      <c r="H533" s="1534"/>
      <c r="I533" s="1428"/>
      <c r="J533" s="1407"/>
      <c r="K533" s="1431"/>
      <c r="L533" s="1407"/>
      <c r="M533" s="1407"/>
      <c r="N533" s="1407"/>
      <c r="O533" s="1407"/>
      <c r="P533" s="1407"/>
      <c r="Q533" s="1407"/>
      <c r="R533" s="1407"/>
      <c r="S533" s="1407"/>
      <c r="T533" s="1407"/>
      <c r="U533" s="1407"/>
    </row>
    <row r="534" spans="1:21" ht="12">
      <c r="A534" s="639" t="s">
        <v>3987</v>
      </c>
      <c r="B534" s="1483">
        <v>42292</v>
      </c>
      <c r="C534" s="639" t="s">
        <v>881</v>
      </c>
      <c r="D534" s="1433" t="s">
        <v>3988</v>
      </c>
      <c r="E534" s="1435"/>
      <c r="F534" s="1437">
        <v>6680000000000</v>
      </c>
      <c r="G534" s="1438">
        <v>800000000000</v>
      </c>
      <c r="H534" s="1438">
        <v>201000000000000</v>
      </c>
      <c r="I534" s="1731">
        <v>508000000000</v>
      </c>
      <c r="J534" s="1407"/>
      <c r="K534" s="1431">
        <f t="shared" ref="K534:K540" si="70">(32800000000/G534)*F534</f>
        <v>273880000000</v>
      </c>
      <c r="L534" s="1407"/>
      <c r="M534" s="1407"/>
      <c r="N534" s="1407"/>
      <c r="O534" s="1407"/>
      <c r="P534" s="1407"/>
      <c r="Q534" s="1407"/>
      <c r="R534" s="1407"/>
      <c r="S534" s="1407"/>
      <c r="T534" s="1407"/>
      <c r="U534" s="1407"/>
    </row>
    <row r="535" spans="1:21" ht="12">
      <c r="A535" s="639" t="s">
        <v>3987</v>
      </c>
      <c r="B535" s="1483">
        <v>42292</v>
      </c>
      <c r="C535" s="639" t="s">
        <v>881</v>
      </c>
      <c r="D535" s="1433" t="s">
        <v>3990</v>
      </c>
      <c r="E535" s="1435"/>
      <c r="F535" s="1437">
        <v>281000000000000</v>
      </c>
      <c r="G535" s="1438">
        <v>800000000000</v>
      </c>
      <c r="H535" s="1438">
        <v>201000000000000</v>
      </c>
      <c r="I535" s="1731">
        <v>508000000000</v>
      </c>
      <c r="J535" s="1407"/>
      <c r="K535" s="1431">
        <f t="shared" si="70"/>
        <v>11521000000000</v>
      </c>
      <c r="L535" s="1407"/>
      <c r="M535" s="1407"/>
      <c r="N535" s="1407"/>
      <c r="O535" s="1407"/>
      <c r="P535" s="1407"/>
      <c r="Q535" s="1407"/>
      <c r="R535" s="1407"/>
      <c r="S535" s="1407"/>
      <c r="T535" s="1407"/>
      <c r="U535" s="1407"/>
    </row>
    <row r="536" spans="1:21" ht="12">
      <c r="A536" s="639" t="s">
        <v>3987</v>
      </c>
      <c r="B536" s="1483">
        <v>42292</v>
      </c>
      <c r="C536" s="639" t="s">
        <v>881</v>
      </c>
      <c r="D536" s="1433" t="s">
        <v>3992</v>
      </c>
      <c r="E536" s="1435"/>
      <c r="F536" s="1437">
        <v>201000000000000</v>
      </c>
      <c r="G536" s="1438">
        <v>800000000000</v>
      </c>
      <c r="H536" s="1438">
        <v>201000000000000</v>
      </c>
      <c r="I536" s="1731">
        <v>508000000000</v>
      </c>
      <c r="J536" s="1407"/>
      <c r="K536" s="1431">
        <f t="shared" si="70"/>
        <v>8241000000000</v>
      </c>
      <c r="L536" s="1407"/>
      <c r="M536" s="1407"/>
      <c r="N536" s="1407"/>
      <c r="O536" s="1407"/>
      <c r="P536" s="1407"/>
      <c r="Q536" s="1407"/>
      <c r="R536" s="1407"/>
      <c r="S536" s="1407"/>
      <c r="T536" s="1407"/>
      <c r="U536" s="1407"/>
    </row>
    <row r="537" spans="1:21" ht="12">
      <c r="A537" s="639" t="s">
        <v>3987</v>
      </c>
      <c r="B537" s="1483">
        <v>42292</v>
      </c>
      <c r="C537" s="639" t="s">
        <v>881</v>
      </c>
      <c r="D537" s="1433" t="s">
        <v>3993</v>
      </c>
      <c r="E537" s="1435"/>
      <c r="F537" s="1437">
        <v>335000000000000</v>
      </c>
      <c r="G537" s="1438">
        <v>800000000000</v>
      </c>
      <c r="H537" s="1438">
        <v>201000000000000</v>
      </c>
      <c r="I537" s="1731">
        <v>508000000000</v>
      </c>
      <c r="J537" s="1407"/>
      <c r="K537" s="1431">
        <f t="shared" si="70"/>
        <v>13735000000000</v>
      </c>
      <c r="L537" s="1407"/>
      <c r="M537" s="1407"/>
      <c r="N537" s="1407"/>
      <c r="O537" s="1407"/>
      <c r="P537" s="1407"/>
      <c r="Q537" s="1407"/>
      <c r="R537" s="1407"/>
      <c r="S537" s="1407"/>
      <c r="T537" s="1407"/>
      <c r="U537" s="1407"/>
    </row>
    <row r="538" spans="1:21" ht="12">
      <c r="A538" s="639" t="s">
        <v>3987</v>
      </c>
      <c r="B538" s="1483">
        <v>42292</v>
      </c>
      <c r="C538" s="639" t="s">
        <v>881</v>
      </c>
      <c r="D538" s="1433" t="s">
        <v>3779</v>
      </c>
      <c r="E538" s="1435"/>
      <c r="F538" s="1437">
        <v>887000000000000</v>
      </c>
      <c r="G538" s="1438">
        <v>800000000000</v>
      </c>
      <c r="H538" s="1438">
        <v>201000000000000</v>
      </c>
      <c r="I538" s="1731">
        <v>508000000000</v>
      </c>
      <c r="J538" s="1407"/>
      <c r="K538" s="1431">
        <f t="shared" si="70"/>
        <v>36367000000000</v>
      </c>
      <c r="L538" s="1407"/>
      <c r="M538" s="1437"/>
      <c r="N538" s="1407"/>
      <c r="O538" s="1407"/>
      <c r="P538" s="1407"/>
      <c r="Q538" s="1407"/>
      <c r="R538" s="1407"/>
      <c r="S538" s="1407"/>
      <c r="T538" s="1407"/>
      <c r="U538" s="1407"/>
    </row>
    <row r="539" spans="1:21" ht="12">
      <c r="A539" s="639" t="s">
        <v>3987</v>
      </c>
      <c r="B539" s="1483">
        <v>42292</v>
      </c>
      <c r="C539" s="639" t="s">
        <v>881</v>
      </c>
      <c r="D539" s="1433" t="s">
        <v>3781</v>
      </c>
      <c r="E539" s="1435"/>
      <c r="F539" s="1437">
        <v>1220000000000000</v>
      </c>
      <c r="G539" s="1438">
        <v>800000000000</v>
      </c>
      <c r="H539" s="1438">
        <v>201000000000000</v>
      </c>
      <c r="I539" s="1731">
        <v>508000000000</v>
      </c>
      <c r="J539" s="1407"/>
      <c r="K539" s="1431">
        <f t="shared" si="70"/>
        <v>50020000000000</v>
      </c>
      <c r="L539" s="1407"/>
      <c r="M539" s="1437"/>
      <c r="N539" s="1407"/>
      <c r="O539" s="1407"/>
      <c r="P539" s="1407"/>
      <c r="Q539" s="1407"/>
      <c r="R539" s="1407"/>
      <c r="S539" s="1407"/>
      <c r="T539" s="1407"/>
      <c r="U539" s="1407"/>
    </row>
    <row r="540" spans="1:21" ht="12">
      <c r="A540" s="639" t="s">
        <v>3987</v>
      </c>
      <c r="B540" s="1483">
        <v>42292</v>
      </c>
      <c r="C540" s="639" t="s">
        <v>881</v>
      </c>
      <c r="D540" s="1433" t="s">
        <v>3783</v>
      </c>
      <c r="E540" s="1435"/>
      <c r="F540" s="1437">
        <v>1390000000000000</v>
      </c>
      <c r="G540" s="1438">
        <v>800000000000</v>
      </c>
      <c r="H540" s="1438">
        <v>201000000000000</v>
      </c>
      <c r="I540" s="1731">
        <v>508000000000</v>
      </c>
      <c r="J540" s="1407"/>
      <c r="K540" s="1431">
        <f t="shared" si="70"/>
        <v>56990000000000</v>
      </c>
      <c r="L540" s="1407"/>
      <c r="M540" s="1437"/>
      <c r="N540" s="1407"/>
      <c r="O540" s="1407"/>
      <c r="P540" s="1407"/>
      <c r="Q540" s="1407"/>
      <c r="R540" s="1407"/>
      <c r="S540" s="1407"/>
      <c r="T540" s="1407"/>
      <c r="U540" s="1407"/>
    </row>
    <row r="541" spans="1:21" ht="12">
      <c r="A541" s="1407"/>
      <c r="B541" s="1407"/>
      <c r="C541" s="639"/>
      <c r="D541" s="1409"/>
      <c r="E541" s="1410"/>
      <c r="F541" s="1495"/>
      <c r="G541" s="1534"/>
      <c r="H541" s="1534"/>
      <c r="I541" s="1428"/>
      <c r="J541" s="1407"/>
      <c r="K541" s="1431"/>
      <c r="L541" s="1407"/>
      <c r="M541" s="1407"/>
      <c r="N541" s="1407"/>
      <c r="O541" s="1407"/>
      <c r="P541" s="1407"/>
      <c r="Q541" s="1407"/>
      <c r="R541" s="1407"/>
      <c r="S541" s="1407"/>
      <c r="T541" s="1407"/>
      <c r="U541" s="1407"/>
    </row>
    <row r="542" spans="1:21" ht="12">
      <c r="A542" s="639" t="s">
        <v>3994</v>
      </c>
      <c r="B542" s="1483">
        <v>42306</v>
      </c>
      <c r="C542" s="639" t="s">
        <v>881</v>
      </c>
      <c r="D542" s="1433" t="s">
        <v>3995</v>
      </c>
      <c r="E542" s="1435"/>
      <c r="F542" s="1437">
        <v>189000000000000</v>
      </c>
      <c r="G542" s="1591">
        <v>1660000000000</v>
      </c>
      <c r="H542" s="1591">
        <v>613000000000000</v>
      </c>
      <c r="I542" s="1822">
        <v>1250000000000</v>
      </c>
      <c r="J542" s="1407"/>
      <c r="K542" s="1431">
        <f t="shared" ref="K542:K545" si="71">(32800000000/G542)*F542</f>
        <v>3734457831325.3008</v>
      </c>
      <c r="L542" s="1407"/>
      <c r="M542" s="1407"/>
      <c r="N542" s="1407"/>
      <c r="O542" s="1407"/>
      <c r="P542" s="1407"/>
      <c r="Q542" s="1407"/>
      <c r="R542" s="1407"/>
      <c r="S542" s="1407"/>
      <c r="T542" s="1407"/>
      <c r="U542" s="1407"/>
    </row>
    <row r="543" spans="1:21" ht="12">
      <c r="A543" s="639" t="s">
        <v>3994</v>
      </c>
      <c r="B543" s="1483">
        <v>42306</v>
      </c>
      <c r="C543" s="639" t="s">
        <v>881</v>
      </c>
      <c r="D543" s="1433" t="s">
        <v>3996</v>
      </c>
      <c r="E543" s="1435"/>
      <c r="F543" s="1437">
        <v>1980000000000000</v>
      </c>
      <c r="G543" s="1591">
        <v>1660000000000</v>
      </c>
      <c r="H543" s="1591">
        <v>613000000000000</v>
      </c>
      <c r="I543" s="1822">
        <v>1250000000000</v>
      </c>
      <c r="J543" s="1407"/>
      <c r="K543" s="1431">
        <f t="shared" si="71"/>
        <v>39122891566265.055</v>
      </c>
      <c r="L543" s="1407"/>
      <c r="M543" s="1407"/>
      <c r="N543" s="1407"/>
      <c r="O543" s="1407"/>
      <c r="P543" s="1407"/>
      <c r="Q543" s="1407"/>
      <c r="R543" s="1407"/>
      <c r="S543" s="1407"/>
      <c r="T543" s="1407"/>
      <c r="U543" s="1407"/>
    </row>
    <row r="544" spans="1:21" ht="12">
      <c r="A544" s="639" t="s">
        <v>3994</v>
      </c>
      <c r="B544" s="1483">
        <v>42306</v>
      </c>
      <c r="C544" s="639" t="s">
        <v>881</v>
      </c>
      <c r="D544" s="1433" t="s">
        <v>3997</v>
      </c>
      <c r="E544" s="1435"/>
      <c r="F544" s="1437">
        <v>2620000000000000</v>
      </c>
      <c r="G544" s="1591">
        <v>1660000000000</v>
      </c>
      <c r="H544" s="1591">
        <v>613000000000000</v>
      </c>
      <c r="I544" s="1822">
        <v>1250000000000</v>
      </c>
      <c r="J544" s="1407"/>
      <c r="K544" s="1431">
        <f t="shared" si="71"/>
        <v>51768674698795.18</v>
      </c>
      <c r="L544" s="1407"/>
      <c r="M544" s="1407"/>
      <c r="N544" s="1407"/>
      <c r="O544" s="1407"/>
      <c r="P544" s="1407"/>
      <c r="Q544" s="1407"/>
      <c r="R544" s="1407"/>
      <c r="S544" s="1407"/>
      <c r="T544" s="1407"/>
      <c r="U544" s="1407"/>
    </row>
    <row r="545" spans="1:21" ht="12">
      <c r="A545" s="639" t="s">
        <v>3994</v>
      </c>
      <c r="B545" s="1483">
        <v>42306</v>
      </c>
      <c r="C545" s="639" t="s">
        <v>881</v>
      </c>
      <c r="D545" s="1433" t="s">
        <v>3998</v>
      </c>
      <c r="E545" s="1435"/>
      <c r="F545" s="1437">
        <v>1270000000000000</v>
      </c>
      <c r="G545" s="1591">
        <v>1660000000000</v>
      </c>
      <c r="H545" s="1591">
        <v>613000000000000</v>
      </c>
      <c r="I545" s="1822">
        <v>1250000000000</v>
      </c>
      <c r="J545" s="1407"/>
      <c r="K545" s="1431">
        <f t="shared" si="71"/>
        <v>25093975903614.457</v>
      </c>
      <c r="L545" s="1407"/>
      <c r="M545" s="1407"/>
      <c r="N545" s="1407"/>
      <c r="O545" s="1407"/>
      <c r="P545" s="1407"/>
      <c r="Q545" s="1407"/>
      <c r="R545" s="1407"/>
      <c r="S545" s="1407"/>
      <c r="T545" s="1407"/>
      <c r="U545" s="1407"/>
    </row>
    <row r="546" spans="1:21" ht="12">
      <c r="A546" s="639"/>
      <c r="B546" s="1483"/>
      <c r="C546" s="639"/>
      <c r="D546" s="1433"/>
      <c r="E546" s="1410"/>
      <c r="F546" s="1495"/>
      <c r="G546" s="1534"/>
      <c r="H546" s="1534"/>
      <c r="I546" s="1428"/>
      <c r="J546" s="1407"/>
      <c r="K546" s="1431"/>
      <c r="L546" s="1407"/>
      <c r="M546" s="1407"/>
      <c r="N546" s="1407"/>
      <c r="O546" s="1407"/>
      <c r="P546" s="1407"/>
      <c r="Q546" s="1407"/>
      <c r="R546" s="1407"/>
      <c r="S546" s="1407"/>
      <c r="T546" s="1407"/>
      <c r="U546" s="1407"/>
    </row>
    <row r="547" spans="1:21" ht="12">
      <c r="A547" s="639" t="s">
        <v>3999</v>
      </c>
      <c r="B547" s="1483">
        <v>42307</v>
      </c>
      <c r="C547" s="639" t="s">
        <v>881</v>
      </c>
      <c r="D547" s="1433" t="s">
        <v>4000</v>
      </c>
      <c r="E547" s="1435"/>
      <c r="F547" s="1437">
        <v>1890000000000</v>
      </c>
      <c r="G547" s="1438">
        <v>49700000000</v>
      </c>
      <c r="H547" s="1438">
        <v>50900000000000</v>
      </c>
      <c r="I547" s="1731">
        <v>107000000000</v>
      </c>
      <c r="J547" s="1407"/>
      <c r="K547" s="1431">
        <f t="shared" ref="K547:K552" si="72">(32800000000/G547)*F547</f>
        <v>1247323943661.9719</v>
      </c>
      <c r="L547" s="1407"/>
      <c r="M547" s="1407"/>
      <c r="N547" s="1407"/>
      <c r="O547" s="1407"/>
      <c r="P547" s="1407"/>
      <c r="Q547" s="1407"/>
      <c r="R547" s="1407"/>
      <c r="S547" s="1407"/>
      <c r="T547" s="1407"/>
      <c r="U547" s="1407"/>
    </row>
    <row r="548" spans="1:21" ht="12">
      <c r="A548" s="639" t="s">
        <v>3999</v>
      </c>
      <c r="B548" s="1483">
        <v>42307</v>
      </c>
      <c r="C548" s="639" t="s">
        <v>881</v>
      </c>
      <c r="D548" s="1433" t="s">
        <v>4003</v>
      </c>
      <c r="E548" s="1435"/>
      <c r="F548" s="1437">
        <v>7010000000000</v>
      </c>
      <c r="G548" s="1438">
        <v>49700000000</v>
      </c>
      <c r="H548" s="1438">
        <v>50900000000000</v>
      </c>
      <c r="I548" s="1731">
        <v>107000000000</v>
      </c>
      <c r="J548" s="1407"/>
      <c r="K548" s="1431">
        <f t="shared" si="72"/>
        <v>4626317907444.668</v>
      </c>
      <c r="L548" s="1407"/>
      <c r="M548" s="1407"/>
      <c r="N548" s="1407"/>
      <c r="O548" s="1407"/>
      <c r="P548" s="1407"/>
      <c r="Q548" s="1407"/>
      <c r="R548" s="1407"/>
      <c r="S548" s="1407"/>
      <c r="T548" s="1407"/>
      <c r="U548" s="1407"/>
    </row>
    <row r="549" spans="1:21" ht="12">
      <c r="A549" s="639" t="s">
        <v>3999</v>
      </c>
      <c r="B549" s="1483">
        <v>42307</v>
      </c>
      <c r="C549" s="639" t="s">
        <v>881</v>
      </c>
      <c r="D549" s="1433" t="s">
        <v>3779</v>
      </c>
      <c r="E549" s="1435"/>
      <c r="F549" s="1437">
        <v>459000000000000</v>
      </c>
      <c r="G549" s="1438">
        <v>49700000000</v>
      </c>
      <c r="H549" s="1438">
        <v>50900000000000</v>
      </c>
      <c r="I549" s="1731">
        <v>107000000000</v>
      </c>
      <c r="J549" s="1407"/>
      <c r="K549" s="1431">
        <f t="shared" si="72"/>
        <v>302921529175050.31</v>
      </c>
      <c r="L549" s="1407"/>
      <c r="M549" s="1407"/>
      <c r="N549" s="1407"/>
      <c r="O549" s="1407"/>
      <c r="P549" s="1407"/>
      <c r="Q549" s="1407"/>
      <c r="R549" s="1407"/>
      <c r="S549" s="1407"/>
      <c r="T549" s="1407"/>
      <c r="U549" s="1407"/>
    </row>
    <row r="550" spans="1:21" ht="12">
      <c r="A550" s="639" t="s">
        <v>3999</v>
      </c>
      <c r="B550" s="1483">
        <v>42307</v>
      </c>
      <c r="C550" s="639" t="s">
        <v>881</v>
      </c>
      <c r="D550" s="1433" t="s">
        <v>3781</v>
      </c>
      <c r="E550" s="1435"/>
      <c r="F550" s="1437">
        <v>774000000000000</v>
      </c>
      <c r="G550" s="1438">
        <v>49700000000</v>
      </c>
      <c r="H550" s="1438">
        <v>50900000000000</v>
      </c>
      <c r="I550" s="1731">
        <v>107000000000</v>
      </c>
      <c r="J550" s="1407"/>
      <c r="K550" s="1431">
        <f t="shared" si="72"/>
        <v>510808853118712.25</v>
      </c>
      <c r="L550" s="1407"/>
      <c r="M550" s="1407"/>
      <c r="N550" s="1407"/>
      <c r="O550" s="1407"/>
      <c r="P550" s="1407"/>
      <c r="Q550" s="1407"/>
      <c r="R550" s="1407"/>
      <c r="S550" s="1407"/>
      <c r="T550" s="1407"/>
      <c r="U550" s="1407"/>
    </row>
    <row r="551" spans="1:21" ht="12">
      <c r="A551" s="639" t="s">
        <v>3999</v>
      </c>
      <c r="B551" s="1483">
        <v>42307</v>
      </c>
      <c r="C551" s="639" t="s">
        <v>881</v>
      </c>
      <c r="D551" s="1433" t="s">
        <v>3783</v>
      </c>
      <c r="E551" s="1435"/>
      <c r="F551" s="1437">
        <v>882000000000000</v>
      </c>
      <c r="G551" s="1438">
        <v>49700000000</v>
      </c>
      <c r="H551" s="1438">
        <v>50900000000000</v>
      </c>
      <c r="I551" s="1731">
        <v>107000000000</v>
      </c>
      <c r="J551" s="1407"/>
      <c r="K551" s="1431">
        <f t="shared" si="72"/>
        <v>582084507042253.5</v>
      </c>
      <c r="L551" s="1407"/>
      <c r="M551" s="1407"/>
      <c r="N551" s="1407"/>
      <c r="O551" s="1407"/>
      <c r="P551" s="1407"/>
      <c r="Q551" s="1407"/>
      <c r="R551" s="1407"/>
      <c r="S551" s="1407"/>
      <c r="T551" s="1407"/>
      <c r="U551" s="1407"/>
    </row>
    <row r="552" spans="1:21" ht="12">
      <c r="A552" s="639" t="s">
        <v>3999</v>
      </c>
      <c r="B552" s="1483">
        <v>42307</v>
      </c>
      <c r="C552" s="639" t="s">
        <v>881</v>
      </c>
      <c r="D552" s="1433" t="s">
        <v>3626</v>
      </c>
      <c r="E552" s="1435"/>
      <c r="F552" s="1437">
        <v>234000000000000</v>
      </c>
      <c r="G552" s="1438">
        <v>49700000000</v>
      </c>
      <c r="H552" s="1438">
        <v>50900000000000</v>
      </c>
      <c r="I552" s="1731">
        <v>107000000000</v>
      </c>
      <c r="J552" s="1407"/>
      <c r="K552" s="1431">
        <f t="shared" si="72"/>
        <v>154430583501006.03</v>
      </c>
      <c r="L552" s="1407"/>
      <c r="M552" s="1407"/>
      <c r="N552" s="1407"/>
      <c r="O552" s="1407"/>
      <c r="P552" s="1407"/>
      <c r="Q552" s="1407"/>
      <c r="R552" s="1407"/>
      <c r="S552" s="1407"/>
      <c r="T552" s="1407"/>
      <c r="U552" s="1407"/>
    </row>
    <row r="553" spans="1:21" ht="12">
      <c r="A553" s="1407"/>
      <c r="B553" s="1407"/>
      <c r="C553" s="639"/>
      <c r="D553" s="1409"/>
      <c r="E553" s="1410"/>
      <c r="F553" s="1495"/>
      <c r="G553" s="1534"/>
      <c r="H553" s="1534"/>
      <c r="I553" s="1428"/>
      <c r="J553" s="1407"/>
      <c r="K553" s="1431"/>
      <c r="L553" s="1407"/>
      <c r="M553" s="1407"/>
      <c r="N553" s="1407"/>
      <c r="O553" s="1407"/>
      <c r="P553" s="1407"/>
      <c r="Q553" s="1407"/>
      <c r="R553" s="1407"/>
      <c r="S553" s="1407"/>
      <c r="T553" s="1407"/>
      <c r="U553" s="1407"/>
    </row>
    <row r="554" spans="1:21" ht="12">
      <c r="A554" s="639" t="s">
        <v>4004</v>
      </c>
      <c r="B554" s="1483">
        <v>42334</v>
      </c>
      <c r="C554" s="639" t="s">
        <v>881</v>
      </c>
      <c r="D554" s="1433" t="s">
        <v>4005</v>
      </c>
      <c r="E554" s="1435"/>
      <c r="F554" s="1437">
        <v>214000000000000</v>
      </c>
      <c r="G554" s="1438">
        <v>67000000000</v>
      </c>
      <c r="H554" s="1438">
        <v>24300000000000</v>
      </c>
      <c r="I554" s="1731">
        <v>28400000000</v>
      </c>
      <c r="J554" s="1407"/>
      <c r="K554" s="1431">
        <f t="shared" ref="K554:K562" si="73">(32800000000/G554)*F554</f>
        <v>104764179104477.61</v>
      </c>
      <c r="L554" s="1407"/>
      <c r="M554" s="1407"/>
      <c r="N554" s="1407"/>
      <c r="O554" s="1407"/>
      <c r="P554" s="1407"/>
      <c r="Q554" s="1407"/>
      <c r="R554" s="1407"/>
      <c r="S554" s="1407"/>
      <c r="T554" s="1407"/>
      <c r="U554" s="1407"/>
    </row>
    <row r="555" spans="1:21" ht="12">
      <c r="A555" s="639" t="s">
        <v>4004</v>
      </c>
      <c r="B555" s="1483">
        <v>42334</v>
      </c>
      <c r="C555" s="639" t="s">
        <v>881</v>
      </c>
      <c r="D555" s="1433" t="s">
        <v>4006</v>
      </c>
      <c r="E555" s="1435"/>
      <c r="F555" s="1437">
        <v>353000000000000</v>
      </c>
      <c r="G555" s="1438">
        <v>67000000000</v>
      </c>
      <c r="H555" s="1438">
        <v>24300000000000</v>
      </c>
      <c r="I555" s="1731">
        <v>28400000000</v>
      </c>
      <c r="J555" s="1407"/>
      <c r="K555" s="1431">
        <f t="shared" si="73"/>
        <v>172811940298507.47</v>
      </c>
      <c r="L555" s="1407"/>
      <c r="M555" s="1407"/>
      <c r="N555" s="1407"/>
      <c r="O555" s="1407"/>
      <c r="P555" s="1407"/>
      <c r="Q555" s="1407"/>
      <c r="R555" s="1407"/>
      <c r="S555" s="1407"/>
      <c r="T555" s="1407"/>
      <c r="U555" s="1407"/>
    </row>
    <row r="556" spans="1:21" ht="12">
      <c r="A556" s="639" t="s">
        <v>4004</v>
      </c>
      <c r="B556" s="1483">
        <v>42334</v>
      </c>
      <c r="C556" s="639" t="s">
        <v>881</v>
      </c>
      <c r="D556" s="1433" t="s">
        <v>4007</v>
      </c>
      <c r="E556" s="1435"/>
      <c r="F556" s="1437">
        <v>66000000000000</v>
      </c>
      <c r="G556" s="1438">
        <v>67000000000</v>
      </c>
      <c r="H556" s="1438">
        <v>24300000000000</v>
      </c>
      <c r="I556" s="1731">
        <v>28400000000</v>
      </c>
      <c r="J556" s="1407"/>
      <c r="K556" s="1431">
        <f t="shared" si="73"/>
        <v>32310447761194.031</v>
      </c>
      <c r="L556" s="1407"/>
      <c r="M556" s="1407"/>
      <c r="N556" s="1407"/>
      <c r="O556" s="1407"/>
      <c r="P556" s="1407"/>
      <c r="Q556" s="1407"/>
      <c r="R556" s="1407"/>
      <c r="S556" s="1407"/>
      <c r="T556" s="1407"/>
      <c r="U556" s="1407"/>
    </row>
    <row r="557" spans="1:21" ht="12">
      <c r="A557" s="639" t="s">
        <v>4004</v>
      </c>
      <c r="B557" s="1483">
        <v>42334</v>
      </c>
      <c r="C557" s="639" t="s">
        <v>881</v>
      </c>
      <c r="D557" s="1433" t="s">
        <v>4008</v>
      </c>
      <c r="E557" s="1435"/>
      <c r="F557" s="1437">
        <v>587000000000000</v>
      </c>
      <c r="G557" s="1438">
        <v>67000000000</v>
      </c>
      <c r="H557" s="1438">
        <v>24300000000000</v>
      </c>
      <c r="I557" s="1731">
        <v>28400000000</v>
      </c>
      <c r="J557" s="1407"/>
      <c r="K557" s="1431">
        <f t="shared" si="73"/>
        <v>287367164179104.5</v>
      </c>
      <c r="L557" s="1407"/>
      <c r="M557" s="1407"/>
      <c r="N557" s="1407"/>
      <c r="O557" s="1407"/>
      <c r="P557" s="1407"/>
      <c r="Q557" s="1407"/>
      <c r="R557" s="1407"/>
      <c r="S557" s="1407"/>
      <c r="T557" s="1407"/>
      <c r="U557" s="1407"/>
    </row>
    <row r="558" spans="1:21" ht="12">
      <c r="A558" s="639" t="s">
        <v>4004</v>
      </c>
      <c r="B558" s="1483">
        <v>42334</v>
      </c>
      <c r="C558" s="639" t="s">
        <v>881</v>
      </c>
      <c r="D558" s="1433" t="s">
        <v>4009</v>
      </c>
      <c r="E558" s="1435"/>
      <c r="F558" s="1437">
        <v>8360000000000</v>
      </c>
      <c r="G558" s="1438">
        <v>67000000000</v>
      </c>
      <c r="H558" s="1438">
        <v>24300000000000</v>
      </c>
      <c r="I558" s="1731">
        <v>28400000000</v>
      </c>
      <c r="J558" s="1407"/>
      <c r="K558" s="1431">
        <f t="shared" si="73"/>
        <v>4092656716417.9106</v>
      </c>
      <c r="L558" s="1407"/>
      <c r="M558" s="1407"/>
      <c r="N558" s="1407"/>
      <c r="O558" s="1407"/>
      <c r="P558" s="1407"/>
      <c r="Q558" s="1407"/>
      <c r="R558" s="1407"/>
      <c r="S558" s="1407"/>
      <c r="T558" s="1407"/>
      <c r="U558" s="1407"/>
    </row>
    <row r="559" spans="1:21" ht="12">
      <c r="A559" s="639" t="s">
        <v>4004</v>
      </c>
      <c r="B559" s="1483">
        <v>42334</v>
      </c>
      <c r="C559" s="639" t="s">
        <v>881</v>
      </c>
      <c r="D559" s="1433" t="s">
        <v>3995</v>
      </c>
      <c r="E559" s="1435"/>
      <c r="F559" s="1437">
        <v>17500000000000</v>
      </c>
      <c r="G559" s="1438">
        <v>67000000000</v>
      </c>
      <c r="H559" s="1438">
        <v>24300000000000</v>
      </c>
      <c r="I559" s="1731">
        <v>28400000000</v>
      </c>
      <c r="J559" s="1407"/>
      <c r="K559" s="1431">
        <f t="shared" si="73"/>
        <v>8567164179104.4775</v>
      </c>
      <c r="L559" s="639" t="s">
        <v>4010</v>
      </c>
      <c r="M559" s="1407"/>
      <c r="N559" s="1407"/>
      <c r="O559" s="1407"/>
      <c r="P559" s="1407"/>
      <c r="Q559" s="1407"/>
      <c r="R559" s="1407"/>
      <c r="S559" s="1407"/>
      <c r="T559" s="1407"/>
      <c r="U559" s="1407"/>
    </row>
    <row r="560" spans="1:21" ht="12">
      <c r="A560" s="639" t="s">
        <v>4004</v>
      </c>
      <c r="B560" s="1483">
        <v>42334</v>
      </c>
      <c r="C560" s="639" t="s">
        <v>881</v>
      </c>
      <c r="D560" s="1831" t="s">
        <v>3995</v>
      </c>
      <c r="E560" s="1731"/>
      <c r="F560" s="1406">
        <v>12100000000000</v>
      </c>
      <c r="G560" s="1438">
        <v>67000000000</v>
      </c>
      <c r="H560" s="1438">
        <v>24300000000000</v>
      </c>
      <c r="I560" s="1731">
        <v>28400000000</v>
      </c>
      <c r="J560" s="1407"/>
      <c r="K560" s="1431">
        <f t="shared" si="73"/>
        <v>5923582089552.2393</v>
      </c>
      <c r="L560" s="639" t="s">
        <v>4012</v>
      </c>
      <c r="M560" s="1407"/>
      <c r="N560" s="1407"/>
      <c r="O560" s="1407"/>
      <c r="P560" s="1407"/>
      <c r="Q560" s="1407"/>
      <c r="R560" s="1407"/>
      <c r="S560" s="1407"/>
      <c r="T560" s="1407"/>
      <c r="U560" s="1407"/>
    </row>
    <row r="561" spans="1:21" ht="12">
      <c r="A561" s="639" t="s">
        <v>4004</v>
      </c>
      <c r="B561" s="1483">
        <v>42334</v>
      </c>
      <c r="C561" s="639" t="s">
        <v>881</v>
      </c>
      <c r="D561" s="1433" t="s">
        <v>3946</v>
      </c>
      <c r="E561" s="1435"/>
      <c r="F561" s="1437">
        <v>70700000000000</v>
      </c>
      <c r="G561" s="1438">
        <v>67000000000</v>
      </c>
      <c r="H561" s="1438">
        <v>24300000000000</v>
      </c>
      <c r="I561" s="1731">
        <v>28400000000</v>
      </c>
      <c r="J561" s="1407"/>
      <c r="K561" s="1431">
        <f t="shared" si="73"/>
        <v>34611343283582.09</v>
      </c>
      <c r="L561" s="639" t="s">
        <v>4010</v>
      </c>
      <c r="M561" s="1407"/>
      <c r="N561" s="1437"/>
      <c r="O561" s="639"/>
      <c r="P561" s="1407"/>
      <c r="Q561" s="1407"/>
      <c r="R561" s="1407"/>
      <c r="S561" s="1407"/>
      <c r="T561" s="1407"/>
      <c r="U561" s="1407"/>
    </row>
    <row r="562" spans="1:21" ht="12">
      <c r="A562" s="639" t="s">
        <v>4004</v>
      </c>
      <c r="B562" s="1483">
        <v>42334</v>
      </c>
      <c r="C562" s="639" t="s">
        <v>881</v>
      </c>
      <c r="D562" s="1433" t="s">
        <v>3996</v>
      </c>
      <c r="E562" s="1435"/>
      <c r="F562" s="1437">
        <v>93300000000000</v>
      </c>
      <c r="G562" s="1438">
        <v>67000000000</v>
      </c>
      <c r="H562" s="1438">
        <v>24300000000000</v>
      </c>
      <c r="I562" s="1731">
        <v>28400000000</v>
      </c>
      <c r="J562" s="1407"/>
      <c r="K562" s="1431">
        <f t="shared" si="73"/>
        <v>45675223880597.016</v>
      </c>
      <c r="L562" s="639" t="s">
        <v>4012</v>
      </c>
      <c r="M562" s="1407"/>
      <c r="N562" s="1407"/>
      <c r="O562" s="1407"/>
      <c r="P562" s="1407"/>
      <c r="Q562" s="1407"/>
      <c r="R562" s="1407"/>
      <c r="S562" s="1407"/>
      <c r="T562" s="1407"/>
      <c r="U562" s="1407"/>
    </row>
    <row r="563" spans="1:21" ht="12">
      <c r="A563" s="1407"/>
      <c r="B563" s="1407"/>
      <c r="C563" s="639"/>
      <c r="D563" s="1409"/>
      <c r="E563" s="1410"/>
      <c r="F563" s="1495"/>
      <c r="G563" s="1534"/>
      <c r="H563" s="1534"/>
      <c r="I563" s="1428"/>
      <c r="J563" s="1407"/>
      <c r="K563" s="1431"/>
      <c r="L563" s="1407"/>
      <c r="M563" s="1407"/>
      <c r="N563" s="1407"/>
      <c r="O563" s="1407"/>
      <c r="P563" s="1407"/>
      <c r="Q563" s="1407"/>
      <c r="R563" s="1407"/>
      <c r="S563" s="1407"/>
      <c r="T563" s="1407"/>
      <c r="U563" s="1407"/>
    </row>
    <row r="564" spans="1:21" ht="12">
      <c r="A564" s="639" t="s">
        <v>4014</v>
      </c>
      <c r="B564" s="1483">
        <v>42340</v>
      </c>
      <c r="C564" s="639" t="s">
        <v>881</v>
      </c>
      <c r="D564" s="1433" t="s">
        <v>4015</v>
      </c>
      <c r="E564" s="1435"/>
      <c r="F564" s="1437">
        <v>1270000000000000</v>
      </c>
      <c r="G564" s="1591">
        <v>382000000000</v>
      </c>
      <c r="H564" s="1591">
        <v>99300000000000</v>
      </c>
      <c r="I564" s="1731">
        <v>452000000000</v>
      </c>
      <c r="J564" s="1407"/>
      <c r="K564" s="1431">
        <f t="shared" ref="K564:K572" si="74">(32800000000/G564)*F564</f>
        <v>109047120418848.16</v>
      </c>
      <c r="L564" s="1407"/>
      <c r="M564" s="1407"/>
      <c r="N564" s="1407"/>
      <c r="O564" s="1407"/>
      <c r="P564" s="1407"/>
      <c r="Q564" s="1407"/>
      <c r="R564" s="1407"/>
      <c r="S564" s="1407"/>
      <c r="T564" s="1407"/>
      <c r="U564" s="1407"/>
    </row>
    <row r="565" spans="1:21" ht="12">
      <c r="A565" s="639" t="s">
        <v>4014</v>
      </c>
      <c r="B565" s="1483">
        <v>42340</v>
      </c>
      <c r="C565" s="639" t="s">
        <v>881</v>
      </c>
      <c r="D565" s="1433" t="s">
        <v>4016</v>
      </c>
      <c r="E565" s="1435"/>
      <c r="F565" s="1437">
        <v>1880000000000000</v>
      </c>
      <c r="G565" s="1591">
        <v>382000000000</v>
      </c>
      <c r="H565" s="1591">
        <v>99300000000000</v>
      </c>
      <c r="I565" s="1731">
        <v>452000000000</v>
      </c>
      <c r="J565" s="1407"/>
      <c r="K565" s="1431">
        <f t="shared" si="74"/>
        <v>161424083769633.5</v>
      </c>
      <c r="L565" s="1407"/>
      <c r="M565" s="1407"/>
      <c r="N565" s="1407"/>
      <c r="O565" s="1407"/>
      <c r="P565" s="1407"/>
      <c r="Q565" s="1407"/>
      <c r="R565" s="1407"/>
      <c r="S565" s="1407"/>
      <c r="T565" s="1407"/>
      <c r="U565" s="1407"/>
    </row>
    <row r="566" spans="1:21" ht="12">
      <c r="A566" s="639" t="s">
        <v>4014</v>
      </c>
      <c r="B566" s="1483">
        <v>42340</v>
      </c>
      <c r="C566" s="639" t="s">
        <v>881</v>
      </c>
      <c r="D566" s="1433" t="s">
        <v>4017</v>
      </c>
      <c r="E566" s="1435"/>
      <c r="F566" s="1437">
        <v>3610000000000000</v>
      </c>
      <c r="G566" s="1591">
        <v>382000000000</v>
      </c>
      <c r="H566" s="1591">
        <v>99300000000000</v>
      </c>
      <c r="I566" s="1731">
        <v>452000000000</v>
      </c>
      <c r="J566" s="1407"/>
      <c r="K566" s="1431">
        <f t="shared" si="74"/>
        <v>309968586387434.56</v>
      </c>
      <c r="L566" s="1407"/>
      <c r="M566" s="1407"/>
      <c r="N566" s="1407"/>
      <c r="O566" s="1407"/>
      <c r="P566" s="1407"/>
      <c r="Q566" s="1407"/>
      <c r="R566" s="1407"/>
      <c r="S566" s="1407"/>
      <c r="T566" s="1407"/>
      <c r="U566" s="1407"/>
    </row>
    <row r="567" spans="1:21" ht="12">
      <c r="A567" s="639" t="s">
        <v>4014</v>
      </c>
      <c r="B567" s="1483">
        <v>42340</v>
      </c>
      <c r="C567" s="639" t="s">
        <v>881</v>
      </c>
      <c r="D567" s="1433" t="s">
        <v>4018</v>
      </c>
      <c r="E567" s="1435"/>
      <c r="F567" s="1437">
        <v>7740000000000000</v>
      </c>
      <c r="G567" s="1591">
        <v>382000000000</v>
      </c>
      <c r="H567" s="1591">
        <v>99300000000000</v>
      </c>
      <c r="I567" s="1731">
        <v>452000000000</v>
      </c>
      <c r="J567" s="1407"/>
      <c r="K567" s="1431">
        <f t="shared" si="74"/>
        <v>664586387434555</v>
      </c>
      <c r="L567" s="1407"/>
      <c r="M567" s="1407"/>
      <c r="N567" s="1407"/>
      <c r="O567" s="1407"/>
      <c r="P567" s="1407"/>
      <c r="Q567" s="1407"/>
      <c r="R567" s="1407"/>
      <c r="S567" s="1407"/>
      <c r="T567" s="1407"/>
      <c r="U567" s="1407"/>
    </row>
    <row r="568" spans="1:21" ht="12">
      <c r="A568" s="639" t="s">
        <v>4014</v>
      </c>
      <c r="B568" s="1483">
        <v>42340</v>
      </c>
      <c r="C568" s="639" t="s">
        <v>881</v>
      </c>
      <c r="D568" s="1433" t="s">
        <v>4019</v>
      </c>
      <c r="E568" s="1435"/>
      <c r="F568" s="1437">
        <v>2180000000000000</v>
      </c>
      <c r="G568" s="1591">
        <v>382000000000</v>
      </c>
      <c r="H568" s="1591">
        <v>99300000000000</v>
      </c>
      <c r="I568" s="1731">
        <v>452000000000</v>
      </c>
      <c r="J568" s="1407"/>
      <c r="K568" s="1431">
        <f t="shared" si="74"/>
        <v>187183246073298.41</v>
      </c>
      <c r="L568" s="1407"/>
      <c r="M568" s="1407"/>
      <c r="N568" s="1407"/>
      <c r="O568" s="1407"/>
      <c r="P568" s="1407"/>
      <c r="Q568" s="1407"/>
      <c r="R568" s="1407"/>
      <c r="S568" s="1407"/>
      <c r="T568" s="1407"/>
      <c r="U568" s="1407"/>
    </row>
    <row r="569" spans="1:21" ht="12">
      <c r="A569" s="639" t="s">
        <v>4014</v>
      </c>
      <c r="B569" s="1483">
        <v>42340</v>
      </c>
      <c r="C569" s="639" t="s">
        <v>881</v>
      </c>
      <c r="D569" s="1433" t="s">
        <v>4020</v>
      </c>
      <c r="E569" s="1435"/>
      <c r="F569" s="1437">
        <v>1.05E+16</v>
      </c>
      <c r="G569" s="1591">
        <v>382000000000</v>
      </c>
      <c r="H569" s="1591">
        <v>99300000000000</v>
      </c>
      <c r="I569" s="1731">
        <v>452000000000</v>
      </c>
      <c r="J569" s="1407"/>
      <c r="K569" s="1431">
        <f t="shared" si="74"/>
        <v>901570680628272.25</v>
      </c>
      <c r="L569" s="1407"/>
      <c r="M569" s="1407"/>
      <c r="N569" s="1407"/>
      <c r="O569" s="1407"/>
      <c r="P569" s="1407"/>
      <c r="Q569" s="1407"/>
      <c r="R569" s="1407"/>
      <c r="S569" s="1407"/>
      <c r="T569" s="1407"/>
      <c r="U569" s="1407"/>
    </row>
    <row r="570" spans="1:21" ht="12">
      <c r="A570" s="639" t="s">
        <v>4014</v>
      </c>
      <c r="B570" s="1483">
        <v>42340</v>
      </c>
      <c r="C570" s="639" t="s">
        <v>881</v>
      </c>
      <c r="D570" s="1433" t="s">
        <v>3997</v>
      </c>
      <c r="E570" s="1435"/>
      <c r="F570" s="1437">
        <v>1440000000000000</v>
      </c>
      <c r="G570" s="1591">
        <v>382000000000</v>
      </c>
      <c r="H570" s="1591">
        <v>99300000000000</v>
      </c>
      <c r="I570" s="1731">
        <v>452000000000</v>
      </c>
      <c r="J570" s="1407"/>
      <c r="K570" s="1431">
        <f t="shared" si="74"/>
        <v>123643979057591.62</v>
      </c>
      <c r="L570" s="1407"/>
      <c r="M570" s="1407"/>
      <c r="N570" s="1407"/>
      <c r="O570" s="1407"/>
      <c r="P570" s="1407"/>
      <c r="Q570" s="1407"/>
      <c r="R570" s="1407"/>
      <c r="S570" s="1407"/>
      <c r="T570" s="1407"/>
      <c r="U570" s="1407"/>
    </row>
    <row r="571" spans="1:21" ht="12">
      <c r="A571" s="639" t="s">
        <v>4014</v>
      </c>
      <c r="B571" s="1483">
        <v>42340</v>
      </c>
      <c r="C571" s="639" t="s">
        <v>881</v>
      </c>
      <c r="D571" s="1433" t="s">
        <v>3998</v>
      </c>
      <c r="E571" s="1435"/>
      <c r="F571" s="1437">
        <v>535000000000000</v>
      </c>
      <c r="G571" s="1591">
        <v>382000000000</v>
      </c>
      <c r="H571" s="1591">
        <v>99300000000000</v>
      </c>
      <c r="I571" s="1731">
        <v>452000000000</v>
      </c>
      <c r="J571" s="1407"/>
      <c r="K571" s="1431">
        <f t="shared" si="74"/>
        <v>45937172774869.109</v>
      </c>
      <c r="L571" s="1407"/>
      <c r="M571" s="1407"/>
      <c r="N571" s="1407"/>
      <c r="O571" s="1407"/>
      <c r="P571" s="1407"/>
      <c r="Q571" s="1407"/>
      <c r="R571" s="1407"/>
      <c r="S571" s="1407"/>
      <c r="T571" s="1407"/>
      <c r="U571" s="1407"/>
    </row>
    <row r="572" spans="1:21" ht="12">
      <c r="A572" s="639" t="s">
        <v>4014</v>
      </c>
      <c r="B572" s="1483">
        <v>42340</v>
      </c>
      <c r="C572" s="639" t="s">
        <v>881</v>
      </c>
      <c r="D572" s="1433" t="s">
        <v>3995</v>
      </c>
      <c r="E572" s="1435"/>
      <c r="F572" s="1437">
        <v>131000000000000</v>
      </c>
      <c r="G572" s="1591">
        <v>382000000000</v>
      </c>
      <c r="H572" s="1591">
        <v>99300000000000</v>
      </c>
      <c r="I572" s="1731">
        <v>452000000000</v>
      </c>
      <c r="J572" s="1407"/>
      <c r="K572" s="1431">
        <f t="shared" si="74"/>
        <v>11248167539267.016</v>
      </c>
      <c r="L572" s="639" t="s">
        <v>4010</v>
      </c>
      <c r="M572" s="1407"/>
      <c r="N572" s="1407"/>
      <c r="O572" s="1407"/>
      <c r="P572" s="1407"/>
      <c r="Q572" s="1407"/>
      <c r="R572" s="1407"/>
      <c r="S572" s="1407"/>
      <c r="T572" s="1407"/>
      <c r="U572" s="1407"/>
    </row>
    <row r="573" spans="1:21" ht="12">
      <c r="A573" s="1407"/>
      <c r="B573" s="1407"/>
      <c r="C573" s="639"/>
      <c r="D573" s="1409"/>
      <c r="E573" s="1410"/>
      <c r="F573" s="1495"/>
      <c r="G573" s="1534"/>
      <c r="H573" s="1438"/>
      <c r="I573" s="1731"/>
      <c r="J573" s="1407"/>
      <c r="K573" s="1431"/>
      <c r="L573" s="1407"/>
      <c r="M573" s="1407"/>
      <c r="N573" s="1407"/>
      <c r="O573" s="1407"/>
      <c r="P573" s="1407"/>
      <c r="Q573" s="1407"/>
      <c r="R573" s="1407"/>
      <c r="S573" s="1407"/>
      <c r="T573" s="1407"/>
      <c r="U573" s="1407"/>
    </row>
    <row r="574" spans="1:21" ht="12">
      <c r="A574" s="639" t="s">
        <v>4023</v>
      </c>
      <c r="B574" s="1483">
        <v>42347</v>
      </c>
      <c r="C574" s="639" t="s">
        <v>881</v>
      </c>
      <c r="D574" s="1433" t="s">
        <v>4015</v>
      </c>
      <c r="E574" s="1435"/>
      <c r="F574" s="1437">
        <v>150000000000000</v>
      </c>
      <c r="G574" s="1438">
        <v>82200000000</v>
      </c>
      <c r="H574" s="1438">
        <v>27700000000000</v>
      </c>
      <c r="I574" s="1731">
        <v>69000000000</v>
      </c>
      <c r="J574" s="1407"/>
      <c r="K574" s="1431">
        <f t="shared" ref="K574:K582" si="75">(32800000000/G574)*F574</f>
        <v>59854014598540.148</v>
      </c>
      <c r="L574" s="1407"/>
      <c r="M574" s="1407"/>
      <c r="N574" s="1407"/>
      <c r="O574" s="1407"/>
      <c r="P574" s="1407"/>
      <c r="Q574" s="1407"/>
      <c r="R574" s="1407"/>
      <c r="S574" s="1407"/>
      <c r="T574" s="1407"/>
      <c r="U574" s="1407"/>
    </row>
    <row r="575" spans="1:21" ht="12">
      <c r="A575" s="639" t="s">
        <v>4023</v>
      </c>
      <c r="B575" s="1483">
        <v>42347</v>
      </c>
      <c r="C575" s="639" t="s">
        <v>881</v>
      </c>
      <c r="D575" s="1433" t="s">
        <v>4016</v>
      </c>
      <c r="E575" s="1435"/>
      <c r="F575" s="1437">
        <v>240000000000000</v>
      </c>
      <c r="G575" s="1438">
        <v>82200000000</v>
      </c>
      <c r="H575" s="1438">
        <v>27700000000000</v>
      </c>
      <c r="I575" s="1731">
        <v>69000000000</v>
      </c>
      <c r="J575" s="1407"/>
      <c r="K575" s="1431">
        <f t="shared" si="75"/>
        <v>95766423357664.234</v>
      </c>
      <c r="L575" s="1407"/>
      <c r="M575" s="1407"/>
      <c r="N575" s="1407"/>
      <c r="O575" s="1407"/>
      <c r="P575" s="1407"/>
      <c r="Q575" s="1407"/>
      <c r="R575" s="1407"/>
      <c r="S575" s="1407"/>
      <c r="T575" s="1407"/>
      <c r="U575" s="1407"/>
    </row>
    <row r="576" spans="1:21" ht="12">
      <c r="A576" s="639" t="s">
        <v>4023</v>
      </c>
      <c r="B576" s="1483">
        <v>42347</v>
      </c>
      <c r="C576" s="639" t="s">
        <v>881</v>
      </c>
      <c r="D576" s="1433" t="s">
        <v>4017</v>
      </c>
      <c r="E576" s="1435"/>
      <c r="F576" s="1437">
        <v>362000000000000</v>
      </c>
      <c r="G576" s="1438">
        <v>82200000000</v>
      </c>
      <c r="H576" s="1438">
        <v>27700000000000</v>
      </c>
      <c r="I576" s="1731">
        <v>69000000000</v>
      </c>
      <c r="J576" s="1407"/>
      <c r="K576" s="1431">
        <f t="shared" si="75"/>
        <v>144447688564476.88</v>
      </c>
      <c r="L576" s="1407"/>
      <c r="M576" s="1407"/>
      <c r="N576" s="1407"/>
      <c r="O576" s="1407"/>
      <c r="P576" s="1407"/>
      <c r="Q576" s="1407"/>
      <c r="R576" s="1407"/>
      <c r="S576" s="1407"/>
      <c r="T576" s="1407"/>
      <c r="U576" s="1407"/>
    </row>
    <row r="577" spans="1:21" ht="12">
      <c r="A577" s="639" t="s">
        <v>4023</v>
      </c>
      <c r="B577" s="1483">
        <v>42347</v>
      </c>
      <c r="C577" s="639" t="s">
        <v>881</v>
      </c>
      <c r="D577" s="1433" t="s">
        <v>4018</v>
      </c>
      <c r="E577" s="1435"/>
      <c r="F577" s="1437">
        <v>771000000000000</v>
      </c>
      <c r="G577" s="1438">
        <v>82200000000</v>
      </c>
      <c r="H577" s="1438">
        <v>27700000000000</v>
      </c>
      <c r="I577" s="1731">
        <v>69000000000</v>
      </c>
      <c r="J577" s="1407"/>
      <c r="K577" s="1431">
        <f t="shared" si="75"/>
        <v>307649635036496.38</v>
      </c>
      <c r="L577" s="1407"/>
      <c r="M577" s="1407"/>
      <c r="N577" s="1407"/>
      <c r="O577" s="1407"/>
      <c r="P577" s="1407"/>
      <c r="Q577" s="1407"/>
      <c r="R577" s="1407"/>
      <c r="S577" s="1407"/>
      <c r="T577" s="1407"/>
      <c r="U577" s="1407"/>
    </row>
    <row r="578" spans="1:21" ht="12">
      <c r="A578" s="639" t="s">
        <v>4023</v>
      </c>
      <c r="B578" s="1483">
        <v>42347</v>
      </c>
      <c r="C578" s="639" t="s">
        <v>881</v>
      </c>
      <c r="D578" s="1433" t="s">
        <v>4019</v>
      </c>
      <c r="E578" s="1435"/>
      <c r="F578" s="1437">
        <v>237000000000000</v>
      </c>
      <c r="G578" s="1438">
        <v>82200000000</v>
      </c>
      <c r="H578" s="1438">
        <v>27700000000000</v>
      </c>
      <c r="I578" s="1731">
        <v>69000000000</v>
      </c>
      <c r="J578" s="1407"/>
      <c r="K578" s="1431">
        <f t="shared" si="75"/>
        <v>94569343065693.438</v>
      </c>
      <c r="L578" s="1407"/>
      <c r="M578" s="1407"/>
      <c r="N578" s="1407"/>
      <c r="O578" s="1407"/>
      <c r="P578" s="1407"/>
      <c r="Q578" s="1407"/>
      <c r="R578" s="1407"/>
      <c r="S578" s="1407"/>
      <c r="T578" s="1407"/>
      <c r="U578" s="1407"/>
    </row>
    <row r="579" spans="1:21" ht="12">
      <c r="A579" s="639" t="s">
        <v>4023</v>
      </c>
      <c r="B579" s="1483">
        <v>42347</v>
      </c>
      <c r="C579" s="639" t="s">
        <v>881</v>
      </c>
      <c r="D579" s="1433" t="s">
        <v>4020</v>
      </c>
      <c r="E579" s="1435"/>
      <c r="F579" s="1437">
        <v>1270000000000000</v>
      </c>
      <c r="G579" s="1438">
        <v>82200000000</v>
      </c>
      <c r="H579" s="1438">
        <v>27700000000000</v>
      </c>
      <c r="I579" s="1731">
        <v>69000000000</v>
      </c>
      <c r="J579" s="1407"/>
      <c r="K579" s="1431">
        <f t="shared" si="75"/>
        <v>506763990267639.94</v>
      </c>
      <c r="L579" s="1407"/>
      <c r="M579" s="1407"/>
      <c r="N579" s="1407"/>
      <c r="O579" s="1407"/>
      <c r="P579" s="1407"/>
      <c r="Q579" s="1407"/>
      <c r="R579" s="1407"/>
      <c r="S579" s="1407"/>
      <c r="T579" s="1407"/>
      <c r="U579" s="1407"/>
    </row>
    <row r="580" spans="1:21" ht="12">
      <c r="A580" s="639" t="s">
        <v>4023</v>
      </c>
      <c r="B580" s="1483">
        <v>42347</v>
      </c>
      <c r="C580" s="639" t="s">
        <v>881</v>
      </c>
      <c r="D580" s="1433" t="s">
        <v>3997</v>
      </c>
      <c r="E580" s="1435"/>
      <c r="F580" s="1437">
        <v>165000000000000</v>
      </c>
      <c r="G580" s="1438">
        <v>82200000000</v>
      </c>
      <c r="H580" s="1438">
        <v>27700000000000</v>
      </c>
      <c r="I580" s="1731">
        <v>69000000000</v>
      </c>
      <c r="J580" s="1407"/>
      <c r="K580" s="1431">
        <f t="shared" si="75"/>
        <v>65839416058394.164</v>
      </c>
      <c r="L580" s="1407"/>
      <c r="M580" s="1407"/>
      <c r="N580" s="1407"/>
      <c r="O580" s="1407"/>
      <c r="P580" s="1407"/>
      <c r="Q580" s="1407"/>
      <c r="R580" s="1407"/>
      <c r="S580" s="1407"/>
      <c r="T580" s="1407"/>
      <c r="U580" s="1407"/>
    </row>
    <row r="581" spans="1:21" ht="12">
      <c r="A581" s="639" t="s">
        <v>4023</v>
      </c>
      <c r="B581" s="1483">
        <v>42347</v>
      </c>
      <c r="C581" s="639" t="s">
        <v>881</v>
      </c>
      <c r="D581" s="1433" t="s">
        <v>3998</v>
      </c>
      <c r="E581" s="1435"/>
      <c r="F581" s="1437">
        <v>62600000000000</v>
      </c>
      <c r="G581" s="1438">
        <v>82200000000</v>
      </c>
      <c r="H581" s="1438">
        <v>27700000000000</v>
      </c>
      <c r="I581" s="1731">
        <v>69000000000</v>
      </c>
      <c r="J581" s="1407"/>
      <c r="K581" s="1431">
        <f t="shared" si="75"/>
        <v>24979075425790.754</v>
      </c>
      <c r="L581" s="1407"/>
      <c r="M581" s="1407"/>
      <c r="N581" s="1407"/>
      <c r="O581" s="1407"/>
      <c r="P581" s="1407"/>
      <c r="Q581" s="1407"/>
      <c r="R581" s="1407"/>
      <c r="S581" s="1407"/>
      <c r="T581" s="1407"/>
      <c r="U581" s="1407"/>
    </row>
    <row r="582" spans="1:21" ht="12">
      <c r="A582" s="639" t="s">
        <v>4023</v>
      </c>
      <c r="B582" s="1483">
        <v>42347</v>
      </c>
      <c r="C582" s="639" t="s">
        <v>881</v>
      </c>
      <c r="D582" s="1433" t="s">
        <v>3995</v>
      </c>
      <c r="E582" s="1435"/>
      <c r="F582" s="1437">
        <v>15400000000000</v>
      </c>
      <c r="G582" s="1438">
        <v>82200000000</v>
      </c>
      <c r="H582" s="1438">
        <v>27700000000000</v>
      </c>
      <c r="I582" s="1731">
        <v>69000000000</v>
      </c>
      <c r="J582" s="1407"/>
      <c r="K582" s="1431">
        <f t="shared" si="75"/>
        <v>6145012165450.1221</v>
      </c>
      <c r="L582" s="639" t="s">
        <v>4010</v>
      </c>
      <c r="M582" s="1407"/>
      <c r="N582" s="1407"/>
      <c r="O582" s="1407"/>
      <c r="P582" s="1407"/>
      <c r="Q582" s="1407"/>
      <c r="R582" s="1407"/>
      <c r="S582" s="1407"/>
      <c r="T582" s="1407"/>
      <c r="U582" s="1407"/>
    </row>
    <row r="583" spans="1:21" ht="12">
      <c r="A583" s="1407"/>
      <c r="B583" s="1407"/>
      <c r="C583" s="639"/>
      <c r="D583" s="1409"/>
      <c r="E583" s="1410"/>
      <c r="F583" s="1495"/>
      <c r="G583" s="1534"/>
      <c r="H583" s="1534"/>
      <c r="I583" s="1428"/>
      <c r="J583" s="1407"/>
      <c r="K583" s="1431"/>
      <c r="L583" s="1407"/>
      <c r="M583" s="1407"/>
      <c r="N583" s="1407"/>
      <c r="O583" s="1407"/>
      <c r="P583" s="1407"/>
      <c r="Q583" s="1407"/>
      <c r="R583" s="1407"/>
      <c r="S583" s="1407"/>
      <c r="T583" s="1407"/>
      <c r="U583" s="1407"/>
    </row>
    <row r="584" spans="1:21" ht="12">
      <c r="A584" s="639" t="s">
        <v>4024</v>
      </c>
      <c r="B584" s="1483">
        <v>42352</v>
      </c>
      <c r="C584" s="639" t="s">
        <v>881</v>
      </c>
      <c r="D584" s="1831" t="s">
        <v>4025</v>
      </c>
      <c r="E584" s="1435"/>
      <c r="F584" s="1437">
        <v>16400000000000</v>
      </c>
      <c r="G584" s="1438">
        <v>42800000000</v>
      </c>
      <c r="H584" s="1438">
        <v>23200000000000</v>
      </c>
      <c r="I584" s="1731">
        <v>43200000000</v>
      </c>
      <c r="J584" s="1407"/>
      <c r="K584" s="1431">
        <f t="shared" ref="K584:K587" si="76">(32800000000/G584)*F584</f>
        <v>12568224299065.42</v>
      </c>
      <c r="L584" s="1407"/>
      <c r="M584" s="1407"/>
      <c r="N584" s="1407"/>
      <c r="O584" s="1407"/>
      <c r="P584" s="1407"/>
      <c r="Q584" s="1407"/>
      <c r="R584" s="1407"/>
      <c r="S584" s="1407"/>
      <c r="T584" s="1407"/>
      <c r="U584" s="1407"/>
    </row>
    <row r="585" spans="1:21" ht="12">
      <c r="A585" s="639" t="s">
        <v>4024</v>
      </c>
      <c r="B585" s="1483">
        <v>42352</v>
      </c>
      <c r="C585" s="639" t="s">
        <v>881</v>
      </c>
      <c r="D585" s="1831" t="s">
        <v>4027</v>
      </c>
      <c r="E585" s="1435"/>
      <c r="F585" s="1437">
        <v>12100000000000</v>
      </c>
      <c r="G585" s="1438">
        <v>42800000000</v>
      </c>
      <c r="H585" s="1438">
        <v>23200000000000</v>
      </c>
      <c r="I585" s="1731">
        <v>43200000000</v>
      </c>
      <c r="J585" s="1407"/>
      <c r="K585" s="1431">
        <f t="shared" si="76"/>
        <v>9272897196261.6816</v>
      </c>
      <c r="L585" s="1407"/>
      <c r="M585" s="1407"/>
      <c r="N585" s="1407"/>
      <c r="O585" s="1407"/>
      <c r="P585" s="1407"/>
      <c r="Q585" s="1407"/>
      <c r="R585" s="1407"/>
      <c r="S585" s="1407"/>
      <c r="T585" s="1407"/>
      <c r="U585" s="1407"/>
    </row>
    <row r="586" spans="1:21" ht="12">
      <c r="A586" s="639" t="s">
        <v>4024</v>
      </c>
      <c r="B586" s="1483">
        <v>42352</v>
      </c>
      <c r="C586" s="639" t="s">
        <v>881</v>
      </c>
      <c r="D586" s="1831" t="s">
        <v>4028</v>
      </c>
      <c r="E586" s="1435"/>
      <c r="F586" s="1437">
        <v>200000000000000</v>
      </c>
      <c r="G586" s="1438">
        <v>42800000000</v>
      </c>
      <c r="H586" s="1438">
        <v>23200000000000</v>
      </c>
      <c r="I586" s="1731">
        <v>43200000000</v>
      </c>
      <c r="J586" s="1407"/>
      <c r="K586" s="1431">
        <f t="shared" si="76"/>
        <v>153271028037383.19</v>
      </c>
      <c r="L586" s="1407"/>
      <c r="M586" s="1407"/>
      <c r="N586" s="1407"/>
      <c r="O586" s="1407"/>
      <c r="P586" s="1407"/>
      <c r="Q586" s="1407"/>
      <c r="R586" s="1407"/>
      <c r="S586" s="1407"/>
      <c r="T586" s="1407"/>
      <c r="U586" s="1407"/>
    </row>
    <row r="587" spans="1:21" ht="12">
      <c r="A587" s="639" t="s">
        <v>4024</v>
      </c>
      <c r="B587" s="1483">
        <v>42352</v>
      </c>
      <c r="C587" s="639" t="s">
        <v>881</v>
      </c>
      <c r="D587" s="1831" t="s">
        <v>4029</v>
      </c>
      <c r="E587" s="1435"/>
      <c r="F587" s="1437">
        <v>15600000000000</v>
      </c>
      <c r="G587" s="1438">
        <v>42800000000</v>
      </c>
      <c r="H587" s="1438">
        <v>23200000000000</v>
      </c>
      <c r="I587" s="1731">
        <v>43200000000</v>
      </c>
      <c r="J587" s="1407"/>
      <c r="K587" s="1431">
        <f t="shared" si="76"/>
        <v>11955140186915.887</v>
      </c>
      <c r="L587" s="1407"/>
      <c r="M587" s="1407"/>
      <c r="N587" s="1407"/>
      <c r="O587" s="1407"/>
      <c r="P587" s="1407"/>
      <c r="Q587" s="1407"/>
      <c r="R587" s="1407"/>
      <c r="S587" s="1407"/>
      <c r="T587" s="1407"/>
      <c r="U587" s="1407"/>
    </row>
    <row r="588" spans="1:21" ht="12">
      <c r="A588" s="1407"/>
      <c r="B588" s="1407"/>
      <c r="C588" s="639"/>
      <c r="D588" s="1409"/>
      <c r="E588" s="1410"/>
      <c r="F588" s="1495"/>
      <c r="G588" s="1534"/>
      <c r="H588" s="1534"/>
      <c r="I588" s="1428"/>
      <c r="J588" s="1407"/>
      <c r="K588" s="1416"/>
      <c r="L588" s="1407"/>
      <c r="M588" s="1407"/>
      <c r="N588" s="1407"/>
      <c r="O588" s="1407"/>
      <c r="P588" s="1407"/>
      <c r="Q588" s="1407"/>
      <c r="R588" s="1407"/>
      <c r="S588" s="1407"/>
      <c r="T588" s="1407"/>
      <c r="U588" s="1407"/>
    </row>
    <row r="589" spans="1:21" ht="12">
      <c r="A589" s="639" t="s">
        <v>4030</v>
      </c>
      <c r="B589" s="1483">
        <v>42360</v>
      </c>
      <c r="C589" s="639" t="s">
        <v>95</v>
      </c>
      <c r="D589" s="1433" t="s">
        <v>4031</v>
      </c>
      <c r="E589" s="1435"/>
      <c r="F589" s="1437">
        <v>500000000000</v>
      </c>
      <c r="G589" s="1438">
        <v>12400000000</v>
      </c>
      <c r="H589" s="1438">
        <v>10800000000000</v>
      </c>
      <c r="I589" s="1731">
        <v>23600000000</v>
      </c>
      <c r="J589" s="1407"/>
      <c r="K589" s="1431">
        <f t="shared" ref="K589:K594" si="77">(32800000000/G589)*F589</f>
        <v>1322580645161.2903</v>
      </c>
      <c r="L589" s="1407"/>
      <c r="M589" s="1407"/>
      <c r="N589" s="1407"/>
      <c r="O589" s="1407"/>
      <c r="P589" s="1407"/>
      <c r="Q589" s="1407"/>
      <c r="R589" s="1407"/>
      <c r="S589" s="1407"/>
      <c r="T589" s="1407"/>
      <c r="U589" s="1407"/>
    </row>
    <row r="590" spans="1:21" ht="12">
      <c r="A590" s="639" t="s">
        <v>4030</v>
      </c>
      <c r="B590" s="1483">
        <v>42360</v>
      </c>
      <c r="C590" s="639" t="s">
        <v>95</v>
      </c>
      <c r="D590" s="1433" t="s">
        <v>4033</v>
      </c>
      <c r="E590" s="1435"/>
      <c r="F590" s="1437">
        <v>1730000000000</v>
      </c>
      <c r="G590" s="1438">
        <v>12400000000</v>
      </c>
      <c r="H590" s="1438">
        <v>10800000000000</v>
      </c>
      <c r="I590" s="1731">
        <v>23600000000</v>
      </c>
      <c r="J590" s="1407"/>
      <c r="K590" s="1431">
        <f t="shared" si="77"/>
        <v>4576129032258.0645</v>
      </c>
      <c r="L590" s="1407"/>
      <c r="M590" s="1407"/>
      <c r="N590" s="1407"/>
      <c r="O590" s="1407"/>
      <c r="P590" s="1407"/>
      <c r="Q590" s="1407"/>
      <c r="R590" s="1407"/>
      <c r="S590" s="1407"/>
      <c r="T590" s="1407"/>
      <c r="U590" s="1407"/>
    </row>
    <row r="591" spans="1:21" ht="12">
      <c r="A591" s="639" t="s">
        <v>4030</v>
      </c>
      <c r="B591" s="1483">
        <v>42360</v>
      </c>
      <c r="C591" s="639" t="s">
        <v>95</v>
      </c>
      <c r="D591" s="1433" t="s">
        <v>3995</v>
      </c>
      <c r="E591" s="1435"/>
      <c r="F591" s="1437">
        <v>4170000000000</v>
      </c>
      <c r="G591" s="1438">
        <v>12400000000</v>
      </c>
      <c r="H591" s="1438">
        <v>10800000000000</v>
      </c>
      <c r="I591" s="1731">
        <v>23600000000</v>
      </c>
      <c r="J591" s="1407"/>
      <c r="K591" s="1431">
        <f t="shared" si="77"/>
        <v>11030322580645.16</v>
      </c>
      <c r="L591" s="1407"/>
      <c r="M591" s="1407"/>
      <c r="N591" s="1407"/>
      <c r="O591" s="1407"/>
      <c r="P591" s="1407"/>
      <c r="Q591" s="1407"/>
      <c r="R591" s="1407"/>
      <c r="S591" s="1407"/>
      <c r="T591" s="1407"/>
      <c r="U591" s="1407"/>
    </row>
    <row r="592" spans="1:21" ht="12">
      <c r="A592" s="639" t="s">
        <v>4030</v>
      </c>
      <c r="B592" s="1483">
        <v>42360</v>
      </c>
      <c r="C592" s="639" t="s">
        <v>95</v>
      </c>
      <c r="D592" s="1433" t="s">
        <v>3996</v>
      </c>
      <c r="E592" s="1435"/>
      <c r="F592" s="1437">
        <v>63600000000000</v>
      </c>
      <c r="G592" s="1438">
        <v>12400000000</v>
      </c>
      <c r="H592" s="1438">
        <v>10800000000000</v>
      </c>
      <c r="I592" s="1731">
        <v>23600000000</v>
      </c>
      <c r="J592" s="1407"/>
      <c r="K592" s="1431">
        <f t="shared" si="77"/>
        <v>168232258064516.12</v>
      </c>
      <c r="L592" s="1407"/>
      <c r="M592" s="1407"/>
      <c r="N592" s="1407"/>
      <c r="O592" s="1407"/>
      <c r="P592" s="1407"/>
      <c r="Q592" s="1407"/>
      <c r="R592" s="1407"/>
      <c r="S592" s="1407"/>
      <c r="T592" s="1407"/>
      <c r="U592" s="1407"/>
    </row>
    <row r="593" spans="1:21" ht="12">
      <c r="A593" s="639" t="s">
        <v>4030</v>
      </c>
      <c r="B593" s="1483">
        <v>42360</v>
      </c>
      <c r="C593" s="639" t="s">
        <v>95</v>
      </c>
      <c r="D593" s="1433" t="s">
        <v>4029</v>
      </c>
      <c r="E593" s="1435"/>
      <c r="F593" s="1437">
        <v>9430000000000</v>
      </c>
      <c r="G593" s="1438">
        <v>12400000000</v>
      </c>
      <c r="H593" s="1438">
        <v>10800000000000</v>
      </c>
      <c r="I593" s="1731">
        <v>23600000000</v>
      </c>
      <c r="J593" s="1407"/>
      <c r="K593" s="1431">
        <f t="shared" si="77"/>
        <v>24943870967741.934</v>
      </c>
      <c r="L593" s="1407"/>
      <c r="M593" s="1407"/>
      <c r="N593" s="1407"/>
      <c r="O593" s="1407"/>
      <c r="P593" s="1407"/>
      <c r="Q593" s="1407"/>
      <c r="R593" s="1407"/>
      <c r="S593" s="1407"/>
      <c r="T593" s="1407"/>
      <c r="U593" s="1407"/>
    </row>
    <row r="594" spans="1:21" ht="12">
      <c r="A594" s="639" t="s">
        <v>4030</v>
      </c>
      <c r="B594" s="1483">
        <v>42360</v>
      </c>
      <c r="C594" s="639" t="s">
        <v>95</v>
      </c>
      <c r="D594" s="1831" t="s">
        <v>4009</v>
      </c>
      <c r="E594" s="1435"/>
      <c r="F594" s="1437">
        <v>3070000000000</v>
      </c>
      <c r="G594" s="1438">
        <v>12400000000</v>
      </c>
      <c r="H594" s="1438">
        <v>10800000000000</v>
      </c>
      <c r="I594" s="1731">
        <v>23600000000</v>
      </c>
      <c r="J594" s="1407"/>
      <c r="K594" s="1431">
        <f t="shared" si="77"/>
        <v>8120645161290.3223</v>
      </c>
      <c r="L594" s="1407"/>
      <c r="M594" s="1407"/>
      <c r="N594" s="1407"/>
      <c r="O594" s="1407"/>
      <c r="P594" s="1407"/>
      <c r="Q594" s="1407"/>
      <c r="R594" s="1407"/>
      <c r="S594" s="1407"/>
      <c r="T594" s="1407"/>
      <c r="U594" s="1407"/>
    </row>
    <row r="595" spans="1:21" ht="12">
      <c r="A595" s="1407"/>
      <c r="B595" s="1407"/>
      <c r="C595" s="639"/>
      <c r="D595" s="1844"/>
      <c r="E595" s="1410"/>
      <c r="F595" s="1495"/>
      <c r="G595" s="1534"/>
      <c r="H595" s="1534"/>
      <c r="I595" s="1428"/>
      <c r="J595" s="1407"/>
      <c r="K595" s="1431"/>
      <c r="L595" s="1407"/>
      <c r="M595" s="1407"/>
      <c r="N595" s="1407"/>
      <c r="O595" s="1407"/>
      <c r="P595" s="1407"/>
      <c r="Q595" s="1407"/>
      <c r="R595" s="1407"/>
      <c r="S595" s="1407"/>
      <c r="T595" s="1407"/>
      <c r="U595" s="1407"/>
    </row>
    <row r="596" spans="1:21" ht="12">
      <c r="A596" s="639" t="s">
        <v>4039</v>
      </c>
      <c r="B596" s="1483">
        <v>42383</v>
      </c>
      <c r="C596" s="639" t="s">
        <v>881</v>
      </c>
      <c r="D596" s="1831" t="s">
        <v>4040</v>
      </c>
      <c r="E596" s="1435"/>
      <c r="F596" s="1437">
        <v>121000000000000</v>
      </c>
      <c r="G596" s="1438">
        <v>55600000000</v>
      </c>
      <c r="H596" s="1438">
        <v>17200000000000</v>
      </c>
      <c r="I596" s="1731">
        <v>25300000000</v>
      </c>
      <c r="J596" s="1407"/>
      <c r="K596" s="1431">
        <f t="shared" ref="K596:K602" si="78">(32800000000/G596)*F596</f>
        <v>71381294964028.781</v>
      </c>
      <c r="L596" s="1407"/>
      <c r="M596" s="1407"/>
      <c r="N596" s="1407"/>
      <c r="O596" s="1407"/>
      <c r="P596" s="1407"/>
      <c r="Q596" s="1407"/>
      <c r="R596" s="1407"/>
      <c r="S596" s="1407"/>
      <c r="T596" s="1407"/>
      <c r="U596" s="1407"/>
    </row>
    <row r="597" spans="1:21" ht="12">
      <c r="A597" s="639" t="s">
        <v>4039</v>
      </c>
      <c r="B597" s="1483">
        <v>42383</v>
      </c>
      <c r="C597" s="639" t="s">
        <v>881</v>
      </c>
      <c r="D597" s="1831" t="s">
        <v>4041</v>
      </c>
      <c r="E597" s="1435"/>
      <c r="F597" s="1437">
        <v>139000000000</v>
      </c>
      <c r="G597" s="1438">
        <v>55600000000</v>
      </c>
      <c r="H597" s="1438">
        <v>17200000000000</v>
      </c>
      <c r="I597" s="1731">
        <v>25300000000</v>
      </c>
      <c r="J597" s="1407"/>
      <c r="K597" s="1431">
        <f t="shared" si="78"/>
        <v>82000000000</v>
      </c>
      <c r="L597" s="1407"/>
      <c r="M597" s="1407"/>
      <c r="N597" s="1407"/>
      <c r="O597" s="1407"/>
      <c r="P597" s="1407"/>
      <c r="Q597" s="1407"/>
      <c r="R597" s="1407"/>
      <c r="S597" s="1407"/>
      <c r="T597" s="1407"/>
      <c r="U597" s="1407"/>
    </row>
    <row r="598" spans="1:21" ht="12">
      <c r="A598" s="639" t="s">
        <v>4039</v>
      </c>
      <c r="B598" s="1483">
        <v>42383</v>
      </c>
      <c r="C598" s="639" t="s">
        <v>881</v>
      </c>
      <c r="D598" s="1831" t="s">
        <v>4042</v>
      </c>
      <c r="E598" s="1435"/>
      <c r="F598" s="1437">
        <v>289000000000000</v>
      </c>
      <c r="G598" s="1438">
        <v>55600000000</v>
      </c>
      <c r="H598" s="1438">
        <v>17200000000000</v>
      </c>
      <c r="I598" s="1731">
        <v>25300000000</v>
      </c>
      <c r="J598" s="1407"/>
      <c r="K598" s="1431">
        <f t="shared" si="78"/>
        <v>170489208633093.53</v>
      </c>
      <c r="L598" s="1407"/>
      <c r="M598" s="1407"/>
      <c r="N598" s="1407"/>
      <c r="O598" s="1407"/>
      <c r="P598" s="1407"/>
      <c r="Q598" s="1407"/>
      <c r="R598" s="1407"/>
      <c r="S598" s="1407"/>
      <c r="T598" s="1407"/>
      <c r="U598" s="1407"/>
    </row>
    <row r="599" spans="1:21" ht="12">
      <c r="A599" s="639" t="s">
        <v>4039</v>
      </c>
      <c r="B599" s="1483">
        <v>42383</v>
      </c>
      <c r="C599" s="639" t="s">
        <v>881</v>
      </c>
      <c r="D599" s="1831" t="s">
        <v>4043</v>
      </c>
      <c r="E599" s="1435"/>
      <c r="F599" s="1437">
        <v>146000000000000</v>
      </c>
      <c r="G599" s="1438">
        <v>55600000000</v>
      </c>
      <c r="H599" s="1438">
        <v>17200000000000</v>
      </c>
      <c r="I599" s="1731">
        <v>25300000000</v>
      </c>
      <c r="J599" s="1407"/>
      <c r="K599" s="1431">
        <f t="shared" si="78"/>
        <v>86129496402877.703</v>
      </c>
      <c r="L599" s="1407"/>
      <c r="M599" s="1407"/>
      <c r="N599" s="1407"/>
      <c r="O599" s="1407"/>
      <c r="P599" s="1407"/>
      <c r="Q599" s="1407"/>
      <c r="R599" s="1407"/>
      <c r="S599" s="1407"/>
      <c r="T599" s="1407"/>
      <c r="U599" s="1407"/>
    </row>
    <row r="600" spans="1:21" ht="12">
      <c r="A600" s="639" t="s">
        <v>4039</v>
      </c>
      <c r="B600" s="1483">
        <v>42383</v>
      </c>
      <c r="C600" s="639" t="s">
        <v>881</v>
      </c>
      <c r="D600" s="1831" t="s">
        <v>4044</v>
      </c>
      <c r="E600" s="1435"/>
      <c r="F600" s="1437">
        <v>6110000000000</v>
      </c>
      <c r="G600" s="1438">
        <v>55600000000</v>
      </c>
      <c r="H600" s="1438">
        <v>17200000000000</v>
      </c>
      <c r="I600" s="1731">
        <v>25300000000</v>
      </c>
      <c r="J600" s="1407"/>
      <c r="K600" s="1431">
        <f t="shared" si="78"/>
        <v>3604460431654.6763</v>
      </c>
      <c r="L600" s="1407"/>
      <c r="M600" s="1407"/>
      <c r="N600" s="1407"/>
      <c r="O600" s="1407"/>
      <c r="P600" s="1407"/>
      <c r="Q600" s="1407"/>
      <c r="R600" s="1407"/>
      <c r="S600" s="1407"/>
      <c r="T600" s="1407"/>
      <c r="U600" s="1407"/>
    </row>
    <row r="601" spans="1:21" ht="12">
      <c r="A601" s="639" t="s">
        <v>4039</v>
      </c>
      <c r="B601" s="1483">
        <v>42383</v>
      </c>
      <c r="C601" s="639" t="s">
        <v>881</v>
      </c>
      <c r="D601" s="1831" t="s">
        <v>4045</v>
      </c>
      <c r="E601" s="1435"/>
      <c r="F601" s="1437">
        <v>2460000000000</v>
      </c>
      <c r="G601" s="1438">
        <v>55600000000</v>
      </c>
      <c r="H601" s="1438">
        <v>17200000000000</v>
      </c>
      <c r="I601" s="1731">
        <v>25300000000</v>
      </c>
      <c r="J601" s="1407"/>
      <c r="K601" s="1431">
        <f t="shared" si="78"/>
        <v>1451223021582.7339</v>
      </c>
      <c r="L601" s="1407"/>
      <c r="M601" s="1407"/>
      <c r="N601" s="1407"/>
      <c r="O601" s="1407"/>
      <c r="P601" s="1407"/>
      <c r="Q601" s="1407"/>
      <c r="R601" s="1407"/>
      <c r="S601" s="1407"/>
      <c r="T601" s="1407"/>
      <c r="U601" s="1407"/>
    </row>
    <row r="602" spans="1:21" ht="12">
      <c r="A602" s="639" t="s">
        <v>4039</v>
      </c>
      <c r="B602" s="1483">
        <v>42383</v>
      </c>
      <c r="C602" s="639" t="s">
        <v>881</v>
      </c>
      <c r="D602" s="1831" t="s">
        <v>3946</v>
      </c>
      <c r="E602" s="1435"/>
      <c r="F602" s="1437">
        <v>15100000000000</v>
      </c>
      <c r="G602" s="1438">
        <v>55600000000</v>
      </c>
      <c r="H602" s="1438">
        <v>17200000000000</v>
      </c>
      <c r="I602" s="1731">
        <v>25300000000</v>
      </c>
      <c r="J602" s="1407"/>
      <c r="K602" s="1431">
        <f t="shared" si="78"/>
        <v>8907913669064.748</v>
      </c>
      <c r="L602" s="639" t="s">
        <v>4010</v>
      </c>
      <c r="M602" s="1407"/>
      <c r="N602" s="1407"/>
      <c r="O602" s="1407"/>
      <c r="P602" s="1407"/>
      <c r="Q602" s="1407"/>
      <c r="R602" s="1407"/>
      <c r="S602" s="1407"/>
      <c r="T602" s="1407"/>
      <c r="U602" s="1407"/>
    </row>
    <row r="603" spans="1:21" ht="12">
      <c r="A603" s="1407"/>
      <c r="B603" s="1407"/>
      <c r="C603" s="639"/>
      <c r="D603" s="1409"/>
      <c r="E603" s="1410"/>
      <c r="F603" s="1495"/>
      <c r="G603" s="1534"/>
      <c r="H603" s="1534"/>
      <c r="I603" s="1428"/>
      <c r="J603" s="1407"/>
      <c r="K603" s="1431"/>
      <c r="L603" s="1407"/>
      <c r="M603" s="1407"/>
      <c r="N603" s="1407"/>
      <c r="O603" s="1407"/>
      <c r="P603" s="1407"/>
      <c r="Q603" s="1407"/>
      <c r="R603" s="1407"/>
      <c r="S603" s="1407"/>
      <c r="T603" s="1407"/>
      <c r="U603" s="1407"/>
    </row>
    <row r="604" spans="1:21" ht="12">
      <c r="A604" s="639" t="s">
        <v>4046</v>
      </c>
      <c r="B604" s="1483">
        <v>42390</v>
      </c>
      <c r="C604" s="639" t="s">
        <v>881</v>
      </c>
      <c r="D604" s="1433" t="s">
        <v>4047</v>
      </c>
      <c r="E604" s="1435"/>
      <c r="F604" s="1437">
        <v>99200000000000</v>
      </c>
      <c r="G604" s="1438">
        <v>47700000000</v>
      </c>
      <c r="H604" s="1438">
        <v>71600000000000</v>
      </c>
      <c r="I604" s="1731">
        <v>12200000000</v>
      </c>
      <c r="J604" s="1407"/>
      <c r="K604" s="1431">
        <f t="shared" ref="K604:K607" si="79">(32800000000/G604)*F604</f>
        <v>68212997903563.938</v>
      </c>
      <c r="L604" s="1407"/>
      <c r="M604" s="1407"/>
      <c r="N604" s="1407"/>
      <c r="O604" s="1407"/>
      <c r="P604" s="1407"/>
      <c r="Q604" s="1407"/>
      <c r="R604" s="1407"/>
      <c r="S604" s="1407"/>
      <c r="T604" s="1407"/>
      <c r="U604" s="1407"/>
    </row>
    <row r="605" spans="1:21" ht="12">
      <c r="A605" s="639" t="s">
        <v>4046</v>
      </c>
      <c r="B605" s="1483">
        <v>42390</v>
      </c>
      <c r="C605" s="639" t="s">
        <v>881</v>
      </c>
      <c r="D605" s="1433" t="s">
        <v>4048</v>
      </c>
      <c r="E605" s="1435"/>
      <c r="F605" s="1437">
        <v>173000000000000</v>
      </c>
      <c r="G605" s="1438">
        <v>47700000000</v>
      </c>
      <c r="H605" s="1438">
        <v>71600000000000</v>
      </c>
      <c r="I605" s="1731">
        <v>12200000000</v>
      </c>
      <c r="J605" s="1407"/>
      <c r="K605" s="1431">
        <f t="shared" si="79"/>
        <v>118960167714884.69</v>
      </c>
      <c r="L605" s="1407"/>
      <c r="M605" s="1407"/>
      <c r="N605" s="1407"/>
      <c r="O605" s="1407"/>
      <c r="P605" s="1407"/>
      <c r="Q605" s="1407"/>
      <c r="R605" s="1407"/>
      <c r="S605" s="1407"/>
      <c r="T605" s="1407"/>
      <c r="U605" s="1407"/>
    </row>
    <row r="606" spans="1:21" ht="12">
      <c r="A606" s="639" t="s">
        <v>4046</v>
      </c>
      <c r="B606" s="1483">
        <v>42390</v>
      </c>
      <c r="C606" s="639" t="s">
        <v>881</v>
      </c>
      <c r="D606" s="1433" t="s">
        <v>4049</v>
      </c>
      <c r="E606" s="1435"/>
      <c r="F606" s="1437">
        <v>294000000000000</v>
      </c>
      <c r="G606" s="1438">
        <v>47700000000</v>
      </c>
      <c r="H606" s="1438">
        <v>71600000000000</v>
      </c>
      <c r="I606" s="1731">
        <v>12200000000</v>
      </c>
      <c r="J606" s="1407"/>
      <c r="K606" s="1431">
        <f t="shared" si="79"/>
        <v>202163522012578.62</v>
      </c>
      <c r="L606" s="1407"/>
      <c r="M606" s="1407"/>
      <c r="N606" s="1407"/>
      <c r="O606" s="1407"/>
      <c r="P606" s="1407"/>
      <c r="Q606" s="1407"/>
      <c r="R606" s="1407"/>
      <c r="S606" s="1407"/>
      <c r="T606" s="1407"/>
      <c r="U606" s="1407"/>
    </row>
    <row r="607" spans="1:21" ht="12">
      <c r="A607" s="639" t="s">
        <v>4046</v>
      </c>
      <c r="B607" s="1483">
        <v>42390</v>
      </c>
      <c r="C607" s="639" t="s">
        <v>881</v>
      </c>
      <c r="D607" s="1433" t="s">
        <v>4050</v>
      </c>
      <c r="E607" s="1435"/>
      <c r="F607" s="1437">
        <v>446000000000000</v>
      </c>
      <c r="G607" s="1438">
        <v>47700000000</v>
      </c>
      <c r="H607" s="1438">
        <v>71600000000000</v>
      </c>
      <c r="I607" s="1731">
        <v>12200000000</v>
      </c>
      <c r="J607" s="1407"/>
      <c r="K607" s="1431">
        <f t="shared" si="79"/>
        <v>306683438155136.25</v>
      </c>
      <c r="L607" s="1407"/>
      <c r="M607" s="1407"/>
      <c r="N607" s="1407"/>
      <c r="O607" s="1407"/>
      <c r="P607" s="1407"/>
      <c r="Q607" s="1407"/>
      <c r="R607" s="1407"/>
      <c r="S607" s="1407"/>
      <c r="T607" s="1407"/>
      <c r="U607" s="1407"/>
    </row>
    <row r="608" spans="1:21" ht="12">
      <c r="A608" s="1407"/>
      <c r="B608" s="1407"/>
      <c r="C608" s="639"/>
      <c r="D608" s="1409"/>
      <c r="E608" s="1410"/>
      <c r="F608" s="1495"/>
      <c r="G608" s="1534"/>
      <c r="H608" s="1534"/>
      <c r="I608" s="1428"/>
      <c r="J608" s="1407"/>
      <c r="K608" s="1431"/>
      <c r="L608" s="1407"/>
      <c r="M608" s="1407"/>
      <c r="N608" s="1407"/>
      <c r="O608" s="1407"/>
      <c r="P608" s="1407"/>
      <c r="Q608" s="1407"/>
      <c r="R608" s="1407"/>
      <c r="S608" s="1407"/>
      <c r="T608" s="1407"/>
      <c r="U608" s="1407"/>
    </row>
    <row r="609" spans="1:21" ht="12">
      <c r="A609" s="639" t="s">
        <v>4051</v>
      </c>
      <c r="B609" s="1483">
        <v>42396</v>
      </c>
      <c r="C609" s="639" t="s">
        <v>3212</v>
      </c>
      <c r="D609" s="1433" t="s">
        <v>4052</v>
      </c>
      <c r="E609" s="1850">
        <v>42426</v>
      </c>
      <c r="F609" s="1851">
        <v>429000000000</v>
      </c>
      <c r="G609" s="1852">
        <v>68300000000</v>
      </c>
      <c r="H609" s="1852">
        <v>22700000000000</v>
      </c>
      <c r="I609" s="1853">
        <v>26600000000</v>
      </c>
      <c r="J609" s="1407"/>
      <c r="K609" s="1431">
        <f t="shared" ref="K609:K612" si="80">(32800000000/G609)*F609</f>
        <v>206020497803.80673</v>
      </c>
      <c r="L609" s="1407"/>
      <c r="M609" s="1407"/>
      <c r="N609" s="1407"/>
      <c r="O609" s="1407"/>
      <c r="P609" s="1407"/>
      <c r="Q609" s="1407"/>
      <c r="R609" s="1407"/>
      <c r="S609" s="1407"/>
      <c r="T609" s="1407"/>
      <c r="U609" s="1407"/>
    </row>
    <row r="610" spans="1:21" ht="12">
      <c r="A610" s="639" t="s">
        <v>4051</v>
      </c>
      <c r="B610" s="1483">
        <v>42396</v>
      </c>
      <c r="C610" s="639" t="s">
        <v>3212</v>
      </c>
      <c r="D610" s="1433" t="s">
        <v>4053</v>
      </c>
      <c r="E610" s="1850">
        <v>42426</v>
      </c>
      <c r="F610" s="1851">
        <v>232000000000</v>
      </c>
      <c r="G610" s="1852">
        <v>68300000000</v>
      </c>
      <c r="H610" s="1852">
        <v>22700000000000</v>
      </c>
      <c r="I610" s="1853">
        <v>26600000000</v>
      </c>
      <c r="J610" s="1407"/>
      <c r="K610" s="1431">
        <f t="shared" si="80"/>
        <v>111414348462.66472</v>
      </c>
      <c r="L610" s="1407"/>
      <c r="M610" s="1407"/>
      <c r="N610" s="1407"/>
      <c r="O610" s="1407"/>
      <c r="P610" s="1407"/>
      <c r="Q610" s="1407"/>
      <c r="R610" s="1407"/>
      <c r="S610" s="1407"/>
      <c r="T610" s="1407"/>
      <c r="U610" s="1407"/>
    </row>
    <row r="611" spans="1:21" ht="12">
      <c r="A611" s="639" t="s">
        <v>4051</v>
      </c>
      <c r="B611" s="1483">
        <v>42396</v>
      </c>
      <c r="C611" s="639" t="s">
        <v>3212</v>
      </c>
      <c r="D611" s="1433" t="s">
        <v>4054</v>
      </c>
      <c r="E611" s="1850">
        <v>42426</v>
      </c>
      <c r="F611" s="1851">
        <v>3440000000000</v>
      </c>
      <c r="G611" s="1852">
        <v>68300000000</v>
      </c>
      <c r="H611" s="1852">
        <v>22700000000000</v>
      </c>
      <c r="I611" s="1853">
        <v>26600000000</v>
      </c>
      <c r="J611" s="1407"/>
      <c r="K611" s="1431">
        <f t="shared" si="80"/>
        <v>1652005856515.3733</v>
      </c>
      <c r="L611" s="1407"/>
      <c r="M611" s="1407"/>
      <c r="N611" s="1407"/>
      <c r="O611" s="1407"/>
      <c r="P611" s="1407"/>
      <c r="Q611" s="1407"/>
      <c r="R611" s="1407"/>
      <c r="S611" s="1407"/>
      <c r="T611" s="1407"/>
      <c r="U611" s="1407"/>
    </row>
    <row r="612" spans="1:21" ht="12">
      <c r="A612" s="639" t="s">
        <v>4051</v>
      </c>
      <c r="B612" s="1483">
        <v>42396</v>
      </c>
      <c r="C612" s="639" t="s">
        <v>3212</v>
      </c>
      <c r="D612" s="1433" t="s">
        <v>4055</v>
      </c>
      <c r="E612" s="1850">
        <v>42426</v>
      </c>
      <c r="F612" s="1851">
        <v>1300000000000</v>
      </c>
      <c r="G612" s="1852">
        <v>68300000000</v>
      </c>
      <c r="H612" s="1852">
        <v>22700000000000</v>
      </c>
      <c r="I612" s="1853">
        <v>26600000000</v>
      </c>
      <c r="J612" s="1407"/>
      <c r="K612" s="1431">
        <f t="shared" si="80"/>
        <v>624304538799.41431</v>
      </c>
      <c r="L612" s="1407"/>
      <c r="M612" s="1407"/>
      <c r="N612" s="1407"/>
      <c r="O612" s="1407"/>
      <c r="P612" s="1407"/>
      <c r="Q612" s="1407"/>
      <c r="R612" s="1407"/>
      <c r="S612" s="1407"/>
      <c r="T612" s="1407"/>
      <c r="U612" s="1407"/>
    </row>
    <row r="613" spans="1:21" ht="12">
      <c r="A613" s="639"/>
      <c r="B613" s="1483"/>
      <c r="C613" s="639"/>
      <c r="D613" s="1409"/>
      <c r="E613" s="1410"/>
      <c r="F613" s="1495"/>
      <c r="G613" s="1534"/>
      <c r="H613" s="1534"/>
      <c r="I613" s="1428"/>
      <c r="J613" s="1407"/>
      <c r="K613" s="1431"/>
      <c r="L613" s="1407"/>
      <c r="M613" s="1407"/>
      <c r="N613" s="1407"/>
      <c r="O613" s="1407"/>
      <c r="P613" s="1407"/>
      <c r="Q613" s="1407"/>
      <c r="R613" s="1407"/>
      <c r="S613" s="1407"/>
      <c r="T613" s="1407"/>
      <c r="U613" s="1407"/>
    </row>
    <row r="614" spans="1:21" ht="12">
      <c r="A614" s="639" t="s">
        <v>4056</v>
      </c>
      <c r="B614" s="1483">
        <v>42403</v>
      </c>
      <c r="C614" s="639" t="s">
        <v>3212</v>
      </c>
      <c r="D614" s="1433" t="s">
        <v>4057</v>
      </c>
      <c r="E614" s="1850">
        <v>42403</v>
      </c>
      <c r="F614" s="1858">
        <v>1670000000000</v>
      </c>
      <c r="G614" s="1859">
        <v>168000000</v>
      </c>
      <c r="H614" s="1860">
        <v>1390000000000</v>
      </c>
      <c r="I614" s="1861">
        <v>71700000</v>
      </c>
      <c r="J614" s="1407"/>
      <c r="K614" s="1431">
        <f t="shared" ref="K614:K617" si="81">(32800000000/G614)*F614</f>
        <v>326047619047619.06</v>
      </c>
      <c r="L614" s="1407"/>
      <c r="M614" s="1407"/>
      <c r="N614" s="1407"/>
      <c r="O614" s="1407"/>
      <c r="P614" s="1407"/>
      <c r="Q614" s="1407"/>
      <c r="R614" s="1407"/>
      <c r="S614" s="1407"/>
      <c r="T614" s="1407"/>
      <c r="U614" s="1407"/>
    </row>
    <row r="615" spans="1:21" ht="12">
      <c r="A615" s="639" t="s">
        <v>4056</v>
      </c>
      <c r="B615" s="1483">
        <v>42403</v>
      </c>
      <c r="C615" s="639" t="s">
        <v>3212</v>
      </c>
      <c r="D615" s="1433" t="s">
        <v>4058</v>
      </c>
      <c r="E615" s="1850">
        <v>42403</v>
      </c>
      <c r="F615" s="1862">
        <v>176000000000000</v>
      </c>
      <c r="G615" s="1859">
        <v>168000000</v>
      </c>
      <c r="H615" s="1860">
        <v>1390000000000</v>
      </c>
      <c r="I615" s="1861">
        <v>71700000</v>
      </c>
      <c r="J615" s="1407"/>
      <c r="K615" s="1431">
        <f t="shared" si="81"/>
        <v>3.4361904761904764E+16</v>
      </c>
      <c r="L615" s="1407"/>
      <c r="M615" s="1407"/>
      <c r="N615" s="1407"/>
      <c r="O615" s="1407"/>
      <c r="P615" s="1407"/>
      <c r="Q615" s="1407"/>
      <c r="R615" s="1407"/>
      <c r="S615" s="1407"/>
      <c r="T615" s="1407"/>
      <c r="U615" s="1407"/>
    </row>
    <row r="616" spans="1:21" ht="12">
      <c r="A616" s="639" t="s">
        <v>4056</v>
      </c>
      <c r="B616" s="1483">
        <v>42403</v>
      </c>
      <c r="C616" s="639" t="s">
        <v>3212</v>
      </c>
      <c r="D616" s="1433" t="s">
        <v>4059</v>
      </c>
      <c r="E616" s="1850">
        <v>42403</v>
      </c>
      <c r="F616" s="1863">
        <v>15500000000</v>
      </c>
      <c r="G616" s="1859">
        <v>168000000</v>
      </c>
      <c r="H616" s="1860">
        <v>1390000000000</v>
      </c>
      <c r="I616" s="1861">
        <v>71700000</v>
      </c>
      <c r="J616" s="1407"/>
      <c r="K616" s="1431">
        <f t="shared" si="81"/>
        <v>3026190476190.4761</v>
      </c>
      <c r="L616" s="1407"/>
      <c r="M616" s="1407"/>
      <c r="N616" s="1407"/>
      <c r="O616" s="1407"/>
      <c r="P616" s="1407"/>
      <c r="Q616" s="1407"/>
      <c r="R616" s="1407"/>
      <c r="S616" s="1407"/>
      <c r="T616" s="1407"/>
      <c r="U616" s="1407"/>
    </row>
    <row r="617" spans="1:21" ht="12">
      <c r="A617" s="639" t="s">
        <v>4056</v>
      </c>
      <c r="B617" s="1483">
        <v>42403</v>
      </c>
      <c r="C617" s="639" t="s">
        <v>3212</v>
      </c>
      <c r="D617" s="1433" t="s">
        <v>4060</v>
      </c>
      <c r="E617" s="1850">
        <v>42403</v>
      </c>
      <c r="F617" s="1864">
        <v>9580000000</v>
      </c>
      <c r="G617" s="1859">
        <v>168000000</v>
      </c>
      <c r="H617" s="1860">
        <v>1390000000000</v>
      </c>
      <c r="I617" s="1861">
        <v>71700000</v>
      </c>
      <c r="J617" s="1407"/>
      <c r="K617" s="1431">
        <f t="shared" si="81"/>
        <v>1870380952380.9524</v>
      </c>
      <c r="L617" s="1407"/>
      <c r="M617" s="1407"/>
      <c r="N617" s="1407"/>
      <c r="O617" s="1407"/>
      <c r="P617" s="1407"/>
      <c r="Q617" s="1407"/>
      <c r="R617" s="1407"/>
      <c r="S617" s="1407"/>
      <c r="T617" s="1407"/>
      <c r="U617" s="1407"/>
    </row>
    <row r="618" spans="1:21" ht="12">
      <c r="A618" s="639"/>
      <c r="B618" s="1483"/>
      <c r="C618" s="639"/>
      <c r="D618" s="1409"/>
      <c r="E618" s="1410"/>
      <c r="F618" s="1495"/>
      <c r="G618" s="1534"/>
      <c r="H618" s="1534"/>
      <c r="I618" s="1865"/>
      <c r="J618" s="1407"/>
      <c r="K618" s="1431"/>
      <c r="L618" s="1407"/>
      <c r="M618" s="1407"/>
      <c r="N618" s="1407"/>
      <c r="O618" s="1407"/>
      <c r="P618" s="1407"/>
      <c r="Q618" s="1407"/>
      <c r="R618" s="1407"/>
      <c r="S618" s="1407"/>
      <c r="T618" s="1407"/>
      <c r="U618" s="1407"/>
    </row>
    <row r="619" spans="1:21" ht="12">
      <c r="A619" s="1866" t="s">
        <v>4061</v>
      </c>
      <c r="B619" s="1867">
        <v>42403</v>
      </c>
      <c r="C619" s="1866" t="s">
        <v>3212</v>
      </c>
      <c r="D619" s="1868" t="s">
        <v>3564</v>
      </c>
      <c r="E619" s="1869"/>
      <c r="F619" s="1870">
        <v>218000000000</v>
      </c>
      <c r="G619" s="1871">
        <v>194000000</v>
      </c>
      <c r="H619" s="1871">
        <v>1170000000000</v>
      </c>
      <c r="I619" s="1872">
        <v>113000000</v>
      </c>
      <c r="J619" s="1873"/>
      <c r="K619" s="1874">
        <f t="shared" ref="K619:K625" si="82">(32800000000/G619)*F619</f>
        <v>36857731958762.883</v>
      </c>
      <c r="L619" s="1407"/>
      <c r="M619" s="1407"/>
      <c r="N619" s="1407"/>
      <c r="O619" s="1407"/>
      <c r="P619" s="1407"/>
      <c r="Q619" s="1407"/>
      <c r="R619" s="1407"/>
      <c r="S619" s="1407"/>
      <c r="T619" s="1407"/>
      <c r="U619" s="1407"/>
    </row>
    <row r="620" spans="1:21" ht="12">
      <c r="A620" s="1866" t="s">
        <v>4061</v>
      </c>
      <c r="B620" s="1867">
        <v>42403</v>
      </c>
      <c r="C620" s="1866" t="s">
        <v>3212</v>
      </c>
      <c r="D620" s="1868" t="s">
        <v>3574</v>
      </c>
      <c r="E620" s="1869"/>
      <c r="F620" s="1870">
        <v>803000000000</v>
      </c>
      <c r="G620" s="1871">
        <v>194000000</v>
      </c>
      <c r="H620" s="1871">
        <v>1170000000000</v>
      </c>
      <c r="I620" s="1872">
        <v>113000000</v>
      </c>
      <c r="J620" s="1873"/>
      <c r="K620" s="1874">
        <f t="shared" si="82"/>
        <v>135764948453608.25</v>
      </c>
      <c r="L620" s="1407"/>
      <c r="M620" s="1407"/>
      <c r="N620" s="1407"/>
      <c r="O620" s="1407"/>
      <c r="P620" s="1407"/>
      <c r="Q620" s="1407"/>
      <c r="R620" s="1407"/>
      <c r="S620" s="1407"/>
      <c r="T620" s="1407"/>
      <c r="U620" s="1407"/>
    </row>
    <row r="621" spans="1:21" ht="12">
      <c r="A621" s="1866" t="s">
        <v>4061</v>
      </c>
      <c r="B621" s="1867">
        <v>42403</v>
      </c>
      <c r="C621" s="1866" t="s">
        <v>3212</v>
      </c>
      <c r="D621" s="1868" t="s">
        <v>3842</v>
      </c>
      <c r="E621" s="1869"/>
      <c r="F621" s="1870">
        <v>3110000000000</v>
      </c>
      <c r="G621" s="1871">
        <v>194000000</v>
      </c>
      <c r="H621" s="1871">
        <v>1170000000000</v>
      </c>
      <c r="I621" s="1872">
        <v>113000000</v>
      </c>
      <c r="J621" s="1873"/>
      <c r="K621" s="1874">
        <f t="shared" si="82"/>
        <v>525814432989690.69</v>
      </c>
      <c r="L621" s="1407"/>
      <c r="M621" s="1407"/>
      <c r="N621" s="1407"/>
      <c r="O621" s="1407"/>
      <c r="P621" s="1407"/>
      <c r="Q621" s="1407"/>
      <c r="R621" s="1407"/>
      <c r="S621" s="1407"/>
      <c r="T621" s="1407"/>
      <c r="U621" s="1407"/>
    </row>
    <row r="622" spans="1:21" ht="12">
      <c r="A622" s="1866" t="s">
        <v>4061</v>
      </c>
      <c r="B622" s="1867">
        <v>42403</v>
      </c>
      <c r="C622" s="1866" t="s">
        <v>3212</v>
      </c>
      <c r="D622" s="1868" t="s">
        <v>3896</v>
      </c>
      <c r="E622" s="1869"/>
      <c r="F622" s="1870">
        <v>28700000000</v>
      </c>
      <c r="G622" s="1871">
        <v>194000000</v>
      </c>
      <c r="H622" s="1871">
        <v>1170000000000</v>
      </c>
      <c r="I622" s="1872">
        <v>113000000</v>
      </c>
      <c r="J622" s="1873"/>
      <c r="K622" s="1874">
        <f t="shared" si="82"/>
        <v>4852371134020.6182</v>
      </c>
      <c r="L622" s="1407"/>
      <c r="M622" s="1407"/>
      <c r="N622" s="1407"/>
      <c r="O622" s="1407"/>
      <c r="P622" s="1407"/>
      <c r="Q622" s="1407"/>
      <c r="R622" s="1407"/>
      <c r="S622" s="1407"/>
      <c r="T622" s="1407"/>
      <c r="U622" s="1407"/>
    </row>
    <row r="623" spans="1:21" ht="12">
      <c r="A623" s="1866" t="s">
        <v>4061</v>
      </c>
      <c r="B623" s="1867">
        <v>42403</v>
      </c>
      <c r="C623" s="1866" t="s">
        <v>3212</v>
      </c>
      <c r="D623" s="1868" t="s">
        <v>3903</v>
      </c>
      <c r="E623" s="1869"/>
      <c r="F623" s="1870">
        <v>4000000000000</v>
      </c>
      <c r="G623" s="1871">
        <v>194000000</v>
      </c>
      <c r="H623" s="1871">
        <v>1170000000000</v>
      </c>
      <c r="I623" s="1872">
        <v>113000000</v>
      </c>
      <c r="J623" s="1873"/>
      <c r="K623" s="1874">
        <f t="shared" si="82"/>
        <v>676288659793814.38</v>
      </c>
      <c r="L623" s="1407"/>
      <c r="M623" s="1407"/>
      <c r="N623" s="1407"/>
      <c r="O623" s="1407"/>
      <c r="P623" s="1407"/>
      <c r="Q623" s="1407"/>
      <c r="R623" s="1407"/>
      <c r="S623" s="1407"/>
      <c r="T623" s="1407"/>
      <c r="U623" s="1407"/>
    </row>
    <row r="624" spans="1:21" ht="12">
      <c r="A624" s="1866" t="s">
        <v>4061</v>
      </c>
      <c r="B624" s="1867">
        <v>42403</v>
      </c>
      <c r="C624" s="1866" t="s">
        <v>3212</v>
      </c>
      <c r="D624" s="1868" t="s">
        <v>3909</v>
      </c>
      <c r="E624" s="1869"/>
      <c r="F624" s="1870">
        <v>9440000000000</v>
      </c>
      <c r="G624" s="1871">
        <v>194000000</v>
      </c>
      <c r="H624" s="1871">
        <v>1170000000000</v>
      </c>
      <c r="I624" s="1872">
        <v>113000000</v>
      </c>
      <c r="J624" s="1873"/>
      <c r="K624" s="1874">
        <f t="shared" si="82"/>
        <v>1596041237113402</v>
      </c>
      <c r="L624" s="1407"/>
      <c r="M624" s="1407"/>
      <c r="N624" s="1407"/>
      <c r="O624" s="1407"/>
      <c r="P624" s="1407"/>
      <c r="Q624" s="1407"/>
      <c r="R624" s="1407"/>
      <c r="S624" s="1407"/>
      <c r="T624" s="1407"/>
      <c r="U624" s="1407"/>
    </row>
    <row r="625" spans="1:21" ht="12">
      <c r="A625" s="1866" t="s">
        <v>4061</v>
      </c>
      <c r="B625" s="1867">
        <v>42403</v>
      </c>
      <c r="C625" s="1866" t="s">
        <v>3212</v>
      </c>
      <c r="D625" s="1868" t="s">
        <v>3934</v>
      </c>
      <c r="E625" s="1869"/>
      <c r="F625" s="1870">
        <v>12100000000000</v>
      </c>
      <c r="G625" s="1871">
        <v>194000000</v>
      </c>
      <c r="H625" s="1871">
        <v>1170000000000</v>
      </c>
      <c r="I625" s="1872">
        <v>113000000</v>
      </c>
      <c r="J625" s="1873"/>
      <c r="K625" s="1874">
        <f t="shared" si="82"/>
        <v>2045773195876288.5</v>
      </c>
      <c r="L625" s="1407"/>
      <c r="M625" s="1407"/>
      <c r="N625" s="1407"/>
      <c r="O625" s="1407"/>
      <c r="P625" s="1407"/>
      <c r="Q625" s="1407"/>
      <c r="R625" s="1407"/>
      <c r="S625" s="1407"/>
      <c r="T625" s="1407"/>
      <c r="U625" s="1407"/>
    </row>
    <row r="626" spans="1:21" ht="12">
      <c r="A626" s="1875"/>
      <c r="B626" s="1876"/>
      <c r="C626" s="1875"/>
      <c r="D626" s="1877"/>
      <c r="E626" s="1869"/>
      <c r="F626" s="1878"/>
      <c r="G626" s="1869"/>
      <c r="H626" s="1869"/>
      <c r="I626" s="1879"/>
      <c r="J626" s="1880"/>
      <c r="K626" s="1881"/>
      <c r="L626" s="1407"/>
      <c r="M626" s="1407"/>
      <c r="N626" s="1407"/>
      <c r="O626" s="1407"/>
      <c r="P626" s="1407"/>
      <c r="Q626" s="1407"/>
      <c r="R626" s="1407"/>
      <c r="S626" s="1407"/>
      <c r="T626" s="1407"/>
      <c r="U626" s="1407"/>
    </row>
    <row r="627" spans="1:21" ht="12">
      <c r="A627" s="1866" t="s">
        <v>4062</v>
      </c>
      <c r="B627" s="1867">
        <v>42404</v>
      </c>
      <c r="C627" s="1866" t="s">
        <v>3212</v>
      </c>
      <c r="D627" s="1868" t="s">
        <v>3971</v>
      </c>
      <c r="E627" s="1869"/>
      <c r="F627" s="1882">
        <v>145000000000000</v>
      </c>
      <c r="G627" s="1883">
        <v>24200000000</v>
      </c>
      <c r="H627" s="1883">
        <v>11900000000000</v>
      </c>
      <c r="I627" s="1884">
        <v>36500000000</v>
      </c>
      <c r="J627" s="1873"/>
      <c r="K627" s="1874">
        <f>(32800000000/G627)*F627</f>
        <v>196528925619834.69</v>
      </c>
      <c r="L627" s="1407"/>
      <c r="M627" s="1407"/>
      <c r="N627" s="1407"/>
      <c r="O627" s="1407"/>
      <c r="P627" s="1407"/>
      <c r="Q627" s="1407"/>
      <c r="R627" s="1407"/>
      <c r="S627" s="1407"/>
      <c r="T627" s="1407"/>
      <c r="U627" s="1407"/>
    </row>
    <row r="628" spans="1:21" ht="12">
      <c r="A628" s="1866" t="s">
        <v>4062</v>
      </c>
      <c r="B628" s="1867">
        <v>42404</v>
      </c>
      <c r="C628" s="1866" t="s">
        <v>3212</v>
      </c>
      <c r="D628" s="1868" t="s">
        <v>3650</v>
      </c>
      <c r="E628" s="1867">
        <v>42403</v>
      </c>
      <c r="F628" s="1882">
        <v>8530000000000</v>
      </c>
      <c r="G628" s="1885">
        <v>24200000000</v>
      </c>
      <c r="H628" s="1885">
        <v>11900000000000</v>
      </c>
      <c r="I628" s="1886">
        <v>36500000000</v>
      </c>
      <c r="J628" s="1873"/>
      <c r="K628" s="1874">
        <f>(32800000000/G627)*F628</f>
        <v>11561322314049.586</v>
      </c>
      <c r="L628" s="1407"/>
      <c r="M628" s="1407"/>
      <c r="N628" s="1407"/>
      <c r="O628" s="1407"/>
      <c r="P628" s="1407"/>
      <c r="Q628" s="1407"/>
      <c r="R628" s="1407"/>
      <c r="S628" s="1407"/>
      <c r="T628" s="1407"/>
      <c r="U628" s="1407"/>
    </row>
    <row r="629" spans="1:21" ht="12">
      <c r="A629" s="639" t="s">
        <v>4062</v>
      </c>
      <c r="B629" s="1483">
        <v>42404</v>
      </c>
      <c r="C629" s="639" t="s">
        <v>3212</v>
      </c>
      <c r="D629" s="1433" t="s">
        <v>4057</v>
      </c>
      <c r="E629" s="1850">
        <v>42403</v>
      </c>
      <c r="F629" s="1888">
        <v>25900000000000</v>
      </c>
      <c r="G629" s="1438">
        <v>24200000000</v>
      </c>
      <c r="H629" s="1731">
        <v>11900000000000</v>
      </c>
      <c r="I629" s="1853">
        <v>36500000000</v>
      </c>
      <c r="J629" s="1407"/>
      <c r="K629" s="1431">
        <f t="shared" ref="K629:K632" si="83">(32800000000/G629)*F629</f>
        <v>35104132231404.957</v>
      </c>
      <c r="L629" s="1407"/>
      <c r="M629" s="1407"/>
      <c r="N629" s="1407"/>
      <c r="O629" s="1407"/>
      <c r="P629" s="1407"/>
      <c r="Q629" s="1407"/>
      <c r="R629" s="1407"/>
      <c r="S629" s="1407"/>
      <c r="T629" s="1407"/>
      <c r="U629" s="1407"/>
    </row>
    <row r="630" spans="1:21" ht="12">
      <c r="A630" s="639" t="s">
        <v>4062</v>
      </c>
      <c r="B630" s="1483">
        <v>42404</v>
      </c>
      <c r="C630" s="639" t="s">
        <v>3212</v>
      </c>
      <c r="D630" s="1433" t="s">
        <v>4058</v>
      </c>
      <c r="E630" s="1850">
        <v>42403</v>
      </c>
      <c r="F630" s="1888">
        <v>339000000000000</v>
      </c>
      <c r="G630" s="1438">
        <v>24200000000</v>
      </c>
      <c r="H630" s="1731">
        <v>11900000000000</v>
      </c>
      <c r="I630" s="1853">
        <v>36500000000</v>
      </c>
      <c r="J630" s="1407"/>
      <c r="K630" s="1431">
        <f t="shared" si="83"/>
        <v>459471074380165.25</v>
      </c>
      <c r="L630" s="1407"/>
      <c r="M630" s="1407"/>
      <c r="N630" s="1407"/>
      <c r="O630" s="1407"/>
      <c r="P630" s="1407"/>
      <c r="Q630" s="1407"/>
      <c r="R630" s="1407"/>
      <c r="S630" s="1407"/>
      <c r="T630" s="1407"/>
      <c r="U630" s="1407"/>
    </row>
    <row r="631" spans="1:21" ht="12">
      <c r="A631" s="639" t="s">
        <v>4062</v>
      </c>
      <c r="B631" s="1483">
        <v>42404</v>
      </c>
      <c r="C631" s="639" t="s">
        <v>3212</v>
      </c>
      <c r="D631" s="1433" t="s">
        <v>4059</v>
      </c>
      <c r="E631" s="1850">
        <v>42403</v>
      </c>
      <c r="F631" s="1888">
        <v>18600000000000</v>
      </c>
      <c r="G631" s="1438">
        <v>24200000000</v>
      </c>
      <c r="H631" s="1731">
        <v>11900000000000</v>
      </c>
      <c r="I631" s="1853">
        <v>36500000000</v>
      </c>
      <c r="J631" s="1407"/>
      <c r="K631" s="1431">
        <f t="shared" si="83"/>
        <v>25209917355371.898</v>
      </c>
      <c r="L631" s="1407"/>
      <c r="M631" s="1407"/>
      <c r="N631" s="1407"/>
      <c r="O631" s="1407"/>
      <c r="P631" s="1407"/>
      <c r="Q631" s="1407"/>
      <c r="R631" s="1407"/>
      <c r="S631" s="1407"/>
      <c r="T631" s="1407"/>
      <c r="U631" s="1407"/>
    </row>
    <row r="632" spans="1:21" ht="12">
      <c r="A632" s="639" t="s">
        <v>4062</v>
      </c>
      <c r="B632" s="1483">
        <v>42404</v>
      </c>
      <c r="C632" s="639" t="s">
        <v>3212</v>
      </c>
      <c r="D632" s="1433" t="s">
        <v>4060</v>
      </c>
      <c r="E632" s="1850">
        <v>42403</v>
      </c>
      <c r="F632" s="1888">
        <v>443000000000</v>
      </c>
      <c r="G632" s="1438">
        <v>24200000000</v>
      </c>
      <c r="H632" s="1731">
        <v>11900000000000</v>
      </c>
      <c r="I632" s="1853">
        <v>36500000000</v>
      </c>
      <c r="J632" s="1407"/>
      <c r="K632" s="1431">
        <f t="shared" si="83"/>
        <v>600429752066.11572</v>
      </c>
      <c r="L632" s="1407"/>
      <c r="M632" s="1407"/>
      <c r="N632" s="1407"/>
      <c r="O632" s="1407"/>
      <c r="P632" s="1407"/>
      <c r="Q632" s="1407"/>
      <c r="R632" s="1407"/>
      <c r="S632" s="1407"/>
      <c r="T632" s="1407"/>
      <c r="U632" s="1407"/>
    </row>
    <row r="633" spans="1:21" ht="12">
      <c r="A633" s="639"/>
      <c r="B633" s="1483"/>
      <c r="C633" s="639"/>
      <c r="D633" s="1409"/>
      <c r="E633" s="1410"/>
      <c r="F633" s="1416"/>
      <c r="G633" s="1407"/>
      <c r="H633" s="1534"/>
      <c r="I633" s="1853"/>
      <c r="J633" s="1407"/>
      <c r="K633" s="1431"/>
      <c r="L633" s="1407"/>
      <c r="M633" s="1407"/>
      <c r="N633" s="1407"/>
      <c r="O633" s="1407"/>
      <c r="P633" s="1407"/>
      <c r="Q633" s="1407"/>
      <c r="R633" s="1407"/>
      <c r="S633" s="1407"/>
      <c r="T633" s="1407"/>
      <c r="U633" s="1407"/>
    </row>
    <row r="634" spans="1:21" ht="12">
      <c r="A634" s="639" t="s">
        <v>4065</v>
      </c>
      <c r="B634" s="1483">
        <v>42408</v>
      </c>
      <c r="C634" s="639" t="s">
        <v>925</v>
      </c>
      <c r="D634" s="1433" t="s">
        <v>3650</v>
      </c>
      <c r="E634" s="1407"/>
      <c r="F634" s="1437">
        <v>9100000000000</v>
      </c>
      <c r="G634" s="1435">
        <v>17600000000</v>
      </c>
      <c r="H634" s="1438">
        <v>15500000000000</v>
      </c>
      <c r="I634" s="1853"/>
      <c r="J634" s="1407"/>
      <c r="K634" s="1431">
        <f t="shared" ref="K634:K635" si="84">(32800000000/G634)*F634</f>
        <v>16959090909090.908</v>
      </c>
      <c r="L634" s="1407"/>
      <c r="M634" s="1407"/>
      <c r="N634" s="1407"/>
      <c r="O634" s="1407"/>
      <c r="P634" s="1407"/>
      <c r="Q634" s="1407"/>
      <c r="R634" s="1407"/>
      <c r="S634" s="1407"/>
      <c r="T634" s="1407"/>
      <c r="U634" s="1407"/>
    </row>
    <row r="635" spans="1:21" ht="12">
      <c r="A635" s="639" t="s">
        <v>4065</v>
      </c>
      <c r="B635" s="1483">
        <v>42408</v>
      </c>
      <c r="C635" s="639" t="s">
        <v>925</v>
      </c>
      <c r="D635" s="1433" t="s">
        <v>3971</v>
      </c>
      <c r="E635" s="1407"/>
      <c r="F635" s="1437">
        <v>372000000000000</v>
      </c>
      <c r="G635" s="1435">
        <v>17600000000</v>
      </c>
      <c r="H635" s="1438">
        <v>15500000000000</v>
      </c>
      <c r="I635" s="1428"/>
      <c r="J635" s="1407"/>
      <c r="K635" s="1431">
        <f t="shared" si="84"/>
        <v>693272727272727.25</v>
      </c>
      <c r="L635" s="1407"/>
      <c r="M635" s="1407"/>
      <c r="N635" s="1407"/>
      <c r="O635" s="1407"/>
      <c r="P635" s="1407"/>
      <c r="Q635" s="1407"/>
      <c r="R635" s="1407"/>
      <c r="S635" s="1407"/>
      <c r="T635" s="1407"/>
      <c r="U635" s="1407"/>
    </row>
    <row r="636" spans="1:21" ht="12">
      <c r="A636" s="639"/>
      <c r="B636" s="1483"/>
      <c r="C636" s="639"/>
      <c r="D636" s="1409"/>
      <c r="E636" s="1410"/>
      <c r="F636" s="1495"/>
      <c r="G636" s="1534"/>
      <c r="H636" s="1534"/>
      <c r="I636" s="1428"/>
      <c r="J636" s="1407"/>
      <c r="K636" s="1431"/>
      <c r="L636" s="1407"/>
      <c r="M636" s="1407"/>
      <c r="N636" s="1407"/>
      <c r="O636" s="1407"/>
      <c r="P636" s="1407"/>
      <c r="Q636" s="1407"/>
      <c r="R636" s="1407"/>
      <c r="S636" s="1407"/>
      <c r="T636" s="1407"/>
      <c r="U636" s="1407"/>
    </row>
    <row r="637" spans="1:21" ht="12">
      <c r="A637" s="1880" t="s">
        <v>4066</v>
      </c>
      <c r="B637" s="1876">
        <v>42410</v>
      </c>
      <c r="C637" s="1893" t="s">
        <v>3212</v>
      </c>
      <c r="D637" s="1831" t="s">
        <v>4067</v>
      </c>
      <c r="E637" s="1850">
        <v>42409</v>
      </c>
      <c r="F637" s="1437">
        <v>89300000000000</v>
      </c>
      <c r="G637" s="1731">
        <v>56000000000</v>
      </c>
      <c r="H637" s="1853">
        <v>8360000000000</v>
      </c>
      <c r="I637" s="1853">
        <v>22200000000</v>
      </c>
      <c r="J637" s="1407"/>
      <c r="K637" s="1431">
        <f t="shared" ref="K637:K645" si="85">(32800000000/G637)*F637</f>
        <v>52304285714285.719</v>
      </c>
      <c r="L637" s="1407"/>
      <c r="M637" s="1407"/>
      <c r="N637" s="1407"/>
      <c r="O637" s="1407"/>
      <c r="P637" s="1407"/>
      <c r="Q637" s="1407"/>
      <c r="R637" s="1407"/>
      <c r="S637" s="1407"/>
      <c r="T637" s="1407"/>
      <c r="U637" s="1407"/>
    </row>
    <row r="638" spans="1:21" ht="12">
      <c r="A638" s="1880" t="s">
        <v>4066</v>
      </c>
      <c r="B638" s="1876">
        <v>42410</v>
      </c>
      <c r="C638" s="1893" t="s">
        <v>3212</v>
      </c>
      <c r="D638" s="1831" t="s">
        <v>4068</v>
      </c>
      <c r="E638" s="1850">
        <v>42409</v>
      </c>
      <c r="F638" s="1437">
        <v>8780000000000</v>
      </c>
      <c r="G638" s="1731">
        <v>56000000000</v>
      </c>
      <c r="H638" s="1853">
        <v>8360000000000</v>
      </c>
      <c r="I638" s="1853">
        <v>22200000000</v>
      </c>
      <c r="J638" s="1407"/>
      <c r="K638" s="1431">
        <f t="shared" si="85"/>
        <v>5142571428571.4287</v>
      </c>
      <c r="L638" s="1407"/>
      <c r="M638" s="1407"/>
      <c r="N638" s="1407"/>
      <c r="O638" s="1407"/>
      <c r="P638" s="1407"/>
      <c r="Q638" s="1407"/>
      <c r="R638" s="1407"/>
      <c r="S638" s="1407"/>
      <c r="T638" s="1407"/>
      <c r="U638" s="1407"/>
    </row>
    <row r="639" spans="1:21" ht="12">
      <c r="A639" s="1880" t="s">
        <v>4066</v>
      </c>
      <c r="B639" s="1876">
        <v>42410</v>
      </c>
      <c r="C639" s="1893" t="s">
        <v>3212</v>
      </c>
      <c r="D639" s="1831" t="s">
        <v>4071</v>
      </c>
      <c r="E639" s="1850">
        <v>42409</v>
      </c>
      <c r="F639" s="1437">
        <v>72300000000000</v>
      </c>
      <c r="G639" s="1731">
        <v>56000000000</v>
      </c>
      <c r="H639" s="1853">
        <v>8360000000000</v>
      </c>
      <c r="I639" s="1853">
        <v>22200000000</v>
      </c>
      <c r="J639" s="1407"/>
      <c r="K639" s="1431">
        <f t="shared" si="85"/>
        <v>42347142857142.859</v>
      </c>
      <c r="L639" s="1407"/>
      <c r="M639" s="1407"/>
      <c r="N639" s="1407"/>
      <c r="O639" s="1407"/>
      <c r="P639" s="1407"/>
      <c r="Q639" s="1407"/>
      <c r="R639" s="1407"/>
      <c r="S639" s="1407"/>
      <c r="T639" s="1407"/>
      <c r="U639" s="1407"/>
    </row>
    <row r="640" spans="1:21" ht="12">
      <c r="A640" s="1880" t="s">
        <v>4066</v>
      </c>
      <c r="B640" s="1876">
        <v>42410</v>
      </c>
      <c r="C640" s="1893" t="s">
        <v>3212</v>
      </c>
      <c r="D640" s="1831" t="s">
        <v>4072</v>
      </c>
      <c r="E640" s="1850">
        <v>42409</v>
      </c>
      <c r="F640" s="1437">
        <v>404000000000000</v>
      </c>
      <c r="G640" s="1731">
        <v>56000000000</v>
      </c>
      <c r="H640" s="1853">
        <v>8360000000000</v>
      </c>
      <c r="I640" s="1853">
        <v>22200000000</v>
      </c>
      <c r="J640" s="1407"/>
      <c r="K640" s="1431">
        <f t="shared" si="85"/>
        <v>236628571428571.44</v>
      </c>
      <c r="L640" s="1407"/>
      <c r="M640" s="1407"/>
      <c r="N640" s="1407"/>
      <c r="O640" s="1407"/>
      <c r="P640" s="1407"/>
      <c r="Q640" s="1407"/>
      <c r="R640" s="1407"/>
      <c r="S640" s="1407"/>
      <c r="T640" s="1407"/>
      <c r="U640" s="1407"/>
    </row>
    <row r="641" spans="1:21" ht="12">
      <c r="A641" s="1880" t="s">
        <v>4066</v>
      </c>
      <c r="B641" s="1876">
        <v>42410</v>
      </c>
      <c r="C641" s="1893" t="s">
        <v>3212</v>
      </c>
      <c r="D641" s="1877" t="s">
        <v>3946</v>
      </c>
      <c r="E641" s="1410"/>
      <c r="F641" s="1437">
        <v>78100000000000</v>
      </c>
      <c r="G641" s="1731">
        <v>56000000000</v>
      </c>
      <c r="H641" s="1853">
        <v>8360000000000</v>
      </c>
      <c r="I641" s="1853">
        <v>22200000000</v>
      </c>
      <c r="J641" s="1407"/>
      <c r="K641" s="1431">
        <f t="shared" si="85"/>
        <v>45744285714285.719</v>
      </c>
      <c r="L641" s="1407"/>
      <c r="M641" s="1407"/>
      <c r="N641" s="1407"/>
      <c r="O641" s="1407"/>
      <c r="P641" s="1407"/>
      <c r="Q641" s="1407"/>
      <c r="R641" s="1407"/>
      <c r="S641" s="1407"/>
      <c r="T641" s="1407"/>
      <c r="U641" s="1407"/>
    </row>
    <row r="642" spans="1:21" ht="12">
      <c r="A642" s="1880" t="s">
        <v>4066</v>
      </c>
      <c r="B642" s="1876">
        <v>42410</v>
      </c>
      <c r="C642" s="1893" t="s">
        <v>3212</v>
      </c>
      <c r="D642" s="1877" t="s">
        <v>3980</v>
      </c>
      <c r="E642" s="1410"/>
      <c r="F642" s="1437">
        <v>16700000000000</v>
      </c>
      <c r="G642" s="1731">
        <v>56000000000</v>
      </c>
      <c r="H642" s="1853">
        <v>8360000000000</v>
      </c>
      <c r="I642" s="1853">
        <v>22200000000</v>
      </c>
      <c r="J642" s="1407"/>
      <c r="K642" s="1431">
        <f t="shared" si="85"/>
        <v>9781428571428.5723</v>
      </c>
      <c r="L642" s="1407"/>
      <c r="M642" s="1407"/>
      <c r="N642" s="1407"/>
      <c r="O642" s="1407"/>
      <c r="P642" s="1407"/>
      <c r="Q642" s="1407"/>
      <c r="R642" s="1407"/>
      <c r="S642" s="1407"/>
      <c r="T642" s="1407"/>
      <c r="U642" s="1407"/>
    </row>
    <row r="643" spans="1:21" ht="12">
      <c r="A643" s="1880" t="s">
        <v>4066</v>
      </c>
      <c r="B643" s="1876">
        <v>42410</v>
      </c>
      <c r="C643" s="1893" t="s">
        <v>3212</v>
      </c>
      <c r="D643" s="1877" t="s">
        <v>4019</v>
      </c>
      <c r="E643" s="1407"/>
      <c r="F643" s="1406">
        <v>375000000000000</v>
      </c>
      <c r="G643" s="1731">
        <v>56000000000</v>
      </c>
      <c r="H643" s="1853">
        <v>8360000000000</v>
      </c>
      <c r="I643" s="1853">
        <v>22200000000</v>
      </c>
      <c r="J643" s="1407"/>
      <c r="K643" s="1431">
        <f t="shared" si="85"/>
        <v>219642857142857.16</v>
      </c>
      <c r="L643" s="1407"/>
      <c r="M643" s="1407"/>
      <c r="N643" s="1407"/>
      <c r="O643" s="1407"/>
      <c r="P643" s="1407"/>
      <c r="Q643" s="1407"/>
      <c r="R643" s="1407"/>
      <c r="S643" s="1407"/>
      <c r="T643" s="1407"/>
      <c r="U643" s="1407"/>
    </row>
    <row r="644" spans="1:21" ht="12">
      <c r="A644" s="1880" t="s">
        <v>4066</v>
      </c>
      <c r="B644" s="1876">
        <v>42410</v>
      </c>
      <c r="C644" s="1893" t="s">
        <v>3212</v>
      </c>
      <c r="D644" s="1877" t="s">
        <v>4044</v>
      </c>
      <c r="E644" s="1407"/>
      <c r="F644" s="1406">
        <v>6950000000000</v>
      </c>
      <c r="G644" s="1731">
        <v>56000000000</v>
      </c>
      <c r="H644" s="1853">
        <v>8360000000000</v>
      </c>
      <c r="I644" s="1853">
        <v>22200000000</v>
      </c>
      <c r="J644" s="1407"/>
      <c r="K644" s="1431">
        <f t="shared" si="85"/>
        <v>4070714285714.2861</v>
      </c>
      <c r="L644" s="1407"/>
      <c r="M644" s="1407"/>
      <c r="N644" s="1407"/>
      <c r="O644" s="1407"/>
      <c r="P644" s="1407"/>
      <c r="Q644" s="1407"/>
      <c r="R644" s="1407"/>
      <c r="S644" s="1407"/>
      <c r="T644" s="1407"/>
      <c r="U644" s="1407"/>
    </row>
    <row r="645" spans="1:21" ht="12">
      <c r="A645" s="1880" t="s">
        <v>4066</v>
      </c>
      <c r="B645" s="1876">
        <v>42410</v>
      </c>
      <c r="C645" s="1893" t="s">
        <v>3212</v>
      </c>
      <c r="D645" s="1877" t="s">
        <v>4045</v>
      </c>
      <c r="E645" s="1407"/>
      <c r="F645" s="1406">
        <v>2120000000000</v>
      </c>
      <c r="G645" s="1731">
        <v>56000000000</v>
      </c>
      <c r="H645" s="1853">
        <v>8360000000000</v>
      </c>
      <c r="I645" s="1853">
        <v>22200000000</v>
      </c>
      <c r="J645" s="1407"/>
      <c r="K645" s="1431">
        <f t="shared" si="85"/>
        <v>1241714285714.2859</v>
      </c>
      <c r="L645" s="1407"/>
      <c r="M645" s="1407"/>
      <c r="N645" s="1407"/>
      <c r="O645" s="1407"/>
      <c r="P645" s="1407"/>
      <c r="Q645" s="1407"/>
      <c r="R645" s="1407"/>
      <c r="S645" s="1407"/>
      <c r="T645" s="1407"/>
      <c r="U645" s="1407"/>
    </row>
    <row r="646" spans="1:21" ht="12">
      <c r="A646" s="1407"/>
      <c r="B646" s="1407"/>
      <c r="C646" s="1407"/>
      <c r="D646" s="1844"/>
      <c r="E646" s="1407"/>
      <c r="F646" s="1416"/>
      <c r="G646" s="1407"/>
      <c r="H646" s="1852"/>
      <c r="I646" s="1909"/>
      <c r="J646" s="1407"/>
      <c r="K646" s="1431"/>
      <c r="L646" s="1407"/>
      <c r="M646" s="1407"/>
      <c r="N646" s="1407"/>
      <c r="O646" s="1407"/>
      <c r="P646" s="1407"/>
      <c r="Q646" s="1407"/>
      <c r="R646" s="1407"/>
      <c r="S646" s="1407"/>
      <c r="T646" s="1407"/>
      <c r="U646" s="1407"/>
    </row>
    <row r="647" spans="1:21" ht="12">
      <c r="A647" s="639" t="s">
        <v>4082</v>
      </c>
      <c r="B647" s="1483">
        <v>42417</v>
      </c>
      <c r="C647" s="639" t="s">
        <v>881</v>
      </c>
      <c r="D647" s="1433" t="s">
        <v>4052</v>
      </c>
      <c r="E647" s="1850">
        <v>42426</v>
      </c>
      <c r="F647" s="1406">
        <v>459000000000</v>
      </c>
      <c r="G647" s="1731">
        <v>7410000000</v>
      </c>
      <c r="H647" s="1852">
        <v>11900000000000</v>
      </c>
      <c r="I647" s="1853">
        <v>3610000000</v>
      </c>
      <c r="J647" s="1407"/>
      <c r="K647" s="1431">
        <f t="shared" ref="K647:K654" si="86">(32800000000/G647)*F647</f>
        <v>2031740890688.259</v>
      </c>
      <c r="L647" s="1407"/>
      <c r="M647" s="1407"/>
      <c r="N647" s="1407"/>
      <c r="O647" s="1407"/>
      <c r="P647" s="1407"/>
      <c r="Q647" s="1407"/>
      <c r="R647" s="1407"/>
      <c r="S647" s="1407"/>
      <c r="T647" s="1407"/>
      <c r="U647" s="1407"/>
    </row>
    <row r="648" spans="1:21" ht="12">
      <c r="A648" s="639" t="s">
        <v>4082</v>
      </c>
      <c r="B648" s="1483">
        <v>42417</v>
      </c>
      <c r="C648" s="639" t="s">
        <v>881</v>
      </c>
      <c r="D648" s="1433" t="s">
        <v>4053</v>
      </c>
      <c r="E648" s="1850">
        <v>42426</v>
      </c>
      <c r="F648" s="1406">
        <v>39900000000</v>
      </c>
      <c r="G648" s="1731">
        <v>7410000000</v>
      </c>
      <c r="H648" s="1852">
        <v>11900000000000</v>
      </c>
      <c r="I648" s="1853">
        <v>3610000000</v>
      </c>
      <c r="J648" s="1407"/>
      <c r="K648" s="1431">
        <f t="shared" si="86"/>
        <v>176615384615.38461</v>
      </c>
      <c r="L648" s="1407"/>
      <c r="M648" s="1407"/>
      <c r="N648" s="1407"/>
      <c r="O648" s="1407"/>
      <c r="P648" s="1407"/>
      <c r="Q648" s="1407"/>
      <c r="R648" s="1407"/>
      <c r="S648" s="1407"/>
      <c r="T648" s="1407"/>
      <c r="U648" s="1407"/>
    </row>
    <row r="649" spans="1:21" ht="12">
      <c r="A649" s="639" t="s">
        <v>4082</v>
      </c>
      <c r="B649" s="1483">
        <v>42417</v>
      </c>
      <c r="C649" s="639" t="s">
        <v>881</v>
      </c>
      <c r="D649" s="1433" t="s">
        <v>4054</v>
      </c>
      <c r="E649" s="1850">
        <v>42426</v>
      </c>
      <c r="F649" s="1406">
        <v>1710000000000</v>
      </c>
      <c r="G649" s="1731">
        <v>7410000000</v>
      </c>
      <c r="H649" s="1852">
        <v>11900000000000</v>
      </c>
      <c r="I649" s="1853">
        <v>3610000000</v>
      </c>
      <c r="J649" s="1407"/>
      <c r="K649" s="1431">
        <f t="shared" si="86"/>
        <v>7569230769230.7695</v>
      </c>
      <c r="L649" s="1407"/>
      <c r="M649" s="1407"/>
      <c r="N649" s="1407"/>
      <c r="O649" s="1407"/>
      <c r="P649" s="1407"/>
      <c r="Q649" s="1407"/>
      <c r="R649" s="1407"/>
      <c r="S649" s="1407"/>
      <c r="T649" s="1407"/>
      <c r="U649" s="1407"/>
    </row>
    <row r="650" spans="1:21" ht="12">
      <c r="A650" s="639" t="s">
        <v>4082</v>
      </c>
      <c r="B650" s="1483">
        <v>42417</v>
      </c>
      <c r="C650" s="639" t="s">
        <v>881</v>
      </c>
      <c r="D650" s="1433" t="s">
        <v>4055</v>
      </c>
      <c r="E650" s="1850">
        <v>42426</v>
      </c>
      <c r="F650" s="1406">
        <v>962000000000</v>
      </c>
      <c r="G650" s="1731">
        <v>7410000000</v>
      </c>
      <c r="H650" s="1852">
        <v>11900000000000</v>
      </c>
      <c r="I650" s="1853">
        <v>3610000000</v>
      </c>
      <c r="J650" s="1407"/>
      <c r="K650" s="1431">
        <f t="shared" si="86"/>
        <v>4258245614035.0879</v>
      </c>
      <c r="L650" s="1407"/>
      <c r="M650" s="1407"/>
      <c r="N650" s="1407"/>
      <c r="O650" s="1407"/>
      <c r="P650" s="1407"/>
      <c r="Q650" s="1407"/>
      <c r="R650" s="1407"/>
      <c r="S650" s="1407"/>
      <c r="T650" s="1407"/>
      <c r="U650" s="1407"/>
    </row>
    <row r="651" spans="1:21" ht="12">
      <c r="A651" s="639" t="s">
        <v>4082</v>
      </c>
      <c r="B651" s="1483">
        <v>42417</v>
      </c>
      <c r="C651" s="639" t="s">
        <v>881</v>
      </c>
      <c r="D651" s="1433" t="s">
        <v>4084</v>
      </c>
      <c r="E651" s="1483">
        <v>42416</v>
      </c>
      <c r="F651" s="1406">
        <v>16000000000000</v>
      </c>
      <c r="G651" s="1731">
        <v>7410000000</v>
      </c>
      <c r="H651" s="1852">
        <v>11900000000000</v>
      </c>
      <c r="I651" s="1853">
        <v>3610000000</v>
      </c>
      <c r="J651" s="1407"/>
      <c r="K651" s="1431">
        <f t="shared" si="86"/>
        <v>70823211875843.453</v>
      </c>
      <c r="L651" s="1407"/>
      <c r="M651" s="1407"/>
      <c r="N651" s="1407"/>
      <c r="O651" s="1407"/>
      <c r="P651" s="1407"/>
      <c r="Q651" s="1407"/>
      <c r="R651" s="1407"/>
      <c r="S651" s="1407"/>
      <c r="T651" s="1407"/>
      <c r="U651" s="1407"/>
    </row>
    <row r="652" spans="1:21" ht="12">
      <c r="A652" s="639" t="s">
        <v>4082</v>
      </c>
      <c r="B652" s="1483">
        <v>42417</v>
      </c>
      <c r="C652" s="639" t="s">
        <v>881</v>
      </c>
      <c r="D652" s="1433" t="s">
        <v>4085</v>
      </c>
      <c r="E652" s="1483">
        <v>42416</v>
      </c>
      <c r="F652" s="1406">
        <v>72000000000000</v>
      </c>
      <c r="G652" s="1731">
        <v>7410000000</v>
      </c>
      <c r="H652" s="1852">
        <v>11900000000000</v>
      </c>
      <c r="I652" s="1853">
        <v>3610000000</v>
      </c>
      <c r="J652" s="1407"/>
      <c r="K652" s="1431">
        <f t="shared" si="86"/>
        <v>318704453441295.56</v>
      </c>
      <c r="L652" s="1407"/>
      <c r="M652" s="1407"/>
      <c r="N652" s="1407"/>
      <c r="O652" s="1407"/>
      <c r="P652" s="1407"/>
      <c r="Q652" s="1407"/>
      <c r="R652" s="1407"/>
      <c r="S652" s="1407"/>
      <c r="T652" s="1407"/>
      <c r="U652" s="1407"/>
    </row>
    <row r="653" spans="1:21" ht="12">
      <c r="A653" s="639" t="s">
        <v>4082</v>
      </c>
      <c r="B653" s="1483">
        <v>42417</v>
      </c>
      <c r="C653" s="639" t="s">
        <v>881</v>
      </c>
      <c r="D653" s="1433" t="s">
        <v>4086</v>
      </c>
      <c r="E653" s="1483">
        <v>42416</v>
      </c>
      <c r="F653" s="1406">
        <v>45700000000000</v>
      </c>
      <c r="G653" s="1731">
        <v>7410000000</v>
      </c>
      <c r="H653" s="1852">
        <v>11900000000000</v>
      </c>
      <c r="I653" s="1853">
        <v>3610000000</v>
      </c>
      <c r="J653" s="1407"/>
      <c r="K653" s="1431">
        <f t="shared" si="86"/>
        <v>202288798920377.88</v>
      </c>
      <c r="L653" s="1407"/>
      <c r="M653" s="1407"/>
      <c r="N653" s="1407"/>
      <c r="O653" s="1407"/>
      <c r="P653" s="1407"/>
      <c r="Q653" s="1407"/>
      <c r="R653" s="1407"/>
      <c r="S653" s="1407"/>
      <c r="T653" s="1407"/>
      <c r="U653" s="1407"/>
    </row>
    <row r="654" spans="1:21" ht="12">
      <c r="A654" s="639" t="s">
        <v>4082</v>
      </c>
      <c r="B654" s="1483">
        <v>42417</v>
      </c>
      <c r="C654" s="639" t="s">
        <v>881</v>
      </c>
      <c r="D654" s="1433" t="s">
        <v>4088</v>
      </c>
      <c r="E654" s="1483">
        <v>42416</v>
      </c>
      <c r="F654" s="1406">
        <v>105000000000000</v>
      </c>
      <c r="G654" s="1731">
        <v>7410000000</v>
      </c>
      <c r="H654" s="1852">
        <v>11900000000000</v>
      </c>
      <c r="I654" s="1853">
        <v>3610000000</v>
      </c>
      <c r="J654" s="1407"/>
      <c r="K654" s="1431">
        <f t="shared" si="86"/>
        <v>464777327935222.69</v>
      </c>
      <c r="L654" s="1407"/>
      <c r="M654" s="1407"/>
      <c r="N654" s="1407"/>
      <c r="O654" s="1407"/>
      <c r="P654" s="1407"/>
      <c r="Q654" s="1407"/>
      <c r="R654" s="1407"/>
      <c r="S654" s="1407"/>
      <c r="T654" s="1407"/>
      <c r="U654" s="1407"/>
    </row>
    <row r="655" spans="1:21" ht="12">
      <c r="A655" s="1407"/>
      <c r="B655" s="1407"/>
      <c r="C655" s="1407"/>
      <c r="D655" s="1844"/>
      <c r="E655" s="1407"/>
      <c r="F655" s="1416"/>
      <c r="G655" s="1407"/>
      <c r="H655" s="1407"/>
      <c r="I655" s="1407"/>
      <c r="J655" s="1407"/>
      <c r="K655" s="1431"/>
      <c r="L655" s="1407"/>
      <c r="M655" s="1407"/>
      <c r="N655" s="1407"/>
      <c r="O655" s="1407"/>
      <c r="P655" s="1407"/>
      <c r="Q655" s="1407"/>
      <c r="R655" s="1407"/>
      <c r="S655" s="1407"/>
      <c r="T655" s="1407"/>
      <c r="U655" s="1407"/>
    </row>
    <row r="656" spans="1:21" ht="12">
      <c r="A656" s="639" t="s">
        <v>4089</v>
      </c>
      <c r="B656" s="1483">
        <v>42425</v>
      </c>
      <c r="C656" s="639" t="s">
        <v>3212</v>
      </c>
      <c r="D656" s="1831" t="s">
        <v>4090</v>
      </c>
      <c r="E656" s="1483">
        <v>42425</v>
      </c>
      <c r="F656" s="17">
        <v>18300000000000</v>
      </c>
      <c r="G656" s="1731">
        <v>68900000000</v>
      </c>
      <c r="H656" s="1438">
        <v>2860000000000</v>
      </c>
      <c r="I656" s="1438">
        <v>41000000000</v>
      </c>
      <c r="J656" s="1407"/>
      <c r="K656" s="1431">
        <f t="shared" ref="K656:K663" si="87">(32800000000/G656)*F656</f>
        <v>8711756168359.9424</v>
      </c>
      <c r="L656" s="1407"/>
      <c r="M656" s="1407"/>
      <c r="N656" s="1407"/>
      <c r="O656" s="1407"/>
      <c r="P656" s="1407"/>
      <c r="Q656" s="1407"/>
      <c r="R656" s="1407"/>
      <c r="S656" s="1407"/>
      <c r="T656" s="1407"/>
      <c r="U656" s="1407"/>
    </row>
    <row r="657" spans="1:21" ht="12">
      <c r="A657" s="639" t="s">
        <v>4089</v>
      </c>
      <c r="B657" s="1483">
        <v>42425</v>
      </c>
      <c r="C657" s="639" t="s">
        <v>3212</v>
      </c>
      <c r="D657" s="1433" t="s">
        <v>4092</v>
      </c>
      <c r="E657" s="1483">
        <v>42425</v>
      </c>
      <c r="F657" s="17">
        <v>151000000000000</v>
      </c>
      <c r="G657" s="1731">
        <v>68900000000</v>
      </c>
      <c r="H657" s="1438">
        <v>2860000000000</v>
      </c>
      <c r="I657" s="1438">
        <v>41000000000</v>
      </c>
      <c r="J657" s="1407"/>
      <c r="K657" s="1431">
        <f t="shared" si="87"/>
        <v>71883889695210.453</v>
      </c>
      <c r="L657" s="1407"/>
      <c r="M657" s="1407"/>
      <c r="N657" s="1407"/>
      <c r="O657" s="1407"/>
      <c r="P657" s="1407"/>
      <c r="Q657" s="1407"/>
      <c r="R657" s="1407"/>
      <c r="S657" s="1407"/>
      <c r="T657" s="1407"/>
      <c r="U657" s="1407"/>
    </row>
    <row r="658" spans="1:21" ht="12">
      <c r="A658" s="639" t="s">
        <v>4089</v>
      </c>
      <c r="B658" s="1483">
        <v>42425</v>
      </c>
      <c r="C658" s="639" t="s">
        <v>3212</v>
      </c>
      <c r="D658" s="1433" t="s">
        <v>4094</v>
      </c>
      <c r="E658" s="1483">
        <v>42424</v>
      </c>
      <c r="F658" s="17">
        <v>400000000000000</v>
      </c>
      <c r="G658" s="1731">
        <v>68900000000</v>
      </c>
      <c r="H658" s="1438">
        <v>2860000000000</v>
      </c>
      <c r="I658" s="1438">
        <v>41000000000</v>
      </c>
      <c r="J658" s="1407"/>
      <c r="K658" s="1431">
        <f t="shared" si="87"/>
        <v>190420899854862.12</v>
      </c>
      <c r="L658" s="1407"/>
      <c r="M658" s="1407"/>
      <c r="N658" s="1407"/>
      <c r="O658" s="1407"/>
      <c r="P658" s="1407"/>
      <c r="Q658" s="1407"/>
      <c r="R658" s="1407"/>
      <c r="S658" s="1407"/>
      <c r="T658" s="1407"/>
      <c r="U658" s="1407"/>
    </row>
    <row r="659" spans="1:21" ht="12">
      <c r="A659" s="639" t="s">
        <v>4089</v>
      </c>
      <c r="B659" s="1483">
        <v>42425</v>
      </c>
      <c r="C659" s="639" t="s">
        <v>3212</v>
      </c>
      <c r="D659" s="1433" t="s">
        <v>4095</v>
      </c>
      <c r="E659" s="1483">
        <v>42424</v>
      </c>
      <c r="F659" s="15">
        <v>659000000000000</v>
      </c>
      <c r="G659" s="1731">
        <v>68900000000</v>
      </c>
      <c r="H659" s="1438">
        <v>2860000000000</v>
      </c>
      <c r="I659" s="1438">
        <v>41000000000</v>
      </c>
      <c r="J659" s="1407"/>
      <c r="K659" s="1431">
        <f t="shared" si="87"/>
        <v>313718432510885.38</v>
      </c>
      <c r="L659" s="1407"/>
      <c r="M659" s="1407"/>
      <c r="N659" s="1407"/>
      <c r="O659" s="1407"/>
      <c r="P659" s="1407"/>
      <c r="Q659" s="1407"/>
      <c r="R659" s="1407"/>
      <c r="S659" s="1407"/>
      <c r="T659" s="1407"/>
      <c r="U659" s="1407"/>
    </row>
    <row r="660" spans="1:21" ht="12">
      <c r="A660" s="639" t="s">
        <v>4089</v>
      </c>
      <c r="B660" s="1483">
        <v>42425</v>
      </c>
      <c r="C660" s="639" t="s">
        <v>3212</v>
      </c>
      <c r="D660" s="1433" t="s">
        <v>4096</v>
      </c>
      <c r="E660" s="1483">
        <v>42424</v>
      </c>
      <c r="F660" s="15">
        <v>980000000000000</v>
      </c>
      <c r="G660" s="1731">
        <v>68900000000</v>
      </c>
      <c r="H660" s="1438">
        <v>2860000000000</v>
      </c>
      <c r="I660" s="1438">
        <v>41000000000</v>
      </c>
      <c r="J660" s="1407"/>
      <c r="K660" s="1431">
        <f t="shared" si="87"/>
        <v>466531204644412.19</v>
      </c>
      <c r="L660" s="1407"/>
      <c r="M660" s="1407"/>
      <c r="N660" s="1407"/>
      <c r="O660" s="1407"/>
      <c r="P660" s="1407"/>
      <c r="Q660" s="1407"/>
      <c r="R660" s="1407"/>
      <c r="S660" s="1407"/>
      <c r="T660" s="1407"/>
      <c r="U660" s="1407"/>
    </row>
    <row r="661" spans="1:21" ht="12">
      <c r="A661" s="639" t="s">
        <v>4089</v>
      </c>
      <c r="B661" s="1483">
        <v>42425</v>
      </c>
      <c r="C661" s="639" t="s">
        <v>3212</v>
      </c>
      <c r="D661" s="1433" t="s">
        <v>4097</v>
      </c>
      <c r="E661" s="1483">
        <v>42424</v>
      </c>
      <c r="F661" s="15">
        <v>119000000000000</v>
      </c>
      <c r="G661" s="1731">
        <v>68900000000</v>
      </c>
      <c r="H661" s="1438">
        <v>2860000000000</v>
      </c>
      <c r="I661" s="1438">
        <v>41000000000</v>
      </c>
      <c r="J661" s="1407"/>
      <c r="K661" s="1431">
        <f t="shared" si="87"/>
        <v>56650217706821.484</v>
      </c>
      <c r="L661" s="1407"/>
      <c r="M661" s="1407"/>
      <c r="N661" s="1407"/>
      <c r="O661" s="1407"/>
      <c r="P661" s="1407"/>
      <c r="Q661" s="1407"/>
      <c r="R661" s="1407"/>
      <c r="S661" s="1407"/>
      <c r="T661" s="1407"/>
      <c r="U661" s="1407"/>
    </row>
    <row r="662" spans="1:21" ht="24">
      <c r="A662" s="639" t="s">
        <v>4089</v>
      </c>
      <c r="B662" s="1483">
        <v>42425</v>
      </c>
      <c r="C662" s="639" t="s">
        <v>3212</v>
      </c>
      <c r="D662" s="1433" t="s">
        <v>4098</v>
      </c>
      <c r="E662" s="1483">
        <v>42425</v>
      </c>
      <c r="F662" s="15">
        <v>591000000000</v>
      </c>
      <c r="G662" s="1731">
        <v>68900000000</v>
      </c>
      <c r="H662" s="1438">
        <v>2860000000000</v>
      </c>
      <c r="I662" s="1438">
        <v>41000000000</v>
      </c>
      <c r="J662" s="1407"/>
      <c r="K662" s="1431">
        <f t="shared" si="87"/>
        <v>281346879535.55878</v>
      </c>
      <c r="L662" s="639" t="s">
        <v>4101</v>
      </c>
      <c r="M662" s="1407"/>
      <c r="N662" s="1407"/>
      <c r="O662" s="1407"/>
      <c r="P662" s="1407"/>
      <c r="Q662" s="1407"/>
      <c r="R662" s="1407"/>
      <c r="S662" s="1407"/>
      <c r="T662" s="1407"/>
      <c r="U662" s="1407"/>
    </row>
    <row r="663" spans="1:21" ht="12">
      <c r="A663" s="639" t="s">
        <v>4089</v>
      </c>
      <c r="B663" s="1483">
        <v>42425</v>
      </c>
      <c r="C663" s="639" t="s">
        <v>3212</v>
      </c>
      <c r="D663" s="1433" t="s">
        <v>4102</v>
      </c>
      <c r="E663" s="1483">
        <v>42425</v>
      </c>
      <c r="F663" s="15">
        <v>436000000000</v>
      </c>
      <c r="G663" s="1731">
        <v>68900000000</v>
      </c>
      <c r="H663" s="1438">
        <v>2860000000000</v>
      </c>
      <c r="I663" s="1438">
        <v>41000000000</v>
      </c>
      <c r="J663" s="1407"/>
      <c r="K663" s="1431">
        <f t="shared" si="87"/>
        <v>207558780841.79971</v>
      </c>
      <c r="L663" s="1407"/>
      <c r="M663" s="1407"/>
      <c r="N663" s="1407"/>
      <c r="O663" s="1407"/>
      <c r="P663" s="1407"/>
      <c r="Q663" s="1407"/>
      <c r="R663" s="1407"/>
      <c r="S663" s="1407"/>
      <c r="T663" s="1407"/>
      <c r="U663" s="1407"/>
    </row>
    <row r="664" spans="1:21" ht="12">
      <c r="A664" s="639"/>
      <c r="B664" s="1483"/>
      <c r="C664" s="639"/>
      <c r="D664" s="1409"/>
      <c r="E664" s="1410"/>
      <c r="F664" s="1495"/>
      <c r="G664" s="1534"/>
      <c r="H664" s="1534"/>
      <c r="I664" s="1428"/>
      <c r="J664" s="1407"/>
      <c r="K664" s="1431"/>
      <c r="L664" s="1407"/>
      <c r="M664" s="1407"/>
      <c r="N664" s="1407"/>
      <c r="O664" s="1407"/>
      <c r="P664" s="1407"/>
      <c r="Q664" s="1407"/>
      <c r="R664" s="1407"/>
      <c r="S664" s="1407"/>
      <c r="T664" s="1407"/>
      <c r="U664" s="1407"/>
    </row>
    <row r="665" spans="1:21" ht="12">
      <c r="A665" s="639" t="s">
        <v>4103</v>
      </c>
      <c r="B665" s="1483">
        <v>42432</v>
      </c>
      <c r="C665" s="639" t="s">
        <v>3212</v>
      </c>
      <c r="D665" s="1831" t="s">
        <v>4104</v>
      </c>
      <c r="E665" s="1850">
        <v>42402</v>
      </c>
      <c r="F665" s="1437">
        <v>241000000000000</v>
      </c>
      <c r="G665" s="1438">
        <v>113000000000</v>
      </c>
      <c r="H665" s="1438">
        <v>1200000000000</v>
      </c>
      <c r="I665" s="1731">
        <v>1200000000000</v>
      </c>
      <c r="J665" s="1407"/>
      <c r="K665" s="1431">
        <f t="shared" ref="K665:K673" si="88">(32800000000/G665)*F665</f>
        <v>69953982300884.953</v>
      </c>
      <c r="L665" s="1407"/>
      <c r="M665" s="1407"/>
      <c r="N665" s="1407"/>
      <c r="O665" s="1407"/>
      <c r="P665" s="1407"/>
      <c r="Q665" s="1407"/>
      <c r="R665" s="1407"/>
      <c r="S665" s="1407"/>
      <c r="T665" s="1407"/>
      <c r="U665" s="1407"/>
    </row>
    <row r="666" spans="1:21" ht="12">
      <c r="A666" s="639" t="s">
        <v>4103</v>
      </c>
      <c r="B666" s="1483">
        <v>42432</v>
      </c>
      <c r="C666" s="639" t="s">
        <v>3212</v>
      </c>
      <c r="D666" s="1831" t="s">
        <v>4105</v>
      </c>
      <c r="E666" s="1850">
        <v>42402</v>
      </c>
      <c r="F666" s="1437">
        <v>273000000000000</v>
      </c>
      <c r="G666" s="1438">
        <v>113000000000</v>
      </c>
      <c r="H666" s="1438">
        <v>1200000000000</v>
      </c>
      <c r="I666" s="1731">
        <v>1200000000000</v>
      </c>
      <c r="J666" s="1407"/>
      <c r="K666" s="1431">
        <f t="shared" si="88"/>
        <v>79242477876106.188</v>
      </c>
      <c r="L666" s="1407"/>
      <c r="M666" s="1407"/>
      <c r="N666" s="1407"/>
      <c r="O666" s="1407"/>
      <c r="P666" s="1407"/>
      <c r="Q666" s="1407"/>
      <c r="R666" s="1407"/>
      <c r="S666" s="1407"/>
      <c r="T666" s="1407"/>
      <c r="U666" s="1407"/>
    </row>
    <row r="667" spans="1:21" ht="12">
      <c r="A667" s="639" t="s">
        <v>4103</v>
      </c>
      <c r="B667" s="1483">
        <v>42432</v>
      </c>
      <c r="C667" s="639" t="s">
        <v>3212</v>
      </c>
      <c r="D667" s="1433" t="s">
        <v>4106</v>
      </c>
      <c r="E667" s="1850">
        <v>42402</v>
      </c>
      <c r="F667" s="1437">
        <v>57400000000</v>
      </c>
      <c r="G667" s="1438">
        <v>113000000000</v>
      </c>
      <c r="H667" s="1438">
        <v>1200000000000</v>
      </c>
      <c r="I667" s="1731">
        <v>1200000000000</v>
      </c>
      <c r="J667" s="1407"/>
      <c r="K667" s="1431">
        <f t="shared" si="88"/>
        <v>16661238938.053097</v>
      </c>
      <c r="L667" s="1407"/>
      <c r="M667" s="1407"/>
      <c r="N667" s="1407"/>
      <c r="O667" s="1407"/>
      <c r="P667" s="1407"/>
      <c r="Q667" s="1407"/>
      <c r="R667" s="1407"/>
      <c r="S667" s="1407"/>
      <c r="T667" s="1407"/>
      <c r="U667" s="1407"/>
    </row>
    <row r="668" spans="1:21" ht="12">
      <c r="A668" s="639" t="s">
        <v>4103</v>
      </c>
      <c r="B668" s="1483">
        <v>42432</v>
      </c>
      <c r="C668" s="639" t="s">
        <v>3212</v>
      </c>
      <c r="D668" s="1433" t="s">
        <v>4107</v>
      </c>
      <c r="E668" s="1850">
        <v>42402</v>
      </c>
      <c r="F668" s="1437">
        <v>476000000000000</v>
      </c>
      <c r="G668" s="1438">
        <v>113000000000</v>
      </c>
      <c r="H668" s="1438">
        <v>1200000000000</v>
      </c>
      <c r="I668" s="1731">
        <v>1200000000000</v>
      </c>
      <c r="J668" s="1407"/>
      <c r="K668" s="1431">
        <f t="shared" si="88"/>
        <v>138166371681415.92</v>
      </c>
      <c r="L668" s="1407"/>
      <c r="M668" s="1407"/>
      <c r="N668" s="1407"/>
      <c r="O668" s="1407"/>
      <c r="P668" s="1407"/>
      <c r="Q668" s="1407"/>
      <c r="R668" s="1407"/>
      <c r="S668" s="1407"/>
      <c r="T668" s="1407"/>
      <c r="U668" s="1407"/>
    </row>
    <row r="669" spans="1:21" ht="12">
      <c r="A669" s="639" t="s">
        <v>4103</v>
      </c>
      <c r="B669" s="1483">
        <v>42432</v>
      </c>
      <c r="C669" s="639" t="s">
        <v>3212</v>
      </c>
      <c r="D669" s="1433" t="s">
        <v>4108</v>
      </c>
      <c r="E669" s="1850">
        <v>42402</v>
      </c>
      <c r="F669" s="1437">
        <v>1740000000000000</v>
      </c>
      <c r="G669" s="1438">
        <v>113000000000</v>
      </c>
      <c r="H669" s="1438">
        <v>1200000000000</v>
      </c>
      <c r="I669" s="1731">
        <v>1200000000000</v>
      </c>
      <c r="J669" s="1407"/>
      <c r="K669" s="1431">
        <f t="shared" si="88"/>
        <v>505061946902654.88</v>
      </c>
      <c r="L669" s="1407"/>
      <c r="M669" s="1407"/>
      <c r="N669" s="1407"/>
      <c r="O669" s="1407"/>
      <c r="P669" s="1407"/>
      <c r="Q669" s="1407"/>
      <c r="R669" s="1407"/>
      <c r="S669" s="1407"/>
      <c r="T669" s="1407"/>
      <c r="U669" s="1407"/>
    </row>
    <row r="670" spans="1:21" ht="12">
      <c r="A670" s="639" t="s">
        <v>4103</v>
      </c>
      <c r="B670" s="1483">
        <v>42432</v>
      </c>
      <c r="C670" s="639" t="s">
        <v>3212</v>
      </c>
      <c r="D670" s="1433" t="s">
        <v>4110</v>
      </c>
      <c r="E670" s="1850">
        <v>42402</v>
      </c>
      <c r="F670" s="1437">
        <v>1390000000000000</v>
      </c>
      <c r="G670" s="1438">
        <v>113000000000</v>
      </c>
      <c r="H670" s="1438">
        <v>1200000000000</v>
      </c>
      <c r="I670" s="1731">
        <v>1200000000000</v>
      </c>
      <c r="J670" s="1407"/>
      <c r="K670" s="1431">
        <f t="shared" si="88"/>
        <v>403469026548672.56</v>
      </c>
      <c r="L670" s="1407"/>
      <c r="M670" s="1407"/>
      <c r="N670" s="1407"/>
      <c r="O670" s="1407"/>
      <c r="P670" s="1407"/>
      <c r="Q670" s="1407"/>
      <c r="R670" s="1407"/>
      <c r="S670" s="1407"/>
      <c r="T670" s="1407"/>
      <c r="U670" s="1407"/>
    </row>
    <row r="671" spans="1:21" ht="12">
      <c r="A671" s="639" t="s">
        <v>4103</v>
      </c>
      <c r="B671" s="1483">
        <v>42432</v>
      </c>
      <c r="C671" s="639" t="s">
        <v>3212</v>
      </c>
      <c r="D671" s="1433" t="s">
        <v>4111</v>
      </c>
      <c r="E671" s="1850">
        <v>42402</v>
      </c>
      <c r="F671" s="1437">
        <v>4440000000000000</v>
      </c>
      <c r="G671" s="1438">
        <v>113000000000</v>
      </c>
      <c r="H671" s="1438">
        <v>1200000000000</v>
      </c>
      <c r="I671" s="1731">
        <v>1200000000000</v>
      </c>
      <c r="J671" s="1407"/>
      <c r="K671" s="1431">
        <f t="shared" si="88"/>
        <v>1288778761061947</v>
      </c>
      <c r="L671" s="1407"/>
      <c r="M671" s="1407"/>
      <c r="N671" s="1407"/>
      <c r="O671" s="1407"/>
      <c r="P671" s="1407"/>
      <c r="Q671" s="1407"/>
      <c r="R671" s="1407"/>
      <c r="S671" s="1407"/>
      <c r="T671" s="1407"/>
      <c r="U671" s="1407"/>
    </row>
    <row r="672" spans="1:21" ht="12">
      <c r="A672" s="639" t="s">
        <v>4103</v>
      </c>
      <c r="B672" s="1483">
        <v>42432</v>
      </c>
      <c r="C672" s="639" t="s">
        <v>3212</v>
      </c>
      <c r="D672" s="1433" t="s">
        <v>3969</v>
      </c>
      <c r="E672" s="1850">
        <v>42402</v>
      </c>
      <c r="F672" s="1437">
        <v>174000000000000</v>
      </c>
      <c r="G672" s="1438">
        <v>113000000000</v>
      </c>
      <c r="H672" s="1438">
        <v>1200000000000</v>
      </c>
      <c r="I672" s="1731">
        <v>1200000000000</v>
      </c>
      <c r="J672" s="1407"/>
      <c r="K672" s="1431">
        <f t="shared" si="88"/>
        <v>50506194690265.484</v>
      </c>
      <c r="L672" s="1407"/>
      <c r="M672" s="1407"/>
      <c r="N672" s="1407"/>
      <c r="O672" s="1407"/>
      <c r="P672" s="1407"/>
      <c r="Q672" s="1407"/>
      <c r="R672" s="1407"/>
      <c r="S672" s="1407"/>
      <c r="T672" s="1407"/>
      <c r="U672" s="1407"/>
    </row>
    <row r="673" spans="1:21" ht="12">
      <c r="A673" s="639" t="s">
        <v>4103</v>
      </c>
      <c r="B673" s="1483">
        <v>42432</v>
      </c>
      <c r="C673" s="639" t="s">
        <v>3212</v>
      </c>
      <c r="D673" s="1433" t="s">
        <v>3980</v>
      </c>
      <c r="E673" s="1850">
        <v>42402</v>
      </c>
      <c r="F673" s="1437">
        <v>11200000000000</v>
      </c>
      <c r="G673" s="1438">
        <v>113000000000</v>
      </c>
      <c r="H673" s="1438">
        <v>1200000000000</v>
      </c>
      <c r="I673" s="1731">
        <v>1200000000000</v>
      </c>
      <c r="J673" s="1407"/>
      <c r="K673" s="1431">
        <f t="shared" si="88"/>
        <v>3250973451327.4336</v>
      </c>
      <c r="L673" s="1407"/>
      <c r="M673" s="1407"/>
      <c r="N673" s="1407"/>
      <c r="O673" s="1407"/>
      <c r="P673" s="1407"/>
      <c r="Q673" s="1407"/>
      <c r="R673" s="1407"/>
      <c r="S673" s="1407"/>
      <c r="T673" s="1407"/>
      <c r="U673" s="1407"/>
    </row>
    <row r="674" spans="1:21" ht="12">
      <c r="A674" s="639"/>
      <c r="B674" s="1483"/>
      <c r="C674" s="639"/>
      <c r="D674" s="1409"/>
      <c r="E674" s="1410"/>
      <c r="F674" s="1495"/>
      <c r="G674" s="1534"/>
      <c r="H674" s="1534"/>
      <c r="I674" s="1428"/>
      <c r="J674" s="1407"/>
      <c r="K674" s="1431"/>
      <c r="L674" s="1407"/>
      <c r="M674" s="1407"/>
      <c r="N674" s="1407"/>
      <c r="O674" s="1407"/>
      <c r="P674" s="1407"/>
      <c r="Q674" s="1407"/>
      <c r="R674" s="1407"/>
      <c r="S674" s="1407"/>
      <c r="T674" s="1407"/>
      <c r="U674" s="1407"/>
    </row>
    <row r="675" spans="1:21" ht="12">
      <c r="A675" s="639" t="s">
        <v>4113</v>
      </c>
      <c r="B675" s="1483">
        <v>42438</v>
      </c>
      <c r="C675" s="639" t="s">
        <v>881</v>
      </c>
      <c r="D675" s="1433" t="s">
        <v>4114</v>
      </c>
      <c r="E675" s="1850">
        <v>42438</v>
      </c>
      <c r="F675" s="1437">
        <v>7830000000000</v>
      </c>
      <c r="G675" s="1435">
        <v>17000000000</v>
      </c>
      <c r="H675" s="1438">
        <v>10300000000000</v>
      </c>
      <c r="I675" s="1731">
        <v>18800000000</v>
      </c>
      <c r="J675" s="1407"/>
      <c r="K675" s="1431">
        <f>(32800000000/G675)*G675</f>
        <v>32800000000</v>
      </c>
      <c r="L675" s="1407"/>
      <c r="M675" s="1407"/>
      <c r="N675" s="1407"/>
      <c r="O675" s="1407"/>
      <c r="P675" s="1407"/>
      <c r="Q675" s="1407"/>
      <c r="R675" s="1407"/>
      <c r="S675" s="1407"/>
      <c r="T675" s="1407"/>
      <c r="U675" s="1407"/>
    </row>
    <row r="676" spans="1:21" ht="12">
      <c r="A676" s="639" t="s">
        <v>4113</v>
      </c>
      <c r="B676" s="1483">
        <v>42438</v>
      </c>
      <c r="C676" s="639" t="s">
        <v>881</v>
      </c>
      <c r="D676" s="1433" t="s">
        <v>4115</v>
      </c>
      <c r="E676" s="1850">
        <v>42438</v>
      </c>
      <c r="F676" s="1437">
        <v>57500000000000</v>
      </c>
      <c r="G676" s="1435">
        <v>17000000000</v>
      </c>
      <c r="H676" s="1438">
        <v>10300000000000</v>
      </c>
      <c r="I676" s="1731">
        <v>18800000000</v>
      </c>
      <c r="J676" s="1407"/>
      <c r="K676" s="1431">
        <f t="shared" ref="K676:K681" si="89">(32800000000/G676)*F676</f>
        <v>110941176470588.23</v>
      </c>
      <c r="L676" s="1407"/>
      <c r="M676" s="1407"/>
      <c r="N676" s="1407"/>
      <c r="O676" s="1407"/>
      <c r="P676" s="1407"/>
      <c r="Q676" s="1407"/>
      <c r="R676" s="1407"/>
      <c r="S676" s="1407"/>
      <c r="T676" s="1407"/>
      <c r="U676" s="1407"/>
    </row>
    <row r="677" spans="1:21" ht="12">
      <c r="A677" s="639" t="s">
        <v>4113</v>
      </c>
      <c r="B677" s="1483">
        <v>42438</v>
      </c>
      <c r="C677" s="639" t="s">
        <v>881</v>
      </c>
      <c r="D677" s="1433" t="s">
        <v>4116</v>
      </c>
      <c r="E677" s="1850">
        <v>42438</v>
      </c>
      <c r="F677" s="1437">
        <v>38300000000000</v>
      </c>
      <c r="G677" s="1435">
        <v>17000000000</v>
      </c>
      <c r="H677" s="1438">
        <v>10300000000000</v>
      </c>
      <c r="I677" s="1731">
        <v>18800000000</v>
      </c>
      <c r="J677" s="1407"/>
      <c r="K677" s="1431">
        <f t="shared" si="89"/>
        <v>73896470588235.297</v>
      </c>
      <c r="L677" s="1407"/>
      <c r="M677" s="1407"/>
      <c r="N677" s="1407"/>
      <c r="O677" s="1407"/>
      <c r="P677" s="1407"/>
      <c r="Q677" s="1407"/>
      <c r="R677" s="1407"/>
      <c r="S677" s="1407"/>
      <c r="T677" s="1407"/>
      <c r="U677" s="1407"/>
    </row>
    <row r="678" spans="1:21" ht="12">
      <c r="A678" s="639" t="s">
        <v>4113</v>
      </c>
      <c r="B678" s="1483">
        <v>42438</v>
      </c>
      <c r="C678" s="639" t="s">
        <v>881</v>
      </c>
      <c r="D678" s="1433" t="s">
        <v>4117</v>
      </c>
      <c r="E678" s="1850">
        <v>42438</v>
      </c>
      <c r="F678" s="1437">
        <v>1770000000000</v>
      </c>
      <c r="G678" s="1435">
        <v>17000000000</v>
      </c>
      <c r="H678" s="1438">
        <v>10300000000000</v>
      </c>
      <c r="I678" s="1731">
        <v>18800000000</v>
      </c>
      <c r="J678" s="1407"/>
      <c r="K678" s="1431">
        <f t="shared" si="89"/>
        <v>3415058823529.4116</v>
      </c>
      <c r="L678" s="1407"/>
      <c r="M678" s="1407"/>
      <c r="N678" s="1407"/>
      <c r="O678" s="1407"/>
      <c r="P678" s="1407"/>
      <c r="Q678" s="1407"/>
      <c r="R678" s="1407"/>
      <c r="S678" s="1407"/>
      <c r="T678" s="1407"/>
      <c r="U678" s="1407"/>
    </row>
    <row r="679" spans="1:21" ht="12">
      <c r="A679" s="639" t="s">
        <v>4113</v>
      </c>
      <c r="B679" s="1483">
        <v>42438</v>
      </c>
      <c r="C679" s="639" t="s">
        <v>881</v>
      </c>
      <c r="D679" s="1433" t="s">
        <v>4118</v>
      </c>
      <c r="E679" s="1850">
        <v>42438</v>
      </c>
      <c r="F679" s="1437">
        <v>14700000000</v>
      </c>
      <c r="G679" s="1435">
        <v>17000000000</v>
      </c>
      <c r="H679" s="1438">
        <v>10300000000000</v>
      </c>
      <c r="I679" s="1731">
        <v>18800000000</v>
      </c>
      <c r="J679" s="1407"/>
      <c r="K679" s="1431">
        <f t="shared" si="89"/>
        <v>28362352941.176472</v>
      </c>
      <c r="L679" s="1407"/>
      <c r="M679" s="1407"/>
      <c r="N679" s="1407"/>
      <c r="O679" s="1407"/>
      <c r="P679" s="1407"/>
      <c r="Q679" s="1407"/>
      <c r="R679" s="1407"/>
      <c r="S679" s="1407"/>
      <c r="T679" s="1407"/>
      <c r="U679" s="1407"/>
    </row>
    <row r="680" spans="1:21" ht="12">
      <c r="A680" s="639" t="s">
        <v>4113</v>
      </c>
      <c r="B680" s="1483">
        <v>42438</v>
      </c>
      <c r="C680" s="639" t="s">
        <v>881</v>
      </c>
      <c r="D680" s="1433" t="s">
        <v>4119</v>
      </c>
      <c r="E680" s="1850">
        <v>42438</v>
      </c>
      <c r="F680" s="1437">
        <v>206000000000000</v>
      </c>
      <c r="G680" s="1435">
        <v>17000000000</v>
      </c>
      <c r="H680" s="1438">
        <v>10300000000000</v>
      </c>
      <c r="I680" s="1731">
        <v>18800000000</v>
      </c>
      <c r="J680" s="1407"/>
      <c r="K680" s="1431">
        <f t="shared" si="89"/>
        <v>397458823529411.75</v>
      </c>
      <c r="L680" s="1407"/>
      <c r="M680" s="1407"/>
      <c r="N680" s="1407"/>
      <c r="O680" s="1407"/>
      <c r="P680" s="1407"/>
      <c r="Q680" s="1407"/>
      <c r="R680" s="1407"/>
      <c r="S680" s="1407"/>
      <c r="T680" s="1407"/>
      <c r="U680" s="1407"/>
    </row>
    <row r="681" spans="1:21" ht="12">
      <c r="A681" s="639" t="s">
        <v>4113</v>
      </c>
      <c r="B681" s="1483">
        <v>42438</v>
      </c>
      <c r="C681" s="639" t="s">
        <v>881</v>
      </c>
      <c r="D681" s="1433" t="s">
        <v>4120</v>
      </c>
      <c r="E681" s="1850">
        <v>42438</v>
      </c>
      <c r="F681" s="1437">
        <v>53200000000000</v>
      </c>
      <c r="G681" s="1435">
        <v>17000000000</v>
      </c>
      <c r="H681" s="1438">
        <v>10300000000000</v>
      </c>
      <c r="I681" s="1731">
        <v>18800000000</v>
      </c>
      <c r="J681" s="1407"/>
      <c r="K681" s="1431">
        <f t="shared" si="89"/>
        <v>102644705882352.94</v>
      </c>
      <c r="L681" s="1407"/>
      <c r="M681" s="1407"/>
      <c r="N681" s="1407"/>
      <c r="O681" s="1407"/>
      <c r="P681" s="1407"/>
      <c r="Q681" s="1407"/>
      <c r="R681" s="1407"/>
      <c r="S681" s="1407"/>
      <c r="T681" s="1407"/>
      <c r="U681" s="1407"/>
    </row>
    <row r="682" spans="1:21" ht="12">
      <c r="A682" s="639"/>
      <c r="B682" s="1483"/>
      <c r="C682" s="639"/>
      <c r="D682" s="1409"/>
      <c r="E682" s="1410"/>
      <c r="F682" s="1495"/>
      <c r="G682" s="1534"/>
      <c r="H682" s="1534"/>
      <c r="I682" s="1428"/>
      <c r="J682" s="1407"/>
      <c r="K682" s="1431"/>
      <c r="L682" s="1407"/>
      <c r="M682" s="1407"/>
      <c r="N682" s="1407"/>
      <c r="O682" s="1407"/>
      <c r="P682" s="1407"/>
      <c r="Q682" s="1407"/>
      <c r="R682" s="1407"/>
      <c r="S682" s="1407"/>
      <c r="T682" s="1407"/>
      <c r="U682" s="1407"/>
    </row>
    <row r="683" spans="1:21" ht="12">
      <c r="A683" s="639" t="s">
        <v>4121</v>
      </c>
      <c r="B683" s="1483">
        <v>42444</v>
      </c>
      <c r="C683" s="639" t="s">
        <v>3212</v>
      </c>
      <c r="D683" s="1433" t="s">
        <v>4122</v>
      </c>
      <c r="E683" s="1850">
        <v>42443</v>
      </c>
      <c r="F683" s="1912">
        <v>14000000000000</v>
      </c>
      <c r="G683" s="1438">
        <v>19100000000</v>
      </c>
      <c r="H683" s="1438">
        <v>11700000000000</v>
      </c>
      <c r="I683" s="1731">
        <v>71000000000</v>
      </c>
      <c r="J683" s="1407"/>
      <c r="K683" s="1431">
        <f t="shared" ref="K683:K688" si="90">(32800000000/G683)*F683</f>
        <v>24041884816753.926</v>
      </c>
      <c r="L683" s="1407"/>
      <c r="M683" s="1407"/>
      <c r="N683" s="1407"/>
      <c r="O683" s="1407"/>
      <c r="P683" s="1407"/>
      <c r="Q683" s="1407"/>
      <c r="R683" s="1407"/>
      <c r="S683" s="1407"/>
      <c r="T683" s="1407"/>
      <c r="U683" s="1407"/>
    </row>
    <row r="684" spans="1:21" ht="12">
      <c r="A684" s="639" t="s">
        <v>4121</v>
      </c>
      <c r="B684" s="1483">
        <v>42444</v>
      </c>
      <c r="C684" s="639" t="s">
        <v>3212</v>
      </c>
      <c r="D684" s="1433" t="s">
        <v>4124</v>
      </c>
      <c r="E684" s="1850">
        <v>42443</v>
      </c>
      <c r="F684" s="1912">
        <v>44100000000000</v>
      </c>
      <c r="G684" s="1438">
        <v>19100000000</v>
      </c>
      <c r="H684" s="1438">
        <v>11700000000000</v>
      </c>
      <c r="I684" s="1731">
        <v>71000000000</v>
      </c>
      <c r="J684" s="1407"/>
      <c r="K684" s="1431">
        <f t="shared" si="90"/>
        <v>75731937172774.875</v>
      </c>
      <c r="L684" s="1407"/>
      <c r="M684" s="1407"/>
      <c r="N684" s="1407"/>
      <c r="O684" s="1407"/>
      <c r="P684" s="1407"/>
      <c r="Q684" s="1407"/>
      <c r="R684" s="1407"/>
      <c r="S684" s="1407"/>
      <c r="T684" s="1407"/>
      <c r="U684" s="1407"/>
    </row>
    <row r="685" spans="1:21" ht="12">
      <c r="A685" s="639" t="s">
        <v>4121</v>
      </c>
      <c r="B685" s="1483">
        <v>42444</v>
      </c>
      <c r="C685" s="639" t="s">
        <v>3212</v>
      </c>
      <c r="D685" s="1433" t="s">
        <v>4125</v>
      </c>
      <c r="E685" s="1850">
        <v>42443</v>
      </c>
      <c r="F685" s="1912">
        <v>11300000000000</v>
      </c>
      <c r="G685" s="1438">
        <v>19100000000</v>
      </c>
      <c r="H685" s="1438">
        <v>11700000000000</v>
      </c>
      <c r="I685" s="1731">
        <v>71000000000</v>
      </c>
      <c r="J685" s="1407"/>
      <c r="K685" s="1431">
        <f t="shared" si="90"/>
        <v>19405235602094.242</v>
      </c>
      <c r="L685" s="1407"/>
      <c r="M685" s="1407"/>
      <c r="N685" s="1407"/>
      <c r="O685" s="1407"/>
      <c r="P685" s="1407"/>
      <c r="Q685" s="1407"/>
      <c r="R685" s="1407"/>
      <c r="S685" s="1407"/>
      <c r="T685" s="1407"/>
      <c r="U685" s="1407"/>
    </row>
    <row r="686" spans="1:21" ht="12">
      <c r="A686" s="639" t="s">
        <v>4121</v>
      </c>
      <c r="B686" s="1483">
        <v>42444</v>
      </c>
      <c r="C686" s="639" t="s">
        <v>3212</v>
      </c>
      <c r="D686" s="1433" t="s">
        <v>4126</v>
      </c>
      <c r="E686" s="1850">
        <v>42443</v>
      </c>
      <c r="F686" s="1912">
        <v>49600000000000</v>
      </c>
      <c r="G686" s="1438">
        <v>19100000000</v>
      </c>
      <c r="H686" s="1438">
        <v>11700000000000</v>
      </c>
      <c r="I686" s="1731">
        <v>71000000000</v>
      </c>
      <c r="J686" s="1407"/>
      <c r="K686" s="1431">
        <f t="shared" si="90"/>
        <v>85176963350785.344</v>
      </c>
      <c r="L686" s="1407"/>
      <c r="M686" s="1407"/>
      <c r="N686" s="1407"/>
      <c r="O686" s="1407"/>
      <c r="P686" s="1407"/>
      <c r="Q686" s="1407"/>
      <c r="R686" s="1407"/>
      <c r="S686" s="1407"/>
      <c r="T686" s="1407"/>
      <c r="U686" s="1407"/>
    </row>
    <row r="687" spans="1:21" ht="12">
      <c r="A687" s="639" t="s">
        <v>4121</v>
      </c>
      <c r="B687" s="1483">
        <v>42444</v>
      </c>
      <c r="C687" s="639" t="s">
        <v>3212</v>
      </c>
      <c r="D687" s="1433" t="s">
        <v>4127</v>
      </c>
      <c r="E687" s="1850">
        <v>42443</v>
      </c>
      <c r="F687" s="1912">
        <v>1400000000000000</v>
      </c>
      <c r="G687" s="1438">
        <v>19100000000</v>
      </c>
      <c r="H687" s="1438">
        <v>11700000000000</v>
      </c>
      <c r="I687" s="1731">
        <v>71000000000</v>
      </c>
      <c r="J687" s="1407"/>
      <c r="K687" s="1431">
        <f t="shared" si="90"/>
        <v>2404188481675392.5</v>
      </c>
      <c r="L687" s="1407"/>
      <c r="M687" s="1407"/>
      <c r="N687" s="1407"/>
      <c r="O687" s="1407"/>
      <c r="P687" s="1407"/>
      <c r="Q687" s="1407"/>
      <c r="R687" s="1407"/>
      <c r="S687" s="1407"/>
      <c r="T687" s="1407"/>
      <c r="U687" s="1407"/>
    </row>
    <row r="688" spans="1:21" ht="12">
      <c r="A688" s="639" t="s">
        <v>4121</v>
      </c>
      <c r="B688" s="1483">
        <v>42444</v>
      </c>
      <c r="C688" s="639" t="s">
        <v>3212</v>
      </c>
      <c r="D688" s="1433" t="s">
        <v>3308</v>
      </c>
      <c r="E688" s="1850">
        <v>42443</v>
      </c>
      <c r="F688" s="1912">
        <v>82100000000000</v>
      </c>
      <c r="G688" s="1438">
        <v>19100000000</v>
      </c>
      <c r="H688" s="1438">
        <v>11700000000000</v>
      </c>
      <c r="I688" s="1731">
        <v>71000000000</v>
      </c>
      <c r="J688" s="1407"/>
      <c r="K688" s="1431">
        <f t="shared" si="90"/>
        <v>140988481675392.69</v>
      </c>
      <c r="L688" s="1407"/>
      <c r="M688" s="1407"/>
      <c r="N688" s="1407"/>
      <c r="O688" s="1407"/>
      <c r="P688" s="1407"/>
      <c r="Q688" s="1407"/>
      <c r="R688" s="1407"/>
      <c r="S688" s="1407"/>
      <c r="T688" s="1407"/>
      <c r="U688" s="1407"/>
    </row>
    <row r="689" spans="1:21" ht="12">
      <c r="A689" s="639"/>
      <c r="B689" s="1483"/>
      <c r="C689" s="639"/>
      <c r="D689" s="1409"/>
      <c r="E689" s="1410"/>
      <c r="F689" s="1495"/>
      <c r="G689" s="1534"/>
      <c r="H689" s="1534"/>
      <c r="I689" s="1428"/>
      <c r="J689" s="1407"/>
      <c r="K689" s="1431"/>
      <c r="L689" s="1407"/>
      <c r="M689" s="1407"/>
      <c r="N689" s="1407"/>
      <c r="O689" s="1407"/>
      <c r="P689" s="1407"/>
      <c r="Q689" s="1407"/>
      <c r="R689" s="1407"/>
      <c r="S689" s="1407"/>
      <c r="T689" s="1407"/>
      <c r="U689" s="1407"/>
    </row>
    <row r="690" spans="1:21" ht="12">
      <c r="A690" s="639" t="s">
        <v>4128</v>
      </c>
      <c r="B690" s="1483">
        <v>42451</v>
      </c>
      <c r="C690" s="639" t="s">
        <v>881</v>
      </c>
      <c r="D690" s="1433" t="s">
        <v>4129</v>
      </c>
      <c r="E690" s="1483">
        <v>42451</v>
      </c>
      <c r="F690" s="1437">
        <v>46400000000000</v>
      </c>
      <c r="G690" s="1438">
        <v>120000000000</v>
      </c>
      <c r="H690" s="1438">
        <v>62900000000000</v>
      </c>
      <c r="I690" s="1731">
        <v>82200000000</v>
      </c>
      <c r="J690" s="1407"/>
      <c r="K690" s="1431">
        <f t="shared" ref="K690:K695" si="91">(32800000000/G690)*F690</f>
        <v>12682666666666.666</v>
      </c>
      <c r="L690" s="1407"/>
      <c r="M690" s="1407"/>
      <c r="N690" s="1407"/>
      <c r="O690" s="1407"/>
      <c r="P690" s="1407"/>
      <c r="Q690" s="1407"/>
      <c r="R690" s="1407"/>
      <c r="S690" s="1407"/>
      <c r="T690" s="1407"/>
      <c r="U690" s="1407"/>
    </row>
    <row r="691" spans="1:21" ht="12">
      <c r="A691" s="639" t="s">
        <v>4128</v>
      </c>
      <c r="B691" s="1483">
        <v>42451</v>
      </c>
      <c r="C691" s="639" t="s">
        <v>881</v>
      </c>
      <c r="D691" s="1433" t="s">
        <v>4131</v>
      </c>
      <c r="E691" s="1483">
        <v>42451</v>
      </c>
      <c r="F691" s="1437">
        <v>2490000000000</v>
      </c>
      <c r="G691" s="1438">
        <v>120000000000</v>
      </c>
      <c r="H691" s="1438">
        <v>62900000000000</v>
      </c>
      <c r="I691" s="1731">
        <v>82200000000</v>
      </c>
      <c r="J691" s="1407"/>
      <c r="K691" s="1431">
        <f t="shared" si="91"/>
        <v>680600000000</v>
      </c>
      <c r="L691" s="1407"/>
      <c r="M691" s="1407"/>
      <c r="N691" s="1407"/>
      <c r="O691" s="1407"/>
      <c r="P691" s="1407"/>
      <c r="Q691" s="1407"/>
      <c r="R691" s="1407"/>
      <c r="S691" s="1407"/>
      <c r="T691" s="1407"/>
      <c r="U691" s="1407"/>
    </row>
    <row r="692" spans="1:21" ht="12">
      <c r="A692" s="639" t="s">
        <v>4128</v>
      </c>
      <c r="B692" s="1483">
        <v>42451</v>
      </c>
      <c r="C692" s="639" t="s">
        <v>881</v>
      </c>
      <c r="D692" s="1433" t="s">
        <v>4132</v>
      </c>
      <c r="E692" s="1483">
        <v>42451</v>
      </c>
      <c r="F692" s="1437">
        <v>5290000000000</v>
      </c>
      <c r="G692" s="1438">
        <v>120000000000</v>
      </c>
      <c r="H692" s="1438">
        <v>62900000000000</v>
      </c>
      <c r="I692" s="1731">
        <v>82200000000</v>
      </c>
      <c r="J692" s="1407"/>
      <c r="K692" s="1431">
        <f t="shared" si="91"/>
        <v>1445933333333.3333</v>
      </c>
      <c r="L692" s="1407"/>
      <c r="M692" s="1407"/>
      <c r="N692" s="1407"/>
      <c r="O692" s="1407"/>
      <c r="P692" s="1407"/>
      <c r="Q692" s="1407"/>
      <c r="R692" s="1407"/>
      <c r="S692" s="1407"/>
      <c r="T692" s="1407"/>
      <c r="U692" s="1407"/>
    </row>
    <row r="693" spans="1:21" ht="12">
      <c r="A693" s="639" t="s">
        <v>4128</v>
      </c>
      <c r="B693" s="1483">
        <v>42451</v>
      </c>
      <c r="C693" s="639" t="s">
        <v>881</v>
      </c>
      <c r="D693" s="1433" t="s">
        <v>4133</v>
      </c>
      <c r="E693" s="1483">
        <v>42451</v>
      </c>
      <c r="F693" s="1437">
        <v>1860000000000</v>
      </c>
      <c r="G693" s="1438">
        <v>120000000000</v>
      </c>
      <c r="H693" s="1438">
        <v>62900000000000</v>
      </c>
      <c r="I693" s="1731">
        <v>82200000000</v>
      </c>
      <c r="J693" s="1407"/>
      <c r="K693" s="1431">
        <f t="shared" si="91"/>
        <v>508400000000</v>
      </c>
      <c r="L693" s="1407"/>
      <c r="M693" s="1407"/>
      <c r="N693" s="1407"/>
      <c r="O693" s="1407"/>
      <c r="P693" s="1407"/>
      <c r="Q693" s="1407"/>
      <c r="R693" s="1407"/>
      <c r="S693" s="1407"/>
      <c r="T693" s="1407"/>
      <c r="U693" s="1407"/>
    </row>
    <row r="694" spans="1:21" ht="12">
      <c r="A694" s="639" t="s">
        <v>4128</v>
      </c>
      <c r="B694" s="1483">
        <v>42451</v>
      </c>
      <c r="C694" s="639" t="s">
        <v>881</v>
      </c>
      <c r="D694" s="1433" t="s">
        <v>4134</v>
      </c>
      <c r="E694" s="1483">
        <v>42451</v>
      </c>
      <c r="F694" s="1437">
        <v>13900000000000</v>
      </c>
      <c r="G694" s="1438">
        <v>120000000000</v>
      </c>
      <c r="H694" s="1438">
        <v>62900000000000</v>
      </c>
      <c r="I694" s="1731">
        <v>82200000000</v>
      </c>
      <c r="J694" s="1407"/>
      <c r="K694" s="1431">
        <f t="shared" si="91"/>
        <v>3799333333333.333</v>
      </c>
      <c r="L694" s="1407"/>
      <c r="M694" s="1407"/>
      <c r="N694" s="1407"/>
      <c r="O694" s="1407"/>
      <c r="P694" s="1407"/>
      <c r="Q694" s="1407"/>
      <c r="R694" s="1407"/>
      <c r="S694" s="1407"/>
      <c r="T694" s="1407"/>
      <c r="U694" s="1407"/>
    </row>
    <row r="695" spans="1:21" ht="12">
      <c r="A695" s="639" t="s">
        <v>4128</v>
      </c>
      <c r="B695" s="1483">
        <v>42451</v>
      </c>
      <c r="C695" s="639" t="s">
        <v>881</v>
      </c>
      <c r="D695" s="1433" t="s">
        <v>4136</v>
      </c>
      <c r="E695" s="1483">
        <v>42451</v>
      </c>
      <c r="F695" s="1437">
        <v>1060000000000</v>
      </c>
      <c r="G695" s="1438">
        <v>120000000000</v>
      </c>
      <c r="H695" s="1438">
        <v>62900000000000</v>
      </c>
      <c r="I695" s="1731">
        <v>82200000000</v>
      </c>
      <c r="J695" s="1407"/>
      <c r="K695" s="1431">
        <f t="shared" si="91"/>
        <v>289733333333.33331</v>
      </c>
      <c r="L695" s="1407"/>
      <c r="M695" s="1407"/>
      <c r="N695" s="1407"/>
      <c r="O695" s="1407"/>
      <c r="P695" s="1407"/>
      <c r="Q695" s="1407"/>
      <c r="R695" s="1407"/>
      <c r="S695" s="1407"/>
      <c r="T695" s="1407"/>
      <c r="U695" s="1407"/>
    </row>
    <row r="696" spans="1:21" ht="12">
      <c r="A696" s="639"/>
      <c r="B696" s="1483"/>
      <c r="C696" s="639"/>
      <c r="D696" s="1409"/>
      <c r="E696" s="1410"/>
      <c r="F696" s="1495"/>
      <c r="G696" s="1534"/>
      <c r="H696" s="1534"/>
      <c r="I696" s="1428"/>
      <c r="J696" s="1407"/>
      <c r="K696" s="1431"/>
      <c r="L696" s="1407"/>
      <c r="M696" s="1407"/>
      <c r="N696" s="1407"/>
      <c r="O696" s="1407"/>
      <c r="P696" s="1407"/>
      <c r="Q696" s="1407"/>
      <c r="R696" s="1407"/>
      <c r="S696" s="1407"/>
      <c r="T696" s="1407"/>
      <c r="U696" s="1407"/>
    </row>
    <row r="697" spans="1:21" ht="12">
      <c r="A697" s="639" t="s">
        <v>4137</v>
      </c>
      <c r="B697" s="1483">
        <v>42452</v>
      </c>
      <c r="C697" s="639" t="s">
        <v>881</v>
      </c>
      <c r="D697" s="1433" t="s">
        <v>4129</v>
      </c>
      <c r="E697" s="1483">
        <v>42451</v>
      </c>
      <c r="F697" s="1437">
        <v>39000000000000</v>
      </c>
      <c r="G697" s="1438">
        <v>185000000000</v>
      </c>
      <c r="H697" s="1438">
        <v>49000000000000</v>
      </c>
      <c r="I697" s="1731">
        <v>18800000000</v>
      </c>
      <c r="J697" s="1407"/>
      <c r="K697" s="1431">
        <f t="shared" ref="K697:K702" si="92">(32800000000/G697)*F697</f>
        <v>6914594594594.5947</v>
      </c>
      <c r="L697" s="1407"/>
      <c r="M697" s="1407"/>
      <c r="N697" s="1407"/>
      <c r="O697" s="1407"/>
      <c r="P697" s="1407"/>
      <c r="Q697" s="1407"/>
      <c r="R697" s="1407"/>
      <c r="S697" s="1407"/>
      <c r="T697" s="1407"/>
      <c r="U697" s="1407"/>
    </row>
    <row r="698" spans="1:21" ht="12">
      <c r="A698" s="639" t="s">
        <v>4137</v>
      </c>
      <c r="B698" s="1483">
        <v>42452</v>
      </c>
      <c r="C698" s="639" t="s">
        <v>881</v>
      </c>
      <c r="D698" s="1433" t="s">
        <v>4131</v>
      </c>
      <c r="E698" s="1483">
        <v>42451</v>
      </c>
      <c r="F698" s="1437">
        <v>2780000000000</v>
      </c>
      <c r="G698" s="1438">
        <v>185000000000</v>
      </c>
      <c r="H698" s="1438">
        <v>49000000000000</v>
      </c>
      <c r="I698" s="1731">
        <v>18800000000</v>
      </c>
      <c r="J698" s="1407"/>
      <c r="K698" s="1431">
        <f t="shared" si="92"/>
        <v>492886486486.48645</v>
      </c>
      <c r="L698" s="1407"/>
      <c r="M698" s="1407"/>
      <c r="N698" s="1407"/>
      <c r="O698" s="1407"/>
      <c r="P698" s="1407"/>
      <c r="Q698" s="1407"/>
      <c r="R698" s="1407"/>
      <c r="S698" s="1407"/>
      <c r="T698" s="1407"/>
      <c r="U698" s="1407"/>
    </row>
    <row r="699" spans="1:21" ht="12">
      <c r="A699" s="639" t="s">
        <v>4137</v>
      </c>
      <c r="B699" s="1483">
        <v>42452</v>
      </c>
      <c r="C699" s="639" t="s">
        <v>881</v>
      </c>
      <c r="D699" s="1433" t="s">
        <v>4132</v>
      </c>
      <c r="E699" s="1483">
        <v>42451</v>
      </c>
      <c r="F699" s="1437">
        <v>4310000000000</v>
      </c>
      <c r="G699" s="1438">
        <v>185000000000</v>
      </c>
      <c r="H699" s="1438">
        <v>49000000000000</v>
      </c>
      <c r="I699" s="1731">
        <v>18800000000</v>
      </c>
      <c r="J699" s="1407"/>
      <c r="K699" s="1431">
        <f t="shared" si="92"/>
        <v>764151351351.35132</v>
      </c>
      <c r="L699" s="1407"/>
      <c r="M699" s="1407"/>
      <c r="N699" s="1407"/>
      <c r="O699" s="1407"/>
      <c r="P699" s="1407"/>
      <c r="Q699" s="1407"/>
      <c r="R699" s="1407"/>
      <c r="S699" s="1407"/>
      <c r="T699" s="1407"/>
      <c r="U699" s="1407"/>
    </row>
    <row r="700" spans="1:21" ht="12">
      <c r="A700" s="639" t="s">
        <v>4137</v>
      </c>
      <c r="B700" s="1483">
        <v>42452</v>
      </c>
      <c r="C700" s="639" t="s">
        <v>881</v>
      </c>
      <c r="D700" s="1433" t="s">
        <v>4133</v>
      </c>
      <c r="E700" s="1483">
        <v>42451</v>
      </c>
      <c r="F700" s="1437">
        <v>1370000000000</v>
      </c>
      <c r="G700" s="1438">
        <v>185000000000</v>
      </c>
      <c r="H700" s="1438">
        <v>49000000000000</v>
      </c>
      <c r="I700" s="1731">
        <v>18800000000</v>
      </c>
      <c r="J700" s="1407"/>
      <c r="K700" s="1431">
        <f t="shared" si="92"/>
        <v>242897297297.2973</v>
      </c>
      <c r="L700" s="1407"/>
      <c r="M700" s="1407"/>
      <c r="N700" s="1407"/>
      <c r="O700" s="1407"/>
      <c r="P700" s="1407"/>
      <c r="Q700" s="1407"/>
      <c r="R700" s="1407"/>
      <c r="S700" s="1407"/>
      <c r="T700" s="1407"/>
      <c r="U700" s="1407"/>
    </row>
    <row r="701" spans="1:21" ht="12">
      <c r="A701" s="639" t="s">
        <v>4137</v>
      </c>
      <c r="B701" s="1483">
        <v>42452</v>
      </c>
      <c r="C701" s="639" t="s">
        <v>881</v>
      </c>
      <c r="D701" s="1433" t="s">
        <v>4134</v>
      </c>
      <c r="E701" s="1483">
        <v>42451</v>
      </c>
      <c r="F701" s="1437">
        <v>13200000000000</v>
      </c>
      <c r="G701" s="1438">
        <v>185000000000</v>
      </c>
      <c r="H701" s="1438">
        <v>49000000000000</v>
      </c>
      <c r="I701" s="1731">
        <v>18800000000</v>
      </c>
      <c r="J701" s="1407"/>
      <c r="K701" s="1431">
        <f t="shared" si="92"/>
        <v>2340324324324.3242</v>
      </c>
      <c r="L701" s="1407"/>
      <c r="M701" s="1407"/>
      <c r="N701" s="1407"/>
      <c r="O701" s="1407"/>
      <c r="P701" s="1407"/>
      <c r="Q701" s="1407"/>
      <c r="R701" s="1407"/>
      <c r="S701" s="1407"/>
      <c r="T701" s="1407"/>
      <c r="U701" s="1407"/>
    </row>
    <row r="702" spans="1:21" ht="12">
      <c r="A702" s="639" t="s">
        <v>4137</v>
      </c>
      <c r="B702" s="1483">
        <v>42452</v>
      </c>
      <c r="C702" s="639" t="s">
        <v>881</v>
      </c>
      <c r="D702" s="1433" t="s">
        <v>4136</v>
      </c>
      <c r="E702" s="1483">
        <v>42451</v>
      </c>
      <c r="F702" s="1437">
        <v>799000000000</v>
      </c>
      <c r="G702" s="1438">
        <v>185000000000</v>
      </c>
      <c r="H702" s="1438">
        <v>49000000000000</v>
      </c>
      <c r="I702" s="1731">
        <v>18800000000</v>
      </c>
      <c r="J702" s="1407"/>
      <c r="K702" s="1431">
        <f t="shared" si="92"/>
        <v>141660540540.54053</v>
      </c>
      <c r="L702" s="1407"/>
      <c r="M702" s="1407"/>
      <c r="N702" s="1407"/>
      <c r="O702" s="1407"/>
      <c r="P702" s="1407"/>
      <c r="Q702" s="1407"/>
      <c r="R702" s="1407"/>
      <c r="S702" s="1407"/>
      <c r="T702" s="1407"/>
      <c r="U702" s="1407"/>
    </row>
    <row r="703" spans="1:21" ht="12">
      <c r="A703" s="639"/>
      <c r="B703" s="1483"/>
      <c r="C703" s="639"/>
      <c r="D703" s="1409"/>
      <c r="E703" s="1410"/>
      <c r="F703" s="1495"/>
      <c r="G703" s="1534"/>
      <c r="H703" s="1534"/>
      <c r="I703" s="1428"/>
      <c r="J703" s="1407"/>
      <c r="K703" s="1431"/>
      <c r="L703" s="1407"/>
      <c r="M703" s="1407"/>
      <c r="N703" s="1407"/>
      <c r="O703" s="1407"/>
      <c r="P703" s="1407"/>
      <c r="Q703" s="1407"/>
      <c r="R703" s="1407"/>
      <c r="S703" s="1407"/>
      <c r="T703" s="1407"/>
      <c r="U703" s="1407"/>
    </row>
    <row r="704" spans="1:21" ht="12">
      <c r="A704" s="639" t="s">
        <v>4138</v>
      </c>
      <c r="B704" s="1483">
        <v>42453</v>
      </c>
      <c r="C704" s="639" t="s">
        <v>3212</v>
      </c>
      <c r="D704" s="1433" t="s">
        <v>4139</v>
      </c>
      <c r="E704" s="1850">
        <v>42451</v>
      </c>
      <c r="F704" s="1437">
        <v>410000000000000</v>
      </c>
      <c r="G704" s="1438">
        <v>38200000000</v>
      </c>
      <c r="H704" s="1438">
        <v>15700000000000</v>
      </c>
      <c r="I704" s="1731">
        <v>31900000000</v>
      </c>
      <c r="J704" s="1407"/>
      <c r="K704" s="1431">
        <f t="shared" ref="K704:K707" si="93">(32800000000/G704)*F704</f>
        <v>352041884816753.94</v>
      </c>
      <c r="L704" s="1407"/>
      <c r="M704" s="1407"/>
      <c r="N704" s="1407"/>
      <c r="O704" s="1407"/>
      <c r="P704" s="1407"/>
      <c r="Q704" s="1407"/>
      <c r="R704" s="1407"/>
      <c r="S704" s="1407"/>
      <c r="T704" s="1407"/>
      <c r="U704" s="1407"/>
    </row>
    <row r="705" spans="1:21" ht="12">
      <c r="A705" s="639" t="s">
        <v>4138</v>
      </c>
      <c r="B705" s="1483">
        <v>42453</v>
      </c>
      <c r="C705" s="639" t="s">
        <v>3212</v>
      </c>
      <c r="D705" s="1433" t="s">
        <v>4140</v>
      </c>
      <c r="E705" s="1850">
        <v>42451</v>
      </c>
      <c r="F705" s="1437">
        <v>38000000000000</v>
      </c>
      <c r="G705" s="1438">
        <v>38200000000</v>
      </c>
      <c r="H705" s="1438">
        <v>15700000000000</v>
      </c>
      <c r="I705" s="1731">
        <v>31900000000</v>
      </c>
      <c r="J705" s="1407"/>
      <c r="K705" s="1431">
        <f t="shared" si="93"/>
        <v>32628272251308.902</v>
      </c>
      <c r="L705" s="1407"/>
      <c r="M705" s="1407"/>
      <c r="N705" s="1407"/>
      <c r="O705" s="1407"/>
      <c r="P705" s="1407"/>
      <c r="Q705" s="1407"/>
      <c r="R705" s="1407"/>
      <c r="S705" s="1407"/>
      <c r="T705" s="1407"/>
      <c r="U705" s="1407"/>
    </row>
    <row r="706" spans="1:21" ht="12">
      <c r="A706" s="639" t="s">
        <v>4138</v>
      </c>
      <c r="B706" s="1483">
        <v>42453</v>
      </c>
      <c r="C706" s="639" t="s">
        <v>3212</v>
      </c>
      <c r="D706" s="1433" t="s">
        <v>4141</v>
      </c>
      <c r="E706" s="1850">
        <v>42451</v>
      </c>
      <c r="F706" s="1437">
        <v>95300000000</v>
      </c>
      <c r="G706" s="1438">
        <v>38200000000</v>
      </c>
      <c r="H706" s="1438">
        <v>15700000000000</v>
      </c>
      <c r="I706" s="1731">
        <v>31900000000</v>
      </c>
      <c r="J706" s="1407"/>
      <c r="K706" s="1431">
        <f t="shared" si="93"/>
        <v>81828272251.308899</v>
      </c>
      <c r="L706" s="1407"/>
      <c r="M706" s="1407"/>
      <c r="N706" s="1407"/>
      <c r="O706" s="1407"/>
      <c r="P706" s="1407"/>
      <c r="Q706" s="1407"/>
      <c r="R706" s="1407"/>
      <c r="S706" s="1407"/>
      <c r="T706" s="1407"/>
      <c r="U706" s="1407"/>
    </row>
    <row r="707" spans="1:21" ht="12">
      <c r="A707" s="639" t="s">
        <v>4138</v>
      </c>
      <c r="B707" s="1483">
        <v>42453</v>
      </c>
      <c r="C707" s="639" t="s">
        <v>3212</v>
      </c>
      <c r="D707" s="1433" t="s">
        <v>4142</v>
      </c>
      <c r="E707" s="1850">
        <v>42451</v>
      </c>
      <c r="F707" s="1437">
        <v>4620000000000</v>
      </c>
      <c r="G707" s="1438">
        <v>38200000000</v>
      </c>
      <c r="H707" s="1438">
        <v>15700000000000</v>
      </c>
      <c r="I707" s="1731">
        <v>31900000000</v>
      </c>
      <c r="J707" s="1407"/>
      <c r="K707" s="1431">
        <f t="shared" si="93"/>
        <v>3966910994764.3979</v>
      </c>
      <c r="L707" s="1407"/>
      <c r="M707" s="1407"/>
      <c r="N707" s="1407"/>
      <c r="O707" s="1407"/>
      <c r="P707" s="1407"/>
      <c r="Q707" s="1407"/>
      <c r="R707" s="1407"/>
      <c r="S707" s="1407"/>
      <c r="T707" s="1407"/>
      <c r="U707" s="1407"/>
    </row>
    <row r="708" spans="1:21" ht="12">
      <c r="A708" s="639"/>
      <c r="B708" s="1483"/>
      <c r="C708" s="639"/>
      <c r="D708" s="1409"/>
      <c r="E708" s="1410"/>
      <c r="F708" s="1495"/>
      <c r="G708" s="1534"/>
      <c r="H708" s="1534"/>
      <c r="I708" s="1428"/>
      <c r="J708" s="1407"/>
      <c r="K708" s="1431"/>
      <c r="L708" s="1407"/>
      <c r="M708" s="1407"/>
      <c r="N708" s="1407"/>
      <c r="O708" s="1407"/>
      <c r="P708" s="1407"/>
      <c r="Q708" s="1407"/>
      <c r="R708" s="1407"/>
      <c r="S708" s="1407"/>
      <c r="T708" s="1407"/>
      <c r="U708" s="1407"/>
    </row>
    <row r="709" spans="1:21" ht="12">
      <c r="A709" s="639" t="s">
        <v>4143</v>
      </c>
      <c r="B709" s="1483">
        <v>42453</v>
      </c>
      <c r="C709" s="639" t="s">
        <v>95</v>
      </c>
      <c r="D709" s="1433" t="s">
        <v>4127</v>
      </c>
      <c r="E709" s="1850">
        <v>42443</v>
      </c>
      <c r="F709" s="1437">
        <v>2750000000000000</v>
      </c>
      <c r="G709" s="1438">
        <v>96100000000</v>
      </c>
      <c r="H709" s="1438">
        <v>33300000000000</v>
      </c>
      <c r="I709" s="1731"/>
      <c r="J709" s="1407"/>
      <c r="K709" s="1431">
        <f t="shared" ref="K709:K721" si="94">(32800000000/G709)*F709</f>
        <v>938605619146722.12</v>
      </c>
      <c r="L709" s="1407"/>
      <c r="M709" s="1407"/>
      <c r="N709" s="1407"/>
      <c r="O709" s="1407"/>
      <c r="P709" s="1407"/>
      <c r="Q709" s="1407"/>
      <c r="R709" s="1407"/>
      <c r="S709" s="1407"/>
      <c r="T709" s="1407"/>
      <c r="U709" s="1407"/>
    </row>
    <row r="710" spans="1:21" ht="12">
      <c r="A710" s="639" t="s">
        <v>4143</v>
      </c>
      <c r="B710" s="1483">
        <v>42453</v>
      </c>
      <c r="C710" s="639" t="s">
        <v>95</v>
      </c>
      <c r="D710" s="1433" t="s">
        <v>3308</v>
      </c>
      <c r="E710" s="1850">
        <v>42443</v>
      </c>
      <c r="F710" s="1437">
        <v>293000000000000</v>
      </c>
      <c r="G710" s="1438">
        <v>96100000000</v>
      </c>
      <c r="H710" s="1438">
        <v>33300000000000</v>
      </c>
      <c r="I710" s="1731"/>
      <c r="J710" s="1407"/>
      <c r="K710" s="1431">
        <f t="shared" si="94"/>
        <v>100004162330905.3</v>
      </c>
      <c r="L710" s="1407"/>
      <c r="M710" s="1407"/>
      <c r="N710" s="1407"/>
      <c r="O710" s="1407"/>
      <c r="P710" s="1407"/>
      <c r="Q710" s="1407"/>
      <c r="R710" s="1407"/>
      <c r="S710" s="1407"/>
      <c r="T710" s="1407"/>
      <c r="U710" s="1407"/>
    </row>
    <row r="711" spans="1:21" ht="12">
      <c r="A711" s="639" t="s">
        <v>4143</v>
      </c>
      <c r="B711" s="1483">
        <v>42453</v>
      </c>
      <c r="C711" s="639" t="s">
        <v>95</v>
      </c>
      <c r="D711" s="1433" t="s">
        <v>4117</v>
      </c>
      <c r="E711" s="1850">
        <v>42438</v>
      </c>
      <c r="F711" s="1437">
        <v>6990000000000</v>
      </c>
      <c r="G711" s="1438">
        <v>96100000000</v>
      </c>
      <c r="H711" s="1438">
        <v>33300000000000</v>
      </c>
      <c r="I711" s="1731"/>
      <c r="J711" s="1407"/>
      <c r="K711" s="1431">
        <f t="shared" si="94"/>
        <v>2385764828303.8501</v>
      </c>
      <c r="L711" s="1407"/>
      <c r="M711" s="1407"/>
      <c r="N711" s="1407"/>
      <c r="O711" s="1407"/>
      <c r="P711" s="1407"/>
      <c r="Q711" s="1407"/>
      <c r="R711" s="1407"/>
      <c r="S711" s="1407"/>
      <c r="T711" s="1407"/>
      <c r="U711" s="1407"/>
    </row>
    <row r="712" spans="1:21" ht="12">
      <c r="A712" s="639" t="s">
        <v>4143</v>
      </c>
      <c r="B712" s="1483">
        <v>42453</v>
      </c>
      <c r="C712" s="639" t="s">
        <v>95</v>
      </c>
      <c r="D712" s="1433" t="s">
        <v>4119</v>
      </c>
      <c r="E712" s="1850">
        <v>42438</v>
      </c>
      <c r="F712" s="1437">
        <v>512000000000000</v>
      </c>
      <c r="G712" s="1438">
        <v>96100000000</v>
      </c>
      <c r="H712" s="1438">
        <v>33300000000000</v>
      </c>
      <c r="I712" s="1731"/>
      <c r="J712" s="1407"/>
      <c r="K712" s="1431">
        <f t="shared" si="94"/>
        <v>174751300728407.91</v>
      </c>
      <c r="L712" s="1407"/>
      <c r="M712" s="1407"/>
      <c r="N712" s="1407"/>
      <c r="O712" s="1407"/>
      <c r="P712" s="1407"/>
      <c r="Q712" s="1407"/>
      <c r="R712" s="1407"/>
      <c r="S712" s="1407"/>
      <c r="T712" s="1407"/>
      <c r="U712" s="1407"/>
    </row>
    <row r="713" spans="1:21" ht="12">
      <c r="A713" s="639" t="s">
        <v>4143</v>
      </c>
      <c r="B713" s="1483">
        <v>42453</v>
      </c>
      <c r="C713" s="639" t="s">
        <v>95</v>
      </c>
      <c r="D713" s="1433" t="s">
        <v>4090</v>
      </c>
      <c r="E713" s="1850">
        <v>42425</v>
      </c>
      <c r="F713" s="1437">
        <v>22000000000000</v>
      </c>
      <c r="G713" s="1438">
        <v>96100000000</v>
      </c>
      <c r="H713" s="1438">
        <v>33300000000000</v>
      </c>
      <c r="I713" s="1428"/>
      <c r="J713" s="1407"/>
      <c r="K713" s="1431">
        <f t="shared" si="94"/>
        <v>7508844953173.7773</v>
      </c>
      <c r="L713" s="1407"/>
      <c r="M713" s="1407"/>
      <c r="N713" s="1407"/>
      <c r="O713" s="1407"/>
      <c r="P713" s="1407"/>
      <c r="Q713" s="1407"/>
      <c r="R713" s="1407"/>
      <c r="S713" s="1407"/>
      <c r="T713" s="1407"/>
      <c r="U713" s="1407"/>
    </row>
    <row r="714" spans="1:21" ht="12">
      <c r="A714" s="639" t="s">
        <v>4143</v>
      </c>
      <c r="B714" s="1483">
        <v>42453</v>
      </c>
      <c r="C714" s="639" t="s">
        <v>95</v>
      </c>
      <c r="D714" s="1433" t="s">
        <v>3993</v>
      </c>
      <c r="E714" s="1927" t="s">
        <v>4144</v>
      </c>
      <c r="F714" s="1437">
        <v>124000000000000</v>
      </c>
      <c r="G714" s="1438">
        <v>96100000000</v>
      </c>
      <c r="H714" s="1438">
        <v>33300000000000</v>
      </c>
      <c r="I714" s="1428"/>
      <c r="J714" s="1407"/>
      <c r="K714" s="1431">
        <f t="shared" si="94"/>
        <v>42322580645161.289</v>
      </c>
      <c r="L714" s="1407"/>
      <c r="M714" s="1407"/>
      <c r="N714" s="1407"/>
      <c r="O714" s="1407"/>
      <c r="P714" s="1407"/>
      <c r="Q714" s="1407"/>
      <c r="R714" s="1407"/>
      <c r="S714" s="1407"/>
      <c r="T714" s="1407"/>
      <c r="U714" s="1407"/>
    </row>
    <row r="715" spans="1:21" ht="12">
      <c r="A715" s="639" t="s">
        <v>4143</v>
      </c>
      <c r="B715" s="1483">
        <v>42453</v>
      </c>
      <c r="C715" s="639" t="s">
        <v>95</v>
      </c>
      <c r="D715" s="1433" t="s">
        <v>4132</v>
      </c>
      <c r="E715" s="1850">
        <v>42451</v>
      </c>
      <c r="F715" s="1437">
        <v>7380000000000</v>
      </c>
      <c r="G715" s="1438">
        <v>96100000000</v>
      </c>
      <c r="H715" s="1438">
        <v>33300000000000</v>
      </c>
      <c r="I715" s="1428"/>
      <c r="J715" s="1407"/>
      <c r="K715" s="1431">
        <f t="shared" si="94"/>
        <v>2518876170655.5669</v>
      </c>
      <c r="L715" s="1407"/>
      <c r="M715" s="1407"/>
      <c r="N715" s="1407"/>
      <c r="O715" s="1407"/>
      <c r="P715" s="1407"/>
      <c r="Q715" s="1407"/>
      <c r="R715" s="1407"/>
      <c r="S715" s="1407"/>
      <c r="T715" s="1407"/>
      <c r="U715" s="1407"/>
    </row>
    <row r="716" spans="1:21" ht="12">
      <c r="A716" s="639" t="s">
        <v>4143</v>
      </c>
      <c r="B716" s="1483">
        <v>42453</v>
      </c>
      <c r="C716" s="639" t="s">
        <v>95</v>
      </c>
      <c r="D716" s="1433" t="s">
        <v>4133</v>
      </c>
      <c r="E716" s="1850">
        <v>42451</v>
      </c>
      <c r="F716" s="1406">
        <v>1750000000000</v>
      </c>
      <c r="G716" s="1438">
        <v>96100000000</v>
      </c>
      <c r="H716" s="1438">
        <v>33300000000000</v>
      </c>
      <c r="I716" s="1428"/>
      <c r="J716" s="1407"/>
      <c r="K716" s="1431">
        <f t="shared" si="94"/>
        <v>597294484911.55042</v>
      </c>
      <c r="L716" s="1407"/>
      <c r="M716" s="1407"/>
      <c r="N716" s="1407"/>
      <c r="O716" s="1407"/>
      <c r="P716" s="1407"/>
      <c r="Q716" s="1407"/>
      <c r="R716" s="1407"/>
      <c r="S716" s="1407"/>
      <c r="T716" s="1407"/>
      <c r="U716" s="1407"/>
    </row>
    <row r="717" spans="1:21" ht="12">
      <c r="A717" s="639" t="s">
        <v>4143</v>
      </c>
      <c r="B717" s="1483">
        <v>42453</v>
      </c>
      <c r="C717" s="639" t="s">
        <v>95</v>
      </c>
      <c r="D717" s="1433" t="s">
        <v>4134</v>
      </c>
      <c r="E717" s="1850">
        <v>42451</v>
      </c>
      <c r="F717" s="1437">
        <v>29300000000000</v>
      </c>
      <c r="G717" s="1438">
        <v>96100000000</v>
      </c>
      <c r="H717" s="1438">
        <v>33300000000000</v>
      </c>
      <c r="I717" s="1428"/>
      <c r="J717" s="1407"/>
      <c r="K717" s="1431">
        <f t="shared" si="94"/>
        <v>10000416233090.529</v>
      </c>
      <c r="L717" s="1407"/>
      <c r="M717" s="1407"/>
      <c r="N717" s="1407"/>
      <c r="O717" s="1407"/>
      <c r="P717" s="1407"/>
      <c r="Q717" s="1407"/>
      <c r="R717" s="1407"/>
      <c r="S717" s="1407"/>
      <c r="T717" s="1407"/>
      <c r="U717" s="1407"/>
    </row>
    <row r="718" spans="1:21" ht="12">
      <c r="A718" s="639" t="s">
        <v>4143</v>
      </c>
      <c r="B718" s="1483">
        <v>42453</v>
      </c>
      <c r="C718" s="639" t="s">
        <v>95</v>
      </c>
      <c r="D718" s="1433" t="s">
        <v>4136</v>
      </c>
      <c r="E718" s="1850">
        <v>42451</v>
      </c>
      <c r="F718" s="1437">
        <v>793000000000</v>
      </c>
      <c r="G718" s="1438">
        <v>96100000000</v>
      </c>
      <c r="H718" s="1438">
        <v>33300000000000</v>
      </c>
      <c r="I718" s="1428"/>
      <c r="J718" s="1407"/>
      <c r="K718" s="1431">
        <f t="shared" si="94"/>
        <v>270659729448.49115</v>
      </c>
      <c r="L718" s="1407"/>
      <c r="M718" s="1407"/>
      <c r="N718" s="1407"/>
      <c r="O718" s="1407"/>
      <c r="P718" s="1407"/>
      <c r="Q718" s="1407"/>
      <c r="R718" s="1407"/>
      <c r="S718" s="1407"/>
      <c r="T718" s="1407"/>
      <c r="U718" s="1407"/>
    </row>
    <row r="719" spans="1:21" ht="12">
      <c r="A719" s="639" t="s">
        <v>4143</v>
      </c>
      <c r="B719" s="1483">
        <v>42453</v>
      </c>
      <c r="C719" s="639" t="s">
        <v>95</v>
      </c>
      <c r="D719" s="1433" t="s">
        <v>4129</v>
      </c>
      <c r="E719" s="1850">
        <v>42451</v>
      </c>
      <c r="F719" s="1437">
        <v>115000000000000</v>
      </c>
      <c r="G719" s="1438">
        <v>96100000000</v>
      </c>
      <c r="H719" s="1438">
        <v>33300000000000</v>
      </c>
      <c r="I719" s="1428"/>
      <c r="J719" s="1407"/>
      <c r="K719" s="1431">
        <f t="shared" si="94"/>
        <v>39250780437044.742</v>
      </c>
      <c r="L719" s="1407"/>
      <c r="M719" s="1407"/>
      <c r="N719" s="1407"/>
      <c r="O719" s="1407"/>
      <c r="P719" s="1407"/>
      <c r="Q719" s="1407"/>
      <c r="R719" s="1407"/>
      <c r="S719" s="1407"/>
      <c r="T719" s="1407"/>
      <c r="U719" s="1407"/>
    </row>
    <row r="720" spans="1:21" ht="12">
      <c r="A720" s="639" t="s">
        <v>4143</v>
      </c>
      <c r="B720" s="1483">
        <v>42453</v>
      </c>
      <c r="C720" s="639" t="s">
        <v>95</v>
      </c>
      <c r="D720" s="1433" t="s">
        <v>4120</v>
      </c>
      <c r="E720" s="1850">
        <v>42438</v>
      </c>
      <c r="F720" s="1437">
        <v>185000000000000</v>
      </c>
      <c r="G720" s="1438">
        <v>96100000000</v>
      </c>
      <c r="H720" s="1438">
        <v>33300000000000</v>
      </c>
      <c r="I720" s="1428"/>
      <c r="J720" s="1407"/>
      <c r="K720" s="1431">
        <f t="shared" si="94"/>
        <v>63142559833506.758</v>
      </c>
      <c r="L720" s="1407"/>
      <c r="M720" s="1407"/>
      <c r="N720" s="1407"/>
      <c r="O720" s="1407"/>
      <c r="P720" s="1407"/>
      <c r="Q720" s="1407"/>
      <c r="R720" s="1407"/>
      <c r="S720" s="1407"/>
      <c r="T720" s="1407"/>
      <c r="U720" s="1407"/>
    </row>
    <row r="721" spans="1:21" ht="12">
      <c r="A721" s="639" t="s">
        <v>4143</v>
      </c>
      <c r="B721" s="1483">
        <v>42453</v>
      </c>
      <c r="C721" s="639" t="s">
        <v>95</v>
      </c>
      <c r="D721" s="1433" t="s">
        <v>4131</v>
      </c>
      <c r="E721" s="1850">
        <v>42451</v>
      </c>
      <c r="F721" s="1437">
        <v>4390000000000</v>
      </c>
      <c r="G721" s="1438">
        <v>96100000000</v>
      </c>
      <c r="H721" s="1438">
        <v>33300000000000</v>
      </c>
      <c r="I721" s="1428"/>
      <c r="J721" s="1407"/>
      <c r="K721" s="1431">
        <f t="shared" si="94"/>
        <v>1498355879292.4036</v>
      </c>
      <c r="L721" s="1407"/>
      <c r="M721" s="1407"/>
      <c r="N721" s="1407"/>
      <c r="O721" s="1407"/>
      <c r="P721" s="1407"/>
      <c r="Q721" s="1407"/>
      <c r="R721" s="1407"/>
      <c r="S721" s="1407"/>
      <c r="T721" s="1407"/>
      <c r="U721" s="1407"/>
    </row>
    <row r="722" spans="1:21" ht="12">
      <c r="A722" s="639"/>
      <c r="B722" s="1483"/>
      <c r="C722" s="639"/>
      <c r="D722" s="1409"/>
      <c r="E722" s="1410"/>
      <c r="F722" s="1416"/>
      <c r="G722" s="1534"/>
      <c r="H722" s="1534"/>
      <c r="I722" s="1428"/>
      <c r="J722" s="1407"/>
      <c r="K722" s="1431"/>
      <c r="L722" s="1407"/>
      <c r="M722" s="1407"/>
      <c r="N722" s="1407"/>
      <c r="O722" s="1407"/>
      <c r="P722" s="1407"/>
      <c r="Q722" s="1407"/>
      <c r="R722" s="1407"/>
      <c r="S722" s="1407"/>
      <c r="T722" s="1407"/>
      <c r="U722" s="1407"/>
    </row>
    <row r="723" spans="1:21" ht="12">
      <c r="A723" s="639" t="s">
        <v>4145</v>
      </c>
      <c r="B723" s="1483">
        <v>42460</v>
      </c>
      <c r="C723" s="639" t="s">
        <v>3212</v>
      </c>
      <c r="D723" s="1831" t="s">
        <v>4146</v>
      </c>
      <c r="E723" s="1850">
        <v>42459</v>
      </c>
      <c r="F723" s="1437">
        <v>7430000000000000</v>
      </c>
      <c r="G723" s="1435">
        <v>160000000000</v>
      </c>
      <c r="H723" s="1435">
        <v>24300000000000</v>
      </c>
      <c r="I723" s="1435">
        <v>124000000000</v>
      </c>
      <c r="J723" s="1407"/>
      <c r="K723" s="1431">
        <f t="shared" ref="K723:K726" si="95">(32800000000/G723)*F723</f>
        <v>1523150000000000</v>
      </c>
      <c r="L723" s="1407"/>
      <c r="M723" s="1407"/>
      <c r="N723" s="1407"/>
      <c r="O723" s="1407"/>
      <c r="P723" s="1407"/>
      <c r="Q723" s="1407"/>
      <c r="R723" s="1407"/>
      <c r="S723" s="1407"/>
      <c r="T723" s="1407"/>
      <c r="U723" s="1407"/>
    </row>
    <row r="724" spans="1:21" ht="12">
      <c r="A724" s="639" t="s">
        <v>4145</v>
      </c>
      <c r="B724" s="1483">
        <v>42460</v>
      </c>
      <c r="C724" s="639" t="s">
        <v>3212</v>
      </c>
      <c r="D724" s="1831" t="s">
        <v>4147</v>
      </c>
      <c r="E724" s="1850">
        <v>42459</v>
      </c>
      <c r="F724" s="1437">
        <v>4550000000000000</v>
      </c>
      <c r="G724" s="1435">
        <v>160000000000</v>
      </c>
      <c r="H724" s="1435">
        <v>24300000000000</v>
      </c>
      <c r="I724" s="1435">
        <v>124000000000</v>
      </c>
      <c r="J724" s="1407"/>
      <c r="K724" s="1431">
        <f t="shared" si="95"/>
        <v>932750000000000</v>
      </c>
      <c r="L724" s="1407"/>
      <c r="M724" s="1407"/>
      <c r="N724" s="1407"/>
      <c r="O724" s="1407"/>
      <c r="P724" s="1407"/>
      <c r="Q724" s="1407"/>
      <c r="R724" s="1407"/>
      <c r="S724" s="1407"/>
      <c r="T724" s="1407"/>
      <c r="U724" s="1407"/>
    </row>
    <row r="725" spans="1:21" ht="12">
      <c r="A725" s="639" t="s">
        <v>4145</v>
      </c>
      <c r="B725" s="1483">
        <v>42460</v>
      </c>
      <c r="C725" s="639" t="s">
        <v>3212</v>
      </c>
      <c r="D725" s="1433" t="s">
        <v>4148</v>
      </c>
      <c r="E725" s="1850">
        <v>42459</v>
      </c>
      <c r="F725" s="1437">
        <v>1.47E+16</v>
      </c>
      <c r="G725" s="1435">
        <v>160000000000</v>
      </c>
      <c r="H725" s="1435">
        <v>24300000000000</v>
      </c>
      <c r="I725" s="1435">
        <v>124000000000</v>
      </c>
      <c r="J725" s="1407"/>
      <c r="K725" s="1431">
        <f t="shared" si="95"/>
        <v>3013500000000000</v>
      </c>
      <c r="L725" s="1407"/>
      <c r="M725" s="1407"/>
      <c r="N725" s="1407"/>
      <c r="O725" s="1407"/>
      <c r="P725" s="1407"/>
      <c r="Q725" s="1407"/>
      <c r="R725" s="1407"/>
      <c r="S725" s="1407"/>
      <c r="T725" s="1407"/>
      <c r="U725" s="1407"/>
    </row>
    <row r="726" spans="1:21" ht="12">
      <c r="A726" s="639" t="s">
        <v>4145</v>
      </c>
      <c r="B726" s="1483">
        <v>42460</v>
      </c>
      <c r="C726" s="639" t="s">
        <v>3212</v>
      </c>
      <c r="D726" s="1433" t="s">
        <v>4151</v>
      </c>
      <c r="E726" s="1850">
        <v>42459</v>
      </c>
      <c r="F726" s="1437">
        <v>351000000000</v>
      </c>
      <c r="G726" s="1435">
        <v>160000000000</v>
      </c>
      <c r="H726" s="1435">
        <v>24300000000000</v>
      </c>
      <c r="I726" s="1435">
        <v>124000000000</v>
      </c>
      <c r="J726" s="1407"/>
      <c r="K726" s="1431">
        <f t="shared" si="95"/>
        <v>71955000000</v>
      </c>
      <c r="L726" s="1407"/>
      <c r="M726" s="1407"/>
      <c r="N726" s="1407"/>
      <c r="O726" s="1407"/>
      <c r="P726" s="1407"/>
      <c r="Q726" s="1407"/>
      <c r="R726" s="1407"/>
      <c r="S726" s="1407"/>
      <c r="T726" s="1407"/>
      <c r="U726" s="1407"/>
    </row>
    <row r="727" spans="1:21" ht="12">
      <c r="A727" s="639"/>
      <c r="B727" s="1483"/>
      <c r="C727" s="639"/>
      <c r="D727" s="1409"/>
      <c r="E727" s="1410"/>
      <c r="F727" s="1495"/>
      <c r="G727" s="1534"/>
      <c r="H727" s="1534"/>
      <c r="I727" s="1428"/>
      <c r="J727" s="1407"/>
      <c r="K727" s="1431"/>
      <c r="L727" s="1407"/>
      <c r="M727" s="1407"/>
      <c r="N727" s="1407"/>
      <c r="O727" s="1407"/>
      <c r="P727" s="1407"/>
      <c r="Q727" s="1407"/>
      <c r="R727" s="1407"/>
      <c r="S727" s="1407"/>
      <c r="T727" s="1407"/>
      <c r="U727" s="1407"/>
    </row>
    <row r="728" spans="1:21" ht="12">
      <c r="A728" s="639" t="s">
        <v>4152</v>
      </c>
      <c r="B728" s="1483">
        <v>42466</v>
      </c>
      <c r="C728" s="639" t="s">
        <v>3212</v>
      </c>
      <c r="D728" s="1831" t="s">
        <v>4153</v>
      </c>
      <c r="E728" s="1850">
        <v>42465</v>
      </c>
      <c r="F728" s="1406">
        <v>109000000000000</v>
      </c>
      <c r="G728" s="1438">
        <v>31900000000</v>
      </c>
      <c r="H728" s="1438">
        <v>56100000000000</v>
      </c>
      <c r="I728" s="1438">
        <v>27300000000</v>
      </c>
      <c r="J728" s="1407"/>
      <c r="K728" s="1431">
        <f t="shared" ref="K728:K735" si="96">(32800000000/G728)*F728</f>
        <v>112075235109717.88</v>
      </c>
      <c r="L728" s="1428">
        <f>(32800000000/F728)*G728</f>
        <v>9599266.0550458711</v>
      </c>
      <c r="M728" s="1407"/>
      <c r="N728" s="1407"/>
      <c r="O728" s="1407"/>
      <c r="P728" s="1407"/>
      <c r="Q728" s="1407"/>
      <c r="R728" s="1407"/>
      <c r="S728" s="1407"/>
      <c r="T728" s="1407"/>
      <c r="U728" s="1407"/>
    </row>
    <row r="729" spans="1:21" ht="12">
      <c r="A729" s="639" t="s">
        <v>4152</v>
      </c>
      <c r="B729" s="1483">
        <v>42466</v>
      </c>
      <c r="C729" s="639" t="s">
        <v>3212</v>
      </c>
      <c r="D729" s="1831" t="s">
        <v>4155</v>
      </c>
      <c r="E729" s="1850">
        <v>42465</v>
      </c>
      <c r="F729" s="1406">
        <v>18900000000000</v>
      </c>
      <c r="G729" s="1438">
        <v>31900000000</v>
      </c>
      <c r="H729" s="1438">
        <v>56100000000000</v>
      </c>
      <c r="I729" s="1438">
        <v>27300000000</v>
      </c>
      <c r="J729" s="1407"/>
      <c r="K729" s="1431">
        <f t="shared" si="96"/>
        <v>19433228840125.391</v>
      </c>
      <c r="L729" s="1407"/>
      <c r="M729" s="1407"/>
      <c r="N729" s="1407"/>
      <c r="O729" s="1407"/>
      <c r="P729" s="1407"/>
      <c r="Q729" s="1407"/>
      <c r="R729" s="1407"/>
      <c r="S729" s="1407"/>
      <c r="T729" s="1407"/>
      <c r="U729" s="1407"/>
    </row>
    <row r="730" spans="1:21" ht="12">
      <c r="A730" s="639" t="s">
        <v>4152</v>
      </c>
      <c r="B730" s="1483">
        <v>42466</v>
      </c>
      <c r="C730" s="639" t="s">
        <v>3212</v>
      </c>
      <c r="D730" s="1433" t="s">
        <v>4156</v>
      </c>
      <c r="E730" s="1850">
        <v>42465</v>
      </c>
      <c r="F730" s="1406">
        <v>579000000000</v>
      </c>
      <c r="G730" s="1438">
        <v>31900000000</v>
      </c>
      <c r="H730" s="1438">
        <v>56100000000000</v>
      </c>
      <c r="I730" s="1438">
        <v>27300000000</v>
      </c>
      <c r="J730" s="1407"/>
      <c r="K730" s="1431">
        <f t="shared" si="96"/>
        <v>595335423197.49219</v>
      </c>
      <c r="L730" s="1407"/>
      <c r="M730" s="1407"/>
      <c r="N730" s="1407"/>
      <c r="O730" s="1407"/>
      <c r="P730" s="1407"/>
      <c r="Q730" s="1407"/>
      <c r="R730" s="1407"/>
      <c r="S730" s="1407"/>
      <c r="T730" s="1407"/>
      <c r="U730" s="1407"/>
    </row>
    <row r="731" spans="1:21" ht="12">
      <c r="A731" s="639" t="s">
        <v>4152</v>
      </c>
      <c r="B731" s="1483">
        <v>42466</v>
      </c>
      <c r="C731" s="639" t="s">
        <v>3212</v>
      </c>
      <c r="D731" s="1433" t="s">
        <v>4158</v>
      </c>
      <c r="E731" s="1850">
        <v>42465</v>
      </c>
      <c r="F731" s="1406">
        <v>102000000000000</v>
      </c>
      <c r="G731" s="1438">
        <v>31900000000</v>
      </c>
      <c r="H731" s="1438">
        <v>56100000000000</v>
      </c>
      <c r="I731" s="1438">
        <v>27300000000</v>
      </c>
      <c r="J731" s="1407"/>
      <c r="K731" s="1431">
        <f t="shared" si="96"/>
        <v>104877742946708.47</v>
      </c>
      <c r="L731" s="1407"/>
      <c r="M731" s="1407"/>
      <c r="N731" s="1407"/>
      <c r="O731" s="1407"/>
      <c r="P731" s="1407"/>
      <c r="Q731" s="1407"/>
      <c r="R731" s="1407"/>
      <c r="S731" s="1407"/>
      <c r="T731" s="1407"/>
      <c r="U731" s="1407"/>
    </row>
    <row r="732" spans="1:21" ht="12">
      <c r="A732" s="639" t="s">
        <v>4152</v>
      </c>
      <c r="B732" s="1483">
        <v>42466</v>
      </c>
      <c r="C732" s="639" t="s">
        <v>3212</v>
      </c>
      <c r="D732" s="1433" t="s">
        <v>4159</v>
      </c>
      <c r="E732" s="1850">
        <v>42465</v>
      </c>
      <c r="F732" s="1406">
        <v>177000000000000</v>
      </c>
      <c r="G732" s="1438">
        <v>31900000000</v>
      </c>
      <c r="H732" s="1438">
        <v>56100000000000</v>
      </c>
      <c r="I732" s="1438">
        <v>27300000000</v>
      </c>
      <c r="J732" s="1407"/>
      <c r="K732" s="1431">
        <f t="shared" si="96"/>
        <v>181993730407523.53</v>
      </c>
      <c r="L732" s="1407"/>
      <c r="M732" s="1407"/>
      <c r="N732" s="1407"/>
      <c r="O732" s="1407"/>
      <c r="P732" s="1407"/>
      <c r="Q732" s="1407"/>
      <c r="R732" s="1407"/>
      <c r="S732" s="1407"/>
      <c r="T732" s="1407"/>
      <c r="U732" s="1407"/>
    </row>
    <row r="733" spans="1:21" ht="12">
      <c r="A733" s="639" t="s">
        <v>4152</v>
      </c>
      <c r="B733" s="1483">
        <v>42466</v>
      </c>
      <c r="C733" s="639" t="s">
        <v>3212</v>
      </c>
      <c r="D733" s="1433" t="s">
        <v>4160</v>
      </c>
      <c r="E733" s="1850">
        <v>42465</v>
      </c>
      <c r="F733" s="1406">
        <v>773000000000000</v>
      </c>
      <c r="G733" s="1438">
        <v>31900000000</v>
      </c>
      <c r="H733" s="1438">
        <v>56100000000000</v>
      </c>
      <c r="I733" s="1438">
        <v>27300000000</v>
      </c>
      <c r="J733" s="1407"/>
      <c r="K733" s="1431">
        <f t="shared" si="96"/>
        <v>794808777429467.12</v>
      </c>
      <c r="L733" s="1407"/>
      <c r="M733" s="1407"/>
      <c r="N733" s="1407"/>
      <c r="O733" s="1407"/>
      <c r="P733" s="1407"/>
      <c r="Q733" s="1407"/>
      <c r="R733" s="1407"/>
      <c r="S733" s="1407"/>
      <c r="T733" s="1407"/>
      <c r="U733" s="1407"/>
    </row>
    <row r="734" spans="1:21" ht="12">
      <c r="A734" s="639" t="s">
        <v>4152</v>
      </c>
      <c r="B734" s="1483">
        <v>42466</v>
      </c>
      <c r="C734" s="639" t="s">
        <v>3212</v>
      </c>
      <c r="D734" s="1433" t="s">
        <v>4017</v>
      </c>
      <c r="E734" s="1410"/>
      <c r="F734" s="1406">
        <v>924000000000000</v>
      </c>
      <c r="G734" s="1438">
        <v>31900000000</v>
      </c>
      <c r="H734" s="1438">
        <v>56100000000000</v>
      </c>
      <c r="I734" s="1438">
        <v>27300000000</v>
      </c>
      <c r="J734" s="1407"/>
      <c r="K734" s="1431">
        <f t="shared" si="96"/>
        <v>950068965517241.38</v>
      </c>
      <c r="L734" s="1407"/>
      <c r="M734" s="1407"/>
      <c r="N734" s="1407"/>
      <c r="O734" s="1407"/>
      <c r="P734" s="1407"/>
      <c r="Q734" s="1407"/>
      <c r="R734" s="1407"/>
      <c r="S734" s="1407"/>
      <c r="T734" s="1407"/>
      <c r="U734" s="1407"/>
    </row>
    <row r="735" spans="1:21" ht="12">
      <c r="A735" s="639" t="s">
        <v>4152</v>
      </c>
      <c r="B735" s="1483">
        <v>42466</v>
      </c>
      <c r="C735" s="639" t="s">
        <v>3212</v>
      </c>
      <c r="D735" s="1433" t="s">
        <v>4018</v>
      </c>
      <c r="E735" s="1410"/>
      <c r="F735" s="1437">
        <v>1700000000000000</v>
      </c>
      <c r="G735" s="1438">
        <v>31900000000</v>
      </c>
      <c r="H735" s="1438">
        <v>56100000000000</v>
      </c>
      <c r="I735" s="1438">
        <v>27300000000</v>
      </c>
      <c r="J735" s="1407"/>
      <c r="K735" s="1431">
        <f t="shared" si="96"/>
        <v>1747962382445141.2</v>
      </c>
      <c r="L735" s="1407"/>
      <c r="M735" s="1407"/>
      <c r="N735" s="1407"/>
      <c r="O735" s="1407"/>
      <c r="P735" s="1407"/>
      <c r="Q735" s="1407"/>
      <c r="R735" s="1407"/>
      <c r="S735" s="1407"/>
      <c r="T735" s="1407"/>
      <c r="U735" s="1407"/>
    </row>
    <row r="736" spans="1:21" ht="12">
      <c r="A736" s="639"/>
      <c r="B736" s="1483"/>
      <c r="C736" s="639"/>
      <c r="D736" s="1433"/>
      <c r="E736" s="1410"/>
      <c r="F736" s="1416"/>
      <c r="G736" s="1534"/>
      <c r="H736" s="1534"/>
      <c r="I736" s="1428"/>
      <c r="J736" s="1407"/>
      <c r="K736" s="1406"/>
      <c r="L736" s="1407"/>
      <c r="M736" s="1407"/>
      <c r="N736" s="1407"/>
      <c r="O736" s="1407"/>
      <c r="P736" s="1407"/>
      <c r="Q736" s="1407"/>
      <c r="R736" s="1407"/>
      <c r="S736" s="1407"/>
      <c r="T736" s="1407"/>
      <c r="U736" s="1407"/>
    </row>
    <row r="737" spans="1:21" ht="12">
      <c r="A737" s="639" t="s">
        <v>4162</v>
      </c>
      <c r="B737" s="1483">
        <v>42474</v>
      </c>
      <c r="C737" s="639" t="s">
        <v>3212</v>
      </c>
      <c r="D737" s="1831" t="s">
        <v>4163</v>
      </c>
      <c r="E737" s="1850" t="s">
        <v>4164</v>
      </c>
      <c r="F737" s="1437">
        <v>35200000000</v>
      </c>
      <c r="G737" s="1438">
        <v>808000000</v>
      </c>
      <c r="H737" s="1438">
        <v>493000000000</v>
      </c>
      <c r="I737" s="1438">
        <v>990000000</v>
      </c>
      <c r="J737" s="1407"/>
      <c r="K737" s="1431">
        <f t="shared" ref="K737:K742" si="97">(32800000000/G737)*F737</f>
        <v>1428910891089.1089</v>
      </c>
      <c r="L737" s="1407"/>
      <c r="M737" s="1407"/>
      <c r="N737" s="1407"/>
      <c r="O737" s="1407"/>
      <c r="P737" s="1407"/>
      <c r="Q737" s="1407"/>
      <c r="R737" s="1407"/>
      <c r="S737" s="1407"/>
      <c r="T737" s="1407"/>
      <c r="U737" s="1407"/>
    </row>
    <row r="738" spans="1:21" ht="12">
      <c r="A738" s="639" t="s">
        <v>4162</v>
      </c>
      <c r="B738" s="1483">
        <v>42474</v>
      </c>
      <c r="C738" s="639" t="s">
        <v>3212</v>
      </c>
      <c r="D738" s="1433" t="s">
        <v>4165</v>
      </c>
      <c r="E738" s="1850" t="s">
        <v>4164</v>
      </c>
      <c r="F738" s="1406">
        <v>4050000000000</v>
      </c>
      <c r="G738" s="1438">
        <v>808000000</v>
      </c>
      <c r="H738" s="1438">
        <v>493000000000</v>
      </c>
      <c r="I738" s="1438">
        <v>990000000</v>
      </c>
      <c r="J738" s="1407"/>
      <c r="K738" s="1431">
        <f t="shared" si="97"/>
        <v>164405940594059.41</v>
      </c>
      <c r="L738" s="1407"/>
      <c r="M738" s="1407"/>
      <c r="N738" s="1407"/>
      <c r="O738" s="1407"/>
      <c r="P738" s="1407"/>
      <c r="Q738" s="1407"/>
      <c r="R738" s="1407"/>
      <c r="S738" s="1407"/>
      <c r="T738" s="1407"/>
      <c r="U738" s="1407"/>
    </row>
    <row r="739" spans="1:21" ht="12">
      <c r="A739" s="639" t="s">
        <v>4162</v>
      </c>
      <c r="B739" s="1483">
        <v>42474</v>
      </c>
      <c r="C739" s="639" t="s">
        <v>3212</v>
      </c>
      <c r="D739" s="1433" t="s">
        <v>4166</v>
      </c>
      <c r="E739" s="1850" t="s">
        <v>4164</v>
      </c>
      <c r="F739" s="1406">
        <v>237000000000</v>
      </c>
      <c r="G739" s="1438">
        <v>808000000</v>
      </c>
      <c r="H739" s="1438">
        <v>493000000000</v>
      </c>
      <c r="I739" s="1438">
        <v>990000000</v>
      </c>
      <c r="J739" s="1407"/>
      <c r="K739" s="1431">
        <f t="shared" si="97"/>
        <v>9620792079207.9199</v>
      </c>
      <c r="L739" s="1407"/>
      <c r="M739" s="1407"/>
      <c r="N739" s="1407"/>
      <c r="O739" s="1407"/>
      <c r="P739" s="1407"/>
      <c r="Q739" s="1407"/>
      <c r="R739" s="1407"/>
      <c r="S739" s="1407"/>
      <c r="T739" s="1407"/>
      <c r="U739" s="1407"/>
    </row>
    <row r="740" spans="1:21" ht="12">
      <c r="A740" s="639" t="s">
        <v>4162</v>
      </c>
      <c r="B740" s="1483">
        <v>42474</v>
      </c>
      <c r="C740" s="639" t="s">
        <v>3212</v>
      </c>
      <c r="D740" s="1831" t="s">
        <v>4168</v>
      </c>
      <c r="E740" s="1850" t="s">
        <v>4164</v>
      </c>
      <c r="F740" s="1406">
        <v>13100000000000</v>
      </c>
      <c r="G740" s="1438">
        <v>808000000</v>
      </c>
      <c r="H740" s="1438">
        <v>493000000000</v>
      </c>
      <c r="I740" s="1438">
        <v>990000000</v>
      </c>
      <c r="J740" s="1407"/>
      <c r="K740" s="1431">
        <f t="shared" si="97"/>
        <v>531782178217821.75</v>
      </c>
      <c r="L740" s="1407"/>
      <c r="M740" s="1407"/>
      <c r="N740" s="1407"/>
      <c r="O740" s="1407"/>
      <c r="P740" s="1407"/>
      <c r="Q740" s="1407"/>
      <c r="R740" s="1407"/>
      <c r="S740" s="1407"/>
      <c r="T740" s="1407"/>
      <c r="U740" s="1407"/>
    </row>
    <row r="741" spans="1:21" ht="12">
      <c r="A741" s="639" t="s">
        <v>4162</v>
      </c>
      <c r="B741" s="1483">
        <v>42474</v>
      </c>
      <c r="C741" s="639" t="s">
        <v>3212</v>
      </c>
      <c r="D741" s="1831" t="s">
        <v>4098</v>
      </c>
      <c r="E741" s="1850">
        <v>42425</v>
      </c>
      <c r="F741" s="1437">
        <v>80700000000000</v>
      </c>
      <c r="G741" s="1438">
        <v>808000000</v>
      </c>
      <c r="H741" s="1438">
        <v>493000000000</v>
      </c>
      <c r="I741" s="1438">
        <v>990000000</v>
      </c>
      <c r="J741" s="1407"/>
      <c r="K741" s="1431">
        <f t="shared" si="97"/>
        <v>3275940594059405.5</v>
      </c>
      <c r="L741" s="1431"/>
      <c r="M741" s="1407"/>
      <c r="N741" s="1407"/>
      <c r="O741" s="1407"/>
      <c r="P741" s="1407"/>
      <c r="Q741" s="1407"/>
      <c r="R741" s="1407"/>
      <c r="S741" s="1407"/>
      <c r="T741" s="1407"/>
      <c r="U741" s="1407"/>
    </row>
    <row r="742" spans="1:21" ht="12">
      <c r="A742" s="639" t="s">
        <v>4162</v>
      </c>
      <c r="B742" s="1483">
        <v>42474</v>
      </c>
      <c r="C742" s="639" t="s">
        <v>3212</v>
      </c>
      <c r="D742" s="1433" t="s">
        <v>4102</v>
      </c>
      <c r="E742" s="1435" t="s">
        <v>4169</v>
      </c>
      <c r="F742" s="1437">
        <v>20800000000</v>
      </c>
      <c r="G742" s="1438">
        <v>808000000</v>
      </c>
      <c r="H742" s="1438">
        <v>493000000000</v>
      </c>
      <c r="I742" s="1438">
        <v>990000000</v>
      </c>
      <c r="J742" s="1407"/>
      <c r="K742" s="1431">
        <f t="shared" si="97"/>
        <v>844356435643.56433</v>
      </c>
      <c r="L742" s="1431"/>
      <c r="M742" s="1407"/>
      <c r="N742" s="1407"/>
      <c r="O742" s="1407"/>
      <c r="P742" s="1407"/>
      <c r="Q742" s="1407"/>
      <c r="R742" s="1407"/>
      <c r="S742" s="1407"/>
      <c r="T742" s="1407"/>
      <c r="U742" s="1407"/>
    </row>
    <row r="743" spans="1:21" ht="12">
      <c r="A743" s="639"/>
      <c r="B743" s="1483"/>
      <c r="C743" s="639"/>
      <c r="D743" s="1409"/>
      <c r="E743" s="1410"/>
      <c r="F743" s="1416"/>
      <c r="G743" s="1407"/>
      <c r="H743" s="1534"/>
      <c r="I743" s="1428"/>
      <c r="J743" s="1407"/>
      <c r="K743" s="1431"/>
      <c r="L743" s="1407"/>
      <c r="M743" s="1407"/>
      <c r="N743" s="1407"/>
      <c r="O743" s="1407"/>
      <c r="P743" s="1407"/>
      <c r="Q743" s="1407"/>
      <c r="R743" s="1407"/>
      <c r="S743" s="1407"/>
      <c r="T743" s="1407"/>
      <c r="U743" s="1407"/>
    </row>
    <row r="744" spans="1:21" ht="12">
      <c r="A744" s="639" t="s">
        <v>4172</v>
      </c>
      <c r="B744" s="1483">
        <v>42475</v>
      </c>
      <c r="C744" s="639" t="s">
        <v>3212</v>
      </c>
      <c r="D744" s="1831" t="s">
        <v>4163</v>
      </c>
      <c r="E744" s="1850" t="s">
        <v>4164</v>
      </c>
      <c r="F744" s="1437">
        <v>166000000000</v>
      </c>
      <c r="G744" s="1435">
        <v>13100000000</v>
      </c>
      <c r="H744" s="1435">
        <v>12800000000000</v>
      </c>
      <c r="I744" s="1435">
        <v>6200000000</v>
      </c>
      <c r="J744" s="1407"/>
      <c r="K744" s="1431">
        <f t="shared" ref="K744:K749" si="98">(32800000000/G744)*F744</f>
        <v>415633587786.25958</v>
      </c>
      <c r="L744" s="1407"/>
      <c r="M744" s="1407"/>
      <c r="N744" s="1407"/>
      <c r="O744" s="1407"/>
      <c r="P744" s="1407"/>
      <c r="Q744" s="1407"/>
      <c r="R744" s="1407"/>
      <c r="S744" s="1407"/>
      <c r="T744" s="1407"/>
      <c r="U744" s="1407"/>
    </row>
    <row r="745" spans="1:21" ht="12">
      <c r="A745" s="639" t="s">
        <v>4172</v>
      </c>
      <c r="B745" s="1483">
        <v>42475</v>
      </c>
      <c r="C745" s="639" t="s">
        <v>3212</v>
      </c>
      <c r="D745" s="1433" t="s">
        <v>4165</v>
      </c>
      <c r="E745" s="1850" t="s">
        <v>4164</v>
      </c>
      <c r="F745" s="1437">
        <v>17600000000000</v>
      </c>
      <c r="G745" s="1435">
        <v>13100000000</v>
      </c>
      <c r="H745" s="1435">
        <v>12800000000000</v>
      </c>
      <c r="I745" s="1435">
        <v>6200000000</v>
      </c>
      <c r="J745" s="1407"/>
      <c r="K745" s="1431">
        <f t="shared" si="98"/>
        <v>44067175572519.086</v>
      </c>
      <c r="L745" s="1407"/>
      <c r="M745" s="1407"/>
      <c r="N745" s="1407"/>
      <c r="O745" s="1407"/>
      <c r="P745" s="1407"/>
      <c r="Q745" s="1407"/>
      <c r="R745" s="1407"/>
      <c r="S745" s="1407"/>
      <c r="T745" s="1407"/>
      <c r="U745" s="1407"/>
    </row>
    <row r="746" spans="1:21" ht="12">
      <c r="A746" s="639" t="s">
        <v>4172</v>
      </c>
      <c r="B746" s="1483">
        <v>42475</v>
      </c>
      <c r="C746" s="639" t="s">
        <v>3212</v>
      </c>
      <c r="D746" s="1433" t="s">
        <v>4166</v>
      </c>
      <c r="E746" s="1850" t="s">
        <v>4164</v>
      </c>
      <c r="F746" s="1437">
        <v>1270000000000</v>
      </c>
      <c r="G746" s="1435">
        <v>13100000000</v>
      </c>
      <c r="H746" s="1435">
        <v>12800000000000</v>
      </c>
      <c r="I746" s="1435">
        <v>6200000000</v>
      </c>
      <c r="J746" s="1407"/>
      <c r="K746" s="1431">
        <f t="shared" si="98"/>
        <v>3179847328244.2749</v>
      </c>
      <c r="L746" s="1407"/>
      <c r="M746" s="1407"/>
      <c r="N746" s="1407"/>
      <c r="O746" s="1407"/>
      <c r="P746" s="1407"/>
      <c r="Q746" s="1407"/>
      <c r="R746" s="1407"/>
      <c r="S746" s="1407"/>
      <c r="T746" s="1407"/>
      <c r="U746" s="1407"/>
    </row>
    <row r="747" spans="1:21" ht="12">
      <c r="A747" s="639" t="s">
        <v>4172</v>
      </c>
      <c r="B747" s="1483">
        <v>42475</v>
      </c>
      <c r="C747" s="639" t="s">
        <v>3212</v>
      </c>
      <c r="D747" s="1831" t="s">
        <v>4168</v>
      </c>
      <c r="E747" s="1850" t="s">
        <v>4164</v>
      </c>
      <c r="F747" s="1437">
        <v>49000000000000</v>
      </c>
      <c r="G747" s="1435">
        <v>13100000000</v>
      </c>
      <c r="H747" s="1435">
        <v>12800000000000</v>
      </c>
      <c r="I747" s="1435">
        <v>6200000000</v>
      </c>
      <c r="J747" s="1407"/>
      <c r="K747" s="1431">
        <f t="shared" si="98"/>
        <v>122687022900763.38</v>
      </c>
      <c r="L747" s="1407"/>
      <c r="M747" s="1407"/>
      <c r="N747" s="1407"/>
      <c r="O747" s="1407"/>
      <c r="P747" s="1407"/>
      <c r="Q747" s="1407"/>
      <c r="R747" s="1407"/>
      <c r="S747" s="1407"/>
      <c r="T747" s="1407"/>
      <c r="U747" s="1407"/>
    </row>
    <row r="748" spans="1:21" ht="12">
      <c r="A748" s="639" t="s">
        <v>4172</v>
      </c>
      <c r="B748" s="1483">
        <v>42475</v>
      </c>
      <c r="C748" s="639" t="s">
        <v>3212</v>
      </c>
      <c r="D748" s="1831" t="s">
        <v>4098</v>
      </c>
      <c r="E748" s="1850">
        <v>42425</v>
      </c>
      <c r="F748" s="1437">
        <v>252000000000000</v>
      </c>
      <c r="G748" s="1435">
        <v>13100000000</v>
      </c>
      <c r="H748" s="1435">
        <v>12800000000000</v>
      </c>
      <c r="I748" s="1435">
        <v>6200000000</v>
      </c>
      <c r="J748" s="1407"/>
      <c r="K748" s="1431">
        <f t="shared" si="98"/>
        <v>630961832061068.75</v>
      </c>
      <c r="L748" s="1407"/>
      <c r="M748" s="1407"/>
      <c r="N748" s="1407"/>
      <c r="O748" s="1407"/>
      <c r="P748" s="1407"/>
      <c r="Q748" s="1407"/>
      <c r="R748" s="1407"/>
      <c r="S748" s="1407"/>
      <c r="T748" s="1407"/>
      <c r="U748" s="1407"/>
    </row>
    <row r="749" spans="1:21" ht="12">
      <c r="A749" s="639" t="s">
        <v>4172</v>
      </c>
      <c r="B749" s="1483">
        <v>42475</v>
      </c>
      <c r="C749" s="639" t="s">
        <v>3212</v>
      </c>
      <c r="D749" s="1433" t="s">
        <v>4102</v>
      </c>
      <c r="E749" s="1435" t="s">
        <v>4169</v>
      </c>
      <c r="F749" s="1437">
        <v>154000000000</v>
      </c>
      <c r="G749" s="1435">
        <v>13100000000</v>
      </c>
      <c r="H749" s="1435">
        <v>12800000000000</v>
      </c>
      <c r="I749" s="1435">
        <v>6200000000</v>
      </c>
      <c r="J749" s="1407"/>
      <c r="K749" s="1431">
        <f t="shared" si="98"/>
        <v>385587786259.54199</v>
      </c>
      <c r="L749" s="1407"/>
      <c r="M749" s="1407"/>
      <c r="N749" s="1407"/>
      <c r="O749" s="1407"/>
      <c r="P749" s="1407"/>
      <c r="Q749" s="1407"/>
      <c r="R749" s="1407"/>
      <c r="S749" s="1407"/>
      <c r="T749" s="1407"/>
      <c r="U749" s="1407"/>
    </row>
    <row r="750" spans="1:21" ht="12">
      <c r="A750" s="639"/>
      <c r="B750" s="1483"/>
      <c r="C750" s="639"/>
      <c r="D750" s="1409"/>
      <c r="E750" s="1410"/>
      <c r="F750" s="1416"/>
      <c r="G750" s="1534"/>
      <c r="H750" s="1534"/>
      <c r="I750" s="1428"/>
      <c r="J750" s="1407"/>
      <c r="K750" s="1431"/>
      <c r="L750" s="1407"/>
      <c r="M750" s="1407"/>
      <c r="N750" s="1407"/>
      <c r="O750" s="1407"/>
      <c r="P750" s="1407"/>
      <c r="Q750" s="1407"/>
      <c r="R750" s="1407"/>
      <c r="S750" s="1407"/>
      <c r="T750" s="1407"/>
      <c r="U750" s="1407"/>
    </row>
    <row r="751" spans="1:21" ht="12">
      <c r="A751" s="639" t="s">
        <v>4175</v>
      </c>
      <c r="B751" s="1483">
        <v>42487</v>
      </c>
      <c r="C751" s="639" t="s">
        <v>3212</v>
      </c>
      <c r="D751" s="1433" t="s">
        <v>4176</v>
      </c>
      <c r="E751" s="1850">
        <v>42487</v>
      </c>
      <c r="F751" s="1437">
        <v>237000000000000</v>
      </c>
      <c r="G751" s="1438">
        <v>15200000000</v>
      </c>
      <c r="H751" s="1438">
        <v>15000000000000</v>
      </c>
      <c r="I751" s="1731">
        <v>10400000000</v>
      </c>
      <c r="J751" s="1407"/>
      <c r="K751" s="1431">
        <f t="shared" ref="K751:K758" si="99">(32800000000/G751)*F751</f>
        <v>511421052631578.94</v>
      </c>
      <c r="L751" s="1407"/>
      <c r="M751" s="1407"/>
      <c r="N751" s="1407"/>
      <c r="O751" s="1407"/>
      <c r="P751" s="1407"/>
      <c r="Q751" s="1407"/>
      <c r="R751" s="1407"/>
      <c r="S751" s="1407"/>
      <c r="T751" s="1407"/>
      <c r="U751" s="1407"/>
    </row>
    <row r="752" spans="1:21" ht="12">
      <c r="A752" s="1950" t="s">
        <v>4175</v>
      </c>
      <c r="B752" s="1951">
        <v>42487</v>
      </c>
      <c r="C752" s="1950" t="s">
        <v>3212</v>
      </c>
      <c r="D752" s="1953" t="s">
        <v>4178</v>
      </c>
      <c r="E752" s="1956">
        <v>42487</v>
      </c>
      <c r="F752" s="1959">
        <v>32600000000000</v>
      </c>
      <c r="G752" s="1960">
        <v>15200000000</v>
      </c>
      <c r="H752" s="1960">
        <v>15000000000000</v>
      </c>
      <c r="I752" s="1962">
        <v>10400000000</v>
      </c>
      <c r="J752" s="1964"/>
      <c r="K752" s="1966">
        <f t="shared" si="99"/>
        <v>70347368421052.633</v>
      </c>
      <c r="L752" s="1407"/>
      <c r="M752" s="1407"/>
      <c r="N752" s="1407"/>
      <c r="O752" s="1407"/>
      <c r="P752" s="1407"/>
      <c r="Q752" s="1407"/>
      <c r="R752" s="1407"/>
      <c r="S752" s="1407"/>
      <c r="T752" s="1407"/>
      <c r="U752" s="1407"/>
    </row>
    <row r="753" spans="1:21" ht="12">
      <c r="A753" s="639" t="s">
        <v>4175</v>
      </c>
      <c r="B753" s="1483">
        <v>42487</v>
      </c>
      <c r="C753" s="639" t="s">
        <v>3212</v>
      </c>
      <c r="D753" s="1433" t="s">
        <v>4183</v>
      </c>
      <c r="E753" s="1850">
        <v>42487</v>
      </c>
      <c r="F753" s="1437">
        <v>8740000000000</v>
      </c>
      <c r="G753" s="1438">
        <v>15200000000</v>
      </c>
      <c r="H753" s="1438">
        <v>15000000000000</v>
      </c>
      <c r="I753" s="1731">
        <v>10400000000</v>
      </c>
      <c r="J753" s="1407"/>
      <c r="K753" s="1431">
        <f t="shared" si="99"/>
        <v>18860000000000</v>
      </c>
      <c r="L753" s="1407"/>
      <c r="M753" s="1407"/>
      <c r="N753" s="1407"/>
      <c r="O753" s="1407"/>
      <c r="P753" s="1407"/>
      <c r="Q753" s="1407"/>
      <c r="R753" s="1407"/>
      <c r="S753" s="1407"/>
      <c r="T753" s="1407"/>
      <c r="U753" s="1407"/>
    </row>
    <row r="754" spans="1:21" ht="12">
      <c r="A754" s="1950" t="s">
        <v>4175</v>
      </c>
      <c r="B754" s="1951">
        <v>42487</v>
      </c>
      <c r="C754" s="1950" t="s">
        <v>3212</v>
      </c>
      <c r="D754" s="1953" t="s">
        <v>4184</v>
      </c>
      <c r="E754" s="1956">
        <v>42487</v>
      </c>
      <c r="F754" s="1969">
        <v>3940000000000</v>
      </c>
      <c r="G754" s="1960">
        <v>15200000000</v>
      </c>
      <c r="H754" s="1960">
        <v>15000000000000</v>
      </c>
      <c r="I754" s="1962">
        <v>10400000000</v>
      </c>
      <c r="J754" s="1964"/>
      <c r="K754" s="1966">
        <f t="shared" si="99"/>
        <v>8502105263157.8945</v>
      </c>
      <c r="L754" s="1407"/>
      <c r="M754" s="1407"/>
      <c r="N754" s="1407"/>
      <c r="O754" s="1407"/>
      <c r="P754" s="1407"/>
      <c r="Q754" s="1407"/>
      <c r="R754" s="1407"/>
      <c r="S754" s="1407"/>
      <c r="T754" s="1407"/>
      <c r="U754" s="1407"/>
    </row>
    <row r="755" spans="1:21" ht="12">
      <c r="A755" s="639" t="s">
        <v>4175</v>
      </c>
      <c r="B755" s="1483">
        <v>42487</v>
      </c>
      <c r="C755" s="639" t="s">
        <v>3212</v>
      </c>
      <c r="D755" s="1433" t="s">
        <v>4185</v>
      </c>
      <c r="E755" s="1850">
        <v>42487</v>
      </c>
      <c r="F755" s="1406">
        <v>14800000000000</v>
      </c>
      <c r="G755" s="1438">
        <v>15200000000</v>
      </c>
      <c r="H755" s="1438">
        <v>15000000000000</v>
      </c>
      <c r="I755" s="1731">
        <v>10400000000</v>
      </c>
      <c r="J755" s="1407"/>
      <c r="K755" s="1431">
        <f t="shared" si="99"/>
        <v>31936842105263.16</v>
      </c>
      <c r="L755" s="1407"/>
      <c r="M755" s="1407"/>
      <c r="N755" s="1407"/>
      <c r="O755" s="1407"/>
      <c r="P755" s="1407"/>
      <c r="Q755" s="1407"/>
      <c r="R755" s="1407"/>
      <c r="S755" s="1407"/>
      <c r="T755" s="1407"/>
      <c r="U755" s="1407"/>
    </row>
    <row r="756" spans="1:21" ht="12">
      <c r="A756" s="1950" t="s">
        <v>4175</v>
      </c>
      <c r="B756" s="1951">
        <v>42487</v>
      </c>
      <c r="C756" s="1950" t="s">
        <v>3212</v>
      </c>
      <c r="D756" s="1953" t="s">
        <v>4186</v>
      </c>
      <c r="E756" s="1956">
        <v>42487</v>
      </c>
      <c r="F756" s="1959">
        <v>7500000000000</v>
      </c>
      <c r="G756" s="1960">
        <v>15200000000</v>
      </c>
      <c r="H756" s="1960">
        <v>15000000000000</v>
      </c>
      <c r="I756" s="1962">
        <v>10400000000</v>
      </c>
      <c r="J756" s="1964"/>
      <c r="K756" s="1966">
        <f t="shared" si="99"/>
        <v>16184210526315.789</v>
      </c>
      <c r="L756" s="1407"/>
      <c r="M756" s="1407"/>
      <c r="N756" s="1407"/>
      <c r="O756" s="1407"/>
      <c r="P756" s="1407"/>
      <c r="Q756" s="1407"/>
      <c r="R756" s="1407"/>
      <c r="S756" s="1407"/>
      <c r="T756" s="1407"/>
      <c r="U756" s="1407"/>
    </row>
    <row r="757" spans="1:21" ht="12">
      <c r="A757" s="639" t="s">
        <v>4175</v>
      </c>
      <c r="B757" s="1483">
        <v>42487</v>
      </c>
      <c r="C757" s="639" t="s">
        <v>3212</v>
      </c>
      <c r="D757" s="1433" t="s">
        <v>4187</v>
      </c>
      <c r="E757" s="1850">
        <v>42487</v>
      </c>
      <c r="F757" s="1437">
        <v>63200000000000</v>
      </c>
      <c r="G757" s="1438">
        <v>15200000000</v>
      </c>
      <c r="H757" s="1438">
        <v>15000000000000</v>
      </c>
      <c r="I757" s="1731">
        <v>10400000000</v>
      </c>
      <c r="J757" s="1407"/>
      <c r="K757" s="1431">
        <f t="shared" si="99"/>
        <v>136378947368421.06</v>
      </c>
      <c r="L757" s="1407"/>
      <c r="M757" s="1407"/>
      <c r="N757" s="1407"/>
      <c r="O757" s="1407"/>
      <c r="P757" s="1407"/>
      <c r="Q757" s="1407"/>
      <c r="R757" s="1407"/>
      <c r="S757" s="1407"/>
      <c r="T757" s="1407"/>
      <c r="U757" s="1407"/>
    </row>
    <row r="758" spans="1:21" ht="12">
      <c r="A758" s="639" t="s">
        <v>4175</v>
      </c>
      <c r="B758" s="1483">
        <v>42487</v>
      </c>
      <c r="C758" s="639" t="s">
        <v>3212</v>
      </c>
      <c r="D758" s="1433" t="s">
        <v>4188</v>
      </c>
      <c r="E758" s="1850">
        <v>42487</v>
      </c>
      <c r="F758" s="1406">
        <v>48900000000000</v>
      </c>
      <c r="G758" s="1438">
        <v>15200000000</v>
      </c>
      <c r="H758" s="1438">
        <v>15000000000000</v>
      </c>
      <c r="I758" s="1731">
        <v>10400000000</v>
      </c>
      <c r="J758" s="1407"/>
      <c r="K758" s="1431">
        <f t="shared" si="99"/>
        <v>105521052631578.95</v>
      </c>
      <c r="L758" s="1407"/>
      <c r="M758" s="1407"/>
      <c r="N758" s="1407"/>
      <c r="O758" s="1407"/>
      <c r="P758" s="1407"/>
      <c r="Q758" s="1407"/>
      <c r="R758" s="1407"/>
      <c r="S758" s="1407"/>
      <c r="T758" s="1407"/>
      <c r="U758" s="1407"/>
    </row>
    <row r="759" spans="1:21" ht="12">
      <c r="A759" s="639"/>
      <c r="B759" s="1483"/>
      <c r="C759" s="639"/>
      <c r="D759" s="1409"/>
      <c r="E759" s="1410"/>
      <c r="F759" s="1416"/>
      <c r="G759" s="1534"/>
      <c r="H759" s="1534"/>
      <c r="I759" s="1428"/>
      <c r="J759" s="1407"/>
      <c r="K759" s="1431"/>
      <c r="L759" s="1407"/>
      <c r="M759" s="1407"/>
      <c r="N759" s="1407"/>
      <c r="O759" s="1407"/>
      <c r="P759" s="1407"/>
      <c r="Q759" s="1407"/>
      <c r="R759" s="1407"/>
      <c r="S759" s="1407"/>
      <c r="T759" s="1407"/>
      <c r="U759" s="1407"/>
    </row>
    <row r="760" spans="1:21" ht="12">
      <c r="A760" s="639" t="s">
        <v>4189</v>
      </c>
      <c r="B760" s="1483">
        <v>42487</v>
      </c>
      <c r="C760" s="639" t="s">
        <v>3212</v>
      </c>
      <c r="D760" s="1831" t="s">
        <v>3964</v>
      </c>
      <c r="E760" s="1850">
        <v>42487</v>
      </c>
      <c r="F760" s="1406">
        <v>8550000000000</v>
      </c>
      <c r="G760" s="1731">
        <v>26800000000</v>
      </c>
      <c r="H760" s="1731">
        <v>14600000000000</v>
      </c>
      <c r="I760" s="1731">
        <v>15300000000</v>
      </c>
      <c r="J760" s="1407"/>
      <c r="K760" s="1431">
        <f t="shared" ref="K760:K762" si="100">(32800000000/G760)*F760</f>
        <v>10464179104477.611</v>
      </c>
      <c r="L760" s="5329"/>
      <c r="M760" s="1407"/>
      <c r="N760" s="1407"/>
      <c r="O760" s="1407"/>
      <c r="P760" s="1407"/>
      <c r="Q760" s="1407"/>
      <c r="R760" s="1407"/>
      <c r="S760" s="1407"/>
      <c r="T760" s="1407"/>
      <c r="U760" s="1407"/>
    </row>
    <row r="761" spans="1:21" ht="12">
      <c r="A761" s="639" t="s">
        <v>4189</v>
      </c>
      <c r="B761" s="1483">
        <v>42487</v>
      </c>
      <c r="C761" s="639" t="s">
        <v>3212</v>
      </c>
      <c r="D761" s="1831" t="s">
        <v>4098</v>
      </c>
      <c r="E761" s="1850">
        <v>42487</v>
      </c>
      <c r="F761" s="1406">
        <v>276000000000000</v>
      </c>
      <c r="G761" s="1731">
        <v>26800000000</v>
      </c>
      <c r="H761" s="1731">
        <v>14600000000000</v>
      </c>
      <c r="I761" s="1731">
        <v>15300000000</v>
      </c>
      <c r="J761" s="1407"/>
      <c r="K761" s="1431">
        <f t="shared" si="100"/>
        <v>337791044776119.38</v>
      </c>
      <c r="L761" s="5330"/>
      <c r="M761" s="1407"/>
      <c r="N761" s="1407"/>
      <c r="O761" s="1407"/>
      <c r="P761" s="1407"/>
      <c r="Q761" s="1407"/>
      <c r="R761" s="1407"/>
      <c r="S761" s="1407"/>
      <c r="T761" s="1407"/>
      <c r="U761" s="1407"/>
    </row>
    <row r="762" spans="1:21" ht="12">
      <c r="A762" s="639" t="s">
        <v>4189</v>
      </c>
      <c r="B762" s="1483">
        <v>42487</v>
      </c>
      <c r="C762" s="639" t="s">
        <v>3212</v>
      </c>
      <c r="D762" s="1831" t="s">
        <v>4102</v>
      </c>
      <c r="E762" s="1850">
        <v>42487</v>
      </c>
      <c r="F762" s="1406">
        <v>33100000000</v>
      </c>
      <c r="G762" s="1731">
        <v>26800000000</v>
      </c>
      <c r="H762" s="1731">
        <v>14600000000000</v>
      </c>
      <c r="I762" s="1731">
        <v>15300000000</v>
      </c>
      <c r="J762" s="1407"/>
      <c r="K762" s="1431">
        <f t="shared" si="100"/>
        <v>40510447761.194031</v>
      </c>
      <c r="L762" s="5330"/>
      <c r="M762" s="1407"/>
      <c r="N762" s="1407"/>
      <c r="O762" s="1407"/>
      <c r="P762" s="1407"/>
      <c r="Q762" s="1407"/>
      <c r="R762" s="1407"/>
      <c r="S762" s="1407"/>
      <c r="T762" s="1407"/>
      <c r="U762" s="1407"/>
    </row>
    <row r="763" spans="1:21" ht="12">
      <c r="A763" s="1407"/>
      <c r="B763" s="1407"/>
      <c r="C763" s="1407"/>
      <c r="D763" s="1844"/>
      <c r="E763" s="1407"/>
      <c r="F763" s="1416"/>
      <c r="G763" s="1407"/>
      <c r="H763" s="1407"/>
      <c r="I763" s="1407"/>
      <c r="J763" s="1407"/>
      <c r="K763" s="1407"/>
      <c r="L763" s="5330"/>
      <c r="M763" s="1407"/>
      <c r="N763" s="1407"/>
      <c r="O763" s="1407"/>
      <c r="P763" s="1407"/>
      <c r="Q763" s="1407"/>
      <c r="R763" s="1407"/>
      <c r="S763" s="1407"/>
      <c r="T763" s="1407"/>
      <c r="U763" s="1407"/>
    </row>
    <row r="764" spans="1:21" ht="12">
      <c r="A764" s="1407"/>
      <c r="B764" s="1407"/>
      <c r="C764" s="1407"/>
      <c r="D764" s="1844"/>
      <c r="E764" s="1407"/>
      <c r="F764" s="1416"/>
      <c r="G764" s="1407"/>
      <c r="H764" s="1407"/>
      <c r="I764" s="1407"/>
      <c r="J764" s="1407"/>
      <c r="K764" s="1407"/>
      <c r="L764" s="5330"/>
      <c r="M764" s="1407"/>
      <c r="N764" s="1407"/>
      <c r="O764" s="1407"/>
      <c r="P764" s="1407"/>
      <c r="Q764" s="1407"/>
      <c r="R764" s="1407"/>
      <c r="S764" s="1407"/>
      <c r="T764" s="1407"/>
      <c r="U764" s="1407"/>
    </row>
    <row r="765" spans="1:21" ht="12">
      <c r="A765" s="639" t="s">
        <v>4190</v>
      </c>
      <c r="B765" s="1483">
        <v>42500</v>
      </c>
      <c r="C765" s="639" t="s">
        <v>881</v>
      </c>
      <c r="D765" s="1433" t="s">
        <v>4191</v>
      </c>
      <c r="E765" s="1850">
        <v>42493</v>
      </c>
      <c r="F765" s="1406">
        <v>75900000000000</v>
      </c>
      <c r="G765" s="1982">
        <v>8180000000</v>
      </c>
      <c r="H765" s="1982">
        <v>6030000000000</v>
      </c>
      <c r="I765" s="1983">
        <v>2600000000</v>
      </c>
      <c r="J765" s="1407"/>
      <c r="K765" s="1431">
        <f t="shared" ref="K765:K773" si="101">(32800000000/G765)*F765</f>
        <v>304342298288508.56</v>
      </c>
      <c r="L765" s="5330"/>
      <c r="M765" s="1407"/>
      <c r="N765" s="1407"/>
      <c r="O765" s="1407"/>
      <c r="P765" s="1407"/>
      <c r="Q765" s="1407"/>
      <c r="R765" s="1407"/>
      <c r="S765" s="1407"/>
      <c r="T765" s="1407"/>
      <c r="U765" s="1407"/>
    </row>
    <row r="766" spans="1:21" ht="12">
      <c r="A766" s="639" t="s">
        <v>4190</v>
      </c>
      <c r="B766" s="1483">
        <v>42500</v>
      </c>
      <c r="C766" s="639" t="s">
        <v>881</v>
      </c>
      <c r="D766" s="1433" t="s">
        <v>4192</v>
      </c>
      <c r="E766" s="1850">
        <v>42493</v>
      </c>
      <c r="F766" s="1406">
        <v>153000000000000</v>
      </c>
      <c r="G766" s="1982">
        <v>8180000000</v>
      </c>
      <c r="H766" s="1982">
        <v>6030000000000</v>
      </c>
      <c r="I766" s="1983">
        <v>2600000000</v>
      </c>
      <c r="J766" s="1407"/>
      <c r="K766" s="1431">
        <f t="shared" si="101"/>
        <v>613496332518337.5</v>
      </c>
      <c r="L766" s="1407"/>
      <c r="M766" s="1407"/>
      <c r="N766" s="1407"/>
      <c r="O766" s="1407"/>
      <c r="P766" s="1407"/>
      <c r="Q766" s="1407"/>
      <c r="R766" s="1407"/>
      <c r="S766" s="1407"/>
      <c r="T766" s="1407"/>
      <c r="U766" s="1407"/>
    </row>
    <row r="767" spans="1:21" ht="12">
      <c r="A767" s="639" t="s">
        <v>4190</v>
      </c>
      <c r="B767" s="1483">
        <v>42500</v>
      </c>
      <c r="C767" s="639" t="s">
        <v>881</v>
      </c>
      <c r="D767" s="1433" t="s">
        <v>4193</v>
      </c>
      <c r="E767" s="1850">
        <v>42493</v>
      </c>
      <c r="F767" s="1406">
        <v>191000000000000</v>
      </c>
      <c r="G767" s="1982">
        <v>8180000000</v>
      </c>
      <c r="H767" s="1982">
        <v>6030000000000</v>
      </c>
      <c r="I767" s="1983">
        <v>2600000000</v>
      </c>
      <c r="J767" s="1407"/>
      <c r="K767" s="1431">
        <f t="shared" si="101"/>
        <v>765867970660146.75</v>
      </c>
      <c r="L767" s="1407"/>
      <c r="M767" s="1407"/>
      <c r="N767" s="1407"/>
      <c r="O767" s="1407"/>
      <c r="P767" s="1407"/>
      <c r="Q767" s="1407"/>
      <c r="R767" s="1407"/>
      <c r="S767" s="1407"/>
      <c r="T767" s="1407"/>
      <c r="U767" s="1407"/>
    </row>
    <row r="768" spans="1:21" ht="12">
      <c r="A768" s="639" t="s">
        <v>4190</v>
      </c>
      <c r="B768" s="1483">
        <v>42500</v>
      </c>
      <c r="C768" s="639" t="s">
        <v>881</v>
      </c>
      <c r="D768" s="1433" t="s">
        <v>4194</v>
      </c>
      <c r="E768" s="1850">
        <v>42493</v>
      </c>
      <c r="F768" s="1406">
        <v>14000000000000</v>
      </c>
      <c r="G768" s="1982">
        <v>8180000000</v>
      </c>
      <c r="H768" s="1982">
        <v>6030000000000</v>
      </c>
      <c r="I768" s="1983">
        <v>2600000000</v>
      </c>
      <c r="J768" s="1407"/>
      <c r="K768" s="1431">
        <f t="shared" si="101"/>
        <v>56136919315403.43</v>
      </c>
      <c r="L768" s="1407"/>
      <c r="M768" s="1407"/>
      <c r="N768" s="1407"/>
      <c r="O768" s="1407"/>
      <c r="P768" s="1407"/>
      <c r="Q768" s="1407"/>
      <c r="R768" s="1407"/>
      <c r="S768" s="1407"/>
      <c r="T768" s="1407"/>
      <c r="U768" s="1407"/>
    </row>
    <row r="769" spans="1:21" ht="12">
      <c r="A769" s="639" t="s">
        <v>4190</v>
      </c>
      <c r="B769" s="1483">
        <v>42500</v>
      </c>
      <c r="C769" s="639" t="s">
        <v>881</v>
      </c>
      <c r="D769" s="1433" t="s">
        <v>4195</v>
      </c>
      <c r="E769" s="1850">
        <v>42493</v>
      </c>
      <c r="F769" s="1406">
        <v>135000000000000</v>
      </c>
      <c r="G769" s="1982">
        <v>8180000000</v>
      </c>
      <c r="H769" s="1982">
        <v>6030000000000</v>
      </c>
      <c r="I769" s="1983">
        <v>2600000000</v>
      </c>
      <c r="J769" s="1407"/>
      <c r="K769" s="1431">
        <f t="shared" si="101"/>
        <v>541320293398533.06</v>
      </c>
      <c r="L769" s="1407"/>
      <c r="M769" s="1407"/>
      <c r="N769" s="1407"/>
      <c r="O769" s="1407"/>
      <c r="P769" s="1407"/>
      <c r="Q769" s="1407"/>
      <c r="R769" s="1407"/>
      <c r="S769" s="1407"/>
      <c r="T769" s="1407"/>
      <c r="U769" s="1407"/>
    </row>
    <row r="770" spans="1:21" ht="12">
      <c r="A770" s="639" t="s">
        <v>4190</v>
      </c>
      <c r="B770" s="1483">
        <v>42500</v>
      </c>
      <c r="C770" s="639" t="s">
        <v>881</v>
      </c>
      <c r="D770" s="1433" t="s">
        <v>4196</v>
      </c>
      <c r="E770" s="1850">
        <v>42493</v>
      </c>
      <c r="F770" s="1406">
        <v>236000000000000</v>
      </c>
      <c r="G770" s="1982">
        <v>8180000000</v>
      </c>
      <c r="H770" s="1982">
        <v>6030000000000</v>
      </c>
      <c r="I770" s="1983">
        <v>2600000000</v>
      </c>
      <c r="J770" s="1407"/>
      <c r="K770" s="1431">
        <f t="shared" si="101"/>
        <v>946308068459657.75</v>
      </c>
      <c r="L770" s="1407"/>
      <c r="M770" s="1407"/>
      <c r="N770" s="1407"/>
      <c r="O770" s="1407"/>
      <c r="P770" s="1407"/>
      <c r="Q770" s="1407"/>
      <c r="R770" s="1407"/>
      <c r="S770" s="1407"/>
      <c r="T770" s="1407"/>
      <c r="U770" s="1407"/>
    </row>
    <row r="771" spans="1:21" ht="12">
      <c r="A771" s="639" t="s">
        <v>4190</v>
      </c>
      <c r="B771" s="1483">
        <v>42500</v>
      </c>
      <c r="C771" s="639" t="s">
        <v>881</v>
      </c>
      <c r="D771" s="1433" t="s">
        <v>4197</v>
      </c>
      <c r="E771" s="1850">
        <v>42493</v>
      </c>
      <c r="F771" s="1406">
        <v>724000000000000</v>
      </c>
      <c r="G771" s="1982">
        <v>8180000000</v>
      </c>
      <c r="H771" s="1982">
        <v>6030000000000</v>
      </c>
      <c r="I771" s="1983">
        <v>2600000000</v>
      </c>
      <c r="J771" s="1407"/>
      <c r="K771" s="1431">
        <f t="shared" si="101"/>
        <v>2903080684596577</v>
      </c>
      <c r="L771" s="1407"/>
      <c r="M771" s="1407"/>
      <c r="N771" s="1407"/>
      <c r="O771" s="1407"/>
      <c r="P771" s="1407"/>
      <c r="Q771" s="1407"/>
      <c r="R771" s="1407"/>
      <c r="S771" s="1407"/>
      <c r="T771" s="1407"/>
      <c r="U771" s="1407"/>
    </row>
    <row r="772" spans="1:21" ht="12">
      <c r="A772" s="639" t="s">
        <v>4190</v>
      </c>
      <c r="B772" s="1483">
        <v>42500</v>
      </c>
      <c r="C772" s="639" t="s">
        <v>881</v>
      </c>
      <c r="D772" s="1433" t="s">
        <v>4198</v>
      </c>
      <c r="E772" s="1850">
        <v>42493</v>
      </c>
      <c r="F772" s="1406">
        <v>8170000000000</v>
      </c>
      <c r="G772" s="1982">
        <v>8180000000</v>
      </c>
      <c r="H772" s="1982">
        <v>6030000000000</v>
      </c>
      <c r="I772" s="1983">
        <v>2600000000</v>
      </c>
      <c r="J772" s="1407"/>
      <c r="K772" s="1431">
        <f t="shared" si="101"/>
        <v>32759902200489</v>
      </c>
      <c r="L772" s="1407"/>
      <c r="M772" s="1407"/>
      <c r="N772" s="1407"/>
      <c r="O772" s="1407"/>
      <c r="P772" s="1407"/>
      <c r="Q772" s="1407"/>
      <c r="R772" s="1407"/>
      <c r="S772" s="1407"/>
      <c r="T772" s="1407"/>
      <c r="U772" s="1407"/>
    </row>
    <row r="773" spans="1:21" ht="12">
      <c r="A773" s="639" t="s">
        <v>4190</v>
      </c>
      <c r="B773" s="1483">
        <v>42500</v>
      </c>
      <c r="C773" s="639" t="s">
        <v>881</v>
      </c>
      <c r="D773" s="1433" t="s">
        <v>4199</v>
      </c>
      <c r="E773" s="1850">
        <v>42493</v>
      </c>
      <c r="F773" s="1406">
        <v>69600000000000</v>
      </c>
      <c r="G773" s="1982">
        <v>8180000000</v>
      </c>
      <c r="H773" s="1982">
        <v>6030000000000</v>
      </c>
      <c r="I773" s="1983">
        <v>2600000000</v>
      </c>
      <c r="J773" s="1407"/>
      <c r="K773" s="1431">
        <f t="shared" si="101"/>
        <v>279080684596577.03</v>
      </c>
      <c r="L773" s="1407"/>
      <c r="M773" s="1407"/>
      <c r="N773" s="1407"/>
      <c r="O773" s="1407"/>
      <c r="P773" s="1407"/>
      <c r="Q773" s="1407"/>
      <c r="R773" s="1407"/>
      <c r="S773" s="1407"/>
      <c r="T773" s="1407"/>
      <c r="U773" s="1407"/>
    </row>
    <row r="774" spans="1:21" ht="12">
      <c r="A774" s="639"/>
      <c r="B774" s="1483"/>
      <c r="C774" s="639"/>
      <c r="D774" s="1409"/>
      <c r="E774" s="1410"/>
      <c r="F774" s="1416"/>
      <c r="G774" s="1534"/>
      <c r="H774" s="1534"/>
      <c r="I774" s="1428"/>
      <c r="J774" s="1407"/>
      <c r="K774" s="1431"/>
      <c r="L774" s="1407"/>
      <c r="M774" s="1407"/>
      <c r="N774" s="1407"/>
      <c r="O774" s="1407"/>
      <c r="P774" s="1407"/>
      <c r="Q774" s="1407"/>
      <c r="R774" s="1407"/>
      <c r="S774" s="1407"/>
      <c r="T774" s="1407"/>
      <c r="U774" s="1407"/>
    </row>
    <row r="775" spans="1:21" ht="12">
      <c r="A775" s="639" t="s">
        <v>4200</v>
      </c>
      <c r="B775" s="1483">
        <v>42509</v>
      </c>
      <c r="C775" s="639" t="s">
        <v>881</v>
      </c>
      <c r="D775" s="1433" t="s">
        <v>4201</v>
      </c>
      <c r="E775" s="1850">
        <v>42508</v>
      </c>
      <c r="F775" s="1406">
        <v>1960000000000</v>
      </c>
      <c r="G775" s="1982">
        <v>10100000000</v>
      </c>
      <c r="H775" s="1982">
        <v>11800000000000</v>
      </c>
      <c r="I775" s="1983">
        <v>5260000000</v>
      </c>
      <c r="J775" s="1407"/>
      <c r="K775" s="1431">
        <f t="shared" ref="K775:K782" si="102">(32800000000/G775)*F775</f>
        <v>6365148514851.4854</v>
      </c>
      <c r="L775" s="1407"/>
      <c r="M775" s="1407"/>
      <c r="N775" s="1407"/>
      <c r="O775" s="1407"/>
      <c r="P775" s="1407"/>
      <c r="Q775" s="1407"/>
      <c r="R775" s="1407"/>
      <c r="S775" s="1407"/>
      <c r="T775" s="1407"/>
      <c r="U775" s="1407"/>
    </row>
    <row r="776" spans="1:21" ht="12">
      <c r="A776" s="639" t="s">
        <v>4200</v>
      </c>
      <c r="B776" s="1483">
        <v>42509</v>
      </c>
      <c r="C776" s="639" t="s">
        <v>881</v>
      </c>
      <c r="D776" s="1433" t="s">
        <v>4202</v>
      </c>
      <c r="E776" s="1850">
        <v>42508</v>
      </c>
      <c r="F776" s="1406">
        <v>14300000000000</v>
      </c>
      <c r="G776" s="1982">
        <v>10100000000</v>
      </c>
      <c r="H776" s="1982">
        <v>11800000000000</v>
      </c>
      <c r="I776" s="1983">
        <v>5260000000</v>
      </c>
      <c r="J776" s="1407"/>
      <c r="K776" s="1431">
        <f t="shared" si="102"/>
        <v>46439603960396.039</v>
      </c>
      <c r="L776" s="1407"/>
      <c r="M776" s="1407"/>
      <c r="N776" s="1407"/>
      <c r="O776" s="1407"/>
      <c r="P776" s="1407"/>
      <c r="Q776" s="1407"/>
      <c r="R776" s="1407"/>
      <c r="S776" s="1407"/>
      <c r="T776" s="1407"/>
      <c r="U776" s="1407"/>
    </row>
    <row r="777" spans="1:21" ht="12">
      <c r="A777" s="639" t="s">
        <v>4200</v>
      </c>
      <c r="B777" s="1483">
        <v>42509</v>
      </c>
      <c r="C777" s="639" t="s">
        <v>881</v>
      </c>
      <c r="D777" s="1433" t="s">
        <v>4203</v>
      </c>
      <c r="E777" s="1850">
        <v>42508</v>
      </c>
      <c r="F777" s="1406">
        <v>55000000000000</v>
      </c>
      <c r="G777" s="1982">
        <v>10100000000</v>
      </c>
      <c r="H777" s="1982">
        <v>11800000000000</v>
      </c>
      <c r="I777" s="1983">
        <v>5260000000</v>
      </c>
      <c r="J777" s="1407"/>
      <c r="K777" s="1431">
        <f t="shared" si="102"/>
        <v>178613861386138.62</v>
      </c>
      <c r="L777" s="1407"/>
      <c r="M777" s="1407"/>
      <c r="N777" s="1407"/>
      <c r="O777" s="1407"/>
      <c r="P777" s="1407"/>
      <c r="Q777" s="1407"/>
      <c r="R777" s="1407"/>
      <c r="S777" s="1407"/>
      <c r="T777" s="1407"/>
      <c r="U777" s="1407"/>
    </row>
    <row r="778" spans="1:21" ht="12">
      <c r="A778" s="639" t="s">
        <v>4200</v>
      </c>
      <c r="B778" s="1483">
        <v>42509</v>
      </c>
      <c r="C778" s="639" t="s">
        <v>881</v>
      </c>
      <c r="D778" s="1433" t="s">
        <v>4204</v>
      </c>
      <c r="E778" s="1850">
        <v>42508</v>
      </c>
      <c r="F778" s="1406">
        <v>49600000000000</v>
      </c>
      <c r="G778" s="1982">
        <v>10100000000</v>
      </c>
      <c r="H778" s="1982">
        <v>11800000000000</v>
      </c>
      <c r="I778" s="1983">
        <v>5260000000</v>
      </c>
      <c r="J778" s="1407"/>
      <c r="K778" s="1431">
        <f t="shared" si="102"/>
        <v>161077227722772.28</v>
      </c>
      <c r="L778" s="1407"/>
      <c r="M778" s="1407"/>
      <c r="N778" s="1407"/>
      <c r="O778" s="1407"/>
      <c r="P778" s="1407"/>
      <c r="Q778" s="1407"/>
      <c r="R778" s="1407"/>
      <c r="S778" s="1407"/>
      <c r="T778" s="1407"/>
      <c r="U778" s="1407"/>
    </row>
    <row r="779" spans="1:21" ht="12">
      <c r="A779" s="639" t="s">
        <v>4200</v>
      </c>
      <c r="B779" s="1483">
        <v>42509</v>
      </c>
      <c r="C779" s="639" t="s">
        <v>881</v>
      </c>
      <c r="D779" s="1433" t="s">
        <v>4205</v>
      </c>
      <c r="E779" s="1850">
        <v>42508</v>
      </c>
      <c r="F779" s="1406">
        <v>19500000000000</v>
      </c>
      <c r="G779" s="1982">
        <v>10100000000</v>
      </c>
      <c r="H779" s="1982">
        <v>11800000000000</v>
      </c>
      <c r="I779" s="1983">
        <v>5260000000</v>
      </c>
      <c r="J779" s="1407"/>
      <c r="K779" s="1431">
        <f t="shared" si="102"/>
        <v>63326732673267.328</v>
      </c>
      <c r="L779" s="1407"/>
      <c r="M779" s="1407"/>
      <c r="N779" s="1407"/>
      <c r="O779" s="1407"/>
      <c r="P779" s="1407"/>
      <c r="Q779" s="1407"/>
      <c r="R779" s="1407"/>
      <c r="S779" s="1407"/>
      <c r="T779" s="1407"/>
      <c r="U779" s="1407"/>
    </row>
    <row r="780" spans="1:21" ht="12">
      <c r="A780" s="639" t="s">
        <v>4200</v>
      </c>
      <c r="B780" s="1483">
        <v>42509</v>
      </c>
      <c r="C780" s="639" t="s">
        <v>881</v>
      </c>
      <c r="D780" s="1433" t="s">
        <v>4206</v>
      </c>
      <c r="E780" s="1850">
        <v>42508</v>
      </c>
      <c r="F780" s="1406">
        <v>60300000000000</v>
      </c>
      <c r="G780" s="1982">
        <v>10100000000</v>
      </c>
      <c r="H780" s="1982">
        <v>11800000000000</v>
      </c>
      <c r="I780" s="1983">
        <v>5260000000</v>
      </c>
      <c r="J780" s="1407"/>
      <c r="K780" s="1431">
        <f t="shared" si="102"/>
        <v>195825742574257.44</v>
      </c>
      <c r="L780" s="1407"/>
      <c r="M780" s="1407"/>
      <c r="N780" s="1407"/>
      <c r="O780" s="1407"/>
      <c r="P780" s="1407"/>
      <c r="Q780" s="1407"/>
      <c r="R780" s="1407"/>
      <c r="S780" s="1407"/>
      <c r="T780" s="1407"/>
      <c r="U780" s="1407"/>
    </row>
    <row r="781" spans="1:21" ht="12">
      <c r="A781" s="639" t="s">
        <v>4200</v>
      </c>
      <c r="B781" s="1483">
        <v>42509</v>
      </c>
      <c r="C781" s="639" t="s">
        <v>881</v>
      </c>
      <c r="D781" s="1433" t="s">
        <v>4207</v>
      </c>
      <c r="E781" s="1850">
        <v>42508</v>
      </c>
      <c r="F781" s="1406">
        <v>141000000000000</v>
      </c>
      <c r="G781" s="1982">
        <v>10100000000</v>
      </c>
      <c r="H781" s="1982">
        <v>11800000000000</v>
      </c>
      <c r="I781" s="1983">
        <v>5260000000</v>
      </c>
      <c r="J781" s="1407"/>
      <c r="K781" s="1431">
        <f t="shared" si="102"/>
        <v>457900990099009.94</v>
      </c>
      <c r="L781" s="1407"/>
      <c r="M781" s="1407"/>
      <c r="N781" s="1407"/>
      <c r="O781" s="1407"/>
      <c r="P781" s="1407"/>
      <c r="Q781" s="1407"/>
      <c r="R781" s="1407"/>
      <c r="S781" s="1407"/>
      <c r="T781" s="1407"/>
      <c r="U781" s="1407"/>
    </row>
    <row r="782" spans="1:21" ht="12">
      <c r="A782" s="639" t="s">
        <v>4200</v>
      </c>
      <c r="B782" s="1483">
        <v>42509</v>
      </c>
      <c r="C782" s="639" t="s">
        <v>881</v>
      </c>
      <c r="D782" s="1433" t="s">
        <v>4208</v>
      </c>
      <c r="E782" s="1850">
        <v>42508</v>
      </c>
      <c r="F782" s="1406">
        <v>596000000000000</v>
      </c>
      <c r="G782" s="1982">
        <v>10100000000</v>
      </c>
      <c r="H782" s="1982">
        <v>11800000000000</v>
      </c>
      <c r="I782" s="1983">
        <v>5260000000</v>
      </c>
      <c r="J782" s="1407"/>
      <c r="K782" s="1431">
        <f t="shared" si="102"/>
        <v>1935524752475247.8</v>
      </c>
      <c r="L782" s="1407"/>
      <c r="M782" s="1407"/>
      <c r="N782" s="1407"/>
      <c r="O782" s="1407"/>
      <c r="P782" s="1407"/>
      <c r="Q782" s="1407"/>
      <c r="R782" s="1407"/>
      <c r="S782" s="1407"/>
      <c r="T782" s="1407"/>
      <c r="U782" s="1407"/>
    </row>
    <row r="783" spans="1:21" ht="12">
      <c r="A783" s="1407"/>
      <c r="B783" s="1407"/>
      <c r="C783" s="1407"/>
      <c r="D783" s="1844"/>
      <c r="E783" s="1407"/>
      <c r="F783" s="1416"/>
      <c r="G783" s="1407"/>
      <c r="H783" s="1407"/>
      <c r="I783" s="1407"/>
      <c r="J783" s="1407"/>
      <c r="K783" s="1407"/>
      <c r="L783" s="1407"/>
      <c r="M783" s="1407"/>
      <c r="N783" s="1407"/>
      <c r="O783" s="1407"/>
      <c r="P783" s="1407"/>
      <c r="Q783" s="1407"/>
      <c r="R783" s="1407"/>
      <c r="S783" s="1407"/>
      <c r="T783" s="1407"/>
      <c r="U783" s="1407"/>
    </row>
    <row r="784" spans="1:21" ht="12">
      <c r="A784" s="639" t="s">
        <v>4209</v>
      </c>
      <c r="B784" s="1483">
        <v>42515</v>
      </c>
      <c r="C784" s="639" t="s">
        <v>3212</v>
      </c>
      <c r="D784" s="1831" t="s">
        <v>4210</v>
      </c>
      <c r="E784" s="1483">
        <v>42514</v>
      </c>
      <c r="F784" s="1997">
        <v>936000000000000</v>
      </c>
      <c r="G784" s="1731">
        <v>36800000000</v>
      </c>
      <c r="H784" s="1731">
        <v>9340000000000</v>
      </c>
      <c r="I784" s="1731">
        <v>10700000000</v>
      </c>
      <c r="J784" s="1407"/>
      <c r="K784" s="1431">
        <f t="shared" ref="K784:K787" si="103">(32800000000/G784)*F784</f>
        <v>834260869565217.38</v>
      </c>
      <c r="L784" s="1407"/>
      <c r="M784" s="1407"/>
      <c r="N784" s="1407"/>
      <c r="O784" s="1407"/>
      <c r="P784" s="1407"/>
      <c r="Q784" s="1407"/>
      <c r="R784" s="1407"/>
      <c r="S784" s="1407"/>
      <c r="T784" s="1407"/>
      <c r="U784" s="1407"/>
    </row>
    <row r="785" spans="1:21" ht="12">
      <c r="A785" s="639" t="s">
        <v>4209</v>
      </c>
      <c r="B785" s="1483">
        <v>42515</v>
      </c>
      <c r="C785" s="639" t="s">
        <v>3212</v>
      </c>
      <c r="D785" s="1831" t="s">
        <v>4211</v>
      </c>
      <c r="E785" s="1483">
        <v>42514</v>
      </c>
      <c r="F785" s="1997">
        <v>65600000000000</v>
      </c>
      <c r="G785" s="1731">
        <v>36800000000</v>
      </c>
      <c r="H785" s="1731">
        <v>9340000000000</v>
      </c>
      <c r="I785" s="1731">
        <v>10700000000</v>
      </c>
      <c r="J785" s="1407"/>
      <c r="K785" s="1431">
        <f t="shared" si="103"/>
        <v>58469565217391.305</v>
      </c>
      <c r="L785" s="1407"/>
      <c r="M785" s="1407"/>
      <c r="N785" s="1407"/>
      <c r="O785" s="1407"/>
      <c r="P785" s="1407"/>
      <c r="Q785" s="1407"/>
      <c r="R785" s="1407"/>
      <c r="S785" s="1407"/>
      <c r="T785" s="1407"/>
      <c r="U785" s="1407"/>
    </row>
    <row r="786" spans="1:21" ht="12">
      <c r="A786" s="639" t="s">
        <v>4209</v>
      </c>
      <c r="B786" s="1483">
        <v>42515</v>
      </c>
      <c r="C786" s="639" t="s">
        <v>3212</v>
      </c>
      <c r="D786" s="1831" t="s">
        <v>4212</v>
      </c>
      <c r="E786" s="1483">
        <v>42514</v>
      </c>
      <c r="F786" s="1997">
        <v>312000000000000</v>
      </c>
      <c r="G786" s="1731">
        <v>36800000000</v>
      </c>
      <c r="H786" s="1731">
        <v>9340000000000</v>
      </c>
      <c r="I786" s="1731">
        <v>10700000000</v>
      </c>
      <c r="J786" s="1407"/>
      <c r="K786" s="1431">
        <f t="shared" si="103"/>
        <v>278086956521739.12</v>
      </c>
      <c r="L786" s="1407"/>
      <c r="M786" s="1407"/>
      <c r="N786" s="1407"/>
      <c r="O786" s="1407"/>
      <c r="P786" s="1407"/>
      <c r="Q786" s="1407"/>
      <c r="R786" s="1407"/>
      <c r="S786" s="1407"/>
      <c r="T786" s="1407"/>
      <c r="U786" s="1407"/>
    </row>
    <row r="787" spans="1:21" ht="12">
      <c r="A787" s="639" t="s">
        <v>4209</v>
      </c>
      <c r="B787" s="1483">
        <v>42515</v>
      </c>
      <c r="C787" s="639" t="s">
        <v>3212</v>
      </c>
      <c r="D787" s="1831" t="s">
        <v>4213</v>
      </c>
      <c r="E787" s="1483">
        <v>42514</v>
      </c>
      <c r="F787" s="1997">
        <v>547000000000000</v>
      </c>
      <c r="G787" s="1731">
        <v>36800000000</v>
      </c>
      <c r="H787" s="1731">
        <v>9340000000000</v>
      </c>
      <c r="I787" s="1731">
        <v>10700000000</v>
      </c>
      <c r="J787" s="1407"/>
      <c r="K787" s="1431">
        <f t="shared" si="103"/>
        <v>487543478260869.56</v>
      </c>
      <c r="L787" s="1407"/>
      <c r="M787" s="1407"/>
      <c r="N787" s="1407"/>
      <c r="O787" s="1407"/>
      <c r="P787" s="1407"/>
      <c r="Q787" s="1407"/>
      <c r="R787" s="1407"/>
      <c r="S787" s="1407"/>
      <c r="T787" s="1407"/>
      <c r="U787" s="1407"/>
    </row>
    <row r="788" spans="1:21" ht="12">
      <c r="A788" s="1407"/>
      <c r="B788" s="1407"/>
      <c r="C788" s="1407"/>
      <c r="D788" s="1844"/>
      <c r="E788" s="1407"/>
      <c r="F788" s="1495"/>
      <c r="G788" s="1407"/>
      <c r="H788" s="1407"/>
      <c r="I788" s="1407"/>
      <c r="J788" s="1407"/>
      <c r="K788" s="1431"/>
      <c r="L788" s="1407"/>
      <c r="M788" s="1407"/>
      <c r="N788" s="1407"/>
      <c r="O788" s="1407"/>
      <c r="P788" s="1407"/>
      <c r="Q788" s="1407"/>
      <c r="R788" s="1407"/>
      <c r="S788" s="1407"/>
      <c r="T788" s="1407"/>
      <c r="U788" s="1407"/>
    </row>
    <row r="789" spans="1:21" ht="12">
      <c r="A789" s="639" t="s">
        <v>4216</v>
      </c>
      <c r="B789" s="1483">
        <v>42522</v>
      </c>
      <c r="C789" s="639" t="s">
        <v>3212</v>
      </c>
      <c r="D789" s="1831" t="s">
        <v>4217</v>
      </c>
      <c r="E789" s="1483">
        <v>42521</v>
      </c>
      <c r="F789" s="1437">
        <v>106000000000000</v>
      </c>
      <c r="G789" s="1731">
        <v>265000000000</v>
      </c>
      <c r="H789" s="1731">
        <v>18100000000000</v>
      </c>
      <c r="I789" s="1435">
        <v>263000000000</v>
      </c>
      <c r="J789" s="1407"/>
      <c r="K789" s="1431">
        <f t="shared" ref="K789:K793" si="104">(32800000000/G789)*F789</f>
        <v>13120000000000</v>
      </c>
      <c r="L789" s="1407"/>
      <c r="M789" s="1407"/>
      <c r="N789" s="1407"/>
      <c r="O789" s="1407"/>
      <c r="P789" s="1407"/>
      <c r="Q789" s="1407"/>
      <c r="R789" s="1407"/>
      <c r="S789" s="1407"/>
      <c r="T789" s="1407"/>
      <c r="U789" s="1407"/>
    </row>
    <row r="790" spans="1:21" ht="12">
      <c r="A790" s="639" t="s">
        <v>4216</v>
      </c>
      <c r="B790" s="1483">
        <v>42522</v>
      </c>
      <c r="C790" s="639" t="s">
        <v>3212</v>
      </c>
      <c r="D790" s="1831" t="s">
        <v>4218</v>
      </c>
      <c r="E790" s="1483">
        <v>42521</v>
      </c>
      <c r="F790" s="1437">
        <v>44600000000000</v>
      </c>
      <c r="G790" s="1731">
        <v>265000000000</v>
      </c>
      <c r="H790" s="1731">
        <v>18100000000000</v>
      </c>
      <c r="I790" s="1435">
        <v>263000000000</v>
      </c>
      <c r="J790" s="1407"/>
      <c r="K790" s="1431">
        <f t="shared" si="104"/>
        <v>5520301886792.4521</v>
      </c>
      <c r="L790" s="1407"/>
      <c r="M790" s="1407"/>
      <c r="N790" s="1407"/>
      <c r="O790" s="1407"/>
      <c r="P790" s="1407"/>
      <c r="Q790" s="1407"/>
      <c r="R790" s="1407"/>
      <c r="S790" s="1407"/>
      <c r="T790" s="1407"/>
      <c r="U790" s="1407"/>
    </row>
    <row r="791" spans="1:21" ht="12">
      <c r="A791" s="639" t="s">
        <v>4216</v>
      </c>
      <c r="B791" s="1483">
        <v>42522</v>
      </c>
      <c r="C791" s="639" t="s">
        <v>3212</v>
      </c>
      <c r="D791" s="1831" t="s">
        <v>4219</v>
      </c>
      <c r="E791" s="1483">
        <v>42521</v>
      </c>
      <c r="F791" s="1437">
        <v>653000000000000</v>
      </c>
      <c r="G791" s="1731">
        <v>265000000000</v>
      </c>
      <c r="H791" s="1731">
        <v>18100000000000</v>
      </c>
      <c r="I791" s="1435">
        <v>263000000000</v>
      </c>
      <c r="J791" s="1407"/>
      <c r="K791" s="1431">
        <f t="shared" si="104"/>
        <v>80824150943396.219</v>
      </c>
      <c r="L791" s="1407"/>
      <c r="M791" s="1407"/>
      <c r="N791" s="1407"/>
      <c r="O791" s="1407"/>
      <c r="P791" s="1407"/>
      <c r="Q791" s="1407"/>
      <c r="R791" s="1407"/>
      <c r="S791" s="1407"/>
      <c r="T791" s="1407"/>
      <c r="U791" s="1407"/>
    </row>
    <row r="792" spans="1:21" ht="12">
      <c r="A792" s="639" t="s">
        <v>4216</v>
      </c>
      <c r="B792" s="1483">
        <v>42522</v>
      </c>
      <c r="C792" s="639" t="s">
        <v>3212</v>
      </c>
      <c r="D792" s="1831" t="s">
        <v>4220</v>
      </c>
      <c r="E792" s="1483">
        <v>42521</v>
      </c>
      <c r="F792" s="1406">
        <v>689000000000000</v>
      </c>
      <c r="G792" s="1731">
        <v>265000000000</v>
      </c>
      <c r="H792" s="1731">
        <v>18100000000000</v>
      </c>
      <c r="I792" s="1435">
        <v>263000000000</v>
      </c>
      <c r="J792" s="1407"/>
      <c r="K792" s="1431">
        <f t="shared" si="104"/>
        <v>85280000000000</v>
      </c>
      <c r="L792" s="1407"/>
      <c r="M792" s="1407"/>
      <c r="N792" s="1407"/>
      <c r="O792" s="1407"/>
      <c r="P792" s="1407"/>
      <c r="Q792" s="1407"/>
      <c r="R792" s="1407"/>
      <c r="S792" s="1407"/>
      <c r="T792" s="1407"/>
      <c r="U792" s="1407"/>
    </row>
    <row r="793" spans="1:21" ht="12">
      <c r="A793" s="2007" t="s">
        <v>4216</v>
      </c>
      <c r="B793" s="2009">
        <v>42522</v>
      </c>
      <c r="C793" s="2007" t="s">
        <v>3212</v>
      </c>
      <c r="D793" s="2010" t="s">
        <v>4221</v>
      </c>
      <c r="E793" s="2009">
        <v>42521</v>
      </c>
      <c r="F793" s="2011">
        <v>17600000000000</v>
      </c>
      <c r="G793" s="2012">
        <v>265000000000</v>
      </c>
      <c r="H793" s="2012">
        <v>18100000000000</v>
      </c>
      <c r="I793" s="2015">
        <v>263000000000</v>
      </c>
      <c r="J793" s="2017"/>
      <c r="K793" s="2019">
        <f t="shared" si="104"/>
        <v>2178415094339.6226</v>
      </c>
      <c r="L793" s="1407"/>
      <c r="M793" s="1407"/>
      <c r="N793" s="1407"/>
      <c r="O793" s="1407"/>
      <c r="P793" s="1407"/>
      <c r="Q793" s="1407"/>
      <c r="R793" s="1407"/>
      <c r="S793" s="1407"/>
      <c r="T793" s="1407"/>
      <c r="U793" s="1407"/>
    </row>
    <row r="794" spans="1:21" ht="12">
      <c r="A794" s="1407"/>
      <c r="B794" s="1407"/>
      <c r="C794" s="1407"/>
      <c r="D794" s="1844"/>
      <c r="E794" s="1407"/>
      <c r="F794" s="1416"/>
      <c r="G794" s="1407"/>
      <c r="H794" s="1407"/>
      <c r="I794" s="1407"/>
      <c r="J794" s="1407"/>
      <c r="K794" s="1431"/>
      <c r="L794" s="1407"/>
      <c r="M794" s="1407"/>
      <c r="N794" s="1407"/>
      <c r="O794" s="1407"/>
      <c r="P794" s="1407"/>
      <c r="Q794" s="1407"/>
      <c r="R794" s="1407"/>
      <c r="S794" s="1407"/>
      <c r="T794" s="1407"/>
      <c r="U794" s="1407"/>
    </row>
    <row r="795" spans="1:21" ht="12">
      <c r="A795" s="639" t="s">
        <v>4223</v>
      </c>
      <c r="B795" s="2027">
        <v>42530</v>
      </c>
      <c r="C795" s="639" t="s">
        <v>3212</v>
      </c>
      <c r="D795" s="1831" t="s">
        <v>4224</v>
      </c>
      <c r="E795" s="2027">
        <v>42529</v>
      </c>
      <c r="F795" s="1794">
        <v>2580000000000</v>
      </c>
      <c r="G795" s="1438">
        <v>5820000000</v>
      </c>
      <c r="H795" s="1438">
        <v>3820000000000</v>
      </c>
      <c r="I795" s="1438">
        <v>2340000000</v>
      </c>
      <c r="J795" s="1407"/>
      <c r="K795" s="1431">
        <f t="shared" ref="K795:K801" si="105">(32800000000/G795)*F795</f>
        <v>14540206185567.012</v>
      </c>
      <c r="L795" s="1407"/>
      <c r="M795" s="1407"/>
      <c r="N795" s="1407"/>
      <c r="O795" s="1407"/>
      <c r="P795" s="1407"/>
      <c r="Q795" s="1407"/>
      <c r="R795" s="1407"/>
      <c r="S795" s="1407"/>
      <c r="T795" s="1407"/>
      <c r="U795" s="1407"/>
    </row>
    <row r="796" spans="1:21" ht="12">
      <c r="A796" s="639" t="s">
        <v>4223</v>
      </c>
      <c r="B796" s="2027">
        <v>42530</v>
      </c>
      <c r="C796" s="639" t="s">
        <v>3212</v>
      </c>
      <c r="D796" s="1831" t="s">
        <v>4225</v>
      </c>
      <c r="E796" s="2027">
        <v>42529</v>
      </c>
      <c r="F796" s="1794">
        <v>290000000000000</v>
      </c>
      <c r="G796" s="1438">
        <v>5820000000</v>
      </c>
      <c r="H796" s="1438">
        <v>3820000000000</v>
      </c>
      <c r="I796" s="1438">
        <v>2340000000</v>
      </c>
      <c r="J796" s="1407"/>
      <c r="K796" s="1431">
        <f t="shared" si="105"/>
        <v>1634364261168385</v>
      </c>
      <c r="L796" s="1407"/>
      <c r="M796" s="1407"/>
      <c r="N796" s="1407"/>
      <c r="O796" s="1407"/>
      <c r="P796" s="1407"/>
      <c r="Q796" s="1407"/>
      <c r="R796" s="1407"/>
      <c r="S796" s="1407"/>
      <c r="T796" s="1407"/>
      <c r="U796" s="1407"/>
    </row>
    <row r="797" spans="1:21" ht="12">
      <c r="A797" s="639" t="s">
        <v>4223</v>
      </c>
      <c r="B797" s="2027">
        <v>42530</v>
      </c>
      <c r="C797" s="639" t="s">
        <v>3212</v>
      </c>
      <c r="D797" s="1433" t="s">
        <v>4226</v>
      </c>
      <c r="E797" s="2027">
        <v>42529</v>
      </c>
      <c r="F797" s="1794">
        <v>25800000000000</v>
      </c>
      <c r="G797" s="1438">
        <v>5820000000</v>
      </c>
      <c r="H797" s="1438">
        <v>3820000000000</v>
      </c>
      <c r="I797" s="1438">
        <v>2340000000</v>
      </c>
      <c r="J797" s="1407"/>
      <c r="K797" s="1431">
        <f t="shared" si="105"/>
        <v>145402061855670.12</v>
      </c>
      <c r="L797" s="1407"/>
      <c r="M797" s="1407"/>
      <c r="N797" s="1407"/>
      <c r="O797" s="1407"/>
      <c r="P797" s="1407"/>
      <c r="Q797" s="1407"/>
      <c r="R797" s="1407"/>
      <c r="S797" s="1407"/>
      <c r="T797" s="1407"/>
      <c r="U797" s="1407"/>
    </row>
    <row r="798" spans="1:21" ht="12">
      <c r="A798" s="639" t="s">
        <v>4223</v>
      </c>
      <c r="B798" s="2027">
        <v>42530</v>
      </c>
      <c r="C798" s="639" t="s">
        <v>3212</v>
      </c>
      <c r="D798" s="1433" t="s">
        <v>4227</v>
      </c>
      <c r="E798" s="2027">
        <v>42529</v>
      </c>
      <c r="F798" s="1794">
        <v>57300000000000</v>
      </c>
      <c r="G798" s="1438">
        <v>5820000000</v>
      </c>
      <c r="H798" s="1438">
        <v>3820000000000</v>
      </c>
      <c r="I798" s="1438">
        <v>2340000000</v>
      </c>
      <c r="J798" s="1407"/>
      <c r="K798" s="1431">
        <f t="shared" si="105"/>
        <v>322927835051546.44</v>
      </c>
      <c r="L798" s="1407"/>
      <c r="M798" s="1407"/>
      <c r="N798" s="1407"/>
      <c r="O798" s="1407"/>
      <c r="P798" s="1407"/>
      <c r="Q798" s="1407"/>
      <c r="R798" s="1407"/>
      <c r="S798" s="1407"/>
      <c r="T798" s="1407"/>
      <c r="U798" s="1407"/>
    </row>
    <row r="799" spans="1:21" ht="12">
      <c r="A799" s="639" t="s">
        <v>4223</v>
      </c>
      <c r="B799" s="2027">
        <v>42530</v>
      </c>
      <c r="C799" s="639" t="s">
        <v>3212</v>
      </c>
      <c r="D799" s="1433" t="s">
        <v>4228</v>
      </c>
      <c r="E799" s="2027">
        <v>42529</v>
      </c>
      <c r="F799" s="1406">
        <v>14400000000000</v>
      </c>
      <c r="G799" s="1438">
        <v>5820000000</v>
      </c>
      <c r="H799" s="1438">
        <v>3820000000000</v>
      </c>
      <c r="I799" s="1438">
        <v>2340000000</v>
      </c>
      <c r="J799" s="1407"/>
      <c r="K799" s="1431">
        <f t="shared" si="105"/>
        <v>81154639175257.734</v>
      </c>
      <c r="L799" s="1407"/>
      <c r="M799" s="1407"/>
      <c r="N799" s="1407"/>
      <c r="O799" s="1407"/>
      <c r="P799" s="1407"/>
      <c r="Q799" s="1407"/>
      <c r="R799" s="1407"/>
      <c r="S799" s="1407"/>
      <c r="T799" s="1407"/>
      <c r="U799" s="1407"/>
    </row>
    <row r="800" spans="1:21" ht="12">
      <c r="A800" s="639" t="s">
        <v>4223</v>
      </c>
      <c r="B800" s="2027">
        <v>42530</v>
      </c>
      <c r="C800" s="639" t="s">
        <v>3212</v>
      </c>
      <c r="D800" s="1433" t="s">
        <v>4229</v>
      </c>
      <c r="E800" s="2027">
        <v>42529</v>
      </c>
      <c r="F800" s="1406">
        <v>193000000000000</v>
      </c>
      <c r="G800" s="1438">
        <v>5820000000</v>
      </c>
      <c r="H800" s="1438">
        <v>3820000000000</v>
      </c>
      <c r="I800" s="1438">
        <v>2340000000</v>
      </c>
      <c r="J800" s="1407"/>
      <c r="K800" s="1431">
        <f t="shared" si="105"/>
        <v>1087697594501718.2</v>
      </c>
      <c r="L800" s="1407"/>
      <c r="M800" s="1407"/>
      <c r="N800" s="1407"/>
      <c r="O800" s="1407"/>
      <c r="P800" s="1407"/>
      <c r="Q800" s="1407"/>
      <c r="R800" s="1407"/>
      <c r="S800" s="1407"/>
      <c r="T800" s="1407"/>
      <c r="U800" s="1407"/>
    </row>
    <row r="801" spans="1:21" ht="12">
      <c r="A801" s="2007" t="s">
        <v>4223</v>
      </c>
      <c r="B801" s="2035">
        <v>42530</v>
      </c>
      <c r="C801" s="2007" t="s">
        <v>3212</v>
      </c>
      <c r="D801" s="2037" t="s">
        <v>4232</v>
      </c>
      <c r="E801" s="2035">
        <v>42529</v>
      </c>
      <c r="F801" s="2011">
        <v>3540000000000</v>
      </c>
      <c r="G801" s="2039">
        <v>5820000000</v>
      </c>
      <c r="H801" s="2039">
        <v>3820000000000</v>
      </c>
      <c r="I801" s="2039">
        <v>2340000000</v>
      </c>
      <c r="J801" s="2017"/>
      <c r="K801" s="2019">
        <f t="shared" si="105"/>
        <v>19950515463917.527</v>
      </c>
      <c r="L801" s="1407"/>
      <c r="M801" s="1407"/>
      <c r="N801" s="1407"/>
      <c r="O801" s="1407"/>
      <c r="P801" s="1407"/>
      <c r="Q801" s="1407"/>
      <c r="R801" s="1407"/>
      <c r="S801" s="1407"/>
      <c r="T801" s="1407"/>
      <c r="U801" s="1407"/>
    </row>
    <row r="802" spans="1:21" ht="12">
      <c r="A802" s="639"/>
      <c r="B802" s="1483"/>
      <c r="C802" s="639"/>
      <c r="D802" s="1409"/>
      <c r="E802" s="1410"/>
      <c r="F802" s="1416"/>
      <c r="G802" s="1534"/>
      <c r="H802" s="1534"/>
      <c r="I802" s="1428"/>
      <c r="J802" s="1407"/>
      <c r="K802" s="1431"/>
      <c r="L802" s="1407"/>
      <c r="M802" s="1407"/>
      <c r="N802" s="1407"/>
      <c r="O802" s="1407"/>
      <c r="P802" s="1407"/>
      <c r="Q802" s="1407"/>
      <c r="R802" s="1407"/>
      <c r="S802" s="1407"/>
      <c r="T802" s="1407"/>
      <c r="U802" s="1407"/>
    </row>
    <row r="803" spans="1:21" ht="12">
      <c r="A803" s="639" t="s">
        <v>4233</v>
      </c>
      <c r="B803" s="1483">
        <v>42537</v>
      </c>
      <c r="C803" s="639" t="s">
        <v>3212</v>
      </c>
      <c r="D803" s="1433" t="s">
        <v>4224</v>
      </c>
      <c r="E803" s="2027">
        <v>42529</v>
      </c>
      <c r="F803" s="1406">
        <v>2360000000000</v>
      </c>
      <c r="G803" s="1731">
        <v>13000000000</v>
      </c>
      <c r="H803" s="1731">
        <v>455000000000</v>
      </c>
      <c r="I803" s="1731">
        <v>24600000000</v>
      </c>
      <c r="J803" s="1407"/>
      <c r="K803" s="1431">
        <f t="shared" ref="K803:K809" si="106">(32800000000/G803)*F803</f>
        <v>5954461538461.5381</v>
      </c>
      <c r="L803" s="1407"/>
      <c r="M803" s="1407"/>
      <c r="N803" s="1407"/>
      <c r="O803" s="1407"/>
      <c r="P803" s="1407"/>
      <c r="Q803" s="1407"/>
      <c r="R803" s="1407"/>
      <c r="S803" s="1407"/>
      <c r="T803" s="1407"/>
      <c r="U803" s="1407"/>
    </row>
    <row r="804" spans="1:21" ht="12">
      <c r="A804" s="639" t="s">
        <v>4233</v>
      </c>
      <c r="B804" s="1483">
        <v>42537</v>
      </c>
      <c r="C804" s="639" t="s">
        <v>3212</v>
      </c>
      <c r="D804" s="1433" t="s">
        <v>4225</v>
      </c>
      <c r="E804" s="2027">
        <v>42529</v>
      </c>
      <c r="F804" s="1406">
        <v>106000000000000</v>
      </c>
      <c r="G804" s="1438">
        <v>13000000000</v>
      </c>
      <c r="H804" s="1731">
        <v>455000000000</v>
      </c>
      <c r="I804" s="1731">
        <v>24600000000</v>
      </c>
      <c r="J804" s="1407"/>
      <c r="K804" s="1431">
        <f t="shared" si="106"/>
        <v>267446153846153.84</v>
      </c>
      <c r="L804" s="1407"/>
      <c r="M804" s="1407"/>
      <c r="N804" s="1407"/>
      <c r="O804" s="1407"/>
      <c r="P804" s="1407"/>
      <c r="Q804" s="1407"/>
      <c r="R804" s="1407"/>
      <c r="S804" s="1407"/>
      <c r="T804" s="1407"/>
      <c r="U804" s="1407"/>
    </row>
    <row r="805" spans="1:21" ht="12">
      <c r="A805" s="639" t="s">
        <v>4233</v>
      </c>
      <c r="B805" s="1483">
        <v>42537</v>
      </c>
      <c r="C805" s="639" t="s">
        <v>3212</v>
      </c>
      <c r="D805" s="1433" t="s">
        <v>4226</v>
      </c>
      <c r="E805" s="2027">
        <v>42529</v>
      </c>
      <c r="F805" s="1406">
        <v>11300000000000</v>
      </c>
      <c r="G805" s="1438">
        <v>13000000000</v>
      </c>
      <c r="H805" s="1438">
        <v>455000000000</v>
      </c>
      <c r="I805" s="1731">
        <v>24600000000</v>
      </c>
      <c r="J805" s="1407"/>
      <c r="K805" s="1431">
        <f t="shared" si="106"/>
        <v>28510769230769.23</v>
      </c>
      <c r="L805" s="1407"/>
      <c r="M805" s="1407"/>
      <c r="N805" s="1407"/>
      <c r="O805" s="1407"/>
      <c r="P805" s="1407"/>
      <c r="Q805" s="1407"/>
      <c r="R805" s="1407"/>
      <c r="S805" s="1407"/>
      <c r="T805" s="1407"/>
      <c r="U805" s="1407"/>
    </row>
    <row r="806" spans="1:21" ht="12">
      <c r="A806" s="639" t="s">
        <v>4233</v>
      </c>
      <c r="B806" s="1483">
        <v>42537</v>
      </c>
      <c r="C806" s="639" t="s">
        <v>3212</v>
      </c>
      <c r="D806" s="1433" t="s">
        <v>4227</v>
      </c>
      <c r="E806" s="2027">
        <v>42529</v>
      </c>
      <c r="F806" s="1406">
        <v>22100000000000</v>
      </c>
      <c r="G806" s="1438">
        <v>13000000000</v>
      </c>
      <c r="H806" s="1438">
        <v>455000000000</v>
      </c>
      <c r="I806" s="1731">
        <v>24600000000</v>
      </c>
      <c r="J806" s="1407"/>
      <c r="K806" s="1431">
        <f t="shared" si="106"/>
        <v>55760000000000</v>
      </c>
      <c r="L806" s="1407"/>
      <c r="M806" s="1407"/>
      <c r="N806" s="1407"/>
      <c r="O806" s="1407"/>
      <c r="P806" s="1407"/>
      <c r="Q806" s="1407"/>
      <c r="R806" s="1407"/>
      <c r="S806" s="1407"/>
      <c r="T806" s="1407"/>
      <c r="U806" s="1407"/>
    </row>
    <row r="807" spans="1:21" ht="12">
      <c r="A807" s="639" t="s">
        <v>4233</v>
      </c>
      <c r="B807" s="1483">
        <v>42537</v>
      </c>
      <c r="C807" s="639" t="s">
        <v>3212</v>
      </c>
      <c r="D807" s="1433" t="s">
        <v>4228</v>
      </c>
      <c r="E807" s="2027">
        <v>42529</v>
      </c>
      <c r="F807" s="1406">
        <v>7440000000000</v>
      </c>
      <c r="G807" s="1438">
        <v>13000000000</v>
      </c>
      <c r="H807" s="1438">
        <v>455000000000</v>
      </c>
      <c r="I807" s="1731">
        <v>24600000000</v>
      </c>
      <c r="J807" s="1407"/>
      <c r="K807" s="1431">
        <f t="shared" si="106"/>
        <v>18771692307692.309</v>
      </c>
      <c r="L807" s="1407"/>
      <c r="M807" s="1407"/>
      <c r="N807" s="1407"/>
      <c r="O807" s="1407"/>
      <c r="P807" s="1407"/>
      <c r="Q807" s="1407"/>
      <c r="R807" s="1407"/>
      <c r="S807" s="1407"/>
      <c r="T807" s="1407"/>
      <c r="U807" s="1407"/>
    </row>
    <row r="808" spans="1:21" ht="12">
      <c r="A808" s="639" t="s">
        <v>4233</v>
      </c>
      <c r="B808" s="1483">
        <v>42537</v>
      </c>
      <c r="C808" s="639" t="s">
        <v>3212</v>
      </c>
      <c r="D808" s="1433" t="s">
        <v>4229</v>
      </c>
      <c r="E808" s="2027">
        <v>42529</v>
      </c>
      <c r="F808" s="1406">
        <v>71300000000000</v>
      </c>
      <c r="G808" s="1438">
        <v>13000000000</v>
      </c>
      <c r="H808" s="1438">
        <v>455000000000</v>
      </c>
      <c r="I808" s="1731">
        <v>24600000000</v>
      </c>
      <c r="J808" s="1407"/>
      <c r="K808" s="1431">
        <f t="shared" si="106"/>
        <v>179895384615384.62</v>
      </c>
      <c r="L808" s="1407"/>
      <c r="M808" s="1407"/>
      <c r="N808" s="1407"/>
      <c r="O808" s="1407"/>
      <c r="P808" s="1407"/>
      <c r="Q808" s="1407"/>
      <c r="R808" s="1407"/>
      <c r="S808" s="1407"/>
      <c r="T808" s="1407"/>
      <c r="U808" s="1407"/>
    </row>
    <row r="809" spans="1:21" ht="12">
      <c r="A809" s="2007" t="s">
        <v>4233</v>
      </c>
      <c r="B809" s="2009">
        <v>42537</v>
      </c>
      <c r="C809" s="2007" t="s">
        <v>3212</v>
      </c>
      <c r="D809" s="2037" t="s">
        <v>4232</v>
      </c>
      <c r="E809" s="2035">
        <v>42529</v>
      </c>
      <c r="F809" s="2011">
        <v>2270000000000</v>
      </c>
      <c r="G809" s="2039">
        <v>13000000000</v>
      </c>
      <c r="H809" s="2039">
        <v>455000000000</v>
      </c>
      <c r="I809" s="2012">
        <v>24600000000</v>
      </c>
      <c r="J809" s="2017"/>
      <c r="K809" s="2019">
        <f t="shared" si="106"/>
        <v>5727384615384.6152</v>
      </c>
      <c r="L809" s="1407"/>
      <c r="M809" s="1407"/>
      <c r="N809" s="1407"/>
      <c r="O809" s="1407"/>
      <c r="P809" s="1407"/>
      <c r="Q809" s="1407"/>
      <c r="R809" s="1407"/>
      <c r="S809" s="1407"/>
      <c r="T809" s="1407"/>
      <c r="U809" s="1407"/>
    </row>
    <row r="810" spans="1:21" ht="12">
      <c r="A810" s="639"/>
      <c r="B810" s="1483"/>
      <c r="C810" s="639"/>
      <c r="D810" s="1409"/>
      <c r="E810" s="1410"/>
      <c r="F810" s="1416"/>
      <c r="G810" s="1534"/>
      <c r="H810" s="1407"/>
      <c r="I810" s="1428"/>
      <c r="J810" s="1407"/>
      <c r="K810" s="1431"/>
      <c r="L810" s="1407"/>
      <c r="M810" s="1407"/>
      <c r="N810" s="1407"/>
      <c r="O810" s="1407"/>
      <c r="P810" s="1407"/>
      <c r="Q810" s="1407"/>
      <c r="R810" s="1407"/>
      <c r="S810" s="1407"/>
      <c r="T810" s="1407"/>
      <c r="U810" s="1407"/>
    </row>
    <row r="811" spans="1:21" ht="12">
      <c r="A811" s="639" t="s">
        <v>4237</v>
      </c>
      <c r="B811" s="1483">
        <v>42537</v>
      </c>
      <c r="C811" s="639" t="s">
        <v>3212</v>
      </c>
      <c r="D811" s="1433" t="s">
        <v>4238</v>
      </c>
      <c r="E811" s="2049">
        <v>42536</v>
      </c>
      <c r="F811" s="1406">
        <v>27500000000000</v>
      </c>
      <c r="G811" s="1731">
        <v>10300000000</v>
      </c>
      <c r="H811" s="1435">
        <v>1570000000000</v>
      </c>
      <c r="I811" s="1731">
        <v>11400000000</v>
      </c>
      <c r="J811" s="1407"/>
      <c r="K811" s="1431">
        <f t="shared" ref="K811:K815" si="107">(32800000000/G811)*F811</f>
        <v>87572815533980.578</v>
      </c>
      <c r="L811" s="1407"/>
      <c r="M811" s="1407"/>
      <c r="N811" s="1407"/>
      <c r="O811" s="1407"/>
      <c r="P811" s="1407"/>
      <c r="Q811" s="1407"/>
      <c r="R811" s="1407"/>
      <c r="S811" s="1407"/>
      <c r="T811" s="1407"/>
      <c r="U811" s="1407"/>
    </row>
    <row r="812" spans="1:21" ht="12">
      <c r="A812" s="639" t="s">
        <v>4237</v>
      </c>
      <c r="B812" s="1483">
        <v>42537</v>
      </c>
      <c r="C812" s="639" t="s">
        <v>3212</v>
      </c>
      <c r="D812" s="1831" t="s">
        <v>4239</v>
      </c>
      <c r="E812" s="2049">
        <v>42536</v>
      </c>
      <c r="F812" s="1406">
        <v>19400000000000</v>
      </c>
      <c r="G812" s="1731">
        <v>10300000000</v>
      </c>
      <c r="H812" s="1435">
        <v>1570000000000</v>
      </c>
      <c r="I812" s="1731">
        <v>11400000000</v>
      </c>
      <c r="J812" s="1407"/>
      <c r="K812" s="1431">
        <f t="shared" si="107"/>
        <v>61778640776699.031</v>
      </c>
      <c r="L812" s="1407"/>
      <c r="M812" s="1407"/>
      <c r="N812" s="1407"/>
      <c r="O812" s="1407"/>
      <c r="P812" s="1407"/>
      <c r="Q812" s="1407"/>
      <c r="R812" s="1407"/>
      <c r="S812" s="1407"/>
      <c r="T812" s="1407"/>
      <c r="U812" s="1407"/>
    </row>
    <row r="813" spans="1:21" ht="12">
      <c r="A813" s="639" t="s">
        <v>4237</v>
      </c>
      <c r="B813" s="1483">
        <v>42537</v>
      </c>
      <c r="C813" s="639" t="s">
        <v>3212</v>
      </c>
      <c r="D813" s="1831" t="s">
        <v>4240</v>
      </c>
      <c r="E813" s="2049">
        <v>42536</v>
      </c>
      <c r="F813" s="1406">
        <v>37800000000000</v>
      </c>
      <c r="G813" s="1731">
        <v>10300000000</v>
      </c>
      <c r="H813" s="1435">
        <v>1570000000000</v>
      </c>
      <c r="I813" s="1731">
        <v>11400000000</v>
      </c>
      <c r="J813" s="1407"/>
      <c r="K813" s="1431">
        <f t="shared" si="107"/>
        <v>120372815533980.58</v>
      </c>
      <c r="L813" s="1407"/>
      <c r="M813" s="1407"/>
      <c r="N813" s="1407"/>
      <c r="O813" s="1407"/>
      <c r="P813" s="1407"/>
      <c r="Q813" s="1407"/>
      <c r="R813" s="1407"/>
      <c r="S813" s="1407"/>
      <c r="T813" s="1407"/>
      <c r="U813" s="1407"/>
    </row>
    <row r="814" spans="1:21" ht="12">
      <c r="A814" s="639" t="s">
        <v>4237</v>
      </c>
      <c r="B814" s="1483">
        <v>42537</v>
      </c>
      <c r="C814" s="639" t="s">
        <v>3212</v>
      </c>
      <c r="D814" s="1831" t="s">
        <v>4241</v>
      </c>
      <c r="E814" s="2049">
        <v>42536</v>
      </c>
      <c r="F814" s="1406">
        <v>18800000000000</v>
      </c>
      <c r="G814" s="1731">
        <v>10300000000</v>
      </c>
      <c r="H814" s="1435">
        <v>1570000000000</v>
      </c>
      <c r="I814" s="1731">
        <v>11400000000</v>
      </c>
      <c r="J814" s="1407"/>
      <c r="K814" s="1431">
        <f t="shared" si="107"/>
        <v>59867961165048.539</v>
      </c>
      <c r="L814" s="1407"/>
      <c r="M814" s="1407"/>
      <c r="N814" s="1407"/>
      <c r="O814" s="1407"/>
      <c r="P814" s="1407"/>
      <c r="Q814" s="1407"/>
      <c r="R814" s="1407"/>
      <c r="S814" s="1407"/>
      <c r="T814" s="1407"/>
      <c r="U814" s="1407"/>
    </row>
    <row r="815" spans="1:21" ht="12">
      <c r="A815" s="639" t="s">
        <v>4237</v>
      </c>
      <c r="B815" s="1483">
        <v>42537</v>
      </c>
      <c r="C815" s="639" t="s">
        <v>3212</v>
      </c>
      <c r="D815" s="1831" t="s">
        <v>4242</v>
      </c>
      <c r="E815" s="2049">
        <v>42536</v>
      </c>
      <c r="F815" s="1406">
        <v>179000000000000</v>
      </c>
      <c r="G815" s="1731">
        <v>10300000000</v>
      </c>
      <c r="H815" s="1435">
        <v>1570000000000</v>
      </c>
      <c r="I815" s="1731">
        <v>11400000000</v>
      </c>
      <c r="J815" s="1407"/>
      <c r="K815" s="1431">
        <f t="shared" si="107"/>
        <v>570019417475728.12</v>
      </c>
      <c r="L815" s="1407"/>
      <c r="M815" s="1407"/>
      <c r="N815" s="1407"/>
      <c r="O815" s="1407"/>
      <c r="P815" s="1407"/>
      <c r="Q815" s="1407"/>
      <c r="R815" s="1407"/>
      <c r="S815" s="1407"/>
      <c r="T815" s="1407"/>
      <c r="U815" s="1407"/>
    </row>
    <row r="816" spans="1:21" ht="12">
      <c r="A816" s="639"/>
      <c r="B816" s="1483"/>
      <c r="C816" s="639"/>
      <c r="D816" s="1409"/>
      <c r="E816" s="1410"/>
      <c r="F816" s="1416"/>
      <c r="G816" s="1534"/>
      <c r="H816" s="1407"/>
      <c r="I816" s="1428"/>
      <c r="J816" s="1407"/>
      <c r="K816" s="1431"/>
      <c r="L816" s="1407"/>
      <c r="M816" s="1407"/>
      <c r="N816" s="1407"/>
      <c r="O816" s="1407"/>
      <c r="P816" s="1407"/>
      <c r="Q816" s="1407"/>
      <c r="R816" s="1407"/>
      <c r="S816" s="1407"/>
      <c r="T816" s="1407"/>
      <c r="U816" s="1407"/>
    </row>
    <row r="817" spans="1:21" ht="12">
      <c r="A817" s="639" t="s">
        <v>4243</v>
      </c>
      <c r="B817" s="2049">
        <v>42581</v>
      </c>
      <c r="C817" s="639" t="s">
        <v>2126</v>
      </c>
      <c r="D817" s="1433" t="s">
        <v>4244</v>
      </c>
      <c r="E817" s="2049">
        <v>42581</v>
      </c>
      <c r="F817" s="1416"/>
      <c r="G817" s="1534"/>
      <c r="H817" s="1534"/>
      <c r="I817" s="1428"/>
      <c r="J817" s="5328" t="s">
        <v>4245</v>
      </c>
      <c r="K817" s="1431"/>
      <c r="L817" s="1407"/>
      <c r="M817" s="1407"/>
      <c r="N817" s="1407"/>
      <c r="O817" s="1407"/>
      <c r="P817" s="1407"/>
      <c r="Q817" s="1407"/>
      <c r="R817" s="1407"/>
      <c r="S817" s="1407"/>
      <c r="T817" s="1407"/>
      <c r="U817" s="1407"/>
    </row>
    <row r="818" spans="1:21" ht="12">
      <c r="A818" s="639" t="s">
        <v>4243</v>
      </c>
      <c r="B818" s="2049">
        <v>42581</v>
      </c>
      <c r="C818" s="639" t="s">
        <v>2126</v>
      </c>
      <c r="D818" s="1433" t="s">
        <v>4249</v>
      </c>
      <c r="E818" s="2049">
        <v>42581</v>
      </c>
      <c r="F818" s="1416"/>
      <c r="G818" s="1534"/>
      <c r="H818" s="1534"/>
      <c r="I818" s="1428"/>
      <c r="J818" s="5320"/>
      <c r="K818" s="1431"/>
      <c r="L818" s="1407"/>
      <c r="M818" s="1407"/>
      <c r="N818" s="1407"/>
      <c r="O818" s="1407"/>
      <c r="P818" s="1407"/>
      <c r="Q818" s="1407"/>
      <c r="R818" s="1407"/>
      <c r="S818" s="1407"/>
      <c r="T818" s="1407"/>
      <c r="U818" s="1407"/>
    </row>
    <row r="819" spans="1:21" ht="12">
      <c r="A819" s="639" t="s">
        <v>4243</v>
      </c>
      <c r="B819" s="2049">
        <v>42581</v>
      </c>
      <c r="C819" s="639" t="s">
        <v>2126</v>
      </c>
      <c r="D819" s="1433" t="s">
        <v>4250</v>
      </c>
      <c r="E819" s="2049">
        <v>42581</v>
      </c>
      <c r="F819" s="1416"/>
      <c r="G819" s="1534"/>
      <c r="H819" s="1534"/>
      <c r="I819" s="1428"/>
      <c r="J819" s="5320"/>
      <c r="K819" s="1431"/>
      <c r="L819" s="1407"/>
      <c r="M819" s="1407"/>
      <c r="N819" s="1407"/>
      <c r="O819" s="1407"/>
      <c r="P819" s="1407"/>
      <c r="Q819" s="1407"/>
      <c r="R819" s="1407"/>
      <c r="S819" s="1407"/>
      <c r="T819" s="1407"/>
      <c r="U819" s="1407"/>
    </row>
    <row r="820" spans="1:21" ht="12">
      <c r="A820" s="639" t="s">
        <v>4243</v>
      </c>
      <c r="B820" s="2049">
        <v>42581</v>
      </c>
      <c r="C820" s="639" t="s">
        <v>2126</v>
      </c>
      <c r="D820" s="1433" t="s">
        <v>4251</v>
      </c>
      <c r="E820" s="2049">
        <v>42581</v>
      </c>
      <c r="F820" s="1416"/>
      <c r="G820" s="1534"/>
      <c r="H820" s="1534"/>
      <c r="I820" s="1428"/>
      <c r="J820" s="5320"/>
      <c r="K820" s="1431"/>
      <c r="L820" s="1407"/>
      <c r="M820" s="1407"/>
      <c r="N820" s="1407"/>
      <c r="O820" s="1407"/>
      <c r="P820" s="1407"/>
      <c r="Q820" s="1407"/>
      <c r="R820" s="1407"/>
      <c r="S820" s="1407"/>
      <c r="T820" s="1407"/>
      <c r="U820" s="1407"/>
    </row>
    <row r="821" spans="1:21" ht="12">
      <c r="A821" s="639" t="s">
        <v>4243</v>
      </c>
      <c r="B821" s="2049">
        <v>42581</v>
      </c>
      <c r="C821" s="639" t="s">
        <v>2126</v>
      </c>
      <c r="D821" s="1433" t="s">
        <v>4252</v>
      </c>
      <c r="E821" s="2049">
        <v>42581</v>
      </c>
      <c r="F821" s="1416"/>
      <c r="G821" s="1534"/>
      <c r="H821" s="1534"/>
      <c r="I821" s="1428"/>
      <c r="J821" s="5320"/>
      <c r="K821" s="1431"/>
      <c r="L821" s="1407"/>
      <c r="M821" s="1407"/>
      <c r="N821" s="1407"/>
      <c r="O821" s="1407"/>
      <c r="P821" s="1407"/>
      <c r="Q821" s="1407"/>
      <c r="R821" s="1407"/>
      <c r="S821" s="1407"/>
      <c r="T821" s="1407"/>
      <c r="U821" s="1407"/>
    </row>
    <row r="822" spans="1:21" ht="12">
      <c r="A822" s="639" t="s">
        <v>4243</v>
      </c>
      <c r="B822" s="2049">
        <v>42581</v>
      </c>
      <c r="C822" s="639" t="s">
        <v>2126</v>
      </c>
      <c r="D822" s="1433" t="s">
        <v>4253</v>
      </c>
      <c r="E822" s="2049">
        <v>42581</v>
      </c>
      <c r="F822" s="1416"/>
      <c r="G822" s="1534"/>
      <c r="H822" s="1407"/>
      <c r="I822" s="1428"/>
      <c r="J822" s="5320"/>
      <c r="K822" s="1431"/>
      <c r="L822" s="1407"/>
      <c r="M822" s="1407"/>
      <c r="N822" s="1407"/>
      <c r="O822" s="1407"/>
      <c r="P822" s="1407"/>
      <c r="Q822" s="1407"/>
      <c r="R822" s="1407"/>
      <c r="S822" s="1407"/>
      <c r="T822" s="1407"/>
      <c r="U822" s="1407"/>
    </row>
    <row r="823" spans="1:21" ht="12">
      <c r="A823" s="639" t="s">
        <v>4243</v>
      </c>
      <c r="B823" s="2049">
        <v>42581</v>
      </c>
      <c r="C823" s="639" t="s">
        <v>2126</v>
      </c>
      <c r="D823" s="1433" t="s">
        <v>4254</v>
      </c>
      <c r="E823" s="2049">
        <v>42581</v>
      </c>
      <c r="F823" s="1416"/>
      <c r="G823" s="1534"/>
      <c r="H823" s="1534"/>
      <c r="I823" s="1428"/>
      <c r="J823" s="5320"/>
      <c r="K823" s="1431"/>
      <c r="L823" s="1407"/>
      <c r="M823" s="1407"/>
      <c r="N823" s="1407"/>
      <c r="O823" s="1407"/>
      <c r="P823" s="1407"/>
      <c r="Q823" s="1407"/>
      <c r="R823" s="1407"/>
      <c r="S823" s="1407"/>
      <c r="T823" s="1407"/>
      <c r="U823" s="1407"/>
    </row>
    <row r="824" spans="1:21" ht="12">
      <c r="A824" s="639" t="s">
        <v>4243</v>
      </c>
      <c r="B824" s="2049">
        <v>42581</v>
      </c>
      <c r="C824" s="639" t="s">
        <v>2126</v>
      </c>
      <c r="D824" s="1433" t="s">
        <v>4255</v>
      </c>
      <c r="E824" s="2049">
        <v>42581</v>
      </c>
      <c r="F824" s="1416"/>
      <c r="G824" s="1534"/>
      <c r="H824" s="1534"/>
      <c r="I824" s="1428"/>
      <c r="J824" s="5320"/>
      <c r="K824" s="1431"/>
      <c r="L824" s="1407"/>
      <c r="M824" s="1407"/>
      <c r="N824" s="1407"/>
      <c r="O824" s="1407"/>
      <c r="P824" s="1407"/>
      <c r="Q824" s="1407"/>
      <c r="R824" s="1407"/>
      <c r="S824" s="1407"/>
      <c r="T824" s="1407"/>
      <c r="U824" s="1407"/>
    </row>
    <row r="825" spans="1:21" ht="12">
      <c r="A825" s="639"/>
      <c r="B825" s="1483"/>
      <c r="C825" s="639"/>
      <c r="D825" s="1433"/>
      <c r="E825" s="1410"/>
      <c r="F825" s="1416"/>
      <c r="G825" s="1534"/>
      <c r="H825" s="1534"/>
      <c r="I825" s="1428"/>
      <c r="J825" s="1407"/>
      <c r="K825" s="1431"/>
      <c r="L825" s="1407"/>
      <c r="M825" s="1407"/>
      <c r="N825" s="1407"/>
      <c r="O825" s="1407"/>
      <c r="P825" s="1407"/>
      <c r="Q825" s="1407"/>
      <c r="R825" s="1407"/>
      <c r="S825" s="1407"/>
      <c r="T825" s="1407"/>
      <c r="U825" s="1407"/>
    </row>
    <row r="826" spans="1:21" ht="12">
      <c r="A826" s="639" t="s">
        <v>4256</v>
      </c>
      <c r="B826" s="1483">
        <v>42555</v>
      </c>
      <c r="C826" s="639" t="s">
        <v>881</v>
      </c>
      <c r="D826" s="1433" t="s">
        <v>4244</v>
      </c>
      <c r="E826" s="2049">
        <v>42581</v>
      </c>
      <c r="F826" s="2064">
        <v>18200000000</v>
      </c>
      <c r="G826" s="2065">
        <v>53300000000</v>
      </c>
      <c r="H826" s="2065">
        <v>169000000000000</v>
      </c>
      <c r="I826" s="2067">
        <v>254000000000</v>
      </c>
      <c r="J826" s="2074"/>
      <c r="K826" s="2076"/>
      <c r="L826" s="641" t="s">
        <v>141</v>
      </c>
      <c r="M826" s="1407"/>
      <c r="N826" s="1407"/>
      <c r="O826" s="1407"/>
      <c r="P826" s="1407"/>
      <c r="Q826" s="1407"/>
      <c r="R826" s="1407"/>
      <c r="S826" s="1407"/>
      <c r="T826" s="1407"/>
      <c r="U826" s="1407"/>
    </row>
    <row r="827" spans="1:21" ht="12">
      <c r="A827" s="639" t="s">
        <v>4256</v>
      </c>
      <c r="B827" s="1483">
        <v>42555</v>
      </c>
      <c r="C827" s="639" t="s">
        <v>881</v>
      </c>
      <c r="D827" s="1433" t="s">
        <v>4249</v>
      </c>
      <c r="E827" s="2049">
        <v>42581</v>
      </c>
      <c r="F827" s="2064">
        <v>26700000000</v>
      </c>
      <c r="G827" s="2065">
        <v>53300000000</v>
      </c>
      <c r="H827" s="2065">
        <v>169000000000000</v>
      </c>
      <c r="I827" s="2067">
        <v>254000000000</v>
      </c>
      <c r="J827" s="2074"/>
      <c r="K827" s="2076"/>
      <c r="L827" s="641" t="s">
        <v>141</v>
      </c>
      <c r="M827" s="1407"/>
      <c r="N827" s="1407"/>
      <c r="O827" s="1407"/>
      <c r="P827" s="1407"/>
      <c r="Q827" s="1407"/>
      <c r="R827" s="1407"/>
      <c r="S827" s="1407"/>
      <c r="T827" s="1407"/>
      <c r="U827" s="1407"/>
    </row>
    <row r="828" spans="1:21" ht="12">
      <c r="A828" s="639" t="s">
        <v>4256</v>
      </c>
      <c r="B828" s="1483">
        <v>42555</v>
      </c>
      <c r="C828" s="639" t="s">
        <v>881</v>
      </c>
      <c r="D828" s="1433" t="s">
        <v>4250</v>
      </c>
      <c r="E828" s="2049">
        <v>42581</v>
      </c>
      <c r="F828" s="2064">
        <v>17000000000</v>
      </c>
      <c r="G828" s="2065">
        <v>53300000000</v>
      </c>
      <c r="H828" s="2065">
        <v>169000000000000</v>
      </c>
      <c r="I828" s="2067">
        <v>254000000000</v>
      </c>
      <c r="J828" s="2078"/>
      <c r="K828" s="2076"/>
      <c r="L828" s="641" t="s">
        <v>141</v>
      </c>
      <c r="M828" s="1407"/>
      <c r="N828" s="1407"/>
      <c r="O828" s="1407"/>
      <c r="P828" s="1407"/>
      <c r="Q828" s="1407"/>
      <c r="R828" s="1407"/>
      <c r="S828" s="1407"/>
      <c r="T828" s="1407"/>
      <c r="U828" s="1407"/>
    </row>
    <row r="829" spans="1:21" ht="12">
      <c r="A829" s="639" t="s">
        <v>4256</v>
      </c>
      <c r="B829" s="1483">
        <v>42555</v>
      </c>
      <c r="C829" s="639" t="s">
        <v>881</v>
      </c>
      <c r="D829" s="1433" t="s">
        <v>4251</v>
      </c>
      <c r="E829" s="2049">
        <v>42581</v>
      </c>
      <c r="F829" s="2064">
        <v>66900000000</v>
      </c>
      <c r="G829" s="2065">
        <v>53300000000</v>
      </c>
      <c r="H829" s="2065">
        <v>169000000000000</v>
      </c>
      <c r="I829" s="2067">
        <v>254000000000</v>
      </c>
      <c r="J829" s="2078"/>
      <c r="K829" s="2076"/>
      <c r="L829" s="641" t="s">
        <v>141</v>
      </c>
      <c r="M829" s="1407"/>
      <c r="N829" s="1407"/>
      <c r="O829" s="1407"/>
      <c r="P829" s="1407"/>
      <c r="Q829" s="1407"/>
      <c r="R829" s="1407"/>
      <c r="S829" s="1407"/>
      <c r="T829" s="1407"/>
      <c r="U829" s="1407"/>
    </row>
    <row r="830" spans="1:21" ht="12">
      <c r="A830" s="639" t="s">
        <v>4256</v>
      </c>
      <c r="B830" s="1483">
        <v>42555</v>
      </c>
      <c r="C830" s="639" t="s">
        <v>881</v>
      </c>
      <c r="D830" s="1433" t="s">
        <v>4252</v>
      </c>
      <c r="E830" s="2049">
        <v>42581</v>
      </c>
      <c r="F830" s="2080">
        <v>6420000000000</v>
      </c>
      <c r="G830" s="1982">
        <v>53300000000</v>
      </c>
      <c r="H830" s="1982">
        <v>169000000000000</v>
      </c>
      <c r="I830" s="1983">
        <v>254000000000</v>
      </c>
      <c r="J830" s="1407"/>
      <c r="K830" s="1431">
        <f t="shared" ref="K830:K833" si="108">(32800000000/G830)*F830</f>
        <v>3950769230769.231</v>
      </c>
      <c r="L830" s="1407"/>
      <c r="M830" s="1407"/>
      <c r="N830" s="1407"/>
      <c r="O830" s="1407"/>
      <c r="P830" s="1407"/>
      <c r="Q830" s="1407"/>
      <c r="R830" s="1407"/>
      <c r="S830" s="1407"/>
      <c r="T830" s="1407"/>
      <c r="U830" s="1407"/>
    </row>
    <row r="831" spans="1:21" ht="12">
      <c r="A831" s="639" t="s">
        <v>4256</v>
      </c>
      <c r="B831" s="1483">
        <v>42555</v>
      </c>
      <c r="C831" s="639" t="s">
        <v>881</v>
      </c>
      <c r="D831" s="1433" t="s">
        <v>4253</v>
      </c>
      <c r="E831" s="2049">
        <v>42581</v>
      </c>
      <c r="F831" s="2080">
        <v>9170000000000</v>
      </c>
      <c r="G831" s="1982">
        <v>53300000000</v>
      </c>
      <c r="H831" s="1982">
        <v>169000000000000</v>
      </c>
      <c r="I831" s="1983">
        <v>254000000000</v>
      </c>
      <c r="J831" s="1407"/>
      <c r="K831" s="1431">
        <f t="shared" si="108"/>
        <v>5643076923076.9238</v>
      </c>
      <c r="L831" s="1407"/>
      <c r="M831" s="1407"/>
      <c r="N831" s="1407"/>
      <c r="O831" s="1407"/>
      <c r="P831" s="1407"/>
      <c r="Q831" s="1407"/>
      <c r="R831" s="1407"/>
      <c r="S831" s="1407"/>
      <c r="T831" s="1407"/>
      <c r="U831" s="1407"/>
    </row>
    <row r="832" spans="1:21" ht="12">
      <c r="A832" s="639" t="s">
        <v>4256</v>
      </c>
      <c r="B832" s="1483">
        <v>42555</v>
      </c>
      <c r="C832" s="639" t="s">
        <v>881</v>
      </c>
      <c r="D832" s="1433" t="s">
        <v>4254</v>
      </c>
      <c r="E832" s="2049">
        <v>42581</v>
      </c>
      <c r="F832" s="2080">
        <v>1.57E+16</v>
      </c>
      <c r="G832" s="1982">
        <v>53300000000</v>
      </c>
      <c r="H832" s="1982">
        <v>169000000000000</v>
      </c>
      <c r="I832" s="1983">
        <v>254000000000</v>
      </c>
      <c r="J832" s="1407"/>
      <c r="K832" s="1431">
        <f t="shared" si="108"/>
        <v>9661538461538462</v>
      </c>
      <c r="L832" s="1407"/>
      <c r="M832" s="1407"/>
      <c r="N832" s="1407"/>
      <c r="O832" s="1407"/>
      <c r="P832" s="1407"/>
      <c r="Q832" s="1407"/>
      <c r="R832" s="1407"/>
      <c r="S832" s="1407"/>
      <c r="T832" s="1407"/>
      <c r="U832" s="1407"/>
    </row>
    <row r="833" spans="1:21" ht="12">
      <c r="A833" s="639" t="s">
        <v>4256</v>
      </c>
      <c r="B833" s="1483">
        <v>42555</v>
      </c>
      <c r="C833" s="639" t="s">
        <v>881</v>
      </c>
      <c r="D833" s="1433" t="s">
        <v>4255</v>
      </c>
      <c r="E833" s="2049">
        <v>42581</v>
      </c>
      <c r="F833" s="2080">
        <v>1.8E+16</v>
      </c>
      <c r="G833" s="1982">
        <v>53300000000</v>
      </c>
      <c r="H833" s="1982">
        <v>169000000000000</v>
      </c>
      <c r="I833" s="1983">
        <v>254000000000</v>
      </c>
      <c r="J833" s="1407"/>
      <c r="K833" s="1431">
        <f t="shared" si="108"/>
        <v>1.1076923076923078E+16</v>
      </c>
      <c r="L833" s="1407"/>
      <c r="M833" s="1407"/>
      <c r="N833" s="1407"/>
      <c r="O833" s="1407"/>
      <c r="P833" s="1407"/>
      <c r="Q833" s="1407"/>
      <c r="R833" s="1407"/>
      <c r="S833" s="1407"/>
      <c r="T833" s="1407"/>
      <c r="U833" s="1407"/>
    </row>
    <row r="834" spans="1:21" ht="12">
      <c r="A834" s="639"/>
      <c r="B834" s="1483"/>
      <c r="C834" s="639"/>
      <c r="D834" s="1409"/>
      <c r="E834" s="1410"/>
      <c r="F834" s="1416"/>
      <c r="G834" s="639"/>
      <c r="H834" s="1534"/>
      <c r="I834" s="1983"/>
      <c r="J834" s="1407"/>
      <c r="K834" s="1431"/>
      <c r="L834" s="1407"/>
      <c r="M834" s="1407"/>
      <c r="N834" s="1407"/>
      <c r="O834" s="1407"/>
      <c r="P834" s="1407"/>
      <c r="Q834" s="1407"/>
      <c r="R834" s="1407"/>
      <c r="S834" s="1407"/>
      <c r="T834" s="1407"/>
      <c r="U834" s="1407"/>
    </row>
    <row r="835" spans="1:21" ht="12">
      <c r="A835" s="639" t="s">
        <v>4259</v>
      </c>
      <c r="B835" s="1483">
        <v>42558</v>
      </c>
      <c r="C835" s="639" t="s">
        <v>3212</v>
      </c>
      <c r="D835" s="1433" t="s">
        <v>4260</v>
      </c>
      <c r="E835" s="2049">
        <v>42558</v>
      </c>
      <c r="F835" s="1406">
        <v>476000000000</v>
      </c>
      <c r="G835" s="1731">
        <v>95900000000</v>
      </c>
      <c r="H835" s="1731">
        <v>4730000000000</v>
      </c>
      <c r="I835" s="2085">
        <v>54700000000</v>
      </c>
      <c r="J835" s="639" t="s">
        <v>4262</v>
      </c>
      <c r="K835" s="1431">
        <f t="shared" ref="K835:K841" si="109">(32800000000/G835)*F835</f>
        <v>162802919708.02921</v>
      </c>
      <c r="L835" s="2087" t="s">
        <v>4263</v>
      </c>
      <c r="M835" s="1407"/>
      <c r="N835" s="1407"/>
      <c r="O835" s="1407"/>
      <c r="P835" s="1407"/>
      <c r="Q835" s="1407"/>
      <c r="R835" s="1407"/>
      <c r="S835" s="1407"/>
      <c r="T835" s="1407"/>
      <c r="U835" s="1407"/>
    </row>
    <row r="836" spans="1:21" ht="12">
      <c r="A836" s="639" t="s">
        <v>4259</v>
      </c>
      <c r="B836" s="1483">
        <v>42558</v>
      </c>
      <c r="C836" s="639" t="s">
        <v>3212</v>
      </c>
      <c r="D836" s="1433" t="s">
        <v>4264</v>
      </c>
      <c r="E836" s="2049">
        <v>42558</v>
      </c>
      <c r="F836" s="1406">
        <v>1590000000000</v>
      </c>
      <c r="G836" s="1731">
        <v>95900000000</v>
      </c>
      <c r="H836" s="1731">
        <v>4730000000000</v>
      </c>
      <c r="I836" s="2085">
        <v>54700000000</v>
      </c>
      <c r="J836" s="639" t="s">
        <v>4262</v>
      </c>
      <c r="K836" s="1431">
        <f t="shared" si="109"/>
        <v>543816475495.30768</v>
      </c>
      <c r="L836" s="1407"/>
      <c r="M836" s="1407"/>
      <c r="N836" s="1407"/>
      <c r="O836" s="1407"/>
      <c r="P836" s="1407"/>
      <c r="Q836" s="1407"/>
      <c r="R836" s="1407"/>
      <c r="S836" s="1407"/>
      <c r="T836" s="1407"/>
      <c r="U836" s="1407"/>
    </row>
    <row r="837" spans="1:21" ht="12">
      <c r="A837" s="639" t="s">
        <v>4259</v>
      </c>
      <c r="B837" s="1483">
        <v>42558</v>
      </c>
      <c r="C837" s="639" t="s">
        <v>3212</v>
      </c>
      <c r="D837" s="1433" t="s">
        <v>4265</v>
      </c>
      <c r="E837" s="2049">
        <v>42558</v>
      </c>
      <c r="F837" s="2089">
        <v>54400000000</v>
      </c>
      <c r="G837" s="1731">
        <v>95900000000</v>
      </c>
      <c r="H837" s="1731">
        <v>4730000000000</v>
      </c>
      <c r="I837" s="2085">
        <v>54700000000</v>
      </c>
      <c r="J837" s="639" t="s">
        <v>4262</v>
      </c>
      <c r="K837" s="2100">
        <f t="shared" si="109"/>
        <v>18606047966.631908</v>
      </c>
      <c r="L837" s="1407"/>
      <c r="M837" s="1407"/>
      <c r="N837" s="1407"/>
      <c r="O837" s="1407"/>
      <c r="P837" s="1407"/>
      <c r="Q837" s="1407"/>
      <c r="R837" s="1407"/>
      <c r="S837" s="1407"/>
      <c r="T837" s="1407"/>
      <c r="U837" s="1407"/>
    </row>
    <row r="838" spans="1:21" ht="12">
      <c r="A838" s="639" t="s">
        <v>4259</v>
      </c>
      <c r="B838" s="1483">
        <v>42558</v>
      </c>
      <c r="C838" s="639" t="s">
        <v>3212</v>
      </c>
      <c r="D838" s="1433" t="s">
        <v>4268</v>
      </c>
      <c r="E838" s="2049">
        <v>42558</v>
      </c>
      <c r="F838" s="1406">
        <v>3490000000000</v>
      </c>
      <c r="G838" s="1731">
        <v>95900000000</v>
      </c>
      <c r="H838" s="1731">
        <v>4730000000000</v>
      </c>
      <c r="I838" s="2085">
        <v>54700000000</v>
      </c>
      <c r="J838" s="639" t="s">
        <v>4262</v>
      </c>
      <c r="K838" s="1431">
        <f t="shared" si="109"/>
        <v>1193660062565.1721</v>
      </c>
      <c r="L838" s="1407"/>
      <c r="M838" s="1407"/>
      <c r="N838" s="1407"/>
      <c r="O838" s="1407"/>
      <c r="P838" s="1407"/>
      <c r="Q838" s="1407"/>
      <c r="R838" s="1407"/>
      <c r="S838" s="1407"/>
      <c r="T838" s="1407"/>
      <c r="U838" s="1407"/>
    </row>
    <row r="839" spans="1:21" ht="12">
      <c r="A839" s="639" t="s">
        <v>4259</v>
      </c>
      <c r="B839" s="1483">
        <v>42558</v>
      </c>
      <c r="C839" s="639" t="s">
        <v>3212</v>
      </c>
      <c r="D839" s="1433" t="s">
        <v>4269</v>
      </c>
      <c r="E839" s="2049">
        <v>42558</v>
      </c>
      <c r="F839" s="1406">
        <v>64000000000000</v>
      </c>
      <c r="G839" s="1731">
        <v>95900000000</v>
      </c>
      <c r="H839" s="1731">
        <v>4730000000000</v>
      </c>
      <c r="I839" s="2085">
        <v>54700000000</v>
      </c>
      <c r="J839" s="639" t="s">
        <v>4262</v>
      </c>
      <c r="K839" s="1431">
        <f t="shared" si="109"/>
        <v>21889468196037.539</v>
      </c>
      <c r="L839" s="1407"/>
      <c r="M839" s="1407"/>
      <c r="N839" s="1407"/>
      <c r="O839" s="1407"/>
      <c r="P839" s="1407"/>
      <c r="Q839" s="1407"/>
      <c r="R839" s="1407"/>
      <c r="S839" s="1407"/>
      <c r="T839" s="1407"/>
      <c r="U839" s="1407"/>
    </row>
    <row r="840" spans="1:21" ht="12">
      <c r="A840" s="639" t="s">
        <v>4259</v>
      </c>
      <c r="B840" s="1483">
        <v>42558</v>
      </c>
      <c r="C840" s="639" t="s">
        <v>3212</v>
      </c>
      <c r="D840" s="1433" t="s">
        <v>4270</v>
      </c>
      <c r="E840" s="2049">
        <v>42558</v>
      </c>
      <c r="F840" s="1406">
        <v>137000000000000</v>
      </c>
      <c r="G840" s="1731">
        <v>95900000000</v>
      </c>
      <c r="H840" s="1731">
        <v>4730000000000</v>
      </c>
      <c r="I840" s="2085">
        <v>54700000000</v>
      </c>
      <c r="J840" s="639" t="s">
        <v>4262</v>
      </c>
      <c r="K840" s="1431">
        <f t="shared" si="109"/>
        <v>46857142857142.859</v>
      </c>
      <c r="L840" s="1407"/>
      <c r="M840" s="1407"/>
      <c r="N840" s="1407"/>
      <c r="O840" s="1407"/>
      <c r="P840" s="1407"/>
      <c r="Q840" s="1407"/>
      <c r="R840" s="1407"/>
      <c r="S840" s="1407"/>
      <c r="T840" s="1407"/>
      <c r="U840" s="1407"/>
    </row>
    <row r="841" spans="1:21" ht="12">
      <c r="A841" s="639" t="s">
        <v>4259</v>
      </c>
      <c r="B841" s="1483">
        <v>42558</v>
      </c>
      <c r="C841" s="639" t="s">
        <v>3212</v>
      </c>
      <c r="D841" s="1433" t="s">
        <v>4271</v>
      </c>
      <c r="E841" s="2049">
        <v>42558</v>
      </c>
      <c r="F841" s="1406">
        <v>135000000000000</v>
      </c>
      <c r="G841" s="1731">
        <v>95900000000</v>
      </c>
      <c r="H841" s="1731">
        <v>4730000000000</v>
      </c>
      <c r="I841" s="2085">
        <v>54700000000</v>
      </c>
      <c r="J841" s="639" t="s">
        <v>4262</v>
      </c>
      <c r="K841" s="1431">
        <f t="shared" si="109"/>
        <v>46173096976016.688</v>
      </c>
      <c r="L841" s="1407"/>
      <c r="M841" s="1407"/>
      <c r="N841" s="1407"/>
      <c r="O841" s="1407"/>
      <c r="P841" s="1407"/>
      <c r="Q841" s="1407"/>
      <c r="R841" s="1407"/>
      <c r="S841" s="1407"/>
      <c r="T841" s="1407"/>
      <c r="U841" s="1407"/>
    </row>
    <row r="842" spans="1:21" ht="12">
      <c r="A842" s="639"/>
      <c r="B842" s="1483"/>
      <c r="C842" s="639"/>
      <c r="D842" s="1409"/>
      <c r="E842" s="2049"/>
      <c r="F842" s="1416"/>
      <c r="G842" s="1534"/>
      <c r="H842" s="1407"/>
      <c r="I842" s="1428"/>
      <c r="J842" s="1407"/>
      <c r="K842" s="1431"/>
      <c r="L842" s="1407"/>
      <c r="M842" s="1407"/>
      <c r="N842" s="1407"/>
      <c r="O842" s="1407"/>
      <c r="P842" s="1407"/>
      <c r="Q842" s="1407"/>
      <c r="R842" s="1407"/>
      <c r="S842" s="1407"/>
      <c r="T842" s="1407"/>
      <c r="U842" s="1407"/>
    </row>
    <row r="843" spans="1:21" ht="12.75" customHeight="1">
      <c r="A843" s="639" t="s">
        <v>4272</v>
      </c>
      <c r="B843" s="1483">
        <v>42559</v>
      </c>
      <c r="C843" s="639" t="s">
        <v>3212</v>
      </c>
      <c r="D843" s="1433" t="s">
        <v>4244</v>
      </c>
      <c r="E843" s="2049">
        <v>42558</v>
      </c>
      <c r="F843" s="641" t="s">
        <v>4273</v>
      </c>
      <c r="G843" s="1731">
        <v>6340000000</v>
      </c>
      <c r="H843" s="1731">
        <v>4870000000000</v>
      </c>
      <c r="I843" s="639" t="s">
        <v>4273</v>
      </c>
      <c r="J843" s="639" t="s">
        <v>4274</v>
      </c>
      <c r="K843" s="1431">
        <f>(32800000000/G843)*G843</f>
        <v>32800000000</v>
      </c>
      <c r="L843" s="1407"/>
      <c r="M843" s="1407"/>
      <c r="N843" s="1407"/>
      <c r="O843" s="1407"/>
      <c r="P843" s="1407"/>
      <c r="Q843" s="1407"/>
      <c r="R843" s="1407"/>
      <c r="S843" s="1407"/>
      <c r="T843" s="1407"/>
      <c r="U843" s="1407"/>
    </row>
    <row r="844" spans="1:21" ht="12.75" customHeight="1">
      <c r="A844" s="639" t="s">
        <v>4272</v>
      </c>
      <c r="B844" s="1483">
        <v>42559</v>
      </c>
      <c r="C844" s="639" t="s">
        <v>3212</v>
      </c>
      <c r="D844" s="1433" t="s">
        <v>4249</v>
      </c>
      <c r="E844" s="2049">
        <v>42558</v>
      </c>
      <c r="F844" s="1406">
        <v>462000000000</v>
      </c>
      <c r="G844" s="1731">
        <v>6340000000</v>
      </c>
      <c r="H844" s="1731">
        <v>4870000000000</v>
      </c>
      <c r="I844" s="639" t="s">
        <v>4273</v>
      </c>
      <c r="J844" s="639" t="s">
        <v>4274</v>
      </c>
      <c r="K844" s="1431">
        <f>(32800000000/G844)*F844</f>
        <v>2390157728706.6245</v>
      </c>
      <c r="L844" s="1407"/>
      <c r="M844" s="1407"/>
      <c r="N844" s="1407"/>
      <c r="O844" s="1407"/>
      <c r="P844" s="1407"/>
      <c r="Q844" s="1407"/>
      <c r="R844" s="1407"/>
      <c r="S844" s="1407"/>
      <c r="T844" s="1407"/>
      <c r="U844" s="1407"/>
    </row>
    <row r="845" spans="1:21" ht="12.75" customHeight="1">
      <c r="A845" s="639" t="s">
        <v>4272</v>
      </c>
      <c r="B845" s="1483">
        <v>42559</v>
      </c>
      <c r="C845" s="639" t="s">
        <v>3212</v>
      </c>
      <c r="D845" s="1433" t="s">
        <v>4250</v>
      </c>
      <c r="E845" s="2049">
        <v>42558</v>
      </c>
      <c r="F845" s="641" t="s">
        <v>4273</v>
      </c>
      <c r="G845" s="1731">
        <v>6340000000</v>
      </c>
      <c r="H845" s="1731">
        <v>4870000000000</v>
      </c>
      <c r="I845" s="639" t="s">
        <v>4273</v>
      </c>
      <c r="J845" s="639" t="s">
        <v>4274</v>
      </c>
      <c r="K845" s="639" t="s">
        <v>4273</v>
      </c>
      <c r="L845" s="1407"/>
      <c r="M845" s="1407"/>
      <c r="N845" s="1407"/>
      <c r="O845" s="1407"/>
      <c r="P845" s="1407"/>
      <c r="Q845" s="1407"/>
      <c r="R845" s="1407"/>
      <c r="S845" s="1407"/>
      <c r="T845" s="1407"/>
      <c r="U845" s="1407"/>
    </row>
    <row r="846" spans="1:21" ht="12.75" customHeight="1">
      <c r="A846" s="639" t="s">
        <v>4272</v>
      </c>
      <c r="B846" s="1483">
        <v>42559</v>
      </c>
      <c r="C846" s="639" t="s">
        <v>3212</v>
      </c>
      <c r="D846" s="1433" t="s">
        <v>4251</v>
      </c>
      <c r="E846" s="2049">
        <v>42558</v>
      </c>
      <c r="F846" s="641" t="s">
        <v>4273</v>
      </c>
      <c r="G846" s="1731">
        <v>6340000000</v>
      </c>
      <c r="H846" s="1731">
        <v>4870000000000</v>
      </c>
      <c r="I846" s="639" t="s">
        <v>4273</v>
      </c>
      <c r="J846" s="639" t="s">
        <v>4274</v>
      </c>
      <c r="K846" s="639" t="s">
        <v>4273</v>
      </c>
      <c r="L846" s="1407"/>
      <c r="M846" s="1407"/>
      <c r="N846" s="1407"/>
      <c r="O846" s="1407"/>
      <c r="P846" s="1407"/>
      <c r="Q846" s="1407"/>
      <c r="R846" s="1407"/>
      <c r="S846" s="1407"/>
      <c r="T846" s="1407"/>
      <c r="U846" s="1407"/>
    </row>
    <row r="847" spans="1:21" ht="12.75" customHeight="1">
      <c r="A847" s="639" t="s">
        <v>4272</v>
      </c>
      <c r="B847" s="1483">
        <v>42559</v>
      </c>
      <c r="C847" s="639" t="s">
        <v>3212</v>
      </c>
      <c r="D847" s="1433" t="s">
        <v>4252</v>
      </c>
      <c r="E847" s="2049">
        <v>42558</v>
      </c>
      <c r="F847" s="1406">
        <v>3050000000000</v>
      </c>
      <c r="G847" s="1731">
        <v>6340000000</v>
      </c>
      <c r="H847" s="1731">
        <v>4870000000000</v>
      </c>
      <c r="I847" s="639" t="s">
        <v>4273</v>
      </c>
      <c r="J847" s="639" t="s">
        <v>4274</v>
      </c>
      <c r="K847" s="1431">
        <f t="shared" ref="K847:K848" si="110">(32800000000/G847)*F847</f>
        <v>15779179810725.551</v>
      </c>
      <c r="L847" s="1407"/>
      <c r="M847" s="1407"/>
      <c r="N847" s="1407"/>
      <c r="O847" s="1407"/>
      <c r="P847" s="1407"/>
      <c r="Q847" s="1407"/>
      <c r="R847" s="1407"/>
      <c r="S847" s="1407"/>
      <c r="T847" s="1407"/>
      <c r="U847" s="1407"/>
    </row>
    <row r="848" spans="1:21" ht="12.75" customHeight="1">
      <c r="A848" s="639" t="s">
        <v>4272</v>
      </c>
      <c r="B848" s="1483">
        <v>42559</v>
      </c>
      <c r="C848" s="639" t="s">
        <v>3212</v>
      </c>
      <c r="D848" s="1433" t="s">
        <v>4253</v>
      </c>
      <c r="E848" s="2049">
        <v>42558</v>
      </c>
      <c r="F848" s="1406">
        <v>1020000000000</v>
      </c>
      <c r="G848" s="1731">
        <v>6340000000</v>
      </c>
      <c r="H848" s="1731">
        <v>4870000000000</v>
      </c>
      <c r="I848" s="639" t="s">
        <v>4273</v>
      </c>
      <c r="J848" s="639" t="s">
        <v>4274</v>
      </c>
      <c r="K848" s="1431">
        <f t="shared" si="110"/>
        <v>5276971608832.8076</v>
      </c>
      <c r="L848" s="1407"/>
      <c r="M848" s="1407"/>
      <c r="N848" s="1407"/>
      <c r="O848" s="1407"/>
      <c r="P848" s="1407"/>
      <c r="Q848" s="1407"/>
      <c r="R848" s="1407"/>
      <c r="S848" s="1407"/>
      <c r="T848" s="1407"/>
      <c r="U848" s="1407"/>
    </row>
    <row r="849" spans="1:21" ht="12.75" customHeight="1">
      <c r="A849" s="639" t="s">
        <v>4272</v>
      </c>
      <c r="B849" s="1483">
        <v>42559</v>
      </c>
      <c r="C849" s="639" t="s">
        <v>3212</v>
      </c>
      <c r="D849" s="1433" t="s">
        <v>4254</v>
      </c>
      <c r="E849" s="2049">
        <v>42558</v>
      </c>
      <c r="F849" s="1406">
        <v>1320000000000000</v>
      </c>
      <c r="G849" s="1731">
        <v>6340000000</v>
      </c>
      <c r="H849" s="1731">
        <v>4870000000000</v>
      </c>
      <c r="I849" s="639" t="s">
        <v>4273</v>
      </c>
      <c r="J849" s="639" t="s">
        <v>4274</v>
      </c>
      <c r="K849" s="1431">
        <f>(32800000000/G849)*H843</f>
        <v>25194952681388.012</v>
      </c>
      <c r="L849" s="1407"/>
      <c r="M849" s="1407"/>
      <c r="N849" s="1407"/>
      <c r="O849" s="1407"/>
      <c r="P849" s="1407"/>
      <c r="Q849" s="1407"/>
      <c r="R849" s="1407"/>
      <c r="S849" s="1407"/>
      <c r="T849" s="1407"/>
      <c r="U849" s="1407"/>
    </row>
    <row r="850" spans="1:21" ht="12.75" customHeight="1">
      <c r="A850" s="639" t="s">
        <v>4272</v>
      </c>
      <c r="B850" s="1483">
        <v>42559</v>
      </c>
      <c r="C850" s="639" t="s">
        <v>3212</v>
      </c>
      <c r="D850" s="1433" t="s">
        <v>4255</v>
      </c>
      <c r="E850" s="2049">
        <v>42558</v>
      </c>
      <c r="F850" s="1406">
        <v>1630000000000000</v>
      </c>
      <c r="G850" s="1731">
        <v>6340000000</v>
      </c>
      <c r="H850" s="1731">
        <v>4870000000000</v>
      </c>
      <c r="I850" s="639" t="s">
        <v>4273</v>
      </c>
      <c r="J850" s="639" t="s">
        <v>4274</v>
      </c>
      <c r="K850" s="1431">
        <f>(32800000000/G850)*F850</f>
        <v>8432807570977918</v>
      </c>
      <c r="L850" s="1407"/>
      <c r="M850" s="1407"/>
      <c r="N850" s="1407"/>
      <c r="O850" s="1407"/>
      <c r="P850" s="1407"/>
      <c r="Q850" s="1407"/>
      <c r="R850" s="1407"/>
      <c r="S850" s="1407"/>
      <c r="T850" s="1407"/>
      <c r="U850" s="1407"/>
    </row>
    <row r="851" spans="1:21" ht="12.75" customHeight="1">
      <c r="A851" s="639"/>
      <c r="B851" s="1483"/>
      <c r="C851" s="639"/>
      <c r="D851" s="1409"/>
      <c r="E851" s="1410"/>
      <c r="F851" s="1416"/>
      <c r="G851" s="1534"/>
      <c r="H851" s="1407"/>
      <c r="I851" s="1428"/>
      <c r="J851" s="1407"/>
      <c r="K851" s="1431"/>
      <c r="L851" s="1407"/>
      <c r="M851" s="1407"/>
      <c r="N851" s="1407"/>
      <c r="O851" s="1407"/>
      <c r="P851" s="1407"/>
      <c r="Q851" s="1407"/>
      <c r="R851" s="1407"/>
      <c r="S851" s="1407"/>
      <c r="T851" s="1407"/>
      <c r="U851" s="1407"/>
    </row>
    <row r="852" spans="1:21" ht="12.75" customHeight="1">
      <c r="A852" s="639" t="s">
        <v>4275</v>
      </c>
      <c r="B852" s="1483">
        <v>42563</v>
      </c>
      <c r="C852" s="639" t="s">
        <v>3212</v>
      </c>
      <c r="D852" s="1433" t="s">
        <v>4244</v>
      </c>
      <c r="E852" s="2049">
        <v>42558</v>
      </c>
      <c r="F852" s="641" t="s">
        <v>4273</v>
      </c>
      <c r="G852" s="639" t="s">
        <v>4273</v>
      </c>
      <c r="H852" s="1731">
        <v>2250000000000</v>
      </c>
      <c r="I852" s="639" t="s">
        <v>4273</v>
      </c>
      <c r="J852" s="639" t="s">
        <v>4276</v>
      </c>
      <c r="K852" s="1431" t="e">
        <f t="shared" ref="K852:K858" si="111">(32800000000/G852)*F852</f>
        <v>#VALUE!</v>
      </c>
      <c r="L852" s="1407"/>
      <c r="M852" s="1407"/>
      <c r="N852" s="1407"/>
      <c r="O852" s="1407"/>
      <c r="P852" s="1407"/>
      <c r="Q852" s="1407"/>
      <c r="R852" s="1407"/>
      <c r="S852" s="1407"/>
      <c r="T852" s="1407"/>
      <c r="U852" s="1407"/>
    </row>
    <row r="853" spans="1:21" ht="12.75" customHeight="1">
      <c r="A853" s="639" t="s">
        <v>4275</v>
      </c>
      <c r="B853" s="1483">
        <v>42563</v>
      </c>
      <c r="C853" s="639" t="s">
        <v>3212</v>
      </c>
      <c r="D853" s="1433" t="s">
        <v>4260</v>
      </c>
      <c r="E853" s="2049">
        <v>42558</v>
      </c>
      <c r="F853" s="1406">
        <v>312000000000</v>
      </c>
      <c r="G853" s="639" t="s">
        <v>4273</v>
      </c>
      <c r="H853" s="1731">
        <v>2250000000000</v>
      </c>
      <c r="I853" s="639" t="s">
        <v>4273</v>
      </c>
      <c r="J853" s="639" t="s">
        <v>4276</v>
      </c>
      <c r="K853" s="1431" t="e">
        <f t="shared" si="111"/>
        <v>#VALUE!</v>
      </c>
      <c r="L853" s="1428">
        <f>N855*F853</f>
        <v>586381402124.04651</v>
      </c>
      <c r="M853" s="1407"/>
      <c r="N853" s="1407"/>
      <c r="O853" s="1407"/>
      <c r="P853" s="1407"/>
      <c r="Q853" s="1407"/>
      <c r="R853" s="1407"/>
      <c r="S853" s="1407"/>
      <c r="T853" s="1407"/>
      <c r="U853" s="1407"/>
    </row>
    <row r="854" spans="1:21" ht="12.75" customHeight="1">
      <c r="A854" s="639" t="s">
        <v>4275</v>
      </c>
      <c r="B854" s="1483">
        <v>42563</v>
      </c>
      <c r="C854" s="639" t="s">
        <v>3212</v>
      </c>
      <c r="D854" s="1433" t="s">
        <v>4264</v>
      </c>
      <c r="E854" s="2049">
        <v>42558</v>
      </c>
      <c r="F854" s="2122">
        <v>677000000000</v>
      </c>
      <c r="G854" s="639" t="s">
        <v>4273</v>
      </c>
      <c r="H854" s="1731">
        <v>2250000000000</v>
      </c>
      <c r="I854" s="639" t="s">
        <v>4273</v>
      </c>
      <c r="J854" s="639" t="s">
        <v>4276</v>
      </c>
      <c r="K854" s="1431" t="e">
        <f t="shared" si="111"/>
        <v>#VALUE!</v>
      </c>
      <c r="L854" s="1428">
        <f>N855*F854</f>
        <v>1272372465506.3445</v>
      </c>
      <c r="M854" s="1407"/>
      <c r="N854" s="1407"/>
      <c r="O854" s="1407"/>
      <c r="P854" s="1407"/>
      <c r="Q854" s="1407"/>
      <c r="R854" s="1407"/>
      <c r="S854" s="1407"/>
      <c r="T854" s="1407"/>
      <c r="U854" s="1407"/>
    </row>
    <row r="855" spans="1:21" ht="12.75" customHeight="1">
      <c r="A855" s="639" t="s">
        <v>4275</v>
      </c>
      <c r="B855" s="1483">
        <v>42563</v>
      </c>
      <c r="C855" s="639" t="s">
        <v>3212</v>
      </c>
      <c r="D855" s="1433" t="s">
        <v>4193</v>
      </c>
      <c r="E855" s="1850">
        <v>42493</v>
      </c>
      <c r="F855" s="2125">
        <v>98300000000000</v>
      </c>
      <c r="G855" s="639" t="s">
        <v>4273</v>
      </c>
      <c r="H855" s="1731">
        <v>2250000000000</v>
      </c>
      <c r="I855" s="639" t="s">
        <v>4273</v>
      </c>
      <c r="J855" s="639" t="s">
        <v>4276</v>
      </c>
      <c r="K855" s="1431" t="e">
        <f t="shared" si="111"/>
        <v>#VALUE!</v>
      </c>
      <c r="L855" s="1407"/>
      <c r="M855" s="1428">
        <f t="shared" ref="M855:M856" si="112">F860/F855</f>
        <v>1.943031536113937</v>
      </c>
      <c r="N855" s="1428">
        <f>(M855+M856)/2</f>
        <v>1.8794275709104056</v>
      </c>
      <c r="O855" s="1407"/>
      <c r="P855" s="1407"/>
      <c r="Q855" s="1407"/>
      <c r="R855" s="1407"/>
      <c r="S855" s="1407"/>
      <c r="T855" s="1407"/>
      <c r="U855" s="1407"/>
    </row>
    <row r="856" spans="1:21" ht="12.75" customHeight="1">
      <c r="A856" s="639" t="s">
        <v>4275</v>
      </c>
      <c r="B856" s="1483">
        <v>42563</v>
      </c>
      <c r="C856" s="639" t="s">
        <v>3212</v>
      </c>
      <c r="D856" s="1433" t="s">
        <v>4194</v>
      </c>
      <c r="E856" s="1850">
        <v>42493</v>
      </c>
      <c r="F856" s="2130">
        <v>7710000000000</v>
      </c>
      <c r="G856" s="639" t="s">
        <v>4273</v>
      </c>
      <c r="H856" s="1731">
        <v>2250000000000</v>
      </c>
      <c r="I856" s="639" t="s">
        <v>4273</v>
      </c>
      <c r="J856" s="639" t="s">
        <v>4276</v>
      </c>
      <c r="K856" s="1431" t="e">
        <f t="shared" si="111"/>
        <v>#VALUE!</v>
      </c>
      <c r="L856" s="1407"/>
      <c r="M856" s="1428">
        <f t="shared" si="112"/>
        <v>1.8158236057068742</v>
      </c>
      <c r="N856" s="1407"/>
      <c r="O856" s="1407"/>
      <c r="P856" s="1407"/>
      <c r="Q856" s="1407"/>
      <c r="R856" s="1407"/>
      <c r="S856" s="1407"/>
      <c r="T856" s="1407"/>
      <c r="U856" s="1407"/>
    </row>
    <row r="857" spans="1:21" ht="12.75" customHeight="1">
      <c r="A857" s="639" t="s">
        <v>4275</v>
      </c>
      <c r="B857" s="1483">
        <v>42563</v>
      </c>
      <c r="C857" s="639" t="s">
        <v>3212</v>
      </c>
      <c r="D857" s="1433" t="s">
        <v>4277</v>
      </c>
      <c r="E857" s="1850">
        <v>42493</v>
      </c>
      <c r="F857" s="2130">
        <v>3770000000000000</v>
      </c>
      <c r="G857" s="639" t="s">
        <v>4273</v>
      </c>
      <c r="H857" s="1731">
        <v>2250000000000</v>
      </c>
      <c r="I857" s="639" t="s">
        <v>4273</v>
      </c>
      <c r="J857" s="639" t="s">
        <v>4278</v>
      </c>
      <c r="K857" s="1431" t="e">
        <f t="shared" si="111"/>
        <v>#VALUE!</v>
      </c>
      <c r="L857" s="1407"/>
      <c r="M857" s="2135">
        <f t="shared" ref="M857:M858" si="113">F857/F860</f>
        <v>19.738219895287958</v>
      </c>
      <c r="N857" s="1428">
        <f>(M857+M858)/2</f>
        <v>37.833395661929693</v>
      </c>
      <c r="O857" s="1407"/>
      <c r="P857" s="1407"/>
      <c r="Q857" s="1407"/>
      <c r="R857" s="1407"/>
      <c r="S857" s="1407"/>
      <c r="T857" s="1407"/>
      <c r="U857" s="1407"/>
    </row>
    <row r="858" spans="1:21" ht="12.75" customHeight="1">
      <c r="A858" s="639" t="s">
        <v>4275</v>
      </c>
      <c r="B858" s="1483">
        <v>42563</v>
      </c>
      <c r="C858" s="639" t="s">
        <v>3212</v>
      </c>
      <c r="D858" s="1433" t="s">
        <v>4279</v>
      </c>
      <c r="E858" s="1850">
        <v>42493</v>
      </c>
      <c r="F858" s="2130">
        <v>783000000000000</v>
      </c>
      <c r="G858" s="639" t="s">
        <v>4273</v>
      </c>
      <c r="H858" s="1731">
        <v>2250000000000</v>
      </c>
      <c r="I858" s="639" t="s">
        <v>4273</v>
      </c>
      <c r="J858" s="639" t="s">
        <v>4278</v>
      </c>
      <c r="K858" s="1431" t="e">
        <f t="shared" si="111"/>
        <v>#VALUE!</v>
      </c>
      <c r="L858" s="1407"/>
      <c r="M858" s="2135">
        <f t="shared" si="113"/>
        <v>55.928571428571431</v>
      </c>
      <c r="N858" s="1407"/>
      <c r="O858" s="1407"/>
      <c r="P858" s="1407"/>
      <c r="Q858" s="1407"/>
      <c r="R858" s="1407"/>
      <c r="S858" s="1407"/>
      <c r="T858" s="1407"/>
      <c r="U858" s="1407"/>
    </row>
    <row r="859" spans="1:21" ht="12">
      <c r="A859" s="639"/>
      <c r="B859" s="1483"/>
      <c r="C859" s="639"/>
      <c r="D859" s="1409"/>
      <c r="E859" s="1410"/>
      <c r="F859" s="1416"/>
      <c r="G859" s="1534"/>
      <c r="H859" s="1407"/>
      <c r="I859" s="1428"/>
      <c r="J859" s="1407"/>
      <c r="K859" s="1431"/>
      <c r="L859" s="1407"/>
      <c r="M859" s="1407"/>
      <c r="N859" s="1407"/>
      <c r="O859" s="1407"/>
      <c r="P859" s="1407"/>
      <c r="Q859" s="1407"/>
      <c r="R859" s="1407"/>
      <c r="S859" s="1407"/>
      <c r="T859" s="1407"/>
      <c r="U859" s="1407"/>
    </row>
    <row r="860" spans="1:21" ht="12">
      <c r="A860" s="2136" t="s">
        <v>4190</v>
      </c>
      <c r="B860" s="2141">
        <v>42500</v>
      </c>
      <c r="C860" s="2136" t="s">
        <v>881</v>
      </c>
      <c r="D860" s="2143" t="s">
        <v>4193</v>
      </c>
      <c r="E860" s="2145">
        <v>42493</v>
      </c>
      <c r="F860" s="2125">
        <v>191000000000000</v>
      </c>
      <c r="G860" s="2147">
        <v>8180000000</v>
      </c>
      <c r="H860" s="2147">
        <v>6030000000000</v>
      </c>
      <c r="I860" s="2148">
        <v>2600000000</v>
      </c>
      <c r="J860" s="2149"/>
      <c r="K860" s="2153">
        <f t="shared" ref="K860:K861" si="114">(32800000000/G860)*F860</f>
        <v>765867970660146.75</v>
      </c>
      <c r="L860" s="2149"/>
      <c r="M860" s="2149"/>
      <c r="N860" s="2149"/>
      <c r="O860" s="2149"/>
      <c r="P860" s="2149"/>
      <c r="Q860" s="2149"/>
      <c r="R860" s="2149"/>
      <c r="S860" s="2149"/>
      <c r="T860" s="2149"/>
      <c r="U860" s="2149"/>
    </row>
    <row r="861" spans="1:21" ht="12">
      <c r="A861" s="2136" t="s">
        <v>4190</v>
      </c>
      <c r="B861" s="2141">
        <v>42500</v>
      </c>
      <c r="C861" s="2136" t="s">
        <v>881</v>
      </c>
      <c r="D861" s="2143" t="s">
        <v>4194</v>
      </c>
      <c r="E861" s="2145">
        <v>42493</v>
      </c>
      <c r="F861" s="2125">
        <v>14000000000000</v>
      </c>
      <c r="G861" s="2147">
        <v>8180000000</v>
      </c>
      <c r="H861" s="2147">
        <v>6030000000000</v>
      </c>
      <c r="I861" s="2148">
        <v>2600000000</v>
      </c>
      <c r="J861" s="2149"/>
      <c r="K861" s="2153">
        <f t="shared" si="114"/>
        <v>56136919315403.43</v>
      </c>
      <c r="L861" s="2149"/>
      <c r="M861" s="2149"/>
      <c r="N861" s="2149"/>
      <c r="O861" s="2149"/>
      <c r="P861" s="2149"/>
      <c r="Q861" s="2149"/>
      <c r="R861" s="2149"/>
      <c r="S861" s="2149"/>
      <c r="T861" s="2149"/>
      <c r="U861" s="2149"/>
    </row>
    <row r="862" spans="1:21" ht="12">
      <c r="A862" s="639"/>
      <c r="B862" s="1483"/>
      <c r="C862" s="639"/>
      <c r="D862" s="1409"/>
      <c r="E862" s="1410"/>
      <c r="F862" s="1416"/>
      <c r="G862" s="1534"/>
      <c r="H862" s="1407"/>
      <c r="I862" s="1428"/>
      <c r="J862" s="1407"/>
      <c r="K862" s="1431"/>
      <c r="L862" s="1407"/>
      <c r="M862" s="1407"/>
      <c r="N862" s="1407"/>
      <c r="O862" s="1407"/>
      <c r="P862" s="1407"/>
      <c r="Q862" s="1407"/>
      <c r="R862" s="1407"/>
      <c r="S862" s="1407"/>
      <c r="T862" s="1407"/>
      <c r="U862" s="1407"/>
    </row>
    <row r="863" spans="1:21" ht="12">
      <c r="A863" s="639" t="s">
        <v>4286</v>
      </c>
      <c r="B863" s="1483">
        <v>42571</v>
      </c>
      <c r="C863" s="639" t="s">
        <v>3212</v>
      </c>
      <c r="D863" s="1433" t="s">
        <v>4193</v>
      </c>
      <c r="E863" s="1850">
        <v>42493</v>
      </c>
      <c r="F863" s="1406">
        <v>697000000000</v>
      </c>
      <c r="G863" s="1731">
        <v>18300000000</v>
      </c>
      <c r="H863" s="1731">
        <v>2160000000000</v>
      </c>
      <c r="I863" s="1731">
        <v>34200000000</v>
      </c>
      <c r="J863" s="1407"/>
      <c r="K863" s="1431">
        <f t="shared" ref="K863:K871" si="115">(32800000000/G863)*F863</f>
        <v>1249267759562.8416</v>
      </c>
      <c r="L863" s="1407"/>
      <c r="M863" s="1407"/>
      <c r="N863" s="1407"/>
      <c r="O863" s="1407"/>
      <c r="P863" s="1407"/>
      <c r="Q863" s="1407"/>
      <c r="R863" s="1407"/>
      <c r="S863" s="1407"/>
      <c r="T863" s="1407"/>
      <c r="U863" s="1407"/>
    </row>
    <row r="864" spans="1:21" ht="12">
      <c r="A864" s="639" t="s">
        <v>4286</v>
      </c>
      <c r="B864" s="1483">
        <v>42571</v>
      </c>
      <c r="C864" s="639" t="s">
        <v>3212</v>
      </c>
      <c r="D864" s="1433" t="s">
        <v>4194</v>
      </c>
      <c r="E864" s="1850">
        <v>42493</v>
      </c>
      <c r="F864" s="1406">
        <v>6400000000000</v>
      </c>
      <c r="G864" s="1731">
        <v>18300000000</v>
      </c>
      <c r="H864" s="1731">
        <v>2160000000000</v>
      </c>
      <c r="I864" s="1731">
        <v>34200000000</v>
      </c>
      <c r="J864" s="1407"/>
      <c r="K864" s="1431">
        <f t="shared" si="115"/>
        <v>11471038251366.121</v>
      </c>
      <c r="L864" s="1407"/>
      <c r="M864" s="1407"/>
      <c r="N864" s="1407"/>
      <c r="O864" s="1407"/>
      <c r="P864" s="1407"/>
      <c r="Q864" s="1407"/>
      <c r="R864" s="1407"/>
      <c r="S864" s="1407"/>
      <c r="T864" s="1407"/>
      <c r="U864" s="1407"/>
    </row>
    <row r="865" spans="1:21" ht="12">
      <c r="A865" s="639" t="s">
        <v>4286</v>
      </c>
      <c r="B865" s="1483">
        <v>42571</v>
      </c>
      <c r="C865" s="639" t="s">
        <v>3212</v>
      </c>
      <c r="D865" s="1433" t="s">
        <v>4287</v>
      </c>
      <c r="E865" s="1927" t="s">
        <v>4288</v>
      </c>
      <c r="F865" s="1406">
        <v>36900000000000</v>
      </c>
      <c r="G865" s="1731">
        <v>18300000000</v>
      </c>
      <c r="H865" s="1731">
        <v>2160000000000</v>
      </c>
      <c r="I865" s="1731">
        <v>34200000000</v>
      </c>
      <c r="J865" s="1407"/>
      <c r="K865" s="1431">
        <f t="shared" si="115"/>
        <v>66137704918032.789</v>
      </c>
      <c r="L865" s="1407"/>
      <c r="M865" s="1407"/>
      <c r="N865" s="1407"/>
      <c r="O865" s="1407"/>
      <c r="P865" s="1407"/>
      <c r="Q865" s="1407"/>
      <c r="R865" s="1407"/>
      <c r="S865" s="1407"/>
      <c r="T865" s="1407"/>
      <c r="U865" s="1407"/>
    </row>
    <row r="866" spans="1:21" ht="12">
      <c r="A866" s="639" t="s">
        <v>4286</v>
      </c>
      <c r="B866" s="1483">
        <v>42571</v>
      </c>
      <c r="C866" s="639" t="s">
        <v>3212</v>
      </c>
      <c r="D866" s="1433" t="s">
        <v>4250</v>
      </c>
      <c r="E866" s="2158">
        <v>42558</v>
      </c>
      <c r="F866" s="1406">
        <v>28100000000</v>
      </c>
      <c r="G866" s="1731">
        <v>18300000000</v>
      </c>
      <c r="H866" s="1731">
        <v>2160000000000</v>
      </c>
      <c r="I866" s="1731">
        <v>34200000000</v>
      </c>
      <c r="J866" s="1407"/>
      <c r="K866" s="1431">
        <f t="shared" si="115"/>
        <v>50365027322.404373</v>
      </c>
      <c r="L866" s="1407"/>
      <c r="M866" s="1407"/>
      <c r="N866" s="1407"/>
      <c r="O866" s="1407"/>
      <c r="P866" s="1407"/>
      <c r="Q866" s="1407"/>
      <c r="R866" s="1407"/>
      <c r="S866" s="1407"/>
      <c r="T866" s="1407"/>
      <c r="U866" s="1407"/>
    </row>
    <row r="867" spans="1:21" ht="12">
      <c r="A867" s="639" t="s">
        <v>4286</v>
      </c>
      <c r="B867" s="1483">
        <v>42571</v>
      </c>
      <c r="C867" s="639" t="s">
        <v>3212</v>
      </c>
      <c r="D867" s="1433" t="s">
        <v>4251</v>
      </c>
      <c r="E867" s="2158">
        <v>42558</v>
      </c>
      <c r="F867" s="1406">
        <v>27700000000</v>
      </c>
      <c r="G867" s="1731">
        <v>18300000000</v>
      </c>
      <c r="H867" s="1731">
        <v>2160000000000</v>
      </c>
      <c r="I867" s="1731">
        <v>34200000000</v>
      </c>
      <c r="J867" s="1407"/>
      <c r="K867" s="1431">
        <f t="shared" si="115"/>
        <v>49648087431.693993</v>
      </c>
      <c r="L867" s="1407"/>
      <c r="M867" s="1407"/>
      <c r="N867" s="1407"/>
      <c r="O867" s="1407"/>
      <c r="P867" s="1407"/>
      <c r="Q867" s="1407"/>
      <c r="R867" s="1407"/>
      <c r="S867" s="1407"/>
      <c r="T867" s="1407"/>
      <c r="U867" s="1407"/>
    </row>
    <row r="868" spans="1:21" ht="12">
      <c r="A868" s="639" t="s">
        <v>4286</v>
      </c>
      <c r="B868" s="1483">
        <v>42571</v>
      </c>
      <c r="C868" s="639" t="s">
        <v>3212</v>
      </c>
      <c r="D868" s="1433" t="s">
        <v>4252</v>
      </c>
      <c r="E868" s="2158">
        <v>42558</v>
      </c>
      <c r="F868" s="1406">
        <v>856000000000</v>
      </c>
      <c r="G868" s="1731">
        <v>18300000000</v>
      </c>
      <c r="H868" s="1731">
        <v>2160000000000</v>
      </c>
      <c r="I868" s="1731">
        <v>34200000000</v>
      </c>
      <c r="J868" s="1407"/>
      <c r="K868" s="1431">
        <f t="shared" si="115"/>
        <v>1534251366120.2185</v>
      </c>
      <c r="L868" s="1407"/>
      <c r="M868" s="1407"/>
      <c r="N868" s="1407"/>
      <c r="O868" s="1407"/>
      <c r="P868" s="1407"/>
      <c r="Q868" s="1407"/>
      <c r="R868" s="1407"/>
      <c r="S868" s="1407"/>
      <c r="T868" s="1407"/>
      <c r="U868" s="1407"/>
    </row>
    <row r="869" spans="1:21" ht="12">
      <c r="A869" s="639" t="s">
        <v>4286</v>
      </c>
      <c r="B869" s="1483">
        <v>42571</v>
      </c>
      <c r="C869" s="639" t="s">
        <v>3212</v>
      </c>
      <c r="D869" s="1433" t="s">
        <v>4253</v>
      </c>
      <c r="E869" s="2158">
        <v>42558</v>
      </c>
      <c r="F869" s="1406">
        <v>488000000000</v>
      </c>
      <c r="G869" s="1731">
        <v>18300000000</v>
      </c>
      <c r="H869" s="1731">
        <v>2160000000000</v>
      </c>
      <c r="I869" s="1731">
        <v>34200000000</v>
      </c>
      <c r="J869" s="1407"/>
      <c r="K869" s="1431">
        <f t="shared" si="115"/>
        <v>874666666666.66663</v>
      </c>
      <c r="L869" s="1407"/>
      <c r="M869" s="1407"/>
      <c r="N869" s="1407"/>
      <c r="O869" s="1407"/>
      <c r="P869" s="1407"/>
      <c r="Q869" s="1407"/>
      <c r="R869" s="1407"/>
      <c r="S869" s="1407"/>
      <c r="T869" s="1407"/>
      <c r="U869" s="1407"/>
    </row>
    <row r="870" spans="1:21" ht="12">
      <c r="A870" s="639" t="s">
        <v>4286</v>
      </c>
      <c r="B870" s="1483">
        <v>42571</v>
      </c>
      <c r="C870" s="639" t="s">
        <v>3212</v>
      </c>
      <c r="D870" s="1433" t="s">
        <v>4254</v>
      </c>
      <c r="E870" s="2158">
        <v>42558</v>
      </c>
      <c r="F870" s="1406">
        <v>358000000000000</v>
      </c>
      <c r="G870" s="1731">
        <v>18300000000</v>
      </c>
      <c r="H870" s="1731">
        <v>2160000000000</v>
      </c>
      <c r="I870" s="1731">
        <v>34200000000</v>
      </c>
      <c r="J870" s="1407"/>
      <c r="K870" s="1431">
        <f t="shared" si="115"/>
        <v>641661202185792.38</v>
      </c>
      <c r="L870" s="1407"/>
      <c r="M870" s="1407"/>
      <c r="N870" s="1407"/>
      <c r="O870" s="1407"/>
      <c r="P870" s="1407"/>
      <c r="Q870" s="1407"/>
      <c r="R870" s="1407"/>
      <c r="S870" s="1407"/>
      <c r="T870" s="1407"/>
      <c r="U870" s="1407"/>
    </row>
    <row r="871" spans="1:21" ht="12">
      <c r="A871" s="639" t="s">
        <v>4286</v>
      </c>
      <c r="B871" s="1483">
        <v>42571</v>
      </c>
      <c r="C871" s="639" t="s">
        <v>3212</v>
      </c>
      <c r="D871" s="1433" t="s">
        <v>4255</v>
      </c>
      <c r="E871" s="2158">
        <v>42558</v>
      </c>
      <c r="F871" s="1406">
        <v>581000000000000</v>
      </c>
      <c r="G871" s="1731">
        <v>18300000000</v>
      </c>
      <c r="H871" s="1731">
        <v>2160000000000</v>
      </c>
      <c r="I871" s="1731">
        <v>34200000000</v>
      </c>
      <c r="J871" s="1407"/>
      <c r="K871" s="1431">
        <f t="shared" si="115"/>
        <v>1041355191256830.6</v>
      </c>
      <c r="L871" s="1407"/>
      <c r="M871" s="1407"/>
      <c r="N871" s="1407"/>
      <c r="O871" s="1407"/>
      <c r="P871" s="1407"/>
      <c r="Q871" s="1407"/>
      <c r="R871" s="1407"/>
      <c r="S871" s="1407"/>
      <c r="T871" s="1407"/>
      <c r="U871" s="1407"/>
    </row>
    <row r="872" spans="1:21" ht="12">
      <c r="A872" s="639"/>
      <c r="B872" s="1483"/>
      <c r="C872" s="639"/>
      <c r="D872" s="1409"/>
      <c r="E872" s="1410"/>
      <c r="F872" s="1416"/>
      <c r="G872" s="1534"/>
      <c r="H872" s="1407"/>
      <c r="I872" s="1428"/>
      <c r="J872" s="1407"/>
      <c r="K872" s="1431"/>
      <c r="L872" s="1407"/>
      <c r="M872" s="1407"/>
      <c r="N872" s="1407"/>
      <c r="O872" s="1407"/>
      <c r="P872" s="1407"/>
      <c r="Q872" s="1407"/>
      <c r="R872" s="1407"/>
      <c r="S872" s="1407"/>
      <c r="T872" s="1407"/>
      <c r="U872" s="1407"/>
    </row>
    <row r="873" spans="1:21" ht="12">
      <c r="A873" s="639" t="s">
        <v>4289</v>
      </c>
      <c r="B873" s="1483">
        <v>42572</v>
      </c>
      <c r="C873" s="639" t="s">
        <v>3212</v>
      </c>
      <c r="D873" s="1433" t="s">
        <v>4193</v>
      </c>
      <c r="E873" s="1850">
        <v>42493</v>
      </c>
      <c r="F873" s="1406">
        <v>39700000000000</v>
      </c>
      <c r="G873" s="1731">
        <v>8190000000</v>
      </c>
      <c r="H873" s="1731">
        <v>1820000000000</v>
      </c>
      <c r="I873" s="1731">
        <v>7970000000</v>
      </c>
      <c r="J873" s="1407"/>
      <c r="K873" s="1431">
        <f t="shared" ref="K873:K881" si="116">(32800000000/G873)*F873</f>
        <v>158993894993895</v>
      </c>
      <c r="L873" s="1407"/>
      <c r="M873" s="1407"/>
      <c r="N873" s="1407"/>
      <c r="O873" s="1407"/>
      <c r="P873" s="1407"/>
      <c r="Q873" s="1407"/>
      <c r="R873" s="1407"/>
      <c r="S873" s="1407"/>
      <c r="T873" s="1407"/>
      <c r="U873" s="1407"/>
    </row>
    <row r="874" spans="1:21" ht="12">
      <c r="A874" s="639" t="s">
        <v>4289</v>
      </c>
      <c r="B874" s="1483">
        <v>42572</v>
      </c>
      <c r="C874" s="639" t="s">
        <v>3212</v>
      </c>
      <c r="D874" s="1433" t="s">
        <v>4194</v>
      </c>
      <c r="E874" s="1850">
        <v>42493</v>
      </c>
      <c r="F874" s="1406">
        <v>6760000000000</v>
      </c>
      <c r="G874" s="1879">
        <v>8190000000</v>
      </c>
      <c r="H874" s="1879">
        <v>1820000000000</v>
      </c>
      <c r="I874" s="1879">
        <v>7970000000</v>
      </c>
      <c r="J874" s="1407"/>
      <c r="K874" s="1431">
        <f t="shared" si="116"/>
        <v>27073015873015.871</v>
      </c>
      <c r="L874" s="1407"/>
      <c r="M874" s="1407"/>
      <c r="N874" s="1407"/>
      <c r="O874" s="1407"/>
      <c r="P874" s="1407"/>
      <c r="Q874" s="1407"/>
      <c r="R874" s="1407"/>
      <c r="S874" s="1407"/>
      <c r="T874" s="1407"/>
      <c r="U874" s="1407"/>
    </row>
    <row r="875" spans="1:21" ht="12">
      <c r="A875" s="639" t="s">
        <v>4289</v>
      </c>
      <c r="B875" s="1483">
        <v>42572</v>
      </c>
      <c r="C875" s="639" t="s">
        <v>3212</v>
      </c>
      <c r="D875" s="1433" t="s">
        <v>4287</v>
      </c>
      <c r="E875" s="1410"/>
      <c r="F875" s="1406">
        <v>34300000000000</v>
      </c>
      <c r="G875" s="1879">
        <v>8190000000</v>
      </c>
      <c r="H875" s="1879">
        <v>1820000000000</v>
      </c>
      <c r="I875" s="1879">
        <v>7970000000</v>
      </c>
      <c r="J875" s="1407"/>
      <c r="K875" s="1431">
        <f t="shared" si="116"/>
        <v>137367521367521.36</v>
      </c>
      <c r="L875" s="1407"/>
      <c r="M875" s="1407"/>
      <c r="N875" s="1407"/>
      <c r="O875" s="1407"/>
      <c r="P875" s="1407"/>
      <c r="Q875" s="1407"/>
      <c r="R875" s="1407"/>
      <c r="S875" s="1407"/>
      <c r="T875" s="1407"/>
      <c r="U875" s="1407"/>
    </row>
    <row r="876" spans="1:21" ht="12">
      <c r="A876" s="639" t="s">
        <v>4289</v>
      </c>
      <c r="B876" s="1483">
        <v>42572</v>
      </c>
      <c r="C876" s="639" t="s">
        <v>3212</v>
      </c>
      <c r="D876" s="1433" t="s">
        <v>4052</v>
      </c>
      <c r="E876" s="1850">
        <v>42426</v>
      </c>
      <c r="F876" s="1406">
        <v>218000000000</v>
      </c>
      <c r="G876" s="1879">
        <v>8190000000</v>
      </c>
      <c r="H876" s="1879">
        <v>1820000000000</v>
      </c>
      <c r="I876" s="1879">
        <v>7970000000</v>
      </c>
      <c r="J876" s="1407"/>
      <c r="K876" s="1431">
        <f t="shared" si="116"/>
        <v>873064713064.71301</v>
      </c>
      <c r="L876" s="1407"/>
      <c r="M876" s="1407"/>
      <c r="N876" s="1407"/>
      <c r="O876" s="1407"/>
      <c r="P876" s="1407"/>
      <c r="Q876" s="1407"/>
      <c r="R876" s="1407"/>
      <c r="S876" s="1407"/>
      <c r="T876" s="1407"/>
      <c r="U876" s="1407"/>
    </row>
    <row r="877" spans="1:21" ht="12">
      <c r="A877" s="639" t="s">
        <v>4289</v>
      </c>
      <c r="B877" s="1483">
        <v>42572</v>
      </c>
      <c r="C877" s="639" t="s">
        <v>3212</v>
      </c>
      <c r="D877" s="1433" t="s">
        <v>4250</v>
      </c>
      <c r="E877" s="2049">
        <v>42558</v>
      </c>
      <c r="F877" s="1406">
        <v>11400000000</v>
      </c>
      <c r="G877" s="1879">
        <v>8190000000</v>
      </c>
      <c r="H877" s="1879">
        <v>1820000000000</v>
      </c>
      <c r="I877" s="1879">
        <v>7970000000</v>
      </c>
      <c r="J877" s="1407"/>
      <c r="K877" s="1431">
        <f t="shared" si="116"/>
        <v>45655677655.677658</v>
      </c>
      <c r="L877" s="1407"/>
      <c r="M877" s="1407"/>
      <c r="N877" s="1407"/>
      <c r="O877" s="1407"/>
      <c r="P877" s="1407"/>
      <c r="Q877" s="1407"/>
      <c r="R877" s="1407"/>
      <c r="S877" s="1407"/>
      <c r="T877" s="1407"/>
      <c r="U877" s="1407"/>
    </row>
    <row r="878" spans="1:21" ht="12">
      <c r="A878" s="639" t="s">
        <v>4289</v>
      </c>
      <c r="B878" s="1483">
        <v>42572</v>
      </c>
      <c r="C878" s="639" t="s">
        <v>3212</v>
      </c>
      <c r="D878" s="1433" t="s">
        <v>4251</v>
      </c>
      <c r="E878" s="2049">
        <v>42558</v>
      </c>
      <c r="F878" s="1406">
        <v>27700000000</v>
      </c>
      <c r="G878" s="1731">
        <v>8190000000</v>
      </c>
      <c r="H878" s="1731">
        <v>1820000000000</v>
      </c>
      <c r="I878" s="1731">
        <v>7970000000</v>
      </c>
      <c r="J878" s="1407"/>
      <c r="K878" s="1431">
        <f t="shared" si="116"/>
        <v>110935286935.28694</v>
      </c>
      <c r="L878" s="1407"/>
      <c r="M878" s="1407"/>
      <c r="N878" s="1407"/>
      <c r="O878" s="1407"/>
      <c r="P878" s="1407"/>
      <c r="Q878" s="1407"/>
      <c r="R878" s="1407"/>
      <c r="S878" s="1407"/>
      <c r="T878" s="1407"/>
      <c r="U878" s="1407"/>
    </row>
    <row r="879" spans="1:21" ht="12">
      <c r="A879" s="639" t="s">
        <v>4289</v>
      </c>
      <c r="B879" s="1483">
        <v>42572</v>
      </c>
      <c r="C879" s="639" t="s">
        <v>3212</v>
      </c>
      <c r="D879" s="1433" t="s">
        <v>4252</v>
      </c>
      <c r="E879" s="2049">
        <v>42558</v>
      </c>
      <c r="F879" s="1406">
        <v>1520000000000</v>
      </c>
      <c r="G879" s="1731">
        <v>8190000000</v>
      </c>
      <c r="H879" s="1731">
        <v>1820000000000</v>
      </c>
      <c r="I879" s="1731">
        <v>7970000000</v>
      </c>
      <c r="J879" s="1407"/>
      <c r="K879" s="1431">
        <f t="shared" si="116"/>
        <v>6087423687423.6875</v>
      </c>
      <c r="L879" s="1407"/>
      <c r="M879" s="1407"/>
      <c r="N879" s="1407"/>
      <c r="O879" s="1407"/>
      <c r="P879" s="1407"/>
      <c r="Q879" s="1407"/>
      <c r="R879" s="1407"/>
      <c r="S879" s="1407"/>
      <c r="T879" s="1407"/>
      <c r="U879" s="1407"/>
    </row>
    <row r="880" spans="1:21" ht="12">
      <c r="A880" s="639" t="s">
        <v>4289</v>
      </c>
      <c r="B880" s="1483">
        <v>42572</v>
      </c>
      <c r="C880" s="639" t="s">
        <v>3212</v>
      </c>
      <c r="D880" s="1433" t="s">
        <v>4253</v>
      </c>
      <c r="E880" s="2049">
        <v>42558</v>
      </c>
      <c r="F880" s="1406">
        <v>748000000000</v>
      </c>
      <c r="G880" s="1731">
        <v>8190000000</v>
      </c>
      <c r="H880" s="1731">
        <v>1820000000000</v>
      </c>
      <c r="I880" s="1731">
        <v>7970000000</v>
      </c>
      <c r="J880" s="1407"/>
      <c r="K880" s="1431">
        <f t="shared" si="116"/>
        <v>2995653235653.2358</v>
      </c>
      <c r="L880" s="1407"/>
      <c r="M880" s="1407"/>
      <c r="N880" s="1407"/>
      <c r="O880" s="1407"/>
      <c r="P880" s="1407"/>
      <c r="Q880" s="1407"/>
      <c r="R880" s="1407"/>
      <c r="S880" s="1407"/>
      <c r="T880" s="1407"/>
      <c r="U880" s="1407"/>
    </row>
    <row r="881" spans="1:21" ht="12">
      <c r="A881" s="639" t="s">
        <v>4289</v>
      </c>
      <c r="B881" s="1483">
        <v>42572</v>
      </c>
      <c r="C881" s="639" t="s">
        <v>3212</v>
      </c>
      <c r="D881" s="1433" t="s">
        <v>4254</v>
      </c>
      <c r="E881" s="2049">
        <v>42558</v>
      </c>
      <c r="F881" s="1406">
        <v>378000000000000</v>
      </c>
      <c r="G881" s="1731">
        <v>8190000000</v>
      </c>
      <c r="H881" s="1731">
        <v>1820000000000</v>
      </c>
      <c r="I881" s="1731">
        <v>7970000000</v>
      </c>
      <c r="J881" s="1407"/>
      <c r="K881" s="1431">
        <f t="shared" si="116"/>
        <v>1513846153846153.8</v>
      </c>
      <c r="L881" s="1407"/>
      <c r="M881" s="1407"/>
      <c r="N881" s="1407"/>
      <c r="O881" s="1407"/>
      <c r="P881" s="1407"/>
      <c r="Q881" s="1407"/>
      <c r="R881" s="1407"/>
      <c r="S881" s="1407"/>
      <c r="T881" s="1407"/>
      <c r="U881" s="1407"/>
    </row>
    <row r="882" spans="1:21" ht="12">
      <c r="A882" s="639"/>
      <c r="B882" s="1483"/>
      <c r="C882" s="639"/>
      <c r="D882" s="1409"/>
      <c r="E882" s="2049"/>
      <c r="F882" s="1416"/>
      <c r="G882" s="1534"/>
      <c r="H882" s="1407"/>
      <c r="I882" s="1428"/>
      <c r="J882" s="1407"/>
      <c r="K882" s="1431"/>
      <c r="L882" s="1407"/>
      <c r="M882" s="1407"/>
      <c r="N882" s="1407"/>
      <c r="O882" s="1407"/>
      <c r="P882" s="1407"/>
      <c r="Q882" s="1407"/>
      <c r="R882" s="1407"/>
      <c r="S882" s="1407"/>
      <c r="T882" s="1407"/>
      <c r="U882" s="1407"/>
    </row>
    <row r="883" spans="1:21" ht="12">
      <c r="A883" s="2168" t="s">
        <v>4292</v>
      </c>
      <c r="B883" s="2169">
        <v>42572</v>
      </c>
      <c r="C883" s="2168" t="s">
        <v>3212</v>
      </c>
      <c r="D883" s="2170" t="s">
        <v>4295</v>
      </c>
      <c r="E883" s="2171">
        <v>42571</v>
      </c>
      <c r="F883" s="2172">
        <v>2690000000000</v>
      </c>
      <c r="G883" s="2173">
        <v>16600000000</v>
      </c>
      <c r="H883" s="2174">
        <v>800000000000</v>
      </c>
      <c r="I883" s="2173">
        <v>9060000000</v>
      </c>
      <c r="J883" s="2175"/>
      <c r="K883" s="2176">
        <f t="shared" ref="K883:K901" si="117">(32800000000/G883)*F883</f>
        <v>5315180722891.5664</v>
      </c>
      <c r="L883" s="1407"/>
      <c r="M883" s="1407"/>
      <c r="N883" s="1407"/>
      <c r="O883" s="1407"/>
      <c r="P883" s="1407"/>
      <c r="Q883" s="1407"/>
      <c r="R883" s="1407"/>
      <c r="S883" s="1407"/>
      <c r="T883" s="1407"/>
      <c r="U883" s="1407"/>
    </row>
    <row r="884" spans="1:21" ht="12">
      <c r="A884" s="639" t="s">
        <v>4292</v>
      </c>
      <c r="B884" s="1483">
        <v>42572</v>
      </c>
      <c r="C884" s="639" t="s">
        <v>3212</v>
      </c>
      <c r="D884" s="1831" t="s">
        <v>4297</v>
      </c>
      <c r="E884" s="2049">
        <v>42571</v>
      </c>
      <c r="F884" s="17">
        <v>6990000000000</v>
      </c>
      <c r="G884" s="2178">
        <v>16600000000</v>
      </c>
      <c r="H884" s="1731">
        <v>800000000000</v>
      </c>
      <c r="I884" s="2178">
        <v>9060000000</v>
      </c>
      <c r="J884" s="1407"/>
      <c r="K884" s="1431">
        <f t="shared" si="117"/>
        <v>13811566265060.24</v>
      </c>
      <c r="L884" s="1407"/>
      <c r="M884" s="1407"/>
      <c r="N884" s="1407"/>
      <c r="O884" s="1407"/>
      <c r="P884" s="1407"/>
      <c r="Q884" s="1407"/>
      <c r="R884" s="1407"/>
      <c r="S884" s="1407"/>
      <c r="T884" s="1407"/>
      <c r="U884" s="1407"/>
    </row>
    <row r="885" spans="1:21" ht="12">
      <c r="A885" s="2179" t="s">
        <v>4292</v>
      </c>
      <c r="B885" s="2180">
        <v>42572</v>
      </c>
      <c r="C885" s="2179" t="s">
        <v>3212</v>
      </c>
      <c r="D885" s="2181" t="s">
        <v>4301</v>
      </c>
      <c r="E885" s="2182">
        <v>42571</v>
      </c>
      <c r="F885" s="2184">
        <v>2040000000000</v>
      </c>
      <c r="G885" s="2186">
        <v>16600000000</v>
      </c>
      <c r="H885" s="2187">
        <v>800000000000</v>
      </c>
      <c r="I885" s="2186">
        <v>9060000000</v>
      </c>
      <c r="J885" s="2188"/>
      <c r="K885" s="2190">
        <f t="shared" si="117"/>
        <v>4030843373493.9756</v>
      </c>
      <c r="L885" s="1407"/>
      <c r="M885" s="1407"/>
      <c r="N885" s="1407"/>
      <c r="O885" s="1407"/>
      <c r="P885" s="1407"/>
      <c r="Q885" s="1407"/>
      <c r="R885" s="1407"/>
      <c r="S885" s="1407"/>
      <c r="T885" s="1407"/>
      <c r="U885" s="1407"/>
    </row>
    <row r="886" spans="1:21" ht="12">
      <c r="A886" s="2179" t="s">
        <v>4292</v>
      </c>
      <c r="B886" s="2180">
        <v>42572</v>
      </c>
      <c r="C886" s="2179" t="s">
        <v>3212</v>
      </c>
      <c r="D886" s="2181" t="s">
        <v>4304</v>
      </c>
      <c r="E886" s="2182">
        <v>42571</v>
      </c>
      <c r="F886" s="2184">
        <v>2070000000000</v>
      </c>
      <c r="G886" s="2186">
        <v>16600000000</v>
      </c>
      <c r="H886" s="2187">
        <v>800000000000</v>
      </c>
      <c r="I886" s="2186">
        <v>9060000000</v>
      </c>
      <c r="J886" s="2188"/>
      <c r="K886" s="2190">
        <f t="shared" si="117"/>
        <v>4090120481927.7104</v>
      </c>
      <c r="L886" s="1407"/>
      <c r="M886" s="1407"/>
      <c r="N886" s="1407"/>
      <c r="O886" s="1407"/>
      <c r="P886" s="1407"/>
      <c r="Q886" s="1407"/>
      <c r="R886" s="1407"/>
      <c r="S886" s="1407"/>
      <c r="T886" s="1407"/>
      <c r="U886" s="1407"/>
    </row>
    <row r="887" spans="1:21" ht="12">
      <c r="A887" s="639" t="s">
        <v>4292</v>
      </c>
      <c r="B887" s="1483">
        <v>42572</v>
      </c>
      <c r="C887" s="639" t="s">
        <v>3212</v>
      </c>
      <c r="D887" s="2191" t="s">
        <v>4306</v>
      </c>
      <c r="E887" s="2049">
        <v>42571</v>
      </c>
      <c r="F887" s="17">
        <v>21600000000000</v>
      </c>
      <c r="G887" s="2178">
        <v>16600000000</v>
      </c>
      <c r="H887" s="1731">
        <v>800000000000</v>
      </c>
      <c r="I887" s="2178">
        <v>9060000000</v>
      </c>
      <c r="J887" s="1407"/>
      <c r="K887" s="1431">
        <f t="shared" si="117"/>
        <v>42679518072289.156</v>
      </c>
      <c r="L887" s="1407"/>
      <c r="M887" s="1407"/>
      <c r="N887" s="1407"/>
      <c r="O887" s="1407"/>
      <c r="P887" s="1407"/>
      <c r="Q887" s="1407"/>
      <c r="R887" s="1407"/>
      <c r="S887" s="1407"/>
      <c r="T887" s="1407"/>
      <c r="U887" s="1407"/>
    </row>
    <row r="888" spans="1:21" ht="12">
      <c r="A888" s="639" t="s">
        <v>4292</v>
      </c>
      <c r="B888" s="1483">
        <v>42572</v>
      </c>
      <c r="C888" s="639" t="s">
        <v>3212</v>
      </c>
      <c r="D888" s="1831" t="s">
        <v>4307</v>
      </c>
      <c r="E888" s="2049">
        <v>42571</v>
      </c>
      <c r="F888" s="1406">
        <v>48500000000000</v>
      </c>
      <c r="G888" s="2178">
        <v>16600000000</v>
      </c>
      <c r="H888" s="1731">
        <v>800000000000</v>
      </c>
      <c r="I888" s="2178">
        <v>9060000000</v>
      </c>
      <c r="J888" s="1407"/>
      <c r="K888" s="1431">
        <f t="shared" si="117"/>
        <v>95831325301204.812</v>
      </c>
      <c r="L888" s="1407"/>
      <c r="M888" s="1407"/>
      <c r="N888" s="1407"/>
      <c r="O888" s="1407"/>
      <c r="P888" s="1407"/>
      <c r="Q888" s="1407"/>
      <c r="R888" s="1407"/>
      <c r="S888" s="1407"/>
      <c r="T888" s="1407"/>
      <c r="U888" s="1407"/>
    </row>
    <row r="889" spans="1:21" ht="12">
      <c r="A889" s="639" t="s">
        <v>4292</v>
      </c>
      <c r="B889" s="1483">
        <v>42572</v>
      </c>
      <c r="C889" s="639" t="s">
        <v>3212</v>
      </c>
      <c r="D889" s="1831" t="s">
        <v>4308</v>
      </c>
      <c r="E889" s="2049">
        <v>42571</v>
      </c>
      <c r="F889" s="1406">
        <v>147000000000</v>
      </c>
      <c r="G889" s="2178">
        <v>16600000000</v>
      </c>
      <c r="H889" s="1731">
        <v>800000000000</v>
      </c>
      <c r="I889" s="2178">
        <v>9060000000</v>
      </c>
      <c r="J889" s="1407"/>
      <c r="K889" s="1431">
        <f t="shared" si="117"/>
        <v>290457831325.30121</v>
      </c>
      <c r="L889" s="1407"/>
      <c r="M889" s="1407"/>
      <c r="N889" s="1407"/>
      <c r="O889" s="1407"/>
      <c r="P889" s="1407"/>
      <c r="Q889" s="1407"/>
      <c r="R889" s="1407"/>
      <c r="S889" s="1407"/>
      <c r="T889" s="1407"/>
      <c r="U889" s="1407"/>
    </row>
    <row r="890" spans="1:21" ht="12">
      <c r="A890" s="639" t="s">
        <v>4292</v>
      </c>
      <c r="B890" s="1483">
        <v>42572</v>
      </c>
      <c r="C890" s="639" t="s">
        <v>3212</v>
      </c>
      <c r="D890" s="1831" t="s">
        <v>4309</v>
      </c>
      <c r="E890" s="2049">
        <v>42571</v>
      </c>
      <c r="F890" s="1406">
        <v>180000000000000</v>
      </c>
      <c r="G890" s="2178">
        <v>16600000000</v>
      </c>
      <c r="H890" s="1731">
        <v>800000000000</v>
      </c>
      <c r="I890" s="2178">
        <v>9060000000</v>
      </c>
      <c r="J890" s="1407"/>
      <c r="K890" s="1431">
        <f t="shared" si="117"/>
        <v>355662650602409.62</v>
      </c>
      <c r="L890" s="1407"/>
      <c r="M890" s="1407"/>
      <c r="N890" s="1407"/>
      <c r="O890" s="1407"/>
      <c r="P890" s="1407"/>
      <c r="Q890" s="1407"/>
      <c r="R890" s="1407"/>
      <c r="S890" s="1407"/>
      <c r="T890" s="1407"/>
      <c r="U890" s="1407"/>
    </row>
    <row r="891" spans="1:21" ht="12">
      <c r="A891" s="2168" t="s">
        <v>4292</v>
      </c>
      <c r="B891" s="2169">
        <v>42572</v>
      </c>
      <c r="C891" s="2168" t="s">
        <v>3212</v>
      </c>
      <c r="D891" s="2194" t="s">
        <v>4310</v>
      </c>
      <c r="E891" s="2171">
        <v>42571</v>
      </c>
      <c r="F891" s="2195">
        <v>12900000000</v>
      </c>
      <c r="G891" s="2173">
        <v>16600000000</v>
      </c>
      <c r="H891" s="2174">
        <v>800000000000</v>
      </c>
      <c r="I891" s="2173">
        <v>9060000000</v>
      </c>
      <c r="J891" s="2175"/>
      <c r="K891" s="2176">
        <f t="shared" si="117"/>
        <v>25489156626.506023</v>
      </c>
      <c r="L891" s="1407"/>
      <c r="M891" s="1407"/>
      <c r="N891" s="1407"/>
      <c r="O891" s="1407"/>
      <c r="P891" s="1407"/>
      <c r="Q891" s="1407"/>
      <c r="R891" s="1407"/>
      <c r="S891" s="1407"/>
      <c r="T891" s="1407"/>
      <c r="U891" s="1407"/>
    </row>
    <row r="892" spans="1:21" ht="12">
      <c r="A892" s="639" t="s">
        <v>4292</v>
      </c>
      <c r="B892" s="1483">
        <v>42572</v>
      </c>
      <c r="C892" s="639" t="s">
        <v>3212</v>
      </c>
      <c r="D892" s="1831" t="s">
        <v>4250</v>
      </c>
      <c r="E892" s="2158">
        <v>42558</v>
      </c>
      <c r="F892" s="1406">
        <v>7900000000</v>
      </c>
      <c r="G892" s="2178">
        <v>16600000000</v>
      </c>
      <c r="H892" s="1731">
        <v>800000000000</v>
      </c>
      <c r="I892" s="2178">
        <v>9060000000</v>
      </c>
      <c r="J892" s="1407"/>
      <c r="K892" s="1431">
        <f t="shared" si="117"/>
        <v>15609638554.216867</v>
      </c>
      <c r="L892" s="1407"/>
      <c r="M892" s="1407"/>
      <c r="N892" s="1407"/>
      <c r="O892" s="1407"/>
      <c r="P892" s="1407"/>
      <c r="Q892" s="1407"/>
      <c r="R892" s="1407"/>
      <c r="S892" s="1407"/>
      <c r="T892" s="1407"/>
      <c r="U892" s="1407"/>
    </row>
    <row r="893" spans="1:21" ht="12">
      <c r="A893" s="639" t="s">
        <v>4292</v>
      </c>
      <c r="B893" s="1483">
        <v>42572</v>
      </c>
      <c r="C893" s="639" t="s">
        <v>3212</v>
      </c>
      <c r="D893" s="2196" t="s">
        <v>4251</v>
      </c>
      <c r="E893" s="2158">
        <v>42558</v>
      </c>
      <c r="F893" s="1406">
        <v>15500000000</v>
      </c>
      <c r="G893" s="2178">
        <v>16600000000</v>
      </c>
      <c r="H893" s="1731">
        <v>800000000000</v>
      </c>
      <c r="I893" s="2178">
        <v>9060000000</v>
      </c>
      <c r="J893" s="1407"/>
      <c r="K893" s="1431">
        <f t="shared" si="117"/>
        <v>30626506024.096386</v>
      </c>
      <c r="L893" s="1407"/>
      <c r="M893" s="1407"/>
      <c r="N893" s="1407"/>
      <c r="O893" s="1407"/>
      <c r="P893" s="1407"/>
      <c r="Q893" s="1407"/>
      <c r="R893" s="1407"/>
      <c r="S893" s="1407"/>
      <c r="T893" s="1407"/>
      <c r="U893" s="1407"/>
    </row>
    <row r="894" spans="1:21" ht="12">
      <c r="A894" s="639" t="s">
        <v>4292</v>
      </c>
      <c r="B894" s="1483">
        <v>42572</v>
      </c>
      <c r="C894" s="639" t="s">
        <v>3212</v>
      </c>
      <c r="D894" s="1831" t="s">
        <v>4252</v>
      </c>
      <c r="E894" s="2158">
        <v>42558</v>
      </c>
      <c r="F894" s="1406">
        <v>605000000000</v>
      </c>
      <c r="G894" s="2178">
        <v>16600000000</v>
      </c>
      <c r="H894" s="1731">
        <v>800000000000</v>
      </c>
      <c r="I894" s="2178">
        <v>9060000000</v>
      </c>
      <c r="J894" s="1407"/>
      <c r="K894" s="1431">
        <f t="shared" si="117"/>
        <v>1195421686746.9878</v>
      </c>
      <c r="L894" s="1407"/>
      <c r="M894" s="1407"/>
      <c r="N894" s="1407"/>
      <c r="O894" s="1407"/>
      <c r="P894" s="1407"/>
      <c r="Q894" s="1407"/>
      <c r="R894" s="1407"/>
      <c r="S894" s="1407"/>
      <c r="T894" s="1407"/>
      <c r="U894" s="1407"/>
    </row>
    <row r="895" spans="1:21" ht="12">
      <c r="A895" s="639" t="s">
        <v>4292</v>
      </c>
      <c r="B895" s="1483">
        <v>42572</v>
      </c>
      <c r="C895" s="639" t="s">
        <v>3212</v>
      </c>
      <c r="D895" s="2196" t="s">
        <v>4253</v>
      </c>
      <c r="E895" s="2158">
        <v>42558</v>
      </c>
      <c r="F895" s="1406">
        <v>405000000000</v>
      </c>
      <c r="G895" s="2178">
        <v>16600000000</v>
      </c>
      <c r="H895" s="1731">
        <v>800000000000</v>
      </c>
      <c r="I895" s="2178">
        <v>9060000000</v>
      </c>
      <c r="J895" s="1407"/>
      <c r="K895" s="1431">
        <f t="shared" si="117"/>
        <v>800240963855.42163</v>
      </c>
      <c r="L895" s="1407"/>
      <c r="M895" s="1407"/>
      <c r="N895" s="1407"/>
      <c r="O895" s="1407"/>
      <c r="P895" s="1407"/>
      <c r="Q895" s="1407"/>
      <c r="R895" s="1407"/>
      <c r="S895" s="1407"/>
      <c r="T895" s="1407"/>
      <c r="U895" s="1407"/>
    </row>
    <row r="896" spans="1:21" ht="12">
      <c r="A896" s="639" t="s">
        <v>4292</v>
      </c>
      <c r="B896" s="1483">
        <v>42572</v>
      </c>
      <c r="C896" s="639" t="s">
        <v>3212</v>
      </c>
      <c r="D896" s="1831" t="s">
        <v>4254</v>
      </c>
      <c r="E896" s="2158">
        <v>42558</v>
      </c>
      <c r="F896" s="1406">
        <v>248000000000000</v>
      </c>
      <c r="G896" s="2178">
        <v>16600000000</v>
      </c>
      <c r="H896" s="1731">
        <v>800000000000</v>
      </c>
      <c r="I896" s="2178">
        <v>9060000000</v>
      </c>
      <c r="J896" s="1407"/>
      <c r="K896" s="1431">
        <f t="shared" si="117"/>
        <v>490024096385542.12</v>
      </c>
      <c r="L896" s="1407"/>
      <c r="M896" s="1407"/>
      <c r="N896" s="1407"/>
      <c r="O896" s="1407"/>
      <c r="P896" s="1407"/>
      <c r="Q896" s="1407"/>
      <c r="R896" s="1407"/>
      <c r="S896" s="1407"/>
      <c r="T896" s="1407"/>
      <c r="U896" s="1407"/>
    </row>
    <row r="897" spans="1:21" ht="12">
      <c r="A897" s="639" t="s">
        <v>4292</v>
      </c>
      <c r="B897" s="1483">
        <v>42572</v>
      </c>
      <c r="C897" s="639" t="s">
        <v>3212</v>
      </c>
      <c r="D897" s="1831" t="s">
        <v>4255</v>
      </c>
      <c r="E897" s="2158">
        <v>42558</v>
      </c>
      <c r="F897" s="1406">
        <v>397000000000000</v>
      </c>
      <c r="G897" s="2178">
        <v>16600000000</v>
      </c>
      <c r="H897" s="1731">
        <v>800000000000</v>
      </c>
      <c r="I897" s="2178">
        <v>9060000000</v>
      </c>
      <c r="J897" s="1407"/>
      <c r="K897" s="1431">
        <f t="shared" si="117"/>
        <v>784433734939759</v>
      </c>
      <c r="L897" s="1407"/>
      <c r="M897" s="1407"/>
      <c r="N897" s="1407"/>
      <c r="O897" s="1407"/>
      <c r="P897" s="1407"/>
      <c r="Q897" s="1407"/>
      <c r="R897" s="1407"/>
      <c r="S897" s="1407"/>
      <c r="T897" s="1407"/>
      <c r="U897" s="1407"/>
    </row>
    <row r="898" spans="1:21" ht="12">
      <c r="A898" s="639" t="s">
        <v>4292</v>
      </c>
      <c r="B898" s="1483">
        <v>42572</v>
      </c>
      <c r="C898" s="639" t="s">
        <v>3212</v>
      </c>
      <c r="D898" s="1831" t="s">
        <v>4312</v>
      </c>
      <c r="E898" s="2049">
        <v>42571</v>
      </c>
      <c r="F898" s="1406">
        <v>4030000000000</v>
      </c>
      <c r="G898" s="2178">
        <v>16600000000</v>
      </c>
      <c r="H898" s="1731">
        <v>800000000000</v>
      </c>
      <c r="I898" s="2178">
        <v>9060000000</v>
      </c>
      <c r="J898" s="1407"/>
      <c r="K898" s="1431">
        <f t="shared" si="117"/>
        <v>7962891566265.0596</v>
      </c>
      <c r="L898" s="1407"/>
      <c r="M898" s="1407"/>
      <c r="N898" s="1407"/>
      <c r="O898" s="1407"/>
      <c r="P898" s="1407"/>
      <c r="Q898" s="1407"/>
      <c r="R898" s="1407"/>
      <c r="S898" s="1407"/>
      <c r="T898" s="1407"/>
      <c r="U898" s="1407"/>
    </row>
    <row r="899" spans="1:21" ht="12">
      <c r="A899" s="639" t="s">
        <v>4292</v>
      </c>
      <c r="B899" s="1483">
        <v>42572</v>
      </c>
      <c r="C899" s="639" t="s">
        <v>3212</v>
      </c>
      <c r="D899" s="1831" t="s">
        <v>4313</v>
      </c>
      <c r="E899" s="2049">
        <v>42571</v>
      </c>
      <c r="F899" s="1406">
        <v>12100000000000</v>
      </c>
      <c r="G899" s="2178">
        <v>16600000000</v>
      </c>
      <c r="H899" s="1731">
        <v>800000000000</v>
      </c>
      <c r="I899" s="2178">
        <v>9060000000</v>
      </c>
      <c r="J899" s="1407"/>
      <c r="K899" s="1431">
        <f t="shared" si="117"/>
        <v>23908433734939.758</v>
      </c>
      <c r="L899" s="1407"/>
      <c r="M899" s="1407"/>
      <c r="N899" s="1407"/>
      <c r="O899" s="1407"/>
      <c r="P899" s="1407"/>
      <c r="Q899" s="1407"/>
      <c r="R899" s="1407"/>
      <c r="S899" s="1407"/>
      <c r="T899" s="1407"/>
      <c r="U899" s="1407"/>
    </row>
    <row r="900" spans="1:21" ht="12">
      <c r="A900" s="639" t="s">
        <v>4292</v>
      </c>
      <c r="B900" s="1483">
        <v>42572</v>
      </c>
      <c r="C900" s="639" t="s">
        <v>3212</v>
      </c>
      <c r="D900" s="1831" t="s">
        <v>4271</v>
      </c>
      <c r="E900" s="2158">
        <v>42558</v>
      </c>
      <c r="F900" s="1406">
        <v>36500000000000</v>
      </c>
      <c r="G900" s="2178">
        <v>16600000000</v>
      </c>
      <c r="H900" s="1731">
        <v>800000000000</v>
      </c>
      <c r="I900" s="2178">
        <v>9060000000</v>
      </c>
      <c r="J900" s="1407"/>
      <c r="K900" s="1431">
        <f t="shared" si="117"/>
        <v>72120481927710.844</v>
      </c>
      <c r="L900" s="1407"/>
      <c r="M900" s="1407"/>
      <c r="N900" s="1407"/>
      <c r="O900" s="1407"/>
      <c r="P900" s="1407"/>
      <c r="Q900" s="1407"/>
      <c r="R900" s="1407"/>
      <c r="S900" s="1407"/>
      <c r="T900" s="1407"/>
      <c r="U900" s="1407"/>
    </row>
    <row r="901" spans="1:21" ht="12">
      <c r="A901" s="639" t="s">
        <v>4292</v>
      </c>
      <c r="B901" s="1483">
        <v>42572</v>
      </c>
      <c r="C901" s="639" t="s">
        <v>3212</v>
      </c>
      <c r="D901" s="1831" t="s">
        <v>4314</v>
      </c>
      <c r="E901" s="2049">
        <v>42571</v>
      </c>
      <c r="F901" s="1406">
        <v>5660000000000</v>
      </c>
      <c r="G901" s="2178">
        <v>16600000000</v>
      </c>
      <c r="H901" s="1731">
        <v>800000000000</v>
      </c>
      <c r="I901" s="2178">
        <v>9060000000</v>
      </c>
      <c r="J901" s="1407"/>
      <c r="K901" s="1431">
        <f t="shared" si="117"/>
        <v>11183614457831.324</v>
      </c>
      <c r="L901" s="1407"/>
      <c r="M901" s="1407"/>
      <c r="N901" s="1407"/>
      <c r="O901" s="1407"/>
      <c r="P901" s="1407"/>
      <c r="Q901" s="1407"/>
      <c r="R901" s="1407"/>
      <c r="S901" s="1407"/>
      <c r="T901" s="1407"/>
      <c r="U901" s="1407"/>
    </row>
    <row r="902" spans="1:21" ht="12">
      <c r="A902" s="1407"/>
      <c r="B902" s="1407"/>
      <c r="C902" s="1407"/>
      <c r="D902" s="1844"/>
      <c r="E902" s="1407"/>
      <c r="F902" s="1416"/>
      <c r="G902" s="1407"/>
      <c r="H902" s="1407"/>
      <c r="I902" s="1428"/>
      <c r="J902" s="1407"/>
      <c r="K902" s="1431"/>
      <c r="L902" s="1407"/>
      <c r="M902" s="1407"/>
      <c r="N902" s="1407"/>
      <c r="O902" s="1407"/>
      <c r="P902" s="1407"/>
      <c r="Q902" s="1407"/>
      <c r="R902" s="1407"/>
      <c r="S902" s="1407"/>
      <c r="T902" s="1407"/>
      <c r="U902" s="1407"/>
    </row>
    <row r="903" spans="1:21" ht="12">
      <c r="A903" s="639" t="s">
        <v>4315</v>
      </c>
      <c r="B903" s="1483">
        <v>42572</v>
      </c>
      <c r="C903" s="639" t="s">
        <v>3212</v>
      </c>
      <c r="D903" s="1433" t="s">
        <v>4244</v>
      </c>
      <c r="E903" s="2049">
        <v>42558</v>
      </c>
      <c r="F903" s="1406">
        <v>7580000000</v>
      </c>
      <c r="G903" s="1731">
        <v>6210000000</v>
      </c>
      <c r="H903" s="2199">
        <v>1090000000000</v>
      </c>
      <c r="I903" s="1731">
        <v>5190000000</v>
      </c>
      <c r="J903" s="1407"/>
      <c r="K903" s="1431">
        <f t="shared" ref="K903:K921" si="118">(32800000000/G903)*F903</f>
        <v>40036070853.462158</v>
      </c>
      <c r="L903" s="1407"/>
      <c r="M903" s="1407"/>
      <c r="N903" s="1407"/>
      <c r="O903" s="1407"/>
      <c r="P903" s="1407"/>
      <c r="Q903" s="1407"/>
      <c r="R903" s="1407"/>
      <c r="S903" s="1407"/>
      <c r="T903" s="1407"/>
      <c r="U903" s="1407"/>
    </row>
    <row r="904" spans="1:21" ht="12">
      <c r="A904" s="639" t="s">
        <v>4315</v>
      </c>
      <c r="B904" s="1483">
        <v>42572</v>
      </c>
      <c r="C904" s="639" t="s">
        <v>3212</v>
      </c>
      <c r="D904" s="1831" t="s">
        <v>4260</v>
      </c>
      <c r="E904" s="2049">
        <v>42558</v>
      </c>
      <c r="F904" s="1997">
        <v>309000000000</v>
      </c>
      <c r="G904" s="1731">
        <v>6210000000</v>
      </c>
      <c r="H904" s="2199">
        <v>1090000000000</v>
      </c>
      <c r="I904" s="1731">
        <v>5190000000</v>
      </c>
      <c r="J904" s="1407"/>
      <c r="K904" s="1431">
        <f t="shared" si="118"/>
        <v>1632077294685.9905</v>
      </c>
      <c r="L904" s="1407"/>
      <c r="M904" s="1407"/>
      <c r="N904" s="1407"/>
      <c r="O904" s="1407"/>
      <c r="P904" s="1407"/>
      <c r="Q904" s="1407"/>
      <c r="R904" s="1407"/>
      <c r="S904" s="1407"/>
      <c r="T904" s="1407"/>
      <c r="U904" s="1407"/>
    </row>
    <row r="905" spans="1:21" ht="12">
      <c r="A905" s="639" t="s">
        <v>4315</v>
      </c>
      <c r="B905" s="1483">
        <v>42572</v>
      </c>
      <c r="C905" s="639" t="s">
        <v>3212</v>
      </c>
      <c r="D905" s="1831" t="s">
        <v>4264</v>
      </c>
      <c r="E905" s="2049">
        <v>42558</v>
      </c>
      <c r="F905" s="1406">
        <v>372000000000</v>
      </c>
      <c r="G905" s="1731">
        <v>6210000000</v>
      </c>
      <c r="H905" s="2199">
        <v>1090000000000</v>
      </c>
      <c r="I905" s="1731">
        <v>5190000000</v>
      </c>
      <c r="J905" s="1407"/>
      <c r="K905" s="1431">
        <f t="shared" si="118"/>
        <v>1964830917874.3962</v>
      </c>
      <c r="L905" s="1407"/>
      <c r="M905" s="1407"/>
      <c r="N905" s="1407"/>
      <c r="O905" s="1407"/>
      <c r="P905" s="1407"/>
      <c r="Q905" s="1407"/>
      <c r="R905" s="1407"/>
      <c r="S905" s="1407"/>
      <c r="T905" s="1407"/>
      <c r="U905" s="1407"/>
    </row>
    <row r="906" spans="1:21" ht="12">
      <c r="A906" s="1950" t="s">
        <v>4315</v>
      </c>
      <c r="B906" s="1951">
        <v>42572</v>
      </c>
      <c r="C906" s="1950" t="s">
        <v>3212</v>
      </c>
      <c r="D906" s="2203" t="s">
        <v>4178</v>
      </c>
      <c r="E906" s="2204">
        <v>42487</v>
      </c>
      <c r="F906" s="1959">
        <v>11300000000000</v>
      </c>
      <c r="G906" s="1962">
        <v>6210000000</v>
      </c>
      <c r="H906" s="2205">
        <v>1090000000000</v>
      </c>
      <c r="I906" s="1962">
        <v>5190000000</v>
      </c>
      <c r="J906" s="1964"/>
      <c r="K906" s="1966">
        <f t="shared" si="118"/>
        <v>59684380032206.125</v>
      </c>
      <c r="L906" s="1407"/>
      <c r="M906" s="1407"/>
      <c r="N906" s="1407"/>
      <c r="O906" s="1407"/>
      <c r="P906" s="1407"/>
      <c r="Q906" s="1407"/>
      <c r="R906" s="1407"/>
      <c r="S906" s="1407"/>
      <c r="T906" s="1407"/>
      <c r="U906" s="1407"/>
    </row>
    <row r="907" spans="1:21" ht="12">
      <c r="A907" s="1950" t="s">
        <v>4315</v>
      </c>
      <c r="B907" s="1951">
        <v>42572</v>
      </c>
      <c r="C907" s="1950" t="s">
        <v>3212</v>
      </c>
      <c r="D907" s="2203" t="s">
        <v>4184</v>
      </c>
      <c r="E907" s="2204">
        <v>42487</v>
      </c>
      <c r="F907" s="1959">
        <v>1100000000000</v>
      </c>
      <c r="G907" s="1962">
        <v>6210000000</v>
      </c>
      <c r="H907" s="2205">
        <v>1090000000000</v>
      </c>
      <c r="I907" s="1962">
        <v>5190000000</v>
      </c>
      <c r="J907" s="1964"/>
      <c r="K907" s="1966">
        <f t="shared" si="118"/>
        <v>5809983896940.4189</v>
      </c>
      <c r="L907" s="1407"/>
      <c r="M907" s="1407"/>
      <c r="N907" s="1407"/>
      <c r="O907" s="1407"/>
      <c r="P907" s="1407"/>
      <c r="Q907" s="1407"/>
      <c r="R907" s="1407"/>
      <c r="S907" s="1407"/>
      <c r="T907" s="1407"/>
      <c r="U907" s="1407"/>
    </row>
    <row r="908" spans="1:21" ht="12">
      <c r="A908" s="1950" t="s">
        <v>4315</v>
      </c>
      <c r="B908" s="1951">
        <v>42572</v>
      </c>
      <c r="C908" s="1950" t="s">
        <v>3212</v>
      </c>
      <c r="D908" s="2203" t="s">
        <v>4186</v>
      </c>
      <c r="E908" s="2204">
        <v>42487</v>
      </c>
      <c r="F908" s="1959">
        <v>2350000000000</v>
      </c>
      <c r="G908" s="1962">
        <v>6210000000</v>
      </c>
      <c r="H908" s="2205">
        <v>1090000000000</v>
      </c>
      <c r="I908" s="1962">
        <v>5190000000</v>
      </c>
      <c r="J908" s="1964"/>
      <c r="K908" s="1966">
        <f t="shared" si="118"/>
        <v>12412238325281.805</v>
      </c>
      <c r="L908" s="1407"/>
      <c r="M908" s="1407"/>
      <c r="N908" s="1407"/>
      <c r="O908" s="1407"/>
      <c r="P908" s="1407"/>
      <c r="Q908" s="1407"/>
      <c r="R908" s="1407"/>
      <c r="S908" s="1407"/>
      <c r="T908" s="1407"/>
      <c r="U908" s="1407"/>
    </row>
    <row r="909" spans="1:21" ht="12">
      <c r="A909" s="639" t="s">
        <v>4315</v>
      </c>
      <c r="B909" s="1483">
        <v>42572</v>
      </c>
      <c r="C909" s="639" t="s">
        <v>3212</v>
      </c>
      <c r="D909" s="1831" t="s">
        <v>4249</v>
      </c>
      <c r="E909" s="2158">
        <v>42558</v>
      </c>
      <c r="F909" s="1406">
        <v>12100000000</v>
      </c>
      <c r="G909" s="1731">
        <v>6210000000</v>
      </c>
      <c r="H909" s="2199">
        <v>1090000000000</v>
      </c>
      <c r="I909" s="1731">
        <v>5190000000</v>
      </c>
      <c r="J909" s="1407"/>
      <c r="K909" s="1431">
        <f t="shared" si="118"/>
        <v>63909822866.344612</v>
      </c>
      <c r="L909" s="1407"/>
      <c r="M909" s="1407"/>
      <c r="N909" s="1407"/>
      <c r="O909" s="1407"/>
      <c r="P909" s="1407"/>
      <c r="Q909" s="1407"/>
      <c r="R909" s="1407"/>
      <c r="S909" s="1407"/>
      <c r="T909" s="1407"/>
      <c r="U909" s="1407"/>
    </row>
    <row r="910" spans="1:21" ht="12">
      <c r="A910" s="639" t="s">
        <v>4315</v>
      </c>
      <c r="B910" s="1483">
        <v>42572</v>
      </c>
      <c r="C910" s="639" t="s">
        <v>3212</v>
      </c>
      <c r="D910" s="1831" t="s">
        <v>4316</v>
      </c>
      <c r="E910" s="2027">
        <v>42571</v>
      </c>
      <c r="F910" s="1406">
        <v>5280000000000</v>
      </c>
      <c r="G910" s="1731">
        <v>6210000000</v>
      </c>
      <c r="H910" s="2199">
        <v>1090000000000</v>
      </c>
      <c r="I910" s="1731">
        <v>5190000000</v>
      </c>
      <c r="J910" s="1407"/>
      <c r="K910" s="1431">
        <f t="shared" si="118"/>
        <v>27887922705314.012</v>
      </c>
      <c r="L910" s="1407"/>
      <c r="M910" s="1407"/>
      <c r="N910" s="1407"/>
      <c r="O910" s="1407"/>
      <c r="P910" s="1407"/>
      <c r="Q910" s="1407"/>
      <c r="R910" s="1407"/>
      <c r="S910" s="1407"/>
      <c r="T910" s="1407"/>
      <c r="U910" s="1407"/>
    </row>
    <row r="911" spans="1:21" ht="12">
      <c r="A911" s="639" t="s">
        <v>4315</v>
      </c>
      <c r="B911" s="1483">
        <v>42572</v>
      </c>
      <c r="C911" s="639" t="s">
        <v>3212</v>
      </c>
      <c r="D911" s="1831" t="s">
        <v>4317</v>
      </c>
      <c r="E911" s="2027">
        <v>42571</v>
      </c>
      <c r="F911" s="1406">
        <v>4400000000000</v>
      </c>
      <c r="G911" s="1731">
        <v>6210000000</v>
      </c>
      <c r="H911" s="2199">
        <v>1090000000000</v>
      </c>
      <c r="I911" s="1731">
        <v>5190000000</v>
      </c>
      <c r="J911" s="1407"/>
      <c r="K911" s="1431">
        <f t="shared" si="118"/>
        <v>23239935587761.676</v>
      </c>
      <c r="L911" s="1407"/>
      <c r="M911" s="1407"/>
      <c r="N911" s="1407"/>
      <c r="O911" s="1407"/>
      <c r="P911" s="1407"/>
      <c r="Q911" s="1407"/>
      <c r="R911" s="1407"/>
      <c r="S911" s="1407"/>
      <c r="T911" s="1407"/>
      <c r="U911" s="1407"/>
    </row>
    <row r="912" spans="1:21" ht="12">
      <c r="A912" s="639" t="s">
        <v>4315</v>
      </c>
      <c r="B912" s="1483">
        <v>42572</v>
      </c>
      <c r="C912" s="639" t="s">
        <v>3212</v>
      </c>
      <c r="D912" s="1831" t="s">
        <v>4265</v>
      </c>
      <c r="E912" s="2158">
        <v>42558</v>
      </c>
      <c r="F912" s="1406">
        <v>7010000000</v>
      </c>
      <c r="G912" s="1731">
        <v>6210000000</v>
      </c>
      <c r="H912" s="2199">
        <v>1090000000000</v>
      </c>
      <c r="I912" s="1731">
        <v>5190000000</v>
      </c>
      <c r="J912" s="1407"/>
      <c r="K912" s="1431">
        <f t="shared" si="118"/>
        <v>37025442834.138489</v>
      </c>
      <c r="L912" s="1407"/>
      <c r="M912" s="1407"/>
      <c r="N912" s="1407"/>
      <c r="O912" s="1407"/>
      <c r="P912" s="1407"/>
      <c r="Q912" s="1407"/>
      <c r="R912" s="1407"/>
      <c r="S912" s="1407"/>
      <c r="T912" s="1407"/>
      <c r="U912" s="1407"/>
    </row>
    <row r="913" spans="1:21" ht="12">
      <c r="A913" s="639" t="s">
        <v>4315</v>
      </c>
      <c r="B913" s="1483">
        <v>42572</v>
      </c>
      <c r="C913" s="639" t="s">
        <v>3212</v>
      </c>
      <c r="D913" s="1831" t="s">
        <v>4268</v>
      </c>
      <c r="E913" s="2158">
        <v>42558</v>
      </c>
      <c r="F913" s="1406">
        <v>6420000000000</v>
      </c>
      <c r="G913" s="1731">
        <v>6210000000</v>
      </c>
      <c r="H913" s="2199">
        <v>1090000000000</v>
      </c>
      <c r="I913" s="1731">
        <v>5190000000</v>
      </c>
      <c r="J913" s="1407"/>
      <c r="K913" s="1431">
        <f t="shared" si="118"/>
        <v>33909178743961.355</v>
      </c>
      <c r="L913" s="1407"/>
      <c r="M913" s="1407"/>
      <c r="N913" s="1407"/>
      <c r="O913" s="1407"/>
      <c r="P913" s="1407"/>
      <c r="Q913" s="1407"/>
      <c r="R913" s="1407"/>
      <c r="S913" s="1407"/>
      <c r="T913" s="1407"/>
      <c r="U913" s="1407"/>
    </row>
    <row r="914" spans="1:21" ht="12">
      <c r="A914" s="639" t="s">
        <v>4315</v>
      </c>
      <c r="B914" s="1483">
        <v>42572</v>
      </c>
      <c r="C914" s="639" t="s">
        <v>3212</v>
      </c>
      <c r="D914" s="1831" t="s">
        <v>4269</v>
      </c>
      <c r="E914" s="2158">
        <v>42558</v>
      </c>
      <c r="F914" s="17">
        <v>49500000000000</v>
      </c>
      <c r="G914" s="1731">
        <v>6210000000</v>
      </c>
      <c r="H914" s="2199">
        <v>1090000000000</v>
      </c>
      <c r="I914" s="1731">
        <v>5190000000</v>
      </c>
      <c r="J914" s="1407"/>
      <c r="K914" s="1431">
        <f t="shared" si="118"/>
        <v>261449275362318.84</v>
      </c>
      <c r="L914" s="1407"/>
      <c r="M914" s="1407"/>
      <c r="N914" s="1407"/>
      <c r="O914" s="1407"/>
      <c r="P914" s="1407"/>
      <c r="Q914" s="1407"/>
      <c r="R914" s="1407"/>
      <c r="S914" s="1407"/>
      <c r="T914" s="1407"/>
      <c r="U914" s="1407"/>
    </row>
    <row r="915" spans="1:21" ht="12">
      <c r="A915" s="639" t="s">
        <v>4315</v>
      </c>
      <c r="B915" s="1483">
        <v>42572</v>
      </c>
      <c r="C915" s="639" t="s">
        <v>3212</v>
      </c>
      <c r="D915" s="1831" t="s">
        <v>4270</v>
      </c>
      <c r="E915" s="2158">
        <v>42558</v>
      </c>
      <c r="F915" s="17">
        <v>59900000000000</v>
      </c>
      <c r="G915" s="1731">
        <v>6210000000</v>
      </c>
      <c r="H915" s="2199">
        <v>1090000000000</v>
      </c>
      <c r="I915" s="1731">
        <v>5190000000</v>
      </c>
      <c r="J915" s="1407"/>
      <c r="K915" s="1431">
        <f t="shared" si="118"/>
        <v>316380032206119.19</v>
      </c>
      <c r="L915" s="1407"/>
      <c r="M915" s="1407"/>
      <c r="N915" s="1407"/>
      <c r="O915" s="1407"/>
      <c r="P915" s="1407"/>
      <c r="Q915" s="1407"/>
      <c r="R915" s="1407"/>
      <c r="S915" s="1407"/>
      <c r="T915" s="1407"/>
      <c r="U915" s="1407"/>
    </row>
    <row r="916" spans="1:21" ht="12">
      <c r="A916" s="639" t="s">
        <v>4315</v>
      </c>
      <c r="B916" s="1483">
        <v>42572</v>
      </c>
      <c r="C916" s="639" t="s">
        <v>3212</v>
      </c>
      <c r="D916" s="1831" t="s">
        <v>4319</v>
      </c>
      <c r="E916" s="2027">
        <v>42571</v>
      </c>
      <c r="F916" s="17">
        <v>141000000000000</v>
      </c>
      <c r="G916" s="1731">
        <v>6210000000</v>
      </c>
      <c r="H916" s="2199">
        <v>1090000000000</v>
      </c>
      <c r="I916" s="1731">
        <v>5190000000</v>
      </c>
      <c r="J916" s="1407"/>
      <c r="K916" s="1431">
        <f t="shared" si="118"/>
        <v>744734299516908.25</v>
      </c>
      <c r="L916" s="1407"/>
      <c r="M916" s="1407"/>
      <c r="N916" s="1407"/>
      <c r="O916" s="1407"/>
      <c r="P916" s="1407"/>
      <c r="Q916" s="1407"/>
      <c r="R916" s="1407"/>
      <c r="S916" s="1407"/>
      <c r="T916" s="1407"/>
      <c r="U916" s="1407"/>
    </row>
    <row r="917" spans="1:21" ht="12">
      <c r="A917" s="639" t="s">
        <v>4315</v>
      </c>
      <c r="B917" s="1483">
        <v>42572</v>
      </c>
      <c r="C917" s="639" t="s">
        <v>3212</v>
      </c>
      <c r="D917" s="1831" t="s">
        <v>4321</v>
      </c>
      <c r="E917" s="2027">
        <v>42571</v>
      </c>
      <c r="F917" s="17">
        <v>580000000000000</v>
      </c>
      <c r="G917" s="1731">
        <v>6210000000</v>
      </c>
      <c r="H917" s="2199">
        <v>1090000000000</v>
      </c>
      <c r="I917" s="1731">
        <v>5190000000</v>
      </c>
      <c r="J917" s="1407"/>
      <c r="K917" s="1431">
        <f t="shared" si="118"/>
        <v>3063446054750403</v>
      </c>
      <c r="L917" s="1407"/>
      <c r="M917" s="1407"/>
      <c r="N917" s="1407"/>
      <c r="O917" s="1407"/>
      <c r="P917" s="1407"/>
      <c r="Q917" s="1407"/>
      <c r="R917" s="1407"/>
      <c r="S917" s="1407"/>
      <c r="T917" s="1407"/>
      <c r="U917" s="1407"/>
    </row>
    <row r="918" spans="1:21" ht="12">
      <c r="A918" s="2168" t="s">
        <v>4315</v>
      </c>
      <c r="B918" s="2169">
        <v>42572</v>
      </c>
      <c r="C918" s="2168" t="s">
        <v>3212</v>
      </c>
      <c r="D918" s="2170" t="s">
        <v>4295</v>
      </c>
      <c r="E918" s="2210">
        <v>42571</v>
      </c>
      <c r="F918" s="2172">
        <v>2830000000000</v>
      </c>
      <c r="G918" s="2174">
        <v>6210000000</v>
      </c>
      <c r="H918" s="2211">
        <v>1090000000000</v>
      </c>
      <c r="I918" s="2174">
        <v>5190000000</v>
      </c>
      <c r="J918" s="2175"/>
      <c r="K918" s="2176">
        <f t="shared" si="118"/>
        <v>14947504025764.896</v>
      </c>
      <c r="L918" s="1407"/>
      <c r="M918" s="1407"/>
      <c r="N918" s="1407"/>
      <c r="O918" s="1407"/>
      <c r="P918" s="1407"/>
      <c r="Q918" s="1407"/>
      <c r="R918" s="1407"/>
      <c r="S918" s="1407"/>
      <c r="T918" s="1407"/>
      <c r="U918" s="1407"/>
    </row>
    <row r="919" spans="1:21" ht="12">
      <c r="A919" s="2168" t="s">
        <v>4315</v>
      </c>
      <c r="B919" s="2169">
        <v>42572</v>
      </c>
      <c r="C919" s="2168" t="s">
        <v>3212</v>
      </c>
      <c r="D919" s="2170" t="s">
        <v>4301</v>
      </c>
      <c r="E919" s="2210">
        <v>42571</v>
      </c>
      <c r="F919" s="2172">
        <v>2030000000000</v>
      </c>
      <c r="G919" s="2174">
        <v>6210000000</v>
      </c>
      <c r="H919" s="2211">
        <v>1090000000000</v>
      </c>
      <c r="I919" s="2174">
        <v>5190000000</v>
      </c>
      <c r="J919" s="2175"/>
      <c r="K919" s="2176">
        <f t="shared" si="118"/>
        <v>10722061191626.41</v>
      </c>
      <c r="L919" s="1407"/>
      <c r="M919" s="1407"/>
      <c r="N919" s="1407"/>
      <c r="O919" s="1407"/>
      <c r="P919" s="1407"/>
      <c r="Q919" s="1407"/>
      <c r="R919" s="1407"/>
      <c r="S919" s="1407"/>
      <c r="T919" s="1407"/>
      <c r="U919" s="1407"/>
    </row>
    <row r="920" spans="1:21" ht="12">
      <c r="A920" s="2168" t="s">
        <v>4315</v>
      </c>
      <c r="B920" s="2169">
        <v>42572</v>
      </c>
      <c r="C920" s="2168" t="s">
        <v>3212</v>
      </c>
      <c r="D920" s="2170" t="s">
        <v>4304</v>
      </c>
      <c r="E920" s="2210">
        <v>42571</v>
      </c>
      <c r="F920" s="2172">
        <v>2000000000000</v>
      </c>
      <c r="G920" s="2174">
        <v>6210000000</v>
      </c>
      <c r="H920" s="2211">
        <v>1090000000000</v>
      </c>
      <c r="I920" s="2174">
        <v>5190000000</v>
      </c>
      <c r="J920" s="2175"/>
      <c r="K920" s="2176">
        <f t="shared" si="118"/>
        <v>10563607085346.217</v>
      </c>
      <c r="L920" s="1407"/>
      <c r="M920" s="1407"/>
      <c r="N920" s="1407"/>
      <c r="O920" s="1407"/>
      <c r="P920" s="1407"/>
      <c r="Q920" s="1407"/>
      <c r="R920" s="1407"/>
      <c r="S920" s="1407"/>
      <c r="T920" s="1407"/>
      <c r="U920" s="1407"/>
    </row>
    <row r="921" spans="1:21" ht="12">
      <c r="A921" s="2168" t="s">
        <v>4315</v>
      </c>
      <c r="B921" s="2169">
        <v>42572</v>
      </c>
      <c r="C921" s="2168" t="s">
        <v>3212</v>
      </c>
      <c r="D921" s="2170" t="s">
        <v>4310</v>
      </c>
      <c r="E921" s="2210">
        <v>42571</v>
      </c>
      <c r="F921" s="2172">
        <v>16300000000</v>
      </c>
      <c r="G921" s="2174">
        <v>6210000000</v>
      </c>
      <c r="H921" s="2211">
        <v>1090000000000</v>
      </c>
      <c r="I921" s="2174">
        <v>5190000000</v>
      </c>
      <c r="J921" s="2175"/>
      <c r="K921" s="2176">
        <f t="shared" si="118"/>
        <v>86093397745.571671</v>
      </c>
      <c r="L921" s="1407"/>
      <c r="M921" s="1407"/>
      <c r="N921" s="1407"/>
      <c r="O921" s="1407"/>
      <c r="P921" s="1407"/>
      <c r="Q921" s="1407"/>
      <c r="R921" s="1407"/>
      <c r="S921" s="1407"/>
      <c r="T921" s="1407"/>
      <c r="U921" s="1407"/>
    </row>
    <row r="922" spans="1:21" ht="12">
      <c r="A922" s="639"/>
      <c r="B922" s="1483"/>
      <c r="C922" s="639"/>
      <c r="D922" s="1844"/>
      <c r="E922" s="1407"/>
      <c r="F922" s="1416"/>
      <c r="G922" s="1534"/>
      <c r="H922" s="1407"/>
      <c r="I922" s="1428"/>
      <c r="J922" s="1407"/>
      <c r="K922" s="1431"/>
      <c r="L922" s="1407"/>
      <c r="M922" s="1407"/>
      <c r="N922" s="1407"/>
      <c r="O922" s="1407"/>
      <c r="P922" s="1407"/>
      <c r="Q922" s="1407"/>
      <c r="R922" s="1407"/>
      <c r="S922" s="1407"/>
      <c r="T922" s="1407"/>
      <c r="U922" s="1407"/>
    </row>
    <row r="923" spans="1:21" ht="12">
      <c r="A923" s="639" t="s">
        <v>4327</v>
      </c>
      <c r="B923" s="1483">
        <v>42585</v>
      </c>
      <c r="C923" s="639" t="s">
        <v>2126</v>
      </c>
      <c r="D923" s="1831" t="s">
        <v>4328</v>
      </c>
      <c r="E923" s="1483">
        <v>42585</v>
      </c>
      <c r="F923" s="1794">
        <v>4200000000000</v>
      </c>
      <c r="G923" s="1438">
        <v>6750000000</v>
      </c>
      <c r="H923" s="1438">
        <v>3660000000000</v>
      </c>
      <c r="I923" s="1731">
        <v>6530000000</v>
      </c>
      <c r="J923" s="1407"/>
      <c r="K923" s="1431">
        <f t="shared" ref="K923:K928" si="119">(32800000000/G923)*F923</f>
        <v>20408888888888.887</v>
      </c>
      <c r="L923" s="1407"/>
      <c r="M923" s="1407"/>
      <c r="N923" s="1407"/>
      <c r="O923" s="1407"/>
      <c r="P923" s="1407"/>
      <c r="Q923" s="1407"/>
      <c r="R923" s="1407"/>
      <c r="S923" s="1407"/>
      <c r="T923" s="1407"/>
      <c r="U923" s="1407"/>
    </row>
    <row r="924" spans="1:21" ht="12">
      <c r="A924" s="639" t="s">
        <v>4327</v>
      </c>
      <c r="B924" s="1483">
        <v>42585</v>
      </c>
      <c r="C924" s="639" t="s">
        <v>2126</v>
      </c>
      <c r="D924" s="1831" t="s">
        <v>4330</v>
      </c>
      <c r="E924" s="1483">
        <v>42585</v>
      </c>
      <c r="F924" s="1406">
        <v>3840000000000</v>
      </c>
      <c r="G924" s="1438">
        <v>6750000000</v>
      </c>
      <c r="H924" s="1438">
        <v>3660000000000</v>
      </c>
      <c r="I924" s="1731">
        <v>6530000000</v>
      </c>
      <c r="J924" s="1407"/>
      <c r="K924" s="1431">
        <f t="shared" si="119"/>
        <v>18659555555555.555</v>
      </c>
      <c r="L924" s="1407"/>
      <c r="M924" s="1407"/>
      <c r="N924" s="1407"/>
      <c r="O924" s="1407"/>
      <c r="P924" s="1407"/>
      <c r="Q924" s="1407"/>
      <c r="R924" s="1407"/>
      <c r="S924" s="1407"/>
      <c r="T924" s="1407"/>
      <c r="U924" s="1407"/>
    </row>
    <row r="925" spans="1:21" ht="12">
      <c r="A925" s="639" t="s">
        <v>4327</v>
      </c>
      <c r="B925" s="1483">
        <v>42585</v>
      </c>
      <c r="C925" s="639" t="s">
        <v>2126</v>
      </c>
      <c r="D925" s="1831" t="s">
        <v>4331</v>
      </c>
      <c r="E925" s="1483">
        <v>42585</v>
      </c>
      <c r="F925" s="1437">
        <v>67800000000</v>
      </c>
      <c r="G925" s="1438">
        <v>6750000000</v>
      </c>
      <c r="H925" s="1438">
        <v>3660000000000</v>
      </c>
      <c r="I925" s="1731">
        <v>6530000000</v>
      </c>
      <c r="J925" s="1407"/>
      <c r="K925" s="1431">
        <f t="shared" si="119"/>
        <v>329457777777.77777</v>
      </c>
      <c r="L925" s="1407"/>
      <c r="M925" s="1407"/>
      <c r="N925" s="1407"/>
      <c r="O925" s="1407"/>
      <c r="P925" s="1407"/>
      <c r="Q925" s="1407"/>
      <c r="R925" s="1407"/>
      <c r="S925" s="1407"/>
      <c r="T925" s="1407"/>
      <c r="U925" s="1407"/>
    </row>
    <row r="926" spans="1:21" ht="12">
      <c r="A926" s="639" t="s">
        <v>4327</v>
      </c>
      <c r="B926" s="1483">
        <v>42585</v>
      </c>
      <c r="C926" s="639" t="s">
        <v>2126</v>
      </c>
      <c r="D926" s="1831" t="s">
        <v>4332</v>
      </c>
      <c r="E926" s="1483">
        <v>42585</v>
      </c>
      <c r="F926" s="1406">
        <v>70100000000</v>
      </c>
      <c r="G926" s="1438">
        <v>6750000000</v>
      </c>
      <c r="H926" s="1438">
        <v>3660000000000</v>
      </c>
      <c r="I926" s="1731">
        <v>6530000000</v>
      </c>
      <c r="J926" s="1407"/>
      <c r="K926" s="1431">
        <f t="shared" si="119"/>
        <v>340634074074.0741</v>
      </c>
      <c r="L926" s="1407"/>
      <c r="M926" s="1407"/>
      <c r="N926" s="1407"/>
      <c r="O926" s="1407"/>
      <c r="P926" s="1407"/>
      <c r="Q926" s="1407"/>
      <c r="R926" s="1407"/>
      <c r="S926" s="1407"/>
      <c r="T926" s="1407"/>
      <c r="U926" s="1407"/>
    </row>
    <row r="927" spans="1:21" ht="12">
      <c r="A927" s="639" t="s">
        <v>4327</v>
      </c>
      <c r="B927" s="1483">
        <v>42585</v>
      </c>
      <c r="C927" s="639" t="s">
        <v>2126</v>
      </c>
      <c r="D927" s="1831" t="s">
        <v>4334</v>
      </c>
      <c r="E927" s="1483">
        <v>42585</v>
      </c>
      <c r="F927" s="1406">
        <v>63600000000</v>
      </c>
      <c r="G927" s="1438">
        <v>6750000000</v>
      </c>
      <c r="H927" s="1438">
        <v>3660000000000</v>
      </c>
      <c r="I927" s="1731">
        <v>6530000000</v>
      </c>
      <c r="J927" s="1407"/>
      <c r="K927" s="1431">
        <f t="shared" si="119"/>
        <v>309048888888.88885</v>
      </c>
      <c r="L927" s="1407"/>
      <c r="M927" s="1407"/>
      <c r="N927" s="1407"/>
      <c r="O927" s="1407"/>
      <c r="P927" s="1407"/>
      <c r="Q927" s="1407"/>
      <c r="R927" s="1407"/>
      <c r="S927" s="1407"/>
      <c r="T927" s="1407"/>
      <c r="U927" s="1407"/>
    </row>
    <row r="928" spans="1:21" ht="12">
      <c r="A928" s="639" t="s">
        <v>4327</v>
      </c>
      <c r="B928" s="1483">
        <v>42585</v>
      </c>
      <c r="C928" s="639" t="s">
        <v>2126</v>
      </c>
      <c r="D928" s="1831" t="s">
        <v>4335</v>
      </c>
      <c r="E928" s="1483">
        <v>42585</v>
      </c>
      <c r="F928" s="1406">
        <v>19100000000</v>
      </c>
      <c r="G928" s="1438">
        <v>6750000000</v>
      </c>
      <c r="H928" s="1438">
        <v>3660000000000</v>
      </c>
      <c r="I928" s="1731">
        <v>6530000000</v>
      </c>
      <c r="J928" s="1407"/>
      <c r="K928" s="1431">
        <f t="shared" si="119"/>
        <v>92811851851.851852</v>
      </c>
      <c r="L928" s="1407"/>
      <c r="M928" s="1407"/>
      <c r="N928" s="1407"/>
      <c r="O928" s="1407"/>
      <c r="P928" s="1407"/>
      <c r="Q928" s="1407"/>
      <c r="R928" s="1407"/>
      <c r="S928" s="1407"/>
      <c r="T928" s="1407"/>
      <c r="U928" s="1407"/>
    </row>
    <row r="929" spans="1:21" ht="12">
      <c r="A929" s="639"/>
      <c r="B929" s="1483"/>
      <c r="C929" s="639"/>
      <c r="D929" s="1844"/>
      <c r="E929" s="1407"/>
      <c r="F929" s="641"/>
      <c r="G929" s="1997"/>
      <c r="H929" s="1407"/>
      <c r="I929" s="1428"/>
      <c r="J929" s="1407"/>
      <c r="K929" s="1431"/>
      <c r="L929" s="1407"/>
      <c r="M929" s="1407"/>
      <c r="N929" s="1407"/>
      <c r="O929" s="1407"/>
      <c r="P929" s="1407"/>
      <c r="Q929" s="1407"/>
      <c r="R929" s="1407"/>
      <c r="S929" s="1407"/>
      <c r="T929" s="1407"/>
      <c r="U929" s="1407"/>
    </row>
    <row r="930" spans="1:21" ht="12">
      <c r="A930" s="639" t="s">
        <v>4336</v>
      </c>
      <c r="B930" s="1483">
        <v>42601</v>
      </c>
      <c r="C930" s="639" t="s">
        <v>3212</v>
      </c>
      <c r="D930" s="1831" t="s">
        <v>4337</v>
      </c>
      <c r="E930" s="2027">
        <v>42600</v>
      </c>
      <c r="F930" s="1406">
        <v>862000000000</v>
      </c>
      <c r="G930" s="1731">
        <v>35900000000</v>
      </c>
      <c r="H930" s="1731">
        <v>4460000000000</v>
      </c>
      <c r="I930" s="1731">
        <v>108000000000</v>
      </c>
      <c r="J930" s="1407"/>
      <c r="K930" s="1431">
        <f t="shared" ref="K930:K945" si="120">(32800000000/G930)*F930</f>
        <v>787565459610.02783</v>
      </c>
      <c r="L930" s="1407"/>
      <c r="M930" s="1407"/>
      <c r="N930" s="1407"/>
      <c r="O930" s="1407"/>
      <c r="P930" s="1407"/>
      <c r="Q930" s="1407"/>
      <c r="R930" s="1407"/>
      <c r="S930" s="1407"/>
      <c r="T930" s="1407"/>
      <c r="U930" s="1407"/>
    </row>
    <row r="931" spans="1:21" ht="12">
      <c r="A931" s="639" t="s">
        <v>4336</v>
      </c>
      <c r="B931" s="1483">
        <v>42601</v>
      </c>
      <c r="C931" s="639" t="s">
        <v>3212</v>
      </c>
      <c r="D931" s="1831" t="s">
        <v>4338</v>
      </c>
      <c r="E931" s="2027">
        <v>42600</v>
      </c>
      <c r="F931" s="1406">
        <v>4430000000000</v>
      </c>
      <c r="G931" s="1731">
        <v>35900000000</v>
      </c>
      <c r="H931" s="1731">
        <v>4460000000000</v>
      </c>
      <c r="I931" s="1731">
        <v>108000000000</v>
      </c>
      <c r="J931" s="1407"/>
      <c r="K931" s="1431">
        <f t="shared" si="120"/>
        <v>4047465181058.4956</v>
      </c>
      <c r="L931" s="1407"/>
      <c r="M931" s="1407"/>
      <c r="N931" s="1407"/>
      <c r="O931" s="1407"/>
      <c r="P931" s="1407"/>
      <c r="Q931" s="1407"/>
      <c r="R931" s="1407"/>
      <c r="S931" s="1407"/>
      <c r="T931" s="1407"/>
      <c r="U931" s="1407"/>
    </row>
    <row r="932" spans="1:21" ht="12">
      <c r="A932" s="639" t="s">
        <v>4336</v>
      </c>
      <c r="B932" s="1483">
        <v>42601</v>
      </c>
      <c r="C932" s="639" t="s">
        <v>3212</v>
      </c>
      <c r="D932" s="1831" t="s">
        <v>4339</v>
      </c>
      <c r="E932" s="2027">
        <v>42600</v>
      </c>
      <c r="F932" s="1406">
        <v>22200000000000</v>
      </c>
      <c r="G932" s="1731">
        <v>35900000000</v>
      </c>
      <c r="H932" s="1731">
        <v>4460000000000</v>
      </c>
      <c r="I932" s="1731">
        <v>108000000000</v>
      </c>
      <c r="J932" s="1407"/>
      <c r="K932" s="1431">
        <f t="shared" si="120"/>
        <v>20283008356545.961</v>
      </c>
      <c r="L932" s="1407"/>
      <c r="M932" s="1407"/>
      <c r="N932" s="1407"/>
      <c r="O932" s="1407"/>
      <c r="P932" s="1407"/>
      <c r="Q932" s="1407"/>
      <c r="R932" s="1407"/>
      <c r="S932" s="1407"/>
      <c r="T932" s="1407"/>
      <c r="U932" s="1407"/>
    </row>
    <row r="933" spans="1:21" ht="12">
      <c r="A933" s="639" t="s">
        <v>4336</v>
      </c>
      <c r="B933" s="1483">
        <v>42601</v>
      </c>
      <c r="C933" s="639" t="s">
        <v>3212</v>
      </c>
      <c r="D933" s="1831" t="s">
        <v>4340</v>
      </c>
      <c r="E933" s="2027">
        <v>42600</v>
      </c>
      <c r="F933" s="1406">
        <v>30000000000000</v>
      </c>
      <c r="G933" s="1731">
        <v>35900000000</v>
      </c>
      <c r="H933" s="1731">
        <v>4460000000000</v>
      </c>
      <c r="I933" s="1731">
        <v>108000000000</v>
      </c>
      <c r="J933" s="1407"/>
      <c r="K933" s="1431">
        <f t="shared" si="120"/>
        <v>27409470752089.137</v>
      </c>
      <c r="L933" s="1407"/>
      <c r="M933" s="1407"/>
      <c r="N933" s="1407"/>
      <c r="O933" s="1407"/>
      <c r="P933" s="1407"/>
      <c r="Q933" s="1407"/>
      <c r="R933" s="1407"/>
      <c r="S933" s="1407"/>
      <c r="T933" s="1407"/>
      <c r="U933" s="1407"/>
    </row>
    <row r="934" spans="1:21" ht="12">
      <c r="A934" s="639" t="s">
        <v>4336</v>
      </c>
      <c r="B934" s="1483">
        <v>42601</v>
      </c>
      <c r="C934" s="639" t="s">
        <v>3212</v>
      </c>
      <c r="D934" s="1831" t="s">
        <v>4341</v>
      </c>
      <c r="E934" s="2027">
        <v>42600</v>
      </c>
      <c r="F934" s="1406">
        <v>26300000000000</v>
      </c>
      <c r="G934" s="1731">
        <v>35900000000</v>
      </c>
      <c r="H934" s="1731">
        <v>4460000000000</v>
      </c>
      <c r="I934" s="1731">
        <v>108000000000</v>
      </c>
      <c r="J934" s="1407"/>
      <c r="K934" s="1431">
        <f t="shared" si="120"/>
        <v>24028969359331.477</v>
      </c>
      <c r="L934" s="1407"/>
      <c r="M934" s="1407"/>
      <c r="N934" s="1407"/>
      <c r="O934" s="1407"/>
      <c r="P934" s="1407"/>
      <c r="Q934" s="1407"/>
      <c r="R934" s="1407"/>
      <c r="S934" s="1407"/>
      <c r="T934" s="1407"/>
      <c r="U934" s="1407"/>
    </row>
    <row r="935" spans="1:21" ht="12">
      <c r="A935" s="639" t="s">
        <v>4336</v>
      </c>
      <c r="B935" s="1483">
        <v>42601</v>
      </c>
      <c r="C935" s="639" t="s">
        <v>3212</v>
      </c>
      <c r="D935" s="1831" t="s">
        <v>4342</v>
      </c>
      <c r="E935" s="2027">
        <v>42600</v>
      </c>
      <c r="F935" s="1406">
        <v>5500000000000</v>
      </c>
      <c r="G935" s="1731">
        <v>35900000000</v>
      </c>
      <c r="H935" s="1731">
        <v>4460000000000</v>
      </c>
      <c r="I935" s="1731">
        <v>108000000000</v>
      </c>
      <c r="J935" s="1407"/>
      <c r="K935" s="1431">
        <f t="shared" si="120"/>
        <v>5025069637883.0078</v>
      </c>
      <c r="L935" s="1407"/>
      <c r="M935" s="1407"/>
      <c r="N935" s="1407"/>
      <c r="O935" s="1407"/>
      <c r="P935" s="1407"/>
      <c r="Q935" s="1407"/>
      <c r="R935" s="1407"/>
      <c r="S935" s="1407"/>
      <c r="T935" s="1407"/>
      <c r="U935" s="1407"/>
    </row>
    <row r="936" spans="1:21" ht="12">
      <c r="A936" s="2168" t="s">
        <v>4336</v>
      </c>
      <c r="B936" s="2169">
        <v>42601</v>
      </c>
      <c r="C936" s="2168" t="s">
        <v>3212</v>
      </c>
      <c r="D936" s="2170" t="s">
        <v>4343</v>
      </c>
      <c r="E936" s="2210">
        <v>42600</v>
      </c>
      <c r="F936" s="2195">
        <v>4600000000000</v>
      </c>
      <c r="G936" s="2174">
        <v>35900000000</v>
      </c>
      <c r="H936" s="2174">
        <v>4460000000000</v>
      </c>
      <c r="I936" s="2174">
        <v>108000000000</v>
      </c>
      <c r="J936" s="2175"/>
      <c r="K936" s="2176">
        <f t="shared" si="120"/>
        <v>4202785515320.334</v>
      </c>
      <c r="L936" s="1407"/>
      <c r="M936" s="1407"/>
      <c r="N936" s="1407"/>
      <c r="O936" s="1407"/>
      <c r="P936" s="1407"/>
      <c r="Q936" s="1407"/>
      <c r="R936" s="1407"/>
      <c r="S936" s="1407"/>
      <c r="T936" s="1407"/>
      <c r="U936" s="1407"/>
    </row>
    <row r="937" spans="1:21" ht="12">
      <c r="A937" s="2168" t="s">
        <v>4336</v>
      </c>
      <c r="B937" s="2169">
        <v>42601</v>
      </c>
      <c r="C937" s="2168" t="s">
        <v>3212</v>
      </c>
      <c r="D937" s="2170" t="s">
        <v>4344</v>
      </c>
      <c r="E937" s="2210">
        <v>42600</v>
      </c>
      <c r="F937" s="2195">
        <v>554000000000</v>
      </c>
      <c r="G937" s="2174">
        <v>35900000000</v>
      </c>
      <c r="H937" s="2174">
        <v>4460000000000</v>
      </c>
      <c r="I937" s="2174">
        <v>108000000000</v>
      </c>
      <c r="J937" s="2175"/>
      <c r="K937" s="2176">
        <f t="shared" si="120"/>
        <v>506161559888.57935</v>
      </c>
      <c r="L937" s="1407"/>
      <c r="M937" s="1407"/>
      <c r="N937" s="1407"/>
      <c r="O937" s="1407"/>
      <c r="P937" s="1407"/>
      <c r="Q937" s="1407"/>
      <c r="R937" s="1407"/>
      <c r="S937" s="1407"/>
      <c r="T937" s="1407"/>
      <c r="U937" s="1407"/>
    </row>
    <row r="938" spans="1:21" ht="12">
      <c r="A938" s="2168" t="s">
        <v>4336</v>
      </c>
      <c r="B938" s="2169">
        <v>42601</v>
      </c>
      <c r="C938" s="2168" t="s">
        <v>3212</v>
      </c>
      <c r="D938" s="2170" t="s">
        <v>4345</v>
      </c>
      <c r="E938" s="2210">
        <v>42600</v>
      </c>
      <c r="F938" s="2195">
        <v>43700000000000</v>
      </c>
      <c r="G938" s="2174">
        <v>35900000000</v>
      </c>
      <c r="H938" s="2174">
        <v>4460000000000</v>
      </c>
      <c r="I938" s="2174">
        <v>108000000000</v>
      </c>
      <c r="J938" s="2175"/>
      <c r="K938" s="2176">
        <f t="shared" si="120"/>
        <v>39926462395543.172</v>
      </c>
      <c r="L938" s="1407"/>
      <c r="M938" s="1407"/>
      <c r="N938" s="1407"/>
      <c r="O938" s="1407"/>
      <c r="P938" s="1407"/>
      <c r="Q938" s="1407"/>
      <c r="R938" s="1407"/>
      <c r="S938" s="1407"/>
      <c r="T938" s="1407"/>
      <c r="U938" s="1407"/>
    </row>
    <row r="939" spans="1:21" ht="12">
      <c r="A939" s="2168" t="s">
        <v>4336</v>
      </c>
      <c r="B939" s="2169">
        <v>42601</v>
      </c>
      <c r="C939" s="2168" t="s">
        <v>3212</v>
      </c>
      <c r="D939" s="2170" t="s">
        <v>3971</v>
      </c>
      <c r="E939" s="2210">
        <v>42600</v>
      </c>
      <c r="F939" s="2195">
        <v>43400000000000</v>
      </c>
      <c r="G939" s="2174">
        <v>35900000000</v>
      </c>
      <c r="H939" s="2174">
        <v>4460000000000</v>
      </c>
      <c r="I939" s="2174">
        <v>108000000000</v>
      </c>
      <c r="J939" s="2175"/>
      <c r="K939" s="2176">
        <f t="shared" si="120"/>
        <v>39652367688022.281</v>
      </c>
      <c r="L939" s="1407"/>
      <c r="M939" s="1407"/>
      <c r="N939" s="1407"/>
      <c r="O939" s="1407"/>
      <c r="P939" s="1407"/>
      <c r="Q939" s="1407"/>
      <c r="R939" s="1407"/>
      <c r="S939" s="1407"/>
      <c r="T939" s="1407"/>
      <c r="U939" s="1407"/>
    </row>
    <row r="940" spans="1:21" ht="12">
      <c r="A940" s="2007" t="s">
        <v>4336</v>
      </c>
      <c r="B940" s="2009">
        <v>42601</v>
      </c>
      <c r="C940" s="2007" t="s">
        <v>3212</v>
      </c>
      <c r="D940" s="2221" t="s">
        <v>4347</v>
      </c>
      <c r="E940" s="2035">
        <v>42600</v>
      </c>
      <c r="F940" s="2011">
        <v>98800000000000</v>
      </c>
      <c r="G940" s="2012">
        <v>35900000000</v>
      </c>
      <c r="H940" s="2012">
        <v>4460000000000</v>
      </c>
      <c r="I940" s="2012">
        <v>108000000000</v>
      </c>
      <c r="J940" s="2017"/>
      <c r="K940" s="2019">
        <f t="shared" si="120"/>
        <v>90268523676880.219</v>
      </c>
      <c r="L940" s="1407"/>
      <c r="M940" s="1407"/>
      <c r="N940" s="1407"/>
      <c r="O940" s="1407"/>
      <c r="P940" s="1407"/>
      <c r="Q940" s="1407"/>
      <c r="R940" s="1407"/>
      <c r="S940" s="1407"/>
      <c r="T940" s="1407"/>
      <c r="U940" s="1407"/>
    </row>
    <row r="941" spans="1:21" ht="12">
      <c r="A941" s="2007" t="s">
        <v>4336</v>
      </c>
      <c r="B941" s="2009">
        <v>42601</v>
      </c>
      <c r="C941" s="2007" t="s">
        <v>3212</v>
      </c>
      <c r="D941" s="2221" t="s">
        <v>4349</v>
      </c>
      <c r="E941" s="2035">
        <v>42600</v>
      </c>
      <c r="F941" s="2011">
        <v>153000000000000</v>
      </c>
      <c r="G941" s="2012">
        <v>35900000000</v>
      </c>
      <c r="H941" s="2012">
        <v>4460000000000</v>
      </c>
      <c r="I941" s="2012">
        <v>108000000000</v>
      </c>
      <c r="J941" s="2017"/>
      <c r="K941" s="2019">
        <f t="shared" si="120"/>
        <v>139788300835654.59</v>
      </c>
      <c r="L941" s="1407"/>
      <c r="M941" s="1407"/>
      <c r="N941" s="1407"/>
      <c r="O941" s="1407"/>
      <c r="P941" s="1407"/>
      <c r="Q941" s="1407"/>
      <c r="R941" s="1407"/>
      <c r="S941" s="1407"/>
      <c r="T941" s="1407"/>
      <c r="U941" s="1407"/>
    </row>
    <row r="942" spans="1:21" ht="12">
      <c r="A942" s="2007" t="s">
        <v>4336</v>
      </c>
      <c r="B942" s="2009">
        <v>42601</v>
      </c>
      <c r="C942" s="2007" t="s">
        <v>3212</v>
      </c>
      <c r="D942" s="2221" t="s">
        <v>4350</v>
      </c>
      <c r="E942" s="2035">
        <v>42600</v>
      </c>
      <c r="F942" s="2011">
        <v>151000000000000</v>
      </c>
      <c r="G942" s="2012">
        <v>35900000000</v>
      </c>
      <c r="H942" s="2012">
        <v>4460000000000</v>
      </c>
      <c r="I942" s="2012">
        <v>108000000000</v>
      </c>
      <c r="J942" s="2017"/>
      <c r="K942" s="2019">
        <f t="shared" si="120"/>
        <v>137961002785515.31</v>
      </c>
      <c r="L942" s="1407"/>
      <c r="M942" s="1407"/>
      <c r="N942" s="1407"/>
      <c r="O942" s="1407"/>
      <c r="P942" s="1407"/>
      <c r="Q942" s="1407"/>
      <c r="R942" s="1407"/>
      <c r="S942" s="1407"/>
      <c r="T942" s="1407"/>
      <c r="U942" s="1407"/>
    </row>
    <row r="943" spans="1:21" ht="12">
      <c r="A943" s="2007" t="s">
        <v>4336</v>
      </c>
      <c r="B943" s="2009">
        <v>42601</v>
      </c>
      <c r="C943" s="2007" t="s">
        <v>3212</v>
      </c>
      <c r="D943" s="2221" t="s">
        <v>4351</v>
      </c>
      <c r="E943" s="2035">
        <v>42600</v>
      </c>
      <c r="F943" s="2011">
        <v>119000000000000</v>
      </c>
      <c r="G943" s="2012">
        <v>35900000000</v>
      </c>
      <c r="H943" s="2012">
        <v>4460000000000</v>
      </c>
      <c r="I943" s="2012">
        <v>108000000000</v>
      </c>
      <c r="J943" s="2017"/>
      <c r="K943" s="2019">
        <f t="shared" si="120"/>
        <v>108724233983286.91</v>
      </c>
      <c r="L943" s="1407"/>
      <c r="M943" s="1407"/>
      <c r="N943" s="1407"/>
      <c r="O943" s="1407"/>
      <c r="P943" s="1407"/>
      <c r="Q943" s="1407"/>
      <c r="R943" s="1407"/>
      <c r="S943" s="1407"/>
      <c r="T943" s="1407"/>
      <c r="U943" s="1407"/>
    </row>
    <row r="944" spans="1:21" ht="12">
      <c r="A944" s="2007" t="s">
        <v>4336</v>
      </c>
      <c r="B944" s="2009">
        <v>42601</v>
      </c>
      <c r="C944" s="2007" t="s">
        <v>3212</v>
      </c>
      <c r="D944" s="2221" t="s">
        <v>4352</v>
      </c>
      <c r="E944" s="2035">
        <v>42600</v>
      </c>
      <c r="F944" s="2011">
        <v>73100000000000</v>
      </c>
      <c r="G944" s="2012">
        <v>35900000000</v>
      </c>
      <c r="H944" s="2012">
        <v>4460000000000</v>
      </c>
      <c r="I944" s="2012">
        <v>108000000000</v>
      </c>
      <c r="J944" s="2017"/>
      <c r="K944" s="2019">
        <f t="shared" si="120"/>
        <v>66787743732590.523</v>
      </c>
      <c r="L944" s="1407"/>
      <c r="M944" s="1407"/>
      <c r="N944" s="1407"/>
      <c r="O944" s="1407"/>
      <c r="P944" s="1407"/>
      <c r="Q944" s="1407"/>
      <c r="R944" s="1407"/>
      <c r="S944" s="1407"/>
      <c r="T944" s="1407"/>
      <c r="U944" s="1407"/>
    </row>
    <row r="945" spans="1:21" ht="12">
      <c r="A945" s="2007" t="s">
        <v>4336</v>
      </c>
      <c r="B945" s="2009">
        <v>42601</v>
      </c>
      <c r="C945" s="2007" t="s">
        <v>3212</v>
      </c>
      <c r="D945" s="2221" t="s">
        <v>4353</v>
      </c>
      <c r="E945" s="2035">
        <v>42600</v>
      </c>
      <c r="F945" s="2011">
        <v>67000000000000</v>
      </c>
      <c r="G945" s="2012">
        <v>35900000000</v>
      </c>
      <c r="H945" s="2012">
        <v>4460000000000</v>
      </c>
      <c r="I945" s="2012">
        <v>108000000000</v>
      </c>
      <c r="J945" s="2017"/>
      <c r="K945" s="2019">
        <f t="shared" si="120"/>
        <v>61214484679665.734</v>
      </c>
      <c r="L945" s="1407"/>
      <c r="M945" s="1407"/>
      <c r="N945" s="1407"/>
      <c r="O945" s="1407"/>
      <c r="P945" s="1407"/>
      <c r="Q945" s="1407"/>
      <c r="R945" s="1407"/>
      <c r="S945" s="1407"/>
      <c r="T945" s="1407"/>
      <c r="U945" s="1407"/>
    </row>
    <row r="946" spans="1:21" ht="12">
      <c r="A946" s="639"/>
      <c r="B946" s="1483"/>
      <c r="C946" s="639"/>
      <c r="D946" s="1844"/>
      <c r="E946" s="1407"/>
      <c r="F946" s="2223"/>
      <c r="G946" s="1534"/>
      <c r="H946" s="1407"/>
      <c r="I946" s="1407"/>
      <c r="J946" s="1407"/>
      <c r="K946" s="1431"/>
      <c r="L946" s="1407"/>
      <c r="M946" s="1407"/>
      <c r="N946" s="1407"/>
      <c r="O946" s="1407"/>
      <c r="P946" s="1407"/>
      <c r="Q946" s="1407"/>
      <c r="R946" s="1407"/>
      <c r="S946" s="1407"/>
      <c r="T946" s="1407"/>
      <c r="U946" s="1407"/>
    </row>
    <row r="947" spans="1:21" ht="12">
      <c r="A947" s="639" t="s">
        <v>4354</v>
      </c>
      <c r="B947" s="1483">
        <v>42606</v>
      </c>
      <c r="C947" s="639" t="s">
        <v>3212</v>
      </c>
      <c r="D947" s="1831" t="s">
        <v>4355</v>
      </c>
      <c r="E947" s="2027">
        <v>42606</v>
      </c>
      <c r="F947" s="1794">
        <v>15200000000</v>
      </c>
      <c r="G947" s="1438">
        <v>11800000000</v>
      </c>
      <c r="H947" s="1438">
        <v>4600000000000</v>
      </c>
      <c r="I947" s="1438">
        <v>4810000000</v>
      </c>
      <c r="J947" s="1407"/>
      <c r="K947" s="1431">
        <f t="shared" ref="K947:K957" si="121">(32800000000/G947)*F947</f>
        <v>42250847457.627121</v>
      </c>
      <c r="L947" s="1407"/>
      <c r="M947" s="1407"/>
      <c r="N947" s="1407"/>
      <c r="O947" s="1407"/>
      <c r="P947" s="1407"/>
      <c r="Q947" s="1407"/>
      <c r="R947" s="1407"/>
      <c r="S947" s="1407"/>
      <c r="T947" s="1407"/>
      <c r="U947" s="1407"/>
    </row>
    <row r="948" spans="1:21" ht="12">
      <c r="A948" s="639" t="s">
        <v>4354</v>
      </c>
      <c r="B948" s="1483">
        <v>42606</v>
      </c>
      <c r="C948" s="639" t="s">
        <v>3212</v>
      </c>
      <c r="D948" s="1831" t="s">
        <v>4357</v>
      </c>
      <c r="E948" s="2027">
        <v>42606</v>
      </c>
      <c r="F948" s="1794">
        <v>20800000000000</v>
      </c>
      <c r="G948" s="1438">
        <v>11800000000</v>
      </c>
      <c r="H948" s="1438">
        <v>4600000000000</v>
      </c>
      <c r="I948" s="1438">
        <v>4810000000</v>
      </c>
      <c r="J948" s="1407"/>
      <c r="K948" s="1431">
        <f t="shared" si="121"/>
        <v>57816949152542.375</v>
      </c>
      <c r="L948" s="1407"/>
      <c r="M948" s="1407"/>
      <c r="N948" s="1407"/>
      <c r="O948" s="1407"/>
      <c r="P948" s="1407"/>
      <c r="Q948" s="1407"/>
      <c r="R948" s="1407"/>
      <c r="S948" s="1407"/>
      <c r="T948" s="1407"/>
      <c r="U948" s="1407"/>
    </row>
    <row r="949" spans="1:21" ht="12">
      <c r="A949" s="639" t="s">
        <v>4354</v>
      </c>
      <c r="B949" s="1483">
        <v>42606</v>
      </c>
      <c r="C949" s="639" t="s">
        <v>3212</v>
      </c>
      <c r="D949" s="1831" t="s">
        <v>4358</v>
      </c>
      <c r="E949" s="2027">
        <v>42606</v>
      </c>
      <c r="F949" s="1794">
        <v>53400000000</v>
      </c>
      <c r="G949" s="1438">
        <v>11800000000</v>
      </c>
      <c r="H949" s="1438">
        <v>4600000000000</v>
      </c>
      <c r="I949" s="1438">
        <v>4810000000</v>
      </c>
      <c r="J949" s="1407"/>
      <c r="K949" s="1431">
        <f t="shared" si="121"/>
        <v>148433898305.08475</v>
      </c>
      <c r="L949" s="1407"/>
      <c r="M949" s="1407"/>
      <c r="N949" s="1407"/>
      <c r="O949" s="1407"/>
      <c r="P949" s="1407"/>
      <c r="Q949" s="1407"/>
      <c r="R949" s="1407"/>
      <c r="S949" s="1407"/>
      <c r="T949" s="1407"/>
      <c r="U949" s="1407"/>
    </row>
    <row r="950" spans="1:21" ht="12">
      <c r="A950" s="639" t="s">
        <v>4354</v>
      </c>
      <c r="B950" s="1483">
        <v>42606</v>
      </c>
      <c r="C950" s="639" t="s">
        <v>3212</v>
      </c>
      <c r="D950" s="1831" t="s">
        <v>4359</v>
      </c>
      <c r="E950" s="2027">
        <v>42606</v>
      </c>
      <c r="F950" s="1794">
        <v>115000000000</v>
      </c>
      <c r="G950" s="1438">
        <v>11800000000</v>
      </c>
      <c r="H950" s="1438">
        <v>4600000000000</v>
      </c>
      <c r="I950" s="1438">
        <v>4810000000</v>
      </c>
      <c r="J950" s="1407"/>
      <c r="K950" s="1431">
        <f t="shared" si="121"/>
        <v>319661016949.15259</v>
      </c>
      <c r="L950" s="1407"/>
      <c r="M950" s="1407"/>
      <c r="N950" s="1407"/>
      <c r="O950" s="1407"/>
      <c r="P950" s="1407"/>
      <c r="Q950" s="1407"/>
      <c r="R950" s="1407"/>
      <c r="S950" s="1407"/>
      <c r="T950" s="1407"/>
      <c r="U950" s="1407"/>
    </row>
    <row r="951" spans="1:21" ht="12">
      <c r="A951" s="639" t="s">
        <v>4354</v>
      </c>
      <c r="B951" s="1483">
        <v>42606</v>
      </c>
      <c r="C951" s="639" t="s">
        <v>3212</v>
      </c>
      <c r="D951" s="1831" t="s">
        <v>4360</v>
      </c>
      <c r="E951" s="2027">
        <v>42606</v>
      </c>
      <c r="F951" s="1406">
        <v>10100000000000</v>
      </c>
      <c r="G951" s="1438">
        <v>11800000000</v>
      </c>
      <c r="H951" s="1438">
        <v>4600000000000</v>
      </c>
      <c r="I951" s="1438">
        <v>4810000000</v>
      </c>
      <c r="J951" s="1407"/>
      <c r="K951" s="1431">
        <f t="shared" si="121"/>
        <v>28074576271186.441</v>
      </c>
      <c r="L951" s="1407"/>
      <c r="M951" s="1407"/>
      <c r="N951" s="1407"/>
      <c r="O951" s="1407"/>
      <c r="P951" s="1407"/>
      <c r="Q951" s="1407"/>
      <c r="R951" s="1407"/>
      <c r="S951" s="1407"/>
      <c r="T951" s="1407"/>
      <c r="U951" s="1407"/>
    </row>
    <row r="952" spans="1:21" ht="12">
      <c r="A952" s="639" t="s">
        <v>4354</v>
      </c>
      <c r="B952" s="1483">
        <v>42606</v>
      </c>
      <c r="C952" s="639" t="s">
        <v>3212</v>
      </c>
      <c r="D952" s="1831" t="s">
        <v>4361</v>
      </c>
      <c r="E952" s="2027">
        <v>42606</v>
      </c>
      <c r="F952" s="1406">
        <v>502000000000</v>
      </c>
      <c r="G952" s="1438">
        <v>11800000000</v>
      </c>
      <c r="H952" s="1438">
        <v>4600000000000</v>
      </c>
      <c r="I952" s="1438">
        <v>4810000000</v>
      </c>
      <c r="J952" s="1407"/>
      <c r="K952" s="1431">
        <f t="shared" si="121"/>
        <v>1395389830508.4746</v>
      </c>
      <c r="L952" s="1407"/>
      <c r="M952" s="1407"/>
      <c r="N952" s="1407"/>
      <c r="O952" s="1407"/>
      <c r="P952" s="1407"/>
      <c r="Q952" s="1407"/>
      <c r="R952" s="1407"/>
      <c r="S952" s="1407"/>
      <c r="T952" s="1407"/>
      <c r="U952" s="1407"/>
    </row>
    <row r="953" spans="1:21" ht="12">
      <c r="A953" s="639" t="s">
        <v>4354</v>
      </c>
      <c r="B953" s="1483">
        <v>42606</v>
      </c>
      <c r="C953" s="639" t="s">
        <v>3212</v>
      </c>
      <c r="D953" s="1831" t="s">
        <v>4362</v>
      </c>
      <c r="E953" s="2027">
        <v>42606</v>
      </c>
      <c r="F953" s="1406">
        <v>1090000000000</v>
      </c>
      <c r="G953" s="1438">
        <v>11800000000</v>
      </c>
      <c r="H953" s="1438">
        <v>4600000000000</v>
      </c>
      <c r="I953" s="1438">
        <v>4810000000</v>
      </c>
      <c r="J953" s="1407"/>
      <c r="K953" s="1431">
        <f t="shared" si="121"/>
        <v>3029830508474.5767</v>
      </c>
      <c r="L953" s="1407"/>
      <c r="M953" s="1407"/>
      <c r="N953" s="1407"/>
      <c r="O953" s="1407"/>
      <c r="P953" s="1407"/>
      <c r="Q953" s="1407"/>
      <c r="R953" s="1407"/>
      <c r="S953" s="1407"/>
      <c r="T953" s="1407"/>
      <c r="U953" s="1407"/>
    </row>
    <row r="954" spans="1:21" ht="12">
      <c r="A954" s="639" t="s">
        <v>4354</v>
      </c>
      <c r="B954" s="1483">
        <v>42606</v>
      </c>
      <c r="C954" s="639" t="s">
        <v>3212</v>
      </c>
      <c r="D954" s="1831" t="s">
        <v>4363</v>
      </c>
      <c r="E954" s="2027">
        <v>42606</v>
      </c>
      <c r="F954" s="1406">
        <v>187000000000</v>
      </c>
      <c r="G954" s="1438">
        <v>11800000000</v>
      </c>
      <c r="H954" s="1438">
        <v>4600000000000</v>
      </c>
      <c r="I954" s="1438">
        <v>4810000000</v>
      </c>
      <c r="J954" s="1407"/>
      <c r="K954" s="1431">
        <f t="shared" si="121"/>
        <v>519796610169.49158</v>
      </c>
      <c r="L954" s="1407"/>
      <c r="M954" s="1407"/>
      <c r="N954" s="1407"/>
      <c r="O954" s="1407"/>
      <c r="P954" s="1407"/>
      <c r="Q954" s="1407"/>
      <c r="R954" s="1407"/>
      <c r="S954" s="1407"/>
      <c r="T954" s="1407"/>
      <c r="U954" s="1407"/>
    </row>
    <row r="955" spans="1:21" ht="12">
      <c r="A955" s="639" t="s">
        <v>4354</v>
      </c>
      <c r="B955" s="1483">
        <v>42606</v>
      </c>
      <c r="C955" s="639" t="s">
        <v>3212</v>
      </c>
      <c r="D955" s="1831" t="s">
        <v>4364</v>
      </c>
      <c r="E955" s="2027">
        <v>42606</v>
      </c>
      <c r="F955" s="1406">
        <v>72200000000</v>
      </c>
      <c r="G955" s="1438">
        <v>11800000000</v>
      </c>
      <c r="H955" s="1438">
        <v>4600000000000</v>
      </c>
      <c r="I955" s="1438">
        <v>4810000000</v>
      </c>
      <c r="J955" s="1407"/>
      <c r="K955" s="1431">
        <f t="shared" si="121"/>
        <v>200691525423.72882</v>
      </c>
      <c r="L955" s="1407"/>
      <c r="M955" s="1407"/>
      <c r="N955" s="1407"/>
      <c r="O955" s="1407"/>
      <c r="P955" s="1407"/>
      <c r="Q955" s="1407"/>
      <c r="R955" s="1407"/>
      <c r="S955" s="1407"/>
      <c r="T955" s="1407"/>
      <c r="U955" s="1407"/>
    </row>
    <row r="956" spans="1:21" ht="12">
      <c r="A956" s="639" t="s">
        <v>4354</v>
      </c>
      <c r="B956" s="1483">
        <v>42606</v>
      </c>
      <c r="C956" s="639" t="s">
        <v>3212</v>
      </c>
      <c r="D956" s="1831" t="s">
        <v>4365</v>
      </c>
      <c r="E956" s="2027">
        <v>42606</v>
      </c>
      <c r="F956" s="1406">
        <v>301000000000</v>
      </c>
      <c r="G956" s="1438">
        <v>11800000000</v>
      </c>
      <c r="H956" s="1438">
        <v>4600000000000</v>
      </c>
      <c r="I956" s="1438">
        <v>4810000000</v>
      </c>
      <c r="J956" s="1407"/>
      <c r="K956" s="1431">
        <f t="shared" si="121"/>
        <v>836677966101.69495</v>
      </c>
      <c r="L956" s="1407"/>
      <c r="M956" s="1407"/>
      <c r="N956" s="1407"/>
      <c r="O956" s="1407"/>
      <c r="P956" s="1407"/>
      <c r="Q956" s="1407"/>
      <c r="R956" s="1407"/>
      <c r="S956" s="1407"/>
      <c r="T956" s="1407"/>
      <c r="U956" s="1407"/>
    </row>
    <row r="957" spans="1:21" ht="12">
      <c r="A957" s="639" t="s">
        <v>4354</v>
      </c>
      <c r="B957" s="1483">
        <v>42606</v>
      </c>
      <c r="C957" s="639" t="s">
        <v>3212</v>
      </c>
      <c r="D957" s="1831" t="s">
        <v>4366</v>
      </c>
      <c r="E957" s="2027">
        <v>42606</v>
      </c>
      <c r="F957" s="1406">
        <v>3410000000000</v>
      </c>
      <c r="G957" s="1438">
        <v>11800000000</v>
      </c>
      <c r="H957" s="1438">
        <v>4600000000000</v>
      </c>
      <c r="I957" s="1438">
        <v>4810000000</v>
      </c>
      <c r="J957" s="1407"/>
      <c r="K957" s="1431">
        <f t="shared" si="121"/>
        <v>9478644067796.6113</v>
      </c>
      <c r="L957" s="1407"/>
      <c r="M957" s="1407"/>
      <c r="N957" s="1407"/>
      <c r="O957" s="1407"/>
      <c r="P957" s="1407"/>
      <c r="Q957" s="1407"/>
      <c r="R957" s="1407"/>
      <c r="S957" s="1407"/>
      <c r="T957" s="1407"/>
      <c r="U957" s="1407"/>
    </row>
    <row r="958" spans="1:21" ht="12">
      <c r="A958" s="639"/>
      <c r="B958" s="1483"/>
      <c r="C958" s="639"/>
      <c r="D958" s="1844"/>
      <c r="E958" s="1407"/>
      <c r="F958" s="2226"/>
      <c r="G958" s="1534"/>
      <c r="H958" s="2226"/>
      <c r="I958" s="1428"/>
      <c r="J958" s="1407"/>
      <c r="K958" s="1431"/>
      <c r="L958" s="1407"/>
      <c r="M958" s="1407"/>
      <c r="N958" s="1407"/>
      <c r="O958" s="1407"/>
      <c r="P958" s="1407"/>
      <c r="Q958" s="1407"/>
      <c r="R958" s="1407"/>
      <c r="S958" s="1407"/>
      <c r="T958" s="1407"/>
      <c r="U958" s="1407"/>
    </row>
    <row r="959" spans="1:21" ht="12">
      <c r="A959" s="639" t="s">
        <v>4367</v>
      </c>
      <c r="B959" s="1483">
        <v>42614</v>
      </c>
      <c r="C959" s="639" t="s">
        <v>2126</v>
      </c>
      <c r="D959" s="1831" t="s">
        <v>4368</v>
      </c>
      <c r="E959" s="1407"/>
      <c r="F959" s="1406">
        <v>1680000000000</v>
      </c>
      <c r="G959" s="1438">
        <v>29700000000</v>
      </c>
      <c r="H959" s="1731">
        <v>12600000000000</v>
      </c>
      <c r="I959" s="1731">
        <v>10500000000</v>
      </c>
      <c r="J959" s="1407"/>
      <c r="K959" s="1431">
        <f t="shared" ref="K959:K962" si="122">(32800000000/G959)*F959</f>
        <v>1855353535353.5354</v>
      </c>
      <c r="L959" s="1407"/>
      <c r="M959" s="1407"/>
      <c r="N959" s="1407"/>
      <c r="O959" s="1407"/>
      <c r="P959" s="1407"/>
      <c r="Q959" s="1407"/>
      <c r="R959" s="1407"/>
      <c r="S959" s="1407"/>
      <c r="T959" s="1407"/>
      <c r="U959" s="1407"/>
    </row>
    <row r="960" spans="1:21" ht="12">
      <c r="A960" s="639" t="s">
        <v>4367</v>
      </c>
      <c r="B960" s="1483">
        <v>42614</v>
      </c>
      <c r="C960" s="639" t="s">
        <v>2126</v>
      </c>
      <c r="D960" s="1831" t="s">
        <v>4369</v>
      </c>
      <c r="E960" s="1407"/>
      <c r="F960" s="1406">
        <v>65700000000</v>
      </c>
      <c r="G960" s="1438">
        <v>29700000000</v>
      </c>
      <c r="H960" s="1731">
        <v>12600000000000</v>
      </c>
      <c r="I960" s="1731">
        <v>10500000000</v>
      </c>
      <c r="J960" s="1407"/>
      <c r="K960" s="1431">
        <f t="shared" si="122"/>
        <v>72557575757.57576</v>
      </c>
      <c r="L960" s="1407"/>
      <c r="M960" s="1407"/>
      <c r="N960" s="1407"/>
      <c r="O960" s="1407"/>
      <c r="P960" s="1407"/>
      <c r="Q960" s="1407"/>
      <c r="R960" s="1407"/>
      <c r="S960" s="1407"/>
      <c r="T960" s="1407"/>
      <c r="U960" s="1407"/>
    </row>
    <row r="961" spans="1:21" ht="12">
      <c r="A961" s="639" t="s">
        <v>4367</v>
      </c>
      <c r="B961" s="1483">
        <v>42614</v>
      </c>
      <c r="C961" s="639" t="s">
        <v>2126</v>
      </c>
      <c r="D961" s="1831" t="s">
        <v>4370</v>
      </c>
      <c r="E961" s="1407"/>
      <c r="F961" s="1406">
        <v>4490000000</v>
      </c>
      <c r="G961" s="1438">
        <v>29700000000</v>
      </c>
      <c r="H961" s="1731">
        <v>12600000000000</v>
      </c>
      <c r="I961" s="1731">
        <v>10500000000</v>
      </c>
      <c r="J961" s="1407"/>
      <c r="K961" s="1431">
        <f t="shared" si="122"/>
        <v>4958653198.6531992</v>
      </c>
      <c r="L961" s="1407"/>
      <c r="M961" s="1407"/>
      <c r="N961" s="1407"/>
      <c r="O961" s="1407"/>
      <c r="P961" s="1407"/>
      <c r="Q961" s="1407"/>
      <c r="R961" s="1407"/>
      <c r="S961" s="1407"/>
      <c r="T961" s="1407"/>
      <c r="U961" s="1407"/>
    </row>
    <row r="962" spans="1:21" ht="12">
      <c r="A962" s="639" t="s">
        <v>4367</v>
      </c>
      <c r="B962" s="1483">
        <v>42614</v>
      </c>
      <c r="C962" s="639" t="s">
        <v>2126</v>
      </c>
      <c r="D962" s="1831" t="s">
        <v>4371</v>
      </c>
      <c r="E962" s="1407"/>
      <c r="F962" s="1406">
        <v>5120000000</v>
      </c>
      <c r="G962" s="1438">
        <v>29700000000</v>
      </c>
      <c r="H962" s="1731">
        <v>12600000000000</v>
      </c>
      <c r="I962" s="1731">
        <v>10500000000</v>
      </c>
      <c r="J962" s="1407"/>
      <c r="K962" s="1431">
        <f t="shared" si="122"/>
        <v>5654410774.4107752</v>
      </c>
      <c r="L962" s="1407"/>
      <c r="M962" s="1407"/>
      <c r="N962" s="1407"/>
      <c r="O962" s="1407"/>
      <c r="P962" s="1407"/>
      <c r="Q962" s="1407"/>
      <c r="R962" s="1407"/>
      <c r="S962" s="1407"/>
      <c r="T962" s="1407"/>
      <c r="U962" s="1407"/>
    </row>
    <row r="963" spans="1:21" ht="12">
      <c r="A963" s="639"/>
      <c r="B963" s="1483"/>
      <c r="C963" s="639"/>
      <c r="D963" s="1844"/>
      <c r="E963" s="1407"/>
      <c r="F963" s="2226"/>
      <c r="G963" s="1534"/>
      <c r="H963" s="2226"/>
      <c r="I963" s="1428"/>
      <c r="J963" s="1407"/>
      <c r="K963" s="1431"/>
      <c r="L963" s="1407"/>
      <c r="M963" s="1407"/>
      <c r="N963" s="1407"/>
      <c r="O963" s="1407"/>
      <c r="P963" s="1407"/>
      <c r="Q963" s="1407"/>
      <c r="R963" s="1407"/>
      <c r="S963" s="1407"/>
      <c r="T963" s="1407"/>
      <c r="U963" s="1407"/>
    </row>
    <row r="964" spans="1:21" ht="12">
      <c r="A964" s="639" t="s">
        <v>4372</v>
      </c>
      <c r="B964" s="1483">
        <v>42618</v>
      </c>
      <c r="C964" s="639" t="s">
        <v>925</v>
      </c>
      <c r="D964" s="1831" t="s">
        <v>4373</v>
      </c>
      <c r="E964" s="2027">
        <v>42614</v>
      </c>
      <c r="F964" s="2228">
        <v>1410000000</v>
      </c>
      <c r="G964" s="1438">
        <v>3570000000</v>
      </c>
      <c r="H964" s="1731">
        <v>8540000000000</v>
      </c>
      <c r="I964" s="1731">
        <v>1530000000</v>
      </c>
      <c r="J964" s="5325" t="s">
        <v>4374</v>
      </c>
      <c r="K964" s="1431">
        <f t="shared" ref="K964:K968" si="123">(32800000000/G964)*F964</f>
        <v>12954621848.739494</v>
      </c>
      <c r="L964" s="1407"/>
      <c r="M964" s="1407"/>
      <c r="N964" s="1407"/>
      <c r="O964" s="1407"/>
      <c r="P964" s="1407"/>
      <c r="Q964" s="1407"/>
      <c r="R964" s="1407"/>
      <c r="S964" s="1407"/>
      <c r="T964" s="1407"/>
      <c r="U964" s="1407"/>
    </row>
    <row r="965" spans="1:21" ht="12">
      <c r="A965" s="639" t="s">
        <v>4372</v>
      </c>
      <c r="B965" s="1483">
        <v>42618</v>
      </c>
      <c r="C965" s="639" t="s">
        <v>925</v>
      </c>
      <c r="D965" s="1831" t="s">
        <v>4370</v>
      </c>
      <c r="E965" s="2027">
        <v>42614</v>
      </c>
      <c r="F965" s="2228">
        <v>1150000000</v>
      </c>
      <c r="G965" s="1438">
        <v>3570000000</v>
      </c>
      <c r="H965" s="1731">
        <v>8540000000000</v>
      </c>
      <c r="I965" s="1731">
        <v>1530000000</v>
      </c>
      <c r="J965" s="5320"/>
      <c r="K965" s="1431">
        <f t="shared" si="123"/>
        <v>10565826330.532211</v>
      </c>
      <c r="L965" s="1407"/>
      <c r="M965" s="1407"/>
      <c r="N965" s="1407"/>
      <c r="O965" s="1407"/>
      <c r="P965" s="1407"/>
      <c r="Q965" s="1407"/>
      <c r="R965" s="1407"/>
      <c r="S965" s="1407"/>
      <c r="T965" s="1407"/>
      <c r="U965" s="1407"/>
    </row>
    <row r="966" spans="1:21" ht="12">
      <c r="A966" s="639" t="s">
        <v>4372</v>
      </c>
      <c r="B966" s="1483">
        <v>42618</v>
      </c>
      <c r="C966" s="639" t="s">
        <v>925</v>
      </c>
      <c r="D966" s="1831" t="s">
        <v>4375</v>
      </c>
      <c r="E966" s="2027">
        <v>42614</v>
      </c>
      <c r="F966" s="2228">
        <v>1460000000</v>
      </c>
      <c r="G966" s="1438">
        <v>3570000000</v>
      </c>
      <c r="H966" s="1731">
        <v>8540000000000</v>
      </c>
      <c r="I966" s="1731">
        <v>1530000000</v>
      </c>
      <c r="J966" s="5320"/>
      <c r="K966" s="1431">
        <f t="shared" si="123"/>
        <v>13414005602.240896</v>
      </c>
      <c r="L966" s="1407"/>
      <c r="M966" s="1407"/>
      <c r="N966" s="1407"/>
      <c r="O966" s="1407"/>
      <c r="P966" s="1407"/>
      <c r="Q966" s="1407"/>
      <c r="R966" s="1407"/>
      <c r="S966" s="1407"/>
      <c r="T966" s="1407"/>
      <c r="U966" s="1407"/>
    </row>
    <row r="967" spans="1:21" ht="12">
      <c r="A967" s="639" t="s">
        <v>4372</v>
      </c>
      <c r="B967" s="1483">
        <v>42618</v>
      </c>
      <c r="C967" s="639" t="s">
        <v>925</v>
      </c>
      <c r="D967" s="1831" t="s">
        <v>4371</v>
      </c>
      <c r="E967" s="2027">
        <v>42614</v>
      </c>
      <c r="F967" s="2228">
        <v>1508000000</v>
      </c>
      <c r="G967" s="1438">
        <v>3570000000</v>
      </c>
      <c r="H967" s="1731">
        <v>8540000000000</v>
      </c>
      <c r="I967" s="1731">
        <v>1530000000</v>
      </c>
      <c r="J967" s="5320"/>
      <c r="K967" s="1431">
        <f t="shared" si="123"/>
        <v>13855014005.60224</v>
      </c>
      <c r="L967" s="1407"/>
      <c r="M967" s="1407"/>
      <c r="N967" s="1407"/>
      <c r="O967" s="1407"/>
      <c r="P967" s="1407"/>
      <c r="Q967" s="1407"/>
      <c r="R967" s="1407"/>
      <c r="S967" s="1407"/>
      <c r="T967" s="1407"/>
      <c r="U967" s="1407"/>
    </row>
    <row r="968" spans="1:21" ht="12">
      <c r="A968" s="639" t="s">
        <v>4372</v>
      </c>
      <c r="B968" s="1483">
        <v>42618</v>
      </c>
      <c r="C968" s="639" t="s">
        <v>925</v>
      </c>
      <c r="D968" s="1831" t="s">
        <v>4376</v>
      </c>
      <c r="E968" s="2027">
        <v>42614</v>
      </c>
      <c r="F968" s="2228">
        <v>1480000000</v>
      </c>
      <c r="G968" s="1438">
        <v>3570000000</v>
      </c>
      <c r="H968" s="1731">
        <v>8540000000000</v>
      </c>
      <c r="I968" s="1731">
        <v>1530000000</v>
      </c>
      <c r="J968" s="5320"/>
      <c r="K968" s="1431">
        <f t="shared" si="123"/>
        <v>13597759103.641455</v>
      </c>
      <c r="L968" s="1407"/>
      <c r="M968" s="1407"/>
      <c r="N968" s="1407"/>
      <c r="O968" s="1407"/>
      <c r="P968" s="1407"/>
      <c r="Q968" s="1407"/>
      <c r="R968" s="1407"/>
      <c r="S968" s="1407"/>
      <c r="T968" s="1407"/>
      <c r="U968" s="1407"/>
    </row>
    <row r="969" spans="1:21" ht="12">
      <c r="A969" s="639"/>
      <c r="B969" s="1483"/>
      <c r="C969" s="639"/>
      <c r="D969" s="1844"/>
      <c r="E969" s="1407"/>
      <c r="F969" s="1407"/>
      <c r="G969" s="1407"/>
      <c r="H969" s="2226"/>
      <c r="I969" s="1428"/>
      <c r="J969" s="1407"/>
      <c r="K969" s="1431"/>
      <c r="L969" s="1407"/>
      <c r="M969" s="1407"/>
      <c r="N969" s="1407"/>
      <c r="O969" s="1407"/>
      <c r="P969" s="1407"/>
      <c r="Q969" s="1407"/>
      <c r="R969" s="1407"/>
      <c r="S969" s="1407"/>
      <c r="T969" s="1407"/>
      <c r="U969" s="1407"/>
    </row>
    <row r="970" spans="1:21" ht="12">
      <c r="A970" s="639" t="s">
        <v>4377</v>
      </c>
      <c r="B970" s="1483">
        <v>42619</v>
      </c>
      <c r="C970" s="639" t="s">
        <v>925</v>
      </c>
      <c r="D970" s="1831" t="s">
        <v>4373</v>
      </c>
      <c r="E970" s="2027">
        <v>42614</v>
      </c>
      <c r="F970" s="2228">
        <v>579000000</v>
      </c>
      <c r="G970" s="1438">
        <v>1440000000</v>
      </c>
      <c r="H970" s="1731">
        <v>6040000000000</v>
      </c>
      <c r="I970" s="1731">
        <v>8090000000</v>
      </c>
      <c r="J970" s="5325" t="s">
        <v>4374</v>
      </c>
      <c r="K970" s="1431">
        <f t="shared" ref="K970:K974" si="124">(32800000000/G970)*F970</f>
        <v>13188333333.333334</v>
      </c>
      <c r="L970" s="1407"/>
      <c r="M970" s="1407"/>
      <c r="N970" s="1407"/>
      <c r="O970" s="1407"/>
      <c r="P970" s="1407"/>
      <c r="Q970" s="1407"/>
      <c r="R970" s="1407"/>
      <c r="S970" s="1407"/>
      <c r="T970" s="1407"/>
      <c r="U970" s="1407"/>
    </row>
    <row r="971" spans="1:21" ht="12">
      <c r="A971" s="639" t="s">
        <v>4377</v>
      </c>
      <c r="B971" s="1483">
        <v>42619</v>
      </c>
      <c r="C971" s="639" t="s">
        <v>925</v>
      </c>
      <c r="D971" s="1831" t="s">
        <v>4370</v>
      </c>
      <c r="E971" s="2027">
        <v>42614</v>
      </c>
      <c r="F971" s="2228">
        <v>606616699</v>
      </c>
      <c r="G971" s="1438">
        <v>1440000000</v>
      </c>
      <c r="H971" s="1731">
        <v>6040000000000</v>
      </c>
      <c r="I971" s="1731">
        <v>8090000000</v>
      </c>
      <c r="J971" s="5320"/>
      <c r="K971" s="1431">
        <f t="shared" si="124"/>
        <v>13817380366.111111</v>
      </c>
      <c r="L971" s="1407"/>
      <c r="M971" s="1407"/>
      <c r="N971" s="1407"/>
      <c r="O971" s="1407"/>
      <c r="P971" s="1407"/>
      <c r="Q971" s="1407"/>
      <c r="R971" s="1407"/>
      <c r="S971" s="1407"/>
      <c r="T971" s="1407"/>
      <c r="U971" s="1407"/>
    </row>
    <row r="972" spans="1:21" ht="12">
      <c r="A972" s="639" t="s">
        <v>4377</v>
      </c>
      <c r="B972" s="1483">
        <v>42619</v>
      </c>
      <c r="C972" s="639" t="s">
        <v>925</v>
      </c>
      <c r="D972" s="1831" t="s">
        <v>4375</v>
      </c>
      <c r="E972" s="2027">
        <v>42614</v>
      </c>
      <c r="F972" s="2228">
        <v>975000000</v>
      </c>
      <c r="G972" s="1438">
        <v>1440000000</v>
      </c>
      <c r="H972" s="1731">
        <v>6040000000000</v>
      </c>
      <c r="I972" s="1731">
        <v>8090000000</v>
      </c>
      <c r="J972" s="5320"/>
      <c r="K972" s="1431">
        <f t="shared" si="124"/>
        <v>22208333333.333336</v>
      </c>
      <c r="L972" s="1407"/>
      <c r="M972" s="1407"/>
      <c r="N972" s="1407"/>
      <c r="O972" s="1407"/>
      <c r="P972" s="1407"/>
      <c r="Q972" s="1407"/>
      <c r="R972" s="1407"/>
      <c r="S972" s="1407"/>
      <c r="T972" s="1407"/>
      <c r="U972" s="1407"/>
    </row>
    <row r="973" spans="1:21" ht="12">
      <c r="A973" s="639" t="s">
        <v>4377</v>
      </c>
      <c r="B973" s="1483">
        <v>42619</v>
      </c>
      <c r="C973" s="639" t="s">
        <v>925</v>
      </c>
      <c r="D973" s="1831" t="s">
        <v>4371</v>
      </c>
      <c r="E973" s="2027">
        <v>42614</v>
      </c>
      <c r="F973" s="2228">
        <v>1019000000</v>
      </c>
      <c r="G973" s="1438">
        <v>1440000000</v>
      </c>
      <c r="H973" s="1731">
        <v>6040000000000</v>
      </c>
      <c r="I973" s="1731">
        <v>8090000000</v>
      </c>
      <c r="J973" s="5320"/>
      <c r="K973" s="1431">
        <f t="shared" si="124"/>
        <v>23210555555.555557</v>
      </c>
      <c r="L973" s="1407"/>
      <c r="M973" s="1407"/>
      <c r="N973" s="1407"/>
      <c r="O973" s="1407"/>
      <c r="P973" s="1407"/>
      <c r="Q973" s="1407"/>
      <c r="R973" s="1407"/>
      <c r="S973" s="1407"/>
      <c r="T973" s="1407"/>
      <c r="U973" s="1407"/>
    </row>
    <row r="974" spans="1:21" ht="12">
      <c r="A974" s="639" t="s">
        <v>4377</v>
      </c>
      <c r="B974" s="1483">
        <v>42619</v>
      </c>
      <c r="C974" s="639" t="s">
        <v>925</v>
      </c>
      <c r="D974" s="1831" t="s">
        <v>4376</v>
      </c>
      <c r="E974" s="2027">
        <v>42614</v>
      </c>
      <c r="F974" s="2228">
        <v>604000000</v>
      </c>
      <c r="G974" s="1438">
        <v>1440000000</v>
      </c>
      <c r="H974" s="1731">
        <v>6040000000000</v>
      </c>
      <c r="I974" s="1731">
        <v>8090000000</v>
      </c>
      <c r="J974" s="5320"/>
      <c r="K974" s="1431">
        <f t="shared" si="124"/>
        <v>13757777777.777779</v>
      </c>
      <c r="L974" s="1407"/>
      <c r="M974" s="1407"/>
      <c r="N974" s="1407"/>
      <c r="O974" s="1407"/>
      <c r="P974" s="1407"/>
      <c r="Q974" s="1407"/>
      <c r="R974" s="1407"/>
      <c r="S974" s="1407"/>
      <c r="T974" s="1407"/>
      <c r="U974" s="1407"/>
    </row>
    <row r="975" spans="1:21" ht="12">
      <c r="A975" s="639"/>
      <c r="B975" s="1483"/>
      <c r="C975" s="639"/>
      <c r="D975" s="1844"/>
      <c r="E975" s="1407"/>
      <c r="F975" s="2228"/>
      <c r="G975" s="1407"/>
      <c r="H975" s="2226"/>
      <c r="I975" s="1428"/>
      <c r="J975" s="1407"/>
      <c r="K975" s="1431"/>
      <c r="L975" s="1407"/>
      <c r="M975" s="1407"/>
      <c r="N975" s="1407"/>
      <c r="O975" s="1407"/>
      <c r="P975" s="1407"/>
      <c r="Q975" s="1407"/>
      <c r="R975" s="1407"/>
      <c r="S975" s="1407"/>
      <c r="T975" s="1407"/>
      <c r="U975" s="1407"/>
    </row>
    <row r="976" spans="1:21" ht="12">
      <c r="A976" s="639" t="s">
        <v>4378</v>
      </c>
      <c r="B976" s="1483">
        <v>42625</v>
      </c>
      <c r="C976" s="639" t="s">
        <v>2126</v>
      </c>
      <c r="D976" s="1831" t="s">
        <v>4373</v>
      </c>
      <c r="E976" s="2027">
        <v>42614</v>
      </c>
      <c r="F976" s="1731">
        <v>14600000000</v>
      </c>
      <c r="G976" s="1438">
        <v>27000000000</v>
      </c>
      <c r="H976" s="1731">
        <v>2060000000000</v>
      </c>
      <c r="I976" s="1731">
        <v>21700000000</v>
      </c>
      <c r="J976" s="1407"/>
      <c r="K976" s="1431">
        <f t="shared" ref="K976:K980" si="125">(32800000000/G976)*F976</f>
        <v>17736296296.296295</v>
      </c>
      <c r="L976" s="1407"/>
      <c r="M976" s="1407"/>
      <c r="N976" s="1407"/>
      <c r="O976" s="1407"/>
      <c r="P976" s="1407"/>
      <c r="Q976" s="1407"/>
      <c r="R976" s="1407"/>
      <c r="S976" s="1407"/>
      <c r="T976" s="1407"/>
      <c r="U976" s="1407"/>
    </row>
    <row r="977" spans="1:21" ht="12">
      <c r="A977" s="639" t="s">
        <v>4378</v>
      </c>
      <c r="B977" s="1483">
        <v>42625</v>
      </c>
      <c r="C977" s="639" t="s">
        <v>2126</v>
      </c>
      <c r="D977" s="1831" t="s">
        <v>4370</v>
      </c>
      <c r="E977" s="2027">
        <v>42614</v>
      </c>
      <c r="F977" s="1731">
        <v>15300000000</v>
      </c>
      <c r="G977" s="1438">
        <v>27000000000</v>
      </c>
      <c r="H977" s="1731">
        <v>2060000000000</v>
      </c>
      <c r="I977" s="1731">
        <v>21700000000</v>
      </c>
      <c r="J977" s="1407"/>
      <c r="K977" s="1431">
        <f t="shared" si="125"/>
        <v>18586666666.666668</v>
      </c>
      <c r="L977" s="1407"/>
      <c r="M977" s="1407"/>
      <c r="N977" s="1407"/>
      <c r="O977" s="1407"/>
      <c r="P977" s="1407"/>
      <c r="Q977" s="1407"/>
      <c r="R977" s="1407"/>
      <c r="S977" s="1407"/>
      <c r="T977" s="1407"/>
      <c r="U977" s="1407"/>
    </row>
    <row r="978" spans="1:21" ht="12">
      <c r="A978" s="639" t="s">
        <v>4378</v>
      </c>
      <c r="B978" s="1483">
        <v>42625</v>
      </c>
      <c r="C978" s="639" t="s">
        <v>2126</v>
      </c>
      <c r="D978" s="1831" t="s">
        <v>4375</v>
      </c>
      <c r="E978" s="2027">
        <v>42614</v>
      </c>
      <c r="F978" s="1731">
        <v>62600000000</v>
      </c>
      <c r="G978" s="1438">
        <v>27000000000</v>
      </c>
      <c r="H978" s="1731">
        <v>2060000000000</v>
      </c>
      <c r="I978" s="1731">
        <v>21700000000</v>
      </c>
      <c r="J978" s="1407"/>
      <c r="K978" s="1431">
        <f t="shared" si="125"/>
        <v>76047407407.40741</v>
      </c>
      <c r="L978" s="1407"/>
      <c r="M978" s="1407"/>
      <c r="N978" s="1407"/>
      <c r="O978" s="1407"/>
      <c r="P978" s="1407"/>
      <c r="Q978" s="1407"/>
      <c r="R978" s="1407"/>
      <c r="S978" s="1407"/>
      <c r="T978" s="1407"/>
      <c r="U978" s="1407"/>
    </row>
    <row r="979" spans="1:21" ht="12">
      <c r="A979" s="639" t="s">
        <v>4378</v>
      </c>
      <c r="B979" s="1483">
        <v>42625</v>
      </c>
      <c r="C979" s="639" t="s">
        <v>2126</v>
      </c>
      <c r="D979" s="1831" t="s">
        <v>4371</v>
      </c>
      <c r="E979" s="2027">
        <v>42614</v>
      </c>
      <c r="F979" s="1731">
        <v>17700000000</v>
      </c>
      <c r="G979" s="1438">
        <v>27000000000</v>
      </c>
      <c r="H979" s="1731">
        <v>2060000000000</v>
      </c>
      <c r="I979" s="1731">
        <v>21700000000</v>
      </c>
      <c r="J979" s="1407"/>
      <c r="K979" s="1431">
        <f t="shared" si="125"/>
        <v>21502222222.222221</v>
      </c>
      <c r="L979" s="1407"/>
      <c r="M979" s="1407"/>
      <c r="N979" s="1407"/>
      <c r="O979" s="1407"/>
      <c r="P979" s="1407"/>
      <c r="Q979" s="1407"/>
      <c r="R979" s="1407"/>
      <c r="S979" s="1407"/>
      <c r="T979" s="1407"/>
      <c r="U979" s="1407"/>
    </row>
    <row r="980" spans="1:21" ht="12">
      <c r="A980" s="639" t="s">
        <v>4378</v>
      </c>
      <c r="B980" s="1483">
        <v>42625</v>
      </c>
      <c r="C980" s="639" t="s">
        <v>2126</v>
      </c>
      <c r="D980" s="1831" t="s">
        <v>4376</v>
      </c>
      <c r="E980" s="2027">
        <v>42614</v>
      </c>
      <c r="F980" s="1731">
        <v>16400000000</v>
      </c>
      <c r="G980" s="1438">
        <v>27000000000</v>
      </c>
      <c r="H980" s="1731">
        <v>2060000000000</v>
      </c>
      <c r="I980" s="1731">
        <v>21700000000</v>
      </c>
      <c r="J980" s="1407"/>
      <c r="K980" s="1431">
        <f t="shared" si="125"/>
        <v>19922962962.962963</v>
      </c>
      <c r="L980" s="1407"/>
      <c r="M980" s="1407"/>
      <c r="N980" s="1407"/>
      <c r="O980" s="1407"/>
      <c r="P980" s="1407"/>
      <c r="Q980" s="1407"/>
      <c r="R980" s="1407"/>
      <c r="S980" s="1407"/>
      <c r="T980" s="1407"/>
      <c r="U980" s="1407"/>
    </row>
    <row r="981" spans="1:21" ht="12">
      <c r="A981" s="639"/>
      <c r="B981" s="1483"/>
      <c r="C981" s="639"/>
      <c r="D981" s="1844"/>
      <c r="E981" s="1407"/>
      <c r="F981" s="1407"/>
      <c r="G981" s="1407"/>
      <c r="H981" s="2226"/>
      <c r="I981" s="1428"/>
      <c r="J981" s="1407"/>
      <c r="K981" s="1431"/>
      <c r="L981" s="1407"/>
      <c r="M981" s="1407"/>
      <c r="N981" s="1407"/>
      <c r="O981" s="1407"/>
      <c r="P981" s="1407"/>
      <c r="Q981" s="1407"/>
      <c r="R981" s="1407"/>
      <c r="S981" s="1407"/>
      <c r="T981" s="1407"/>
      <c r="U981" s="1407"/>
    </row>
    <row r="982" spans="1:21" ht="12">
      <c r="A982" s="639" t="s">
        <v>4380</v>
      </c>
      <c r="B982" s="1483">
        <v>42648</v>
      </c>
      <c r="C982" s="639" t="s">
        <v>3212</v>
      </c>
      <c r="D982" s="1831" t="s">
        <v>4381</v>
      </c>
      <c r="E982" s="1483">
        <v>42648</v>
      </c>
      <c r="F982" s="2228">
        <v>10800000000000</v>
      </c>
      <c r="G982" s="2228">
        <v>34000000000</v>
      </c>
      <c r="H982" s="2228">
        <v>14000000000000</v>
      </c>
      <c r="I982" s="2228">
        <v>24300000000</v>
      </c>
      <c r="J982" s="1407"/>
      <c r="K982" s="1431">
        <f t="shared" ref="K982:K997" si="126">(32800000000/G982)*F982</f>
        <v>10418823529411.766</v>
      </c>
      <c r="L982" s="1407"/>
      <c r="M982" s="1407"/>
      <c r="N982" s="1407"/>
      <c r="O982" s="1407"/>
      <c r="P982" s="1407"/>
      <c r="Q982" s="1407"/>
      <c r="R982" s="1407"/>
      <c r="S982" s="1407"/>
      <c r="T982" s="1407"/>
      <c r="U982" s="1407"/>
    </row>
    <row r="983" spans="1:21" ht="12">
      <c r="A983" s="639" t="s">
        <v>4380</v>
      </c>
      <c r="B983" s="1483">
        <v>42648</v>
      </c>
      <c r="C983" s="639" t="s">
        <v>3212</v>
      </c>
      <c r="D983" s="1831" t="s">
        <v>4384</v>
      </c>
      <c r="E983" s="1483">
        <v>42648</v>
      </c>
      <c r="F983" s="2228">
        <v>7060000000000</v>
      </c>
      <c r="G983" s="2228">
        <v>34000000000</v>
      </c>
      <c r="H983" s="2228">
        <v>14000000000000</v>
      </c>
      <c r="I983" s="2228">
        <v>24300000000</v>
      </c>
      <c r="J983" s="1407"/>
      <c r="K983" s="1431">
        <f t="shared" si="126"/>
        <v>6810823529411.7646</v>
      </c>
      <c r="L983" s="1407"/>
      <c r="M983" s="1407"/>
      <c r="N983" s="1407"/>
      <c r="O983" s="1407"/>
      <c r="P983" s="1407"/>
      <c r="Q983" s="1407"/>
      <c r="R983" s="1407"/>
      <c r="S983" s="1407"/>
      <c r="T983" s="1407"/>
      <c r="U983" s="1407"/>
    </row>
    <row r="984" spans="1:21" ht="12">
      <c r="A984" s="639" t="s">
        <v>4380</v>
      </c>
      <c r="B984" s="1483">
        <v>42648</v>
      </c>
      <c r="C984" s="639" t="s">
        <v>3212</v>
      </c>
      <c r="D984" s="1831" t="s">
        <v>4385</v>
      </c>
      <c r="E984" s="1483">
        <v>42648</v>
      </c>
      <c r="F984" s="2228">
        <v>13800000000</v>
      </c>
      <c r="G984" s="2228">
        <v>34000000000</v>
      </c>
      <c r="H984" s="2228">
        <v>14000000000000</v>
      </c>
      <c r="I984" s="2228">
        <v>24300000000</v>
      </c>
      <c r="J984" s="1407"/>
      <c r="K984" s="1431">
        <f t="shared" si="126"/>
        <v>13312941176.470589</v>
      </c>
      <c r="L984" s="1407"/>
      <c r="M984" s="1407"/>
      <c r="N984" s="1407"/>
      <c r="O984" s="1407"/>
      <c r="P984" s="1407"/>
      <c r="Q984" s="1407"/>
      <c r="R984" s="1407"/>
      <c r="S984" s="1407"/>
      <c r="T984" s="1407"/>
      <c r="U984" s="1407"/>
    </row>
    <row r="985" spans="1:21" ht="12">
      <c r="A985" s="639" t="s">
        <v>4380</v>
      </c>
      <c r="B985" s="1483">
        <v>42648</v>
      </c>
      <c r="C985" s="639" t="s">
        <v>3212</v>
      </c>
      <c r="D985" s="1831" t="s">
        <v>4388</v>
      </c>
      <c r="E985" s="1483">
        <v>42648</v>
      </c>
      <c r="F985" s="2228">
        <v>78900000000</v>
      </c>
      <c r="G985" s="2228">
        <v>34000000000</v>
      </c>
      <c r="H985" s="2228">
        <v>14000000000000</v>
      </c>
      <c r="I985" s="2228">
        <v>24300000000</v>
      </c>
      <c r="J985" s="1407"/>
      <c r="K985" s="1431">
        <f t="shared" si="126"/>
        <v>76115294117.647064</v>
      </c>
      <c r="L985" s="1407"/>
      <c r="M985" s="1407"/>
      <c r="N985" s="1407"/>
      <c r="O985" s="1407"/>
      <c r="P985" s="1407"/>
      <c r="Q985" s="1407"/>
      <c r="R985" s="1407"/>
      <c r="S985" s="1407"/>
      <c r="T985" s="1407"/>
      <c r="U985" s="1407"/>
    </row>
    <row r="986" spans="1:21" ht="12">
      <c r="A986" s="639" t="s">
        <v>4380</v>
      </c>
      <c r="B986" s="1483">
        <v>42648</v>
      </c>
      <c r="C986" s="639" t="s">
        <v>3212</v>
      </c>
      <c r="D986" s="1831" t="s">
        <v>4389</v>
      </c>
      <c r="E986" s="1483">
        <v>42648</v>
      </c>
      <c r="F986" s="2228">
        <v>6350000000</v>
      </c>
      <c r="G986" s="2228">
        <v>34000000000</v>
      </c>
      <c r="H986" s="2228">
        <v>14000000000000</v>
      </c>
      <c r="I986" s="2228">
        <v>24300000000</v>
      </c>
      <c r="J986" s="1407"/>
      <c r="K986" s="1431">
        <f t="shared" si="126"/>
        <v>6125882352.9411764</v>
      </c>
      <c r="L986" s="1407"/>
      <c r="M986" s="1407"/>
      <c r="N986" s="1407"/>
      <c r="O986" s="1407"/>
      <c r="P986" s="1407"/>
      <c r="Q986" s="1407"/>
      <c r="R986" s="1407"/>
      <c r="S986" s="1407"/>
      <c r="T986" s="1407"/>
      <c r="U986" s="1407"/>
    </row>
    <row r="987" spans="1:21" ht="12">
      <c r="A987" s="639" t="s">
        <v>4380</v>
      </c>
      <c r="B987" s="1483">
        <v>42648</v>
      </c>
      <c r="C987" s="639" t="s">
        <v>3212</v>
      </c>
      <c r="D987" s="1831" t="s">
        <v>4391</v>
      </c>
      <c r="E987" s="1483">
        <v>42648</v>
      </c>
      <c r="F987" s="2228">
        <v>432000000000000</v>
      </c>
      <c r="G987" s="2228">
        <v>34000000000</v>
      </c>
      <c r="H987" s="2228">
        <v>14000000000000</v>
      </c>
      <c r="I987" s="2228">
        <v>24300000000</v>
      </c>
      <c r="J987" s="1407"/>
      <c r="K987" s="1431">
        <f t="shared" si="126"/>
        <v>416752941176470.62</v>
      </c>
      <c r="L987" s="1407"/>
      <c r="M987" s="1407"/>
      <c r="N987" s="1407"/>
      <c r="O987" s="1407"/>
      <c r="P987" s="1407"/>
      <c r="Q987" s="1407"/>
      <c r="R987" s="1407"/>
      <c r="S987" s="1407"/>
      <c r="T987" s="1407"/>
      <c r="U987" s="1407"/>
    </row>
    <row r="988" spans="1:21" ht="12">
      <c r="A988" s="639" t="s">
        <v>4380</v>
      </c>
      <c r="B988" s="1483">
        <v>42648</v>
      </c>
      <c r="C988" s="639" t="s">
        <v>3212</v>
      </c>
      <c r="D988" s="1831" t="s">
        <v>4393</v>
      </c>
      <c r="E988" s="1483">
        <v>42648</v>
      </c>
      <c r="F988" s="2228">
        <v>12400000000000</v>
      </c>
      <c r="G988" s="2228">
        <v>34000000000</v>
      </c>
      <c r="H988" s="2228">
        <v>14000000000000</v>
      </c>
      <c r="I988" s="2228">
        <v>24300000000</v>
      </c>
      <c r="J988" s="1407"/>
      <c r="K988" s="1431">
        <f t="shared" si="126"/>
        <v>11962352941176.471</v>
      </c>
      <c r="L988" s="1407"/>
      <c r="M988" s="1407"/>
      <c r="N988" s="1407"/>
      <c r="O988" s="1407"/>
      <c r="P988" s="1407"/>
      <c r="Q988" s="1407"/>
      <c r="R988" s="1407"/>
      <c r="S988" s="1407"/>
      <c r="T988" s="1407"/>
      <c r="U988" s="1407"/>
    </row>
    <row r="989" spans="1:21" ht="12">
      <c r="A989" s="639" t="s">
        <v>4380</v>
      </c>
      <c r="B989" s="1483">
        <v>42648</v>
      </c>
      <c r="C989" s="639" t="s">
        <v>3212</v>
      </c>
      <c r="D989" s="1831" t="s">
        <v>4395</v>
      </c>
      <c r="E989" s="1483">
        <v>42648</v>
      </c>
      <c r="F989" s="2228">
        <v>112000000000000</v>
      </c>
      <c r="G989" s="2228">
        <v>34000000000</v>
      </c>
      <c r="H989" s="2228">
        <v>14000000000000</v>
      </c>
      <c r="I989" s="2228">
        <v>24300000000</v>
      </c>
      <c r="J989" s="1407"/>
      <c r="K989" s="1431">
        <f t="shared" si="126"/>
        <v>108047058823529.41</v>
      </c>
      <c r="L989" s="1407"/>
      <c r="M989" s="1407"/>
      <c r="N989" s="1407"/>
      <c r="O989" s="1407"/>
      <c r="P989" s="1407"/>
      <c r="Q989" s="1407"/>
      <c r="R989" s="1407"/>
      <c r="S989" s="1407"/>
      <c r="T989" s="1407"/>
      <c r="U989" s="1407"/>
    </row>
    <row r="990" spans="1:21" ht="12">
      <c r="A990" s="2242" t="s">
        <v>4380</v>
      </c>
      <c r="B990" s="2243">
        <v>42648</v>
      </c>
      <c r="C990" s="2242" t="s">
        <v>3212</v>
      </c>
      <c r="D990" s="2247" t="s">
        <v>4397</v>
      </c>
      <c r="E990" s="2243">
        <v>42648</v>
      </c>
      <c r="F990" s="2248">
        <v>3480000000000</v>
      </c>
      <c r="G990" s="2248">
        <v>34000000000</v>
      </c>
      <c r="H990" s="2248">
        <v>14000000000000</v>
      </c>
      <c r="I990" s="2248">
        <v>24300000000</v>
      </c>
      <c r="J990" s="2250"/>
      <c r="K990" s="2251">
        <f t="shared" si="126"/>
        <v>3357176470588.2354</v>
      </c>
      <c r="L990" s="2250"/>
      <c r="M990" s="2250"/>
      <c r="N990" s="2250"/>
      <c r="O990" s="2250"/>
      <c r="P990" s="2250"/>
      <c r="Q990" s="2250"/>
      <c r="R990" s="2250"/>
      <c r="S990" s="2250"/>
      <c r="T990" s="2250"/>
      <c r="U990" s="2250"/>
    </row>
    <row r="991" spans="1:21" ht="12">
      <c r="A991" s="2242" t="s">
        <v>4380</v>
      </c>
      <c r="B991" s="2243">
        <v>42648</v>
      </c>
      <c r="C991" s="2242" t="s">
        <v>3212</v>
      </c>
      <c r="D991" s="2247" t="s">
        <v>4400</v>
      </c>
      <c r="E991" s="2243">
        <v>42648</v>
      </c>
      <c r="F991" s="2248">
        <v>18400000000000</v>
      </c>
      <c r="G991" s="2248">
        <v>34000000000</v>
      </c>
      <c r="H991" s="2248">
        <v>14000000000000</v>
      </c>
      <c r="I991" s="2248">
        <v>24300000000</v>
      </c>
      <c r="J991" s="2250"/>
      <c r="K991" s="2251">
        <f t="shared" si="126"/>
        <v>17750588235294.117</v>
      </c>
      <c r="L991" s="2250"/>
      <c r="M991" s="2250"/>
      <c r="N991" s="2250"/>
      <c r="O991" s="2250"/>
      <c r="P991" s="2250"/>
      <c r="Q991" s="2250"/>
      <c r="R991" s="2250"/>
      <c r="S991" s="2250"/>
      <c r="T991" s="2250"/>
      <c r="U991" s="2250"/>
    </row>
    <row r="992" spans="1:21" ht="12">
      <c r="A992" s="2007" t="s">
        <v>4380</v>
      </c>
      <c r="B992" s="2009">
        <v>42648</v>
      </c>
      <c r="C992" s="2007" t="s">
        <v>3212</v>
      </c>
      <c r="D992" s="2010" t="s">
        <v>4401</v>
      </c>
      <c r="E992" s="2009">
        <v>42648</v>
      </c>
      <c r="F992" s="2254">
        <v>8790000000000</v>
      </c>
      <c r="G992" s="2254">
        <v>34000000000</v>
      </c>
      <c r="H992" s="2254">
        <v>14000000000000</v>
      </c>
      <c r="I992" s="2254">
        <v>24300000000</v>
      </c>
      <c r="J992" s="2017"/>
      <c r="K992" s="2019">
        <f t="shared" si="126"/>
        <v>8479764705882.3535</v>
      </c>
      <c r="L992" s="2017"/>
      <c r="M992" s="2017"/>
      <c r="N992" s="2017"/>
      <c r="O992" s="2017"/>
      <c r="P992" s="2017"/>
      <c r="Q992" s="2017"/>
      <c r="R992" s="2017"/>
      <c r="S992" s="2017"/>
      <c r="T992" s="2017"/>
      <c r="U992" s="2017"/>
    </row>
    <row r="993" spans="1:21" ht="12">
      <c r="A993" s="2007" t="s">
        <v>4380</v>
      </c>
      <c r="B993" s="2009">
        <v>42648</v>
      </c>
      <c r="C993" s="2007" t="s">
        <v>3212</v>
      </c>
      <c r="D993" s="2010" t="s">
        <v>4402</v>
      </c>
      <c r="E993" s="2009">
        <v>42648</v>
      </c>
      <c r="F993" s="2254">
        <v>12800000000000</v>
      </c>
      <c r="G993" s="2254">
        <v>34000000000</v>
      </c>
      <c r="H993" s="2254">
        <v>14000000000000</v>
      </c>
      <c r="I993" s="2254">
        <v>24300000000</v>
      </c>
      <c r="J993" s="2017"/>
      <c r="K993" s="2019">
        <f t="shared" si="126"/>
        <v>12348235294117.646</v>
      </c>
      <c r="L993" s="2017"/>
      <c r="M993" s="2017"/>
      <c r="N993" s="2017"/>
      <c r="O993" s="2017"/>
      <c r="P993" s="2017"/>
      <c r="Q993" s="2017"/>
      <c r="R993" s="2017"/>
      <c r="S993" s="2017"/>
      <c r="T993" s="2017"/>
      <c r="U993" s="2017"/>
    </row>
    <row r="994" spans="1:21" ht="12">
      <c r="A994" s="2007" t="s">
        <v>4380</v>
      </c>
      <c r="B994" s="2009">
        <v>42648</v>
      </c>
      <c r="C994" s="2007" t="s">
        <v>3212</v>
      </c>
      <c r="D994" s="2010" t="s">
        <v>4403</v>
      </c>
      <c r="E994" s="2009">
        <v>42648</v>
      </c>
      <c r="F994" s="2254">
        <v>1460000000000</v>
      </c>
      <c r="G994" s="2254">
        <v>34000000000</v>
      </c>
      <c r="H994" s="2254">
        <v>14000000000000</v>
      </c>
      <c r="I994" s="2254">
        <v>24300000000</v>
      </c>
      <c r="J994" s="2017"/>
      <c r="K994" s="2019">
        <f t="shared" si="126"/>
        <v>1408470588235.2942</v>
      </c>
      <c r="L994" s="2017"/>
      <c r="M994" s="2017"/>
      <c r="N994" s="2017"/>
      <c r="O994" s="2017"/>
      <c r="P994" s="2017"/>
      <c r="Q994" s="2017"/>
      <c r="R994" s="2017"/>
      <c r="S994" s="2017"/>
      <c r="T994" s="2017"/>
      <c r="U994" s="2017"/>
    </row>
    <row r="995" spans="1:21" ht="12">
      <c r="A995" s="2007" t="s">
        <v>4380</v>
      </c>
      <c r="B995" s="2009">
        <v>42648</v>
      </c>
      <c r="C995" s="2007" t="s">
        <v>3212</v>
      </c>
      <c r="D995" s="2010" t="s">
        <v>4404</v>
      </c>
      <c r="E995" s="2009">
        <v>42648</v>
      </c>
      <c r="F995" s="2254">
        <v>36200000000000</v>
      </c>
      <c r="G995" s="2254">
        <v>34000000000</v>
      </c>
      <c r="H995" s="2254">
        <v>14000000000000</v>
      </c>
      <c r="I995" s="2254">
        <v>24300000000</v>
      </c>
      <c r="J995" s="2017"/>
      <c r="K995" s="2019">
        <f t="shared" si="126"/>
        <v>34922352941176.473</v>
      </c>
      <c r="L995" s="2017"/>
      <c r="M995" s="2017"/>
      <c r="N995" s="2017"/>
      <c r="O995" s="2017"/>
      <c r="P995" s="2017"/>
      <c r="Q995" s="2017"/>
      <c r="R995" s="2017"/>
      <c r="S995" s="2017"/>
      <c r="T995" s="2017"/>
      <c r="U995" s="2017"/>
    </row>
    <row r="996" spans="1:21" ht="12">
      <c r="A996" s="639" t="s">
        <v>4380</v>
      </c>
      <c r="B996" s="1483">
        <v>42648</v>
      </c>
      <c r="C996" s="639" t="s">
        <v>3212</v>
      </c>
      <c r="D996" s="1831" t="s">
        <v>4218</v>
      </c>
      <c r="E996" s="1483">
        <v>42648</v>
      </c>
      <c r="F996" s="2228">
        <v>2880000000000</v>
      </c>
      <c r="G996" s="2228">
        <v>34000000000</v>
      </c>
      <c r="H996" s="2228">
        <v>14000000000000</v>
      </c>
      <c r="I996" s="2228">
        <v>24300000000</v>
      </c>
      <c r="J996" s="1407"/>
      <c r="K996" s="1431">
        <f t="shared" si="126"/>
        <v>2778352941176.4707</v>
      </c>
      <c r="L996" s="1407"/>
      <c r="M996" s="1407"/>
      <c r="N996" s="1407"/>
      <c r="O996" s="1407"/>
      <c r="P996" s="1407"/>
      <c r="Q996" s="1407"/>
      <c r="R996" s="1407"/>
      <c r="S996" s="1407"/>
      <c r="T996" s="1407"/>
      <c r="U996" s="1407"/>
    </row>
    <row r="997" spans="1:21" ht="12">
      <c r="A997" s="639" t="s">
        <v>4380</v>
      </c>
      <c r="B997" s="1483">
        <v>42648</v>
      </c>
      <c r="C997" s="639" t="s">
        <v>3212</v>
      </c>
      <c r="D997" s="1831" t="s">
        <v>4241</v>
      </c>
      <c r="E997" s="1483">
        <v>42648</v>
      </c>
      <c r="F997" s="2228">
        <v>5420000000000</v>
      </c>
      <c r="G997" s="2228">
        <v>34000000000</v>
      </c>
      <c r="H997" s="2228">
        <v>14000000000000</v>
      </c>
      <c r="I997" s="2228">
        <v>24300000000</v>
      </c>
      <c r="J997" s="1407"/>
      <c r="K997" s="1431">
        <f t="shared" si="126"/>
        <v>5228705882352.9414</v>
      </c>
      <c r="L997" s="1407"/>
      <c r="M997" s="1407"/>
      <c r="N997" s="1407"/>
      <c r="O997" s="1407"/>
      <c r="P997" s="1407"/>
      <c r="Q997" s="1407"/>
      <c r="R997" s="1407"/>
      <c r="S997" s="1407"/>
      <c r="T997" s="1407"/>
      <c r="U997" s="1407"/>
    </row>
    <row r="998" spans="1:21" ht="12">
      <c r="A998" s="639"/>
      <c r="B998" s="1483"/>
      <c r="C998" s="639"/>
      <c r="D998" s="1844"/>
      <c r="E998" s="1407"/>
      <c r="F998" s="2226"/>
      <c r="G998" s="2262"/>
      <c r="H998" s="2262"/>
      <c r="I998" s="1428"/>
      <c r="J998" s="1407"/>
      <c r="K998" s="1431"/>
      <c r="L998" s="1407"/>
      <c r="M998" s="1407"/>
      <c r="N998" s="1407"/>
      <c r="O998" s="1407"/>
      <c r="P998" s="1407"/>
      <c r="Q998" s="1407"/>
      <c r="R998" s="1407"/>
      <c r="S998" s="1407"/>
      <c r="T998" s="1407"/>
      <c r="U998" s="1407"/>
    </row>
    <row r="999" spans="1:21" ht="12">
      <c r="A999" s="639" t="s">
        <v>4405</v>
      </c>
      <c r="B999" s="1483">
        <v>42655</v>
      </c>
      <c r="C999" s="639" t="s">
        <v>3212</v>
      </c>
      <c r="D999" s="1831" t="s">
        <v>4406</v>
      </c>
      <c r="E999" s="2264">
        <v>42654</v>
      </c>
      <c r="F999" s="2228">
        <v>3010000000000</v>
      </c>
      <c r="G999" s="2228">
        <v>30700000000</v>
      </c>
      <c r="H999" s="2228">
        <v>1200000000000</v>
      </c>
      <c r="I999" s="2228">
        <v>16000000000</v>
      </c>
      <c r="J999" s="1407"/>
      <c r="K999" s="1431">
        <f t="shared" ref="K999:K1002" si="127">(32800000000/G999)*F999</f>
        <v>3215895765472.313</v>
      </c>
      <c r="L999" s="1407"/>
      <c r="M999" s="1407"/>
      <c r="N999" s="1407"/>
      <c r="O999" s="1407"/>
      <c r="P999" s="1407"/>
      <c r="Q999" s="1407"/>
      <c r="R999" s="1407"/>
      <c r="S999" s="1407"/>
      <c r="T999" s="1407"/>
      <c r="U999" s="1407"/>
    </row>
    <row r="1000" spans="1:21" ht="12">
      <c r="A1000" s="639" t="s">
        <v>4405</v>
      </c>
      <c r="B1000" s="1483">
        <v>42655</v>
      </c>
      <c r="C1000" s="639" t="s">
        <v>3212</v>
      </c>
      <c r="D1000" s="1831" t="s">
        <v>4407</v>
      </c>
      <c r="E1000" s="2264">
        <v>42654</v>
      </c>
      <c r="F1000" s="2228">
        <v>5210000000000</v>
      </c>
      <c r="G1000" s="2228">
        <v>30700000000</v>
      </c>
      <c r="H1000" s="2228">
        <v>1200000000000</v>
      </c>
      <c r="I1000" s="2228">
        <v>16000000000</v>
      </c>
      <c r="J1000" s="1407"/>
      <c r="K1000" s="1431">
        <f t="shared" si="127"/>
        <v>5566384364820.8467</v>
      </c>
      <c r="L1000" s="1407"/>
      <c r="M1000" s="1407"/>
      <c r="N1000" s="1407"/>
      <c r="O1000" s="1407"/>
      <c r="P1000" s="1407"/>
      <c r="Q1000" s="1407"/>
      <c r="R1000" s="1407"/>
      <c r="S1000" s="1407"/>
      <c r="T1000" s="1407"/>
      <c r="U1000" s="1407"/>
    </row>
    <row r="1001" spans="1:21" ht="12">
      <c r="A1001" s="639" t="s">
        <v>4405</v>
      </c>
      <c r="B1001" s="1483">
        <v>42655</v>
      </c>
      <c r="C1001" s="639" t="s">
        <v>3212</v>
      </c>
      <c r="D1001" s="1831" t="s">
        <v>4408</v>
      </c>
      <c r="E1001" s="2264">
        <v>42654</v>
      </c>
      <c r="F1001" s="2228">
        <v>4260000000000</v>
      </c>
      <c r="G1001" s="2228">
        <v>30700000000</v>
      </c>
      <c r="H1001" s="2228">
        <v>1200000000000</v>
      </c>
      <c r="I1001" s="2228">
        <v>16000000000</v>
      </c>
      <c r="J1001" s="1407"/>
      <c r="K1001" s="1431">
        <f t="shared" si="127"/>
        <v>4551400651465.7979</v>
      </c>
      <c r="L1001" s="1407"/>
      <c r="M1001" s="1407"/>
      <c r="N1001" s="1407"/>
      <c r="O1001" s="1407"/>
      <c r="P1001" s="1407"/>
      <c r="Q1001" s="1407"/>
      <c r="R1001" s="1407"/>
      <c r="S1001" s="1407"/>
      <c r="T1001" s="1407"/>
      <c r="U1001" s="1407"/>
    </row>
    <row r="1002" spans="1:21" ht="12">
      <c r="A1002" s="639" t="s">
        <v>4405</v>
      </c>
      <c r="B1002" s="1483">
        <v>42655</v>
      </c>
      <c r="C1002" s="639" t="s">
        <v>3212</v>
      </c>
      <c r="D1002" s="1831" t="s">
        <v>4409</v>
      </c>
      <c r="E1002" s="2264">
        <v>42654</v>
      </c>
      <c r="F1002" s="2228">
        <v>5900000000000</v>
      </c>
      <c r="G1002" s="2228">
        <v>30700000000</v>
      </c>
      <c r="H1002" s="2228">
        <v>1200000000000</v>
      </c>
      <c r="I1002" s="2228">
        <v>16000000000</v>
      </c>
      <c r="J1002" s="1407"/>
      <c r="K1002" s="1431">
        <f t="shared" si="127"/>
        <v>6303583061889.251</v>
      </c>
      <c r="L1002" s="1407"/>
      <c r="M1002" s="1407"/>
      <c r="N1002" s="1407"/>
      <c r="O1002" s="1407"/>
      <c r="P1002" s="1407"/>
      <c r="Q1002" s="1407"/>
      <c r="R1002" s="1407"/>
      <c r="S1002" s="1407"/>
      <c r="T1002" s="1407"/>
      <c r="U1002" s="1407"/>
    </row>
    <row r="1003" spans="1:21" ht="12">
      <c r="A1003" s="639"/>
      <c r="B1003" s="1483"/>
      <c r="C1003" s="639"/>
      <c r="D1003" s="1844"/>
      <c r="E1003" s="1407"/>
      <c r="F1003" s="2262"/>
      <c r="G1003" s="2262"/>
      <c r="H1003" s="2262"/>
      <c r="I1003" s="1428"/>
      <c r="J1003" s="1407"/>
      <c r="K1003" s="1431"/>
      <c r="L1003" s="1407"/>
      <c r="M1003" s="1407"/>
      <c r="N1003" s="1407"/>
      <c r="O1003" s="1407"/>
      <c r="P1003" s="1407"/>
      <c r="Q1003" s="1407"/>
      <c r="R1003" s="1407"/>
      <c r="S1003" s="1407"/>
      <c r="T1003" s="1407"/>
      <c r="U1003" s="1407"/>
    </row>
    <row r="1004" spans="1:21" ht="12">
      <c r="A1004" s="639" t="s">
        <v>4410</v>
      </c>
      <c r="B1004" s="1483">
        <v>42662</v>
      </c>
      <c r="C1004" s="639" t="s">
        <v>2126</v>
      </c>
      <c r="D1004" s="1831" t="s">
        <v>4411</v>
      </c>
      <c r="E1004" s="2264">
        <v>42661</v>
      </c>
      <c r="F1004" s="2228">
        <v>42400000000</v>
      </c>
      <c r="G1004" s="2228">
        <v>80100000000</v>
      </c>
      <c r="H1004" s="2228">
        <v>17300000000000</v>
      </c>
      <c r="I1004" s="1731">
        <v>94800000000</v>
      </c>
      <c r="J1004" s="1407"/>
      <c r="K1004" s="1431">
        <f t="shared" ref="K1004:K1009" si="128">(32800000000/G1004)*F1004</f>
        <v>17362297128.589264</v>
      </c>
      <c r="L1004" s="1407"/>
      <c r="M1004" s="1407"/>
      <c r="N1004" s="1407"/>
      <c r="O1004" s="1407"/>
      <c r="P1004" s="1407"/>
      <c r="Q1004" s="1407"/>
      <c r="R1004" s="1407"/>
      <c r="S1004" s="1407"/>
      <c r="T1004" s="1407"/>
      <c r="U1004" s="1407"/>
    </row>
    <row r="1005" spans="1:21" ht="12">
      <c r="A1005" s="639" t="s">
        <v>4410</v>
      </c>
      <c r="B1005" s="1483">
        <v>42662</v>
      </c>
      <c r="C1005" s="639" t="s">
        <v>2126</v>
      </c>
      <c r="D1005" s="1831" t="s">
        <v>4413</v>
      </c>
      <c r="E1005" s="2264">
        <v>42661</v>
      </c>
      <c r="F1005" s="1731">
        <v>50400000000</v>
      </c>
      <c r="G1005" s="2228">
        <v>80100000000</v>
      </c>
      <c r="H1005" s="2228">
        <v>17300000000000</v>
      </c>
      <c r="I1005" s="1731">
        <v>94800000000</v>
      </c>
      <c r="J1005" s="1407"/>
      <c r="K1005" s="1431">
        <f t="shared" si="128"/>
        <v>20638202247.19101</v>
      </c>
      <c r="L1005" s="1407"/>
      <c r="M1005" s="1407"/>
      <c r="N1005" s="1407"/>
      <c r="O1005" s="1407"/>
      <c r="P1005" s="1407"/>
      <c r="Q1005" s="1407"/>
      <c r="R1005" s="1407"/>
      <c r="S1005" s="1407"/>
      <c r="T1005" s="1407"/>
      <c r="U1005" s="1407"/>
    </row>
    <row r="1006" spans="1:21" ht="12">
      <c r="A1006" s="639" t="s">
        <v>4410</v>
      </c>
      <c r="B1006" s="1483">
        <v>42662</v>
      </c>
      <c r="C1006" s="639" t="s">
        <v>2126</v>
      </c>
      <c r="D1006" s="1831" t="s">
        <v>4414</v>
      </c>
      <c r="E1006" s="2264">
        <v>42661</v>
      </c>
      <c r="F1006" s="2228">
        <v>122000000000</v>
      </c>
      <c r="G1006" s="2228">
        <v>80100000000</v>
      </c>
      <c r="H1006" s="2228">
        <v>17300000000000</v>
      </c>
      <c r="I1006" s="1731">
        <v>94800000000</v>
      </c>
      <c r="J1006" s="1407"/>
      <c r="K1006" s="1431">
        <f t="shared" si="128"/>
        <v>49957553058.676651</v>
      </c>
      <c r="L1006" s="1407"/>
      <c r="M1006" s="1407"/>
      <c r="N1006" s="1407"/>
      <c r="O1006" s="1407"/>
      <c r="P1006" s="1407"/>
      <c r="Q1006" s="1407"/>
      <c r="R1006" s="1407"/>
      <c r="S1006" s="1407"/>
      <c r="T1006" s="1407"/>
      <c r="U1006" s="1407"/>
    </row>
    <row r="1007" spans="1:21" ht="12">
      <c r="A1007" s="639" t="s">
        <v>4410</v>
      </c>
      <c r="B1007" s="1483">
        <v>42662</v>
      </c>
      <c r="C1007" s="639" t="s">
        <v>2126</v>
      </c>
      <c r="D1007" s="1831" t="s">
        <v>4415</v>
      </c>
      <c r="E1007" s="2264">
        <v>42661</v>
      </c>
      <c r="F1007" s="2228">
        <v>433000000000000</v>
      </c>
      <c r="G1007" s="2228">
        <v>80100000000</v>
      </c>
      <c r="H1007" s="2228">
        <v>17300000000000</v>
      </c>
      <c r="I1007" s="1731">
        <v>94800000000</v>
      </c>
      <c r="J1007" s="1407"/>
      <c r="K1007" s="1431">
        <f t="shared" si="128"/>
        <v>177308364544319.59</v>
      </c>
      <c r="L1007" s="1407"/>
      <c r="M1007" s="1407"/>
      <c r="N1007" s="1407"/>
      <c r="O1007" s="1407"/>
      <c r="P1007" s="1407"/>
      <c r="Q1007" s="1407"/>
      <c r="R1007" s="1407"/>
      <c r="S1007" s="1407"/>
      <c r="T1007" s="1407"/>
      <c r="U1007" s="1407"/>
    </row>
    <row r="1008" spans="1:21" ht="12">
      <c r="A1008" s="639" t="s">
        <v>4410</v>
      </c>
      <c r="B1008" s="1483">
        <v>42662</v>
      </c>
      <c r="C1008" s="639" t="s">
        <v>2126</v>
      </c>
      <c r="D1008" s="1831" t="s">
        <v>4416</v>
      </c>
      <c r="E1008" s="2264">
        <v>42661</v>
      </c>
      <c r="F1008" s="1731">
        <v>513000000000000</v>
      </c>
      <c r="G1008" s="2228">
        <v>80100000000</v>
      </c>
      <c r="H1008" s="2228">
        <v>17300000000000</v>
      </c>
      <c r="I1008" s="1731">
        <v>94800000000</v>
      </c>
      <c r="J1008" s="1407"/>
      <c r="K1008" s="1431">
        <f t="shared" si="128"/>
        <v>210067415730337.09</v>
      </c>
      <c r="L1008" s="1407"/>
      <c r="M1008" s="1407"/>
      <c r="N1008" s="1407"/>
      <c r="O1008" s="1407"/>
      <c r="P1008" s="1407"/>
      <c r="Q1008" s="1407"/>
      <c r="R1008" s="1407"/>
      <c r="S1008" s="1407"/>
      <c r="T1008" s="1407"/>
      <c r="U1008" s="1407"/>
    </row>
    <row r="1009" spans="1:21" ht="12">
      <c r="A1009" s="639" t="s">
        <v>4410</v>
      </c>
      <c r="B1009" s="1483">
        <v>42662</v>
      </c>
      <c r="C1009" s="639" t="s">
        <v>2126</v>
      </c>
      <c r="D1009" s="1831" t="s">
        <v>4417</v>
      </c>
      <c r="E1009" s="2264">
        <v>42661</v>
      </c>
      <c r="F1009" s="2228">
        <v>25500000000000</v>
      </c>
      <c r="G1009" s="2228">
        <v>80100000000</v>
      </c>
      <c r="H1009" s="2228">
        <v>17300000000000</v>
      </c>
      <c r="I1009" s="1731">
        <v>94800000000</v>
      </c>
      <c r="J1009" s="1407"/>
      <c r="K1009" s="1431">
        <f t="shared" si="128"/>
        <v>10441947565543.07</v>
      </c>
      <c r="L1009" s="1407"/>
      <c r="M1009" s="1407"/>
      <c r="N1009" s="1407"/>
      <c r="O1009" s="1407"/>
      <c r="P1009" s="1407"/>
      <c r="Q1009" s="1407"/>
      <c r="R1009" s="1407"/>
      <c r="S1009" s="1407"/>
      <c r="T1009" s="1407"/>
      <c r="U1009" s="1407"/>
    </row>
    <row r="1010" spans="1:21" ht="12">
      <c r="A1010" s="639"/>
      <c r="B1010" s="1483"/>
      <c r="C1010" s="639"/>
      <c r="D1010" s="1844"/>
      <c r="E1010" s="1407"/>
      <c r="F1010" s="2262"/>
      <c r="G1010" s="2262"/>
      <c r="H1010" s="2262"/>
      <c r="I1010" s="1428"/>
      <c r="J1010" s="1407"/>
      <c r="K1010" s="1431"/>
      <c r="L1010" s="1407"/>
      <c r="M1010" s="1407"/>
      <c r="N1010" s="1407"/>
      <c r="O1010" s="1407"/>
      <c r="P1010" s="1407"/>
      <c r="Q1010" s="1407"/>
      <c r="R1010" s="1407"/>
      <c r="S1010" s="1407"/>
      <c r="T1010" s="1407"/>
      <c r="U1010" s="1407"/>
    </row>
    <row r="1011" spans="1:21" ht="12">
      <c r="A1011" s="639" t="s">
        <v>4418</v>
      </c>
      <c r="B1011" s="1483">
        <v>42669</v>
      </c>
      <c r="C1011" s="639" t="s">
        <v>2126</v>
      </c>
      <c r="D1011" s="1831" t="s">
        <v>4419</v>
      </c>
      <c r="E1011" s="2264">
        <v>42668</v>
      </c>
      <c r="F1011" s="1731">
        <v>341000000000000</v>
      </c>
      <c r="G1011" s="1731">
        <v>33500000000</v>
      </c>
      <c r="H1011" s="2228">
        <v>7680000000000</v>
      </c>
      <c r="I1011" s="1731">
        <v>15000000000</v>
      </c>
      <c r="J1011" s="1407"/>
      <c r="K1011" s="1431">
        <f t="shared" ref="K1011:K1015" si="129">(32800000000/G1011)*F1011</f>
        <v>333874626865671.62</v>
      </c>
      <c r="L1011" s="1407"/>
      <c r="M1011" s="1407"/>
      <c r="N1011" s="1407"/>
      <c r="O1011" s="1407"/>
      <c r="P1011" s="1407"/>
      <c r="Q1011" s="1407"/>
      <c r="R1011" s="1407"/>
      <c r="S1011" s="1407"/>
      <c r="T1011" s="1407"/>
      <c r="U1011" s="1407"/>
    </row>
    <row r="1012" spans="1:21" ht="12">
      <c r="A1012" s="639" t="s">
        <v>4418</v>
      </c>
      <c r="B1012" s="1483">
        <v>42669</v>
      </c>
      <c r="C1012" s="639" t="s">
        <v>2126</v>
      </c>
      <c r="D1012" s="1831" t="s">
        <v>4420</v>
      </c>
      <c r="E1012" s="2264">
        <v>42668</v>
      </c>
      <c r="F1012" s="1731">
        <v>129000000000000</v>
      </c>
      <c r="G1012" s="1731">
        <v>33500000000</v>
      </c>
      <c r="H1012" s="2228">
        <v>7680000000000</v>
      </c>
      <c r="I1012" s="1731">
        <v>15000000000</v>
      </c>
      <c r="J1012" s="1407"/>
      <c r="K1012" s="1431">
        <f t="shared" si="129"/>
        <v>126304477611940.3</v>
      </c>
      <c r="L1012" s="1407"/>
      <c r="M1012" s="1407"/>
      <c r="N1012" s="1407"/>
      <c r="O1012" s="1407"/>
      <c r="P1012" s="1407"/>
      <c r="Q1012" s="1407"/>
      <c r="R1012" s="1407"/>
      <c r="S1012" s="1407"/>
      <c r="T1012" s="1407"/>
      <c r="U1012" s="1407"/>
    </row>
    <row r="1013" spans="1:21" ht="12">
      <c r="A1013" s="639" t="s">
        <v>4418</v>
      </c>
      <c r="B1013" s="1483">
        <v>42669</v>
      </c>
      <c r="C1013" s="639" t="s">
        <v>2126</v>
      </c>
      <c r="D1013" s="1831" t="s">
        <v>4421</v>
      </c>
      <c r="E1013" s="2264">
        <v>42668</v>
      </c>
      <c r="F1013" s="1731">
        <v>394000000000</v>
      </c>
      <c r="G1013" s="1731">
        <v>33500000000</v>
      </c>
      <c r="H1013" s="2228">
        <v>7680000000000</v>
      </c>
      <c r="I1013" s="1731">
        <v>15000000000</v>
      </c>
      <c r="J1013" s="1407"/>
      <c r="K1013" s="1431">
        <f t="shared" si="129"/>
        <v>385767164179.10449</v>
      </c>
      <c r="L1013" s="1407"/>
      <c r="M1013" s="1407"/>
      <c r="N1013" s="1407"/>
      <c r="O1013" s="1407"/>
      <c r="P1013" s="1407"/>
      <c r="Q1013" s="1407"/>
      <c r="R1013" s="1407"/>
      <c r="S1013" s="1407"/>
      <c r="T1013" s="1407"/>
      <c r="U1013" s="1407"/>
    </row>
    <row r="1014" spans="1:21" ht="12">
      <c r="A1014" s="639" t="s">
        <v>4418</v>
      </c>
      <c r="B1014" s="1483">
        <v>42669</v>
      </c>
      <c r="C1014" s="639" t="s">
        <v>2126</v>
      </c>
      <c r="D1014" s="1831" t="s">
        <v>4423</v>
      </c>
      <c r="E1014" s="2264">
        <v>42668</v>
      </c>
      <c r="F1014" s="1731">
        <v>29100000000000</v>
      </c>
      <c r="G1014" s="1731">
        <v>33500000000</v>
      </c>
      <c r="H1014" s="2228">
        <v>7680000000000</v>
      </c>
      <c r="I1014" s="1731">
        <v>15000000000</v>
      </c>
      <c r="J1014" s="1407"/>
      <c r="K1014" s="1431">
        <f t="shared" si="129"/>
        <v>28491940298507.461</v>
      </c>
      <c r="L1014" s="1407"/>
      <c r="M1014" s="1407"/>
      <c r="N1014" s="1407"/>
      <c r="O1014" s="1407"/>
      <c r="P1014" s="1407"/>
      <c r="Q1014" s="1407"/>
      <c r="R1014" s="1407"/>
      <c r="S1014" s="1407"/>
      <c r="T1014" s="1407"/>
      <c r="U1014" s="1407"/>
    </row>
    <row r="1015" spans="1:21" ht="12">
      <c r="A1015" s="639" t="s">
        <v>4418</v>
      </c>
      <c r="B1015" s="1483">
        <v>42669</v>
      </c>
      <c r="C1015" s="639" t="s">
        <v>2126</v>
      </c>
      <c r="D1015" s="1831" t="s">
        <v>4424</v>
      </c>
      <c r="E1015" s="2264">
        <v>42668</v>
      </c>
      <c r="F1015" s="1731">
        <v>26700000000000</v>
      </c>
      <c r="G1015" s="1731">
        <v>33500000000</v>
      </c>
      <c r="H1015" s="2228">
        <v>7680000000000</v>
      </c>
      <c r="I1015" s="1731">
        <v>15000000000</v>
      </c>
      <c r="J1015" s="1407"/>
      <c r="K1015" s="1431">
        <f t="shared" si="129"/>
        <v>26142089552238.805</v>
      </c>
      <c r="L1015" s="1407"/>
      <c r="M1015" s="1407"/>
      <c r="N1015" s="1407"/>
      <c r="O1015" s="1407"/>
      <c r="P1015" s="1407"/>
      <c r="Q1015" s="1407"/>
      <c r="R1015" s="1407"/>
      <c r="S1015" s="1407"/>
      <c r="T1015" s="1407"/>
      <c r="U1015" s="1407"/>
    </row>
    <row r="1016" spans="1:21" ht="12">
      <c r="A1016" s="639"/>
      <c r="B1016" s="1483"/>
      <c r="C1016" s="639"/>
      <c r="D1016" s="1844"/>
      <c r="E1016" s="1407"/>
      <c r="F1016" s="2226"/>
      <c r="G1016" s="2262"/>
      <c r="H1016" s="1407"/>
      <c r="I1016" s="1428"/>
      <c r="J1016" s="1407"/>
      <c r="K1016" s="1431"/>
      <c r="L1016" s="1407"/>
      <c r="M1016" s="1407"/>
      <c r="N1016" s="1407"/>
      <c r="O1016" s="1407"/>
      <c r="P1016" s="1407"/>
      <c r="Q1016" s="1407"/>
      <c r="R1016" s="1407"/>
      <c r="S1016" s="1407"/>
      <c r="T1016" s="1407"/>
      <c r="U1016" s="1407"/>
    </row>
    <row r="1017" spans="1:21" ht="12">
      <c r="A1017" s="2278" t="s">
        <v>4425</v>
      </c>
      <c r="B1017" s="2280">
        <v>42678</v>
      </c>
      <c r="C1017" s="2278" t="s">
        <v>3212</v>
      </c>
      <c r="D1017" s="2281" t="s">
        <v>4427</v>
      </c>
      <c r="E1017" s="2282">
        <v>42677</v>
      </c>
      <c r="F1017" s="2283">
        <v>68100000000000</v>
      </c>
      <c r="G1017" s="2283">
        <v>4440000000</v>
      </c>
      <c r="H1017" s="2283">
        <v>4490000000000</v>
      </c>
      <c r="I1017" s="2283">
        <v>4820000000</v>
      </c>
      <c r="J1017" s="2284"/>
      <c r="K1017" s="2287">
        <f t="shared" ref="K1017:K1022" si="130">(32800000000/G1017)*F1017</f>
        <v>503081081081081.06</v>
      </c>
      <c r="L1017" s="2284"/>
      <c r="M1017" s="2284"/>
      <c r="N1017" s="2284"/>
      <c r="O1017" s="2284"/>
      <c r="P1017" s="2284"/>
      <c r="Q1017" s="2284"/>
      <c r="R1017" s="2284"/>
      <c r="S1017" s="2284"/>
      <c r="T1017" s="2284"/>
      <c r="U1017" s="2284"/>
    </row>
    <row r="1018" spans="1:21" ht="12">
      <c r="A1018" s="2278" t="s">
        <v>4425</v>
      </c>
      <c r="B1018" s="2280">
        <v>42678</v>
      </c>
      <c r="C1018" s="2278" t="s">
        <v>3212</v>
      </c>
      <c r="D1018" s="2281" t="s">
        <v>4429</v>
      </c>
      <c r="E1018" s="2282">
        <v>42677</v>
      </c>
      <c r="F1018" s="2283">
        <v>102000000000000</v>
      </c>
      <c r="G1018" s="2283">
        <v>4440000000</v>
      </c>
      <c r="H1018" s="2283">
        <v>4490000000000</v>
      </c>
      <c r="I1018" s="2283">
        <v>4820000000</v>
      </c>
      <c r="J1018" s="2284"/>
      <c r="K1018" s="2287">
        <f t="shared" si="130"/>
        <v>753513513513513.5</v>
      </c>
      <c r="L1018" s="2284"/>
      <c r="M1018" s="2284"/>
      <c r="N1018" s="2284"/>
      <c r="O1018" s="2284"/>
      <c r="P1018" s="2284"/>
      <c r="Q1018" s="2284"/>
      <c r="R1018" s="2284"/>
      <c r="S1018" s="2284"/>
      <c r="T1018" s="2284"/>
      <c r="U1018" s="2284"/>
    </row>
    <row r="1019" spans="1:21" ht="12">
      <c r="A1019" s="2278" t="s">
        <v>4425</v>
      </c>
      <c r="B1019" s="2280">
        <v>42678</v>
      </c>
      <c r="C1019" s="2278" t="s">
        <v>3212</v>
      </c>
      <c r="D1019" s="2281" t="s">
        <v>4430</v>
      </c>
      <c r="E1019" s="2282">
        <v>42677</v>
      </c>
      <c r="F1019" s="2283">
        <v>201000000000000</v>
      </c>
      <c r="G1019" s="2283">
        <v>4440000000</v>
      </c>
      <c r="H1019" s="2283">
        <v>4490000000000</v>
      </c>
      <c r="I1019" s="2283">
        <v>4820000000</v>
      </c>
      <c r="J1019" s="2284"/>
      <c r="K1019" s="2287">
        <f t="shared" si="130"/>
        <v>1484864864864864.8</v>
      </c>
      <c r="L1019" s="2284"/>
      <c r="M1019" s="2284"/>
      <c r="N1019" s="2284"/>
      <c r="O1019" s="2284"/>
      <c r="P1019" s="2284"/>
      <c r="Q1019" s="2284"/>
      <c r="R1019" s="2284"/>
      <c r="S1019" s="2284"/>
      <c r="T1019" s="2284"/>
      <c r="U1019" s="2284"/>
    </row>
    <row r="1020" spans="1:21" ht="12">
      <c r="A1020" s="2278" t="s">
        <v>4425</v>
      </c>
      <c r="B1020" s="2280">
        <v>42678</v>
      </c>
      <c r="C1020" s="2278" t="s">
        <v>3212</v>
      </c>
      <c r="D1020" s="2281" t="s">
        <v>4433</v>
      </c>
      <c r="E1020" s="2282">
        <v>42677</v>
      </c>
      <c r="F1020" s="2283">
        <v>32800000000000</v>
      </c>
      <c r="G1020" s="2283">
        <v>4440000000</v>
      </c>
      <c r="H1020" s="2283">
        <v>4490000000000</v>
      </c>
      <c r="I1020" s="2283">
        <v>4820000000</v>
      </c>
      <c r="J1020" s="2284"/>
      <c r="K1020" s="2287">
        <f t="shared" si="130"/>
        <v>242306306306306.31</v>
      </c>
      <c r="L1020" s="2284"/>
      <c r="M1020" s="2284"/>
      <c r="N1020" s="2284"/>
      <c r="O1020" s="2284"/>
      <c r="P1020" s="2284"/>
      <c r="Q1020" s="2284"/>
      <c r="R1020" s="2284"/>
      <c r="S1020" s="2284"/>
      <c r="T1020" s="2284"/>
      <c r="U1020" s="2284"/>
    </row>
    <row r="1021" spans="1:21" ht="12">
      <c r="A1021" s="2278" t="s">
        <v>4425</v>
      </c>
      <c r="B1021" s="2280">
        <v>42678</v>
      </c>
      <c r="C1021" s="2278" t="s">
        <v>3212</v>
      </c>
      <c r="D1021" s="2281" t="s">
        <v>4434</v>
      </c>
      <c r="E1021" s="2282">
        <v>42677</v>
      </c>
      <c r="F1021" s="2283">
        <v>43200000000000</v>
      </c>
      <c r="G1021" s="2283">
        <v>4440000000</v>
      </c>
      <c r="H1021" s="2283">
        <v>4490000000000</v>
      </c>
      <c r="I1021" s="2283">
        <v>4820000000</v>
      </c>
      <c r="J1021" s="2284"/>
      <c r="K1021" s="2287">
        <f t="shared" si="130"/>
        <v>319135135135135.12</v>
      </c>
      <c r="L1021" s="2284"/>
      <c r="M1021" s="2284"/>
      <c r="N1021" s="2284"/>
      <c r="O1021" s="2284"/>
      <c r="P1021" s="2284"/>
      <c r="Q1021" s="2284"/>
      <c r="R1021" s="2284"/>
      <c r="S1021" s="2284"/>
      <c r="T1021" s="2284"/>
      <c r="U1021" s="2284"/>
    </row>
    <row r="1022" spans="1:21" ht="12">
      <c r="A1022" s="2278" t="s">
        <v>4425</v>
      </c>
      <c r="B1022" s="2280">
        <v>42678</v>
      </c>
      <c r="C1022" s="2278" t="s">
        <v>3212</v>
      </c>
      <c r="D1022" s="2281" t="s">
        <v>4435</v>
      </c>
      <c r="E1022" s="2282">
        <v>42677</v>
      </c>
      <c r="F1022" s="2283">
        <v>9900000000000</v>
      </c>
      <c r="G1022" s="2283">
        <v>4440000000</v>
      </c>
      <c r="H1022" s="2283">
        <v>4490000000000</v>
      </c>
      <c r="I1022" s="2283">
        <v>4820000000</v>
      </c>
      <c r="J1022" s="2284"/>
      <c r="K1022" s="2287">
        <f t="shared" si="130"/>
        <v>73135135135135.141</v>
      </c>
      <c r="L1022" s="2284"/>
      <c r="M1022" s="2284"/>
      <c r="N1022" s="2284"/>
      <c r="O1022" s="2284"/>
      <c r="P1022" s="2284"/>
      <c r="Q1022" s="2284"/>
      <c r="R1022" s="2284"/>
      <c r="S1022" s="2284"/>
      <c r="T1022" s="2284"/>
      <c r="U1022" s="2284"/>
    </row>
    <row r="1023" spans="1:21" ht="12">
      <c r="A1023" s="2278" t="s">
        <v>4425</v>
      </c>
      <c r="B1023" s="2280">
        <v>42678</v>
      </c>
      <c r="C1023" s="2278" t="s">
        <v>3212</v>
      </c>
      <c r="D1023" s="2281" t="s">
        <v>4436</v>
      </c>
      <c r="E1023" s="2282">
        <v>42677</v>
      </c>
      <c r="F1023" s="2283">
        <v>70300000000000</v>
      </c>
      <c r="G1023" s="2283">
        <v>4440000000</v>
      </c>
      <c r="H1023" s="2283">
        <v>4490000000000</v>
      </c>
      <c r="I1023" s="2283">
        <v>4820000000</v>
      </c>
      <c r="J1023" s="2284"/>
      <c r="K1023" s="2287">
        <f>(32800000000/G1023)*H1017</f>
        <v>33169369369369.371</v>
      </c>
      <c r="L1023" s="2284"/>
      <c r="M1023" s="2284"/>
      <c r="N1023" s="2284"/>
      <c r="O1023" s="2284"/>
      <c r="P1023" s="2284"/>
      <c r="Q1023" s="2284"/>
      <c r="R1023" s="2284"/>
      <c r="S1023" s="2284"/>
      <c r="T1023" s="2284"/>
      <c r="U1023" s="2284"/>
    </row>
    <row r="1024" spans="1:21" ht="12">
      <c r="A1024" s="2278" t="s">
        <v>4425</v>
      </c>
      <c r="B1024" s="2280">
        <v>42678</v>
      </c>
      <c r="C1024" s="2278" t="s">
        <v>3212</v>
      </c>
      <c r="D1024" s="2281" t="s">
        <v>4437</v>
      </c>
      <c r="E1024" s="2282">
        <v>42677</v>
      </c>
      <c r="F1024" s="2283">
        <v>76700000000000</v>
      </c>
      <c r="G1024" s="2283">
        <v>4440000000</v>
      </c>
      <c r="H1024" s="2283">
        <v>4490000000000</v>
      </c>
      <c r="I1024" s="2283">
        <v>4820000000</v>
      </c>
      <c r="J1024" s="2284"/>
      <c r="K1024" s="2287"/>
      <c r="L1024" s="2284"/>
      <c r="M1024" s="2284"/>
      <c r="N1024" s="2284"/>
      <c r="O1024" s="2284"/>
      <c r="P1024" s="2284"/>
      <c r="Q1024" s="2284"/>
      <c r="R1024" s="2284"/>
      <c r="S1024" s="2284"/>
      <c r="T1024" s="2284"/>
      <c r="U1024" s="2284"/>
    </row>
    <row r="1025" spans="1:21" ht="12">
      <c r="A1025" s="639"/>
      <c r="B1025" s="1483"/>
      <c r="C1025" s="639"/>
      <c r="D1025" s="1844"/>
      <c r="E1025" s="1407"/>
      <c r="F1025" s="2262"/>
      <c r="G1025" s="1407"/>
      <c r="H1025" s="2262"/>
      <c r="I1025" s="1428"/>
      <c r="J1025" s="1407"/>
      <c r="K1025" s="1431"/>
      <c r="L1025" s="1407"/>
      <c r="M1025" s="1407"/>
      <c r="N1025" s="1407"/>
      <c r="O1025" s="1407"/>
      <c r="P1025" s="1407"/>
      <c r="Q1025" s="1407"/>
      <c r="R1025" s="1407"/>
      <c r="S1025" s="1407"/>
      <c r="T1025" s="1407"/>
      <c r="U1025" s="1407"/>
    </row>
    <row r="1026" spans="1:21" ht="12">
      <c r="A1026" s="2278" t="s">
        <v>4438</v>
      </c>
      <c r="B1026" s="2280">
        <v>42683</v>
      </c>
      <c r="C1026" s="2278" t="s">
        <v>2126</v>
      </c>
      <c r="D1026" s="2281" t="s">
        <v>4427</v>
      </c>
      <c r="E1026" s="2282">
        <v>42677</v>
      </c>
      <c r="F1026" s="2283">
        <v>696000000000000</v>
      </c>
      <c r="G1026" s="2293">
        <v>52900000000</v>
      </c>
      <c r="H1026" s="2283">
        <v>59600000000000</v>
      </c>
      <c r="I1026" s="2293">
        <v>60700000000</v>
      </c>
      <c r="J1026" s="2284"/>
      <c r="K1026" s="2287">
        <f t="shared" ref="K1026:K1038" si="131">(32800000000/G1026)*F1026</f>
        <v>431546313799621.94</v>
      </c>
      <c r="L1026" s="2284" t="s">
        <v>58</v>
      </c>
      <c r="M1026" s="2296" t="s">
        <v>2128</v>
      </c>
      <c r="N1026" s="2284"/>
      <c r="O1026" s="2284"/>
      <c r="P1026" s="2284"/>
      <c r="Q1026" s="2284"/>
      <c r="R1026" s="2284"/>
      <c r="S1026" s="2284"/>
      <c r="T1026" s="2284"/>
      <c r="U1026" s="2284"/>
    </row>
    <row r="1027" spans="1:21" ht="12">
      <c r="A1027" s="2278" t="s">
        <v>4438</v>
      </c>
      <c r="B1027" s="2280">
        <v>42683</v>
      </c>
      <c r="C1027" s="2278" t="s">
        <v>2126</v>
      </c>
      <c r="D1027" s="2281" t="s">
        <v>4429</v>
      </c>
      <c r="E1027" s="2282">
        <v>42677</v>
      </c>
      <c r="F1027" s="2283">
        <v>1380000000000000</v>
      </c>
      <c r="G1027" s="2293">
        <v>52900000000</v>
      </c>
      <c r="H1027" s="2283">
        <v>59600000000000</v>
      </c>
      <c r="I1027" s="2293">
        <v>60700000000</v>
      </c>
      <c r="J1027" s="2284"/>
      <c r="K1027" s="2287">
        <f t="shared" si="131"/>
        <v>855652173913043.5</v>
      </c>
      <c r="L1027" s="2284" t="s">
        <v>58</v>
      </c>
      <c r="M1027" s="2296" t="s">
        <v>2233</v>
      </c>
      <c r="N1027" s="2284"/>
      <c r="O1027" s="2284"/>
      <c r="P1027" s="2284"/>
      <c r="Q1027" s="2284"/>
      <c r="R1027" s="2284"/>
      <c r="S1027" s="2284"/>
      <c r="T1027" s="2284"/>
      <c r="U1027" s="2284"/>
    </row>
    <row r="1028" spans="1:21" ht="12">
      <c r="A1028" s="2278" t="s">
        <v>4438</v>
      </c>
      <c r="B1028" s="2280">
        <v>42683</v>
      </c>
      <c r="C1028" s="2278" t="s">
        <v>2126</v>
      </c>
      <c r="D1028" s="2281" t="s">
        <v>4430</v>
      </c>
      <c r="E1028" s="2282">
        <v>42677</v>
      </c>
      <c r="F1028" s="2283">
        <v>2550000000000000</v>
      </c>
      <c r="G1028" s="2293">
        <v>52900000000</v>
      </c>
      <c r="H1028" s="2283">
        <v>59600000000000</v>
      </c>
      <c r="I1028" s="2293">
        <v>60700000000</v>
      </c>
      <c r="J1028" s="2284"/>
      <c r="K1028" s="2287">
        <f t="shared" si="131"/>
        <v>1581096408317580.5</v>
      </c>
      <c r="L1028" s="2284" t="s">
        <v>458</v>
      </c>
      <c r="M1028" s="2296" t="s">
        <v>4439</v>
      </c>
      <c r="N1028" s="2284"/>
      <c r="O1028" s="2284"/>
      <c r="P1028" s="2284"/>
      <c r="Q1028" s="2284"/>
      <c r="R1028" s="2284"/>
      <c r="S1028" s="2284"/>
      <c r="T1028" s="2284"/>
      <c r="U1028" s="2284"/>
    </row>
    <row r="1029" spans="1:21" ht="12">
      <c r="A1029" s="2278" t="s">
        <v>4438</v>
      </c>
      <c r="B1029" s="2280">
        <v>42683</v>
      </c>
      <c r="C1029" s="2278" t="s">
        <v>2126</v>
      </c>
      <c r="D1029" s="2281" t="s">
        <v>4433</v>
      </c>
      <c r="E1029" s="2282">
        <v>42677</v>
      </c>
      <c r="F1029" s="2293">
        <v>235000000000000</v>
      </c>
      <c r="G1029" s="2293">
        <v>52900000000</v>
      </c>
      <c r="H1029" s="2283">
        <v>59600000000000</v>
      </c>
      <c r="I1029" s="2293">
        <v>60700000000</v>
      </c>
      <c r="J1029" s="2284"/>
      <c r="K1029" s="2287">
        <f t="shared" si="131"/>
        <v>145708884688090.75</v>
      </c>
      <c r="L1029" s="2284" t="s">
        <v>58</v>
      </c>
      <c r="M1029" s="2296" t="s">
        <v>4440</v>
      </c>
      <c r="N1029" s="2284"/>
      <c r="O1029" s="2284"/>
      <c r="P1029" s="2284"/>
      <c r="Q1029" s="2284"/>
      <c r="R1029" s="2284"/>
      <c r="S1029" s="2284"/>
      <c r="T1029" s="2284"/>
      <c r="U1029" s="2284"/>
    </row>
    <row r="1030" spans="1:21" ht="12">
      <c r="A1030" s="639" t="s">
        <v>4438</v>
      </c>
      <c r="B1030" s="1483">
        <v>42683</v>
      </c>
      <c r="C1030" s="639" t="s">
        <v>2126</v>
      </c>
      <c r="D1030" s="1831" t="s">
        <v>4441</v>
      </c>
      <c r="E1030" s="2027">
        <v>42682</v>
      </c>
      <c r="F1030" s="2228">
        <v>343000000000000</v>
      </c>
      <c r="G1030" s="1731">
        <v>52900000000</v>
      </c>
      <c r="H1030" s="2228">
        <v>59600000000000</v>
      </c>
      <c r="I1030" s="1731">
        <v>60700000000</v>
      </c>
      <c r="J1030" s="1407"/>
      <c r="K1030" s="1431">
        <f t="shared" si="131"/>
        <v>212672967863894.16</v>
      </c>
      <c r="L1030" s="1407" t="s">
        <v>58</v>
      </c>
      <c r="M1030" s="1407" t="s">
        <v>1243</v>
      </c>
      <c r="N1030" s="1407"/>
      <c r="O1030" s="1407"/>
      <c r="P1030" s="1407"/>
      <c r="Q1030" s="1407"/>
      <c r="R1030" s="1407"/>
      <c r="S1030" s="1407"/>
      <c r="T1030" s="1407"/>
      <c r="U1030" s="1407"/>
    </row>
    <row r="1031" spans="1:21" ht="12">
      <c r="A1031" s="639" t="s">
        <v>4438</v>
      </c>
      <c r="B1031" s="1483">
        <v>42683</v>
      </c>
      <c r="C1031" s="639" t="s">
        <v>2126</v>
      </c>
      <c r="D1031" s="1831" t="s">
        <v>4442</v>
      </c>
      <c r="E1031" s="2027">
        <v>42682</v>
      </c>
      <c r="F1031" s="2228">
        <v>765000000000000</v>
      </c>
      <c r="G1031" s="1731">
        <v>52900000000</v>
      </c>
      <c r="H1031" s="2228">
        <v>59600000000000</v>
      </c>
      <c r="I1031" s="1731">
        <v>60700000000</v>
      </c>
      <c r="J1031" s="1407"/>
      <c r="K1031" s="1431">
        <f t="shared" si="131"/>
        <v>474328922495274.12</v>
      </c>
      <c r="L1031" s="1452" t="s">
        <v>58</v>
      </c>
      <c r="M1031" s="1407" t="s">
        <v>1532</v>
      </c>
      <c r="N1031" s="1407"/>
      <c r="O1031" s="1407"/>
      <c r="P1031" s="1407"/>
      <c r="Q1031" s="1407"/>
      <c r="R1031" s="1407"/>
      <c r="S1031" s="1407"/>
      <c r="T1031" s="1407"/>
      <c r="U1031" s="1407"/>
    </row>
    <row r="1032" spans="1:21" ht="12">
      <c r="A1032" s="639" t="s">
        <v>4438</v>
      </c>
      <c r="B1032" s="1483">
        <v>42683</v>
      </c>
      <c r="C1032" s="639" t="s">
        <v>2126</v>
      </c>
      <c r="D1032" s="1831" t="s">
        <v>4443</v>
      </c>
      <c r="E1032" s="2027">
        <v>42682</v>
      </c>
      <c r="F1032" s="2228">
        <v>429000000000000</v>
      </c>
      <c r="G1032" s="1731">
        <v>52900000000</v>
      </c>
      <c r="H1032" s="2228">
        <v>59600000000000</v>
      </c>
      <c r="I1032" s="1731">
        <v>60700000000</v>
      </c>
      <c r="J1032" s="1407"/>
      <c r="K1032" s="1431">
        <f t="shared" si="131"/>
        <v>265996219281663.53</v>
      </c>
      <c r="L1032" s="1407" t="s">
        <v>58</v>
      </c>
      <c r="M1032" s="1407" t="s">
        <v>1616</v>
      </c>
      <c r="N1032" s="1407"/>
      <c r="O1032" s="1407"/>
      <c r="P1032" s="1407"/>
      <c r="Q1032" s="1407"/>
      <c r="R1032" s="1407"/>
      <c r="S1032" s="1407"/>
      <c r="T1032" s="1407"/>
      <c r="U1032" s="1407"/>
    </row>
    <row r="1033" spans="1:21" ht="12">
      <c r="A1033" s="639" t="s">
        <v>4438</v>
      </c>
      <c r="B1033" s="1483">
        <v>42683</v>
      </c>
      <c r="C1033" s="639" t="s">
        <v>2126</v>
      </c>
      <c r="D1033" s="1831" t="s">
        <v>4444</v>
      </c>
      <c r="E1033" s="2027">
        <v>42682</v>
      </c>
      <c r="F1033" s="2228">
        <v>4400000000000000</v>
      </c>
      <c r="G1033" s="1731">
        <v>52900000000</v>
      </c>
      <c r="H1033" s="2228">
        <v>59600000000000</v>
      </c>
      <c r="I1033" s="1731">
        <v>60700000000</v>
      </c>
      <c r="J1033" s="1407"/>
      <c r="K1033" s="1431">
        <f t="shared" si="131"/>
        <v>2728166351606805.5</v>
      </c>
      <c r="L1033" s="1407" t="s">
        <v>586</v>
      </c>
      <c r="M1033" s="1452" t="s">
        <v>633</v>
      </c>
      <c r="N1033" s="1407"/>
      <c r="O1033" s="1407"/>
      <c r="P1033" s="1407"/>
      <c r="Q1033" s="1407"/>
      <c r="R1033" s="1407"/>
      <c r="S1033" s="1407"/>
      <c r="T1033" s="1407"/>
      <c r="U1033" s="1407"/>
    </row>
    <row r="1034" spans="1:21" ht="12">
      <c r="A1034" s="639" t="s">
        <v>4438</v>
      </c>
      <c r="B1034" s="1483">
        <v>42683</v>
      </c>
      <c r="C1034" s="639" t="s">
        <v>2126</v>
      </c>
      <c r="D1034" s="1831" t="s">
        <v>4445</v>
      </c>
      <c r="E1034" s="2027">
        <v>42682</v>
      </c>
      <c r="F1034" s="2228">
        <v>3110000000000000</v>
      </c>
      <c r="G1034" s="1731">
        <v>52900000000</v>
      </c>
      <c r="H1034" s="2228">
        <v>59600000000000</v>
      </c>
      <c r="I1034" s="1731">
        <v>60700000000</v>
      </c>
      <c r="J1034" s="1407"/>
      <c r="K1034" s="1431">
        <f t="shared" si="131"/>
        <v>1928317580340264.8</v>
      </c>
      <c r="L1034" s="1407" t="s">
        <v>478</v>
      </c>
      <c r="M1034" s="1407" t="s">
        <v>627</v>
      </c>
      <c r="N1034" s="1407"/>
      <c r="O1034" s="1407"/>
      <c r="P1034" s="1407"/>
      <c r="Q1034" s="1407"/>
      <c r="R1034" s="1407"/>
      <c r="S1034" s="1407"/>
      <c r="T1034" s="1407"/>
      <c r="U1034" s="1407"/>
    </row>
    <row r="1035" spans="1:21" ht="12">
      <c r="A1035" s="2278" t="s">
        <v>4438</v>
      </c>
      <c r="B1035" s="2280">
        <v>42683</v>
      </c>
      <c r="C1035" s="2278" t="s">
        <v>2126</v>
      </c>
      <c r="D1035" s="2281" t="s">
        <v>4434</v>
      </c>
      <c r="E1035" s="2282">
        <v>42677</v>
      </c>
      <c r="F1035" s="2293">
        <v>753000000000000</v>
      </c>
      <c r="G1035" s="2293">
        <v>52900000000</v>
      </c>
      <c r="H1035" s="2283">
        <v>59600000000000</v>
      </c>
      <c r="I1035" s="2293">
        <v>60700000000</v>
      </c>
      <c r="J1035" s="2284"/>
      <c r="K1035" s="2287">
        <f t="shared" si="131"/>
        <v>466888468809073.75</v>
      </c>
      <c r="L1035" s="2284"/>
      <c r="M1035" s="2284"/>
      <c r="N1035" s="2284"/>
      <c r="O1035" s="2284"/>
      <c r="P1035" s="2284"/>
      <c r="Q1035" s="2284"/>
      <c r="R1035" s="2284"/>
      <c r="S1035" s="2284"/>
      <c r="T1035" s="2284"/>
      <c r="U1035" s="2284"/>
    </row>
    <row r="1036" spans="1:21" ht="12">
      <c r="A1036" s="2278" t="s">
        <v>4438</v>
      </c>
      <c r="B1036" s="2280">
        <v>42683</v>
      </c>
      <c r="C1036" s="2278" t="s">
        <v>2126</v>
      </c>
      <c r="D1036" s="2281" t="s">
        <v>4435</v>
      </c>
      <c r="E1036" s="2282">
        <v>42677</v>
      </c>
      <c r="F1036" s="2293">
        <v>132000000000000</v>
      </c>
      <c r="G1036" s="2293">
        <v>52900000000</v>
      </c>
      <c r="H1036" s="2283">
        <v>59600000000000</v>
      </c>
      <c r="I1036" s="2293">
        <v>60700000000</v>
      </c>
      <c r="J1036" s="2284"/>
      <c r="K1036" s="2287">
        <f t="shared" si="131"/>
        <v>81844990548204.156</v>
      </c>
      <c r="L1036" s="2284"/>
      <c r="M1036" s="2284"/>
      <c r="N1036" s="2284"/>
      <c r="O1036" s="2284"/>
      <c r="P1036" s="2284"/>
      <c r="Q1036" s="2284"/>
      <c r="R1036" s="2284"/>
      <c r="S1036" s="2284"/>
      <c r="T1036" s="2284"/>
      <c r="U1036" s="2284"/>
    </row>
    <row r="1037" spans="1:21" ht="12">
      <c r="A1037" s="2278" t="s">
        <v>4438</v>
      </c>
      <c r="B1037" s="2280">
        <v>42683</v>
      </c>
      <c r="C1037" s="2278" t="s">
        <v>2126</v>
      </c>
      <c r="D1037" s="2281" t="s">
        <v>4436</v>
      </c>
      <c r="E1037" s="2282">
        <v>42677</v>
      </c>
      <c r="F1037" s="2293">
        <v>851000000000000</v>
      </c>
      <c r="G1037" s="2293">
        <v>52900000000</v>
      </c>
      <c r="H1037" s="2283">
        <v>59600000000000</v>
      </c>
      <c r="I1037" s="2293">
        <v>60700000000</v>
      </c>
      <c r="J1037" s="2284"/>
      <c r="K1037" s="2287">
        <f t="shared" si="131"/>
        <v>527652173913043.5</v>
      </c>
      <c r="L1037" s="2284"/>
      <c r="M1037" s="2284"/>
      <c r="N1037" s="2284"/>
      <c r="O1037" s="2284"/>
      <c r="P1037" s="2284"/>
      <c r="Q1037" s="2284"/>
      <c r="R1037" s="2284"/>
      <c r="S1037" s="2284"/>
      <c r="T1037" s="2284"/>
      <c r="U1037" s="2284"/>
    </row>
    <row r="1038" spans="1:21" ht="12">
      <c r="A1038" s="2278" t="s">
        <v>4438</v>
      </c>
      <c r="B1038" s="2280">
        <v>42683</v>
      </c>
      <c r="C1038" s="2278" t="s">
        <v>2126</v>
      </c>
      <c r="D1038" s="2281" t="s">
        <v>4437</v>
      </c>
      <c r="E1038" s="2282">
        <v>42677</v>
      </c>
      <c r="F1038" s="2293">
        <v>726000000000000</v>
      </c>
      <c r="G1038" s="2293">
        <v>52900000000</v>
      </c>
      <c r="H1038" s="2283">
        <v>59600000000000</v>
      </c>
      <c r="I1038" s="2293">
        <v>60700000000</v>
      </c>
      <c r="J1038" s="2284"/>
      <c r="K1038" s="2287">
        <f t="shared" si="131"/>
        <v>450147448015122.88</v>
      </c>
      <c r="L1038" s="2284"/>
      <c r="M1038" s="2284"/>
      <c r="N1038" s="2284"/>
      <c r="O1038" s="2284"/>
      <c r="P1038" s="2284"/>
      <c r="Q1038" s="2284"/>
      <c r="R1038" s="2284"/>
      <c r="S1038" s="2284"/>
      <c r="T1038" s="2284"/>
      <c r="U1038" s="2284"/>
    </row>
    <row r="1039" spans="1:21" ht="12">
      <c r="A1039" s="639"/>
      <c r="B1039" s="1483"/>
      <c r="C1039" s="639"/>
      <c r="D1039" s="1844"/>
      <c r="E1039" s="1407"/>
      <c r="F1039" s="1407"/>
      <c r="G1039" s="1731"/>
      <c r="H1039" s="2262"/>
      <c r="I1039" s="1428"/>
      <c r="J1039" s="1407"/>
      <c r="K1039" s="1431"/>
      <c r="L1039" s="1407"/>
      <c r="M1039" s="1407"/>
      <c r="N1039" s="1407"/>
      <c r="O1039" s="1407"/>
      <c r="P1039" s="1407"/>
      <c r="Q1039" s="1407"/>
      <c r="R1039" s="1407"/>
      <c r="S1039" s="1407"/>
      <c r="T1039" s="1407"/>
      <c r="U1039" s="1407"/>
    </row>
    <row r="1040" spans="1:21" ht="12">
      <c r="A1040" s="639" t="s">
        <v>4446</v>
      </c>
      <c r="B1040" s="1483">
        <v>42690</v>
      </c>
      <c r="C1040" s="639" t="s">
        <v>3212</v>
      </c>
      <c r="D1040" s="1831" t="s">
        <v>4427</v>
      </c>
      <c r="E1040" s="2264">
        <v>42690</v>
      </c>
      <c r="F1040" s="2228">
        <v>9130000000000</v>
      </c>
      <c r="G1040" s="2228">
        <v>13100000000</v>
      </c>
      <c r="H1040" s="2228">
        <v>10100000000000</v>
      </c>
      <c r="I1040" s="2228">
        <v>16600000000</v>
      </c>
      <c r="J1040" s="1407"/>
      <c r="K1040" s="1431">
        <f t="shared" ref="K1040:K1058" si="132">(32800000000/G1040)*F1040</f>
        <v>22859847328244.277</v>
      </c>
      <c r="L1040" s="2307" t="s">
        <v>58</v>
      </c>
      <c r="M1040" s="2309" t="s">
        <v>2128</v>
      </c>
      <c r="N1040" s="1407"/>
      <c r="O1040" s="1407"/>
      <c r="P1040" s="1407"/>
      <c r="Q1040" s="1407"/>
      <c r="R1040" s="1407"/>
      <c r="S1040" s="1407"/>
      <c r="T1040" s="1407"/>
      <c r="U1040" s="1407"/>
    </row>
    <row r="1041" spans="1:21" ht="12">
      <c r="A1041" s="639" t="s">
        <v>4446</v>
      </c>
      <c r="B1041" s="1483">
        <v>42690</v>
      </c>
      <c r="C1041" s="639" t="s">
        <v>3212</v>
      </c>
      <c r="D1041" s="1831" t="s">
        <v>4429</v>
      </c>
      <c r="E1041" s="2264">
        <v>42690</v>
      </c>
      <c r="F1041" s="2228">
        <v>41000000000000</v>
      </c>
      <c r="G1041" s="2228">
        <v>13100000000</v>
      </c>
      <c r="H1041" s="2228">
        <v>10100000000000</v>
      </c>
      <c r="I1041" s="2228">
        <v>16600000000</v>
      </c>
      <c r="J1041" s="1407"/>
      <c r="K1041" s="1431">
        <f t="shared" si="132"/>
        <v>102656488549618.33</v>
      </c>
      <c r="L1041" s="2307" t="s">
        <v>58</v>
      </c>
      <c r="M1041" s="2309" t="s">
        <v>2233</v>
      </c>
      <c r="N1041" s="1407"/>
      <c r="O1041" s="1407"/>
      <c r="P1041" s="1407"/>
      <c r="Q1041" s="1407"/>
      <c r="R1041" s="1407"/>
      <c r="S1041" s="1407"/>
      <c r="T1041" s="1407"/>
      <c r="U1041" s="1407"/>
    </row>
    <row r="1042" spans="1:21" ht="12">
      <c r="A1042" s="639" t="s">
        <v>4446</v>
      </c>
      <c r="B1042" s="1483">
        <v>42690</v>
      </c>
      <c r="C1042" s="639" t="s">
        <v>3212</v>
      </c>
      <c r="D1042" s="1831" t="s">
        <v>4430</v>
      </c>
      <c r="E1042" s="2264">
        <v>42690</v>
      </c>
      <c r="F1042" s="2228">
        <v>203000000000000</v>
      </c>
      <c r="G1042" s="2228">
        <v>13100000000</v>
      </c>
      <c r="H1042" s="2228">
        <v>10100000000000</v>
      </c>
      <c r="I1042" s="2228">
        <v>16600000000</v>
      </c>
      <c r="J1042" s="1407"/>
      <c r="K1042" s="1431">
        <f t="shared" si="132"/>
        <v>508274809160305.38</v>
      </c>
      <c r="L1042" s="2307" t="s">
        <v>458</v>
      </c>
      <c r="M1042" s="2309" t="s">
        <v>4439</v>
      </c>
      <c r="N1042" s="1407"/>
      <c r="O1042" s="1407"/>
      <c r="P1042" s="1407"/>
      <c r="Q1042" s="1407"/>
      <c r="R1042" s="1407"/>
      <c r="S1042" s="1407"/>
      <c r="T1042" s="1407"/>
      <c r="U1042" s="1407"/>
    </row>
    <row r="1043" spans="1:21" ht="12">
      <c r="A1043" s="639" t="s">
        <v>4446</v>
      </c>
      <c r="B1043" s="1483">
        <v>42690</v>
      </c>
      <c r="C1043" s="639" t="s">
        <v>3212</v>
      </c>
      <c r="D1043" s="1831" t="s">
        <v>4433</v>
      </c>
      <c r="E1043" s="2264">
        <v>42690</v>
      </c>
      <c r="F1043" s="2228">
        <v>9940000000000</v>
      </c>
      <c r="G1043" s="2228">
        <v>13100000000</v>
      </c>
      <c r="H1043" s="2228">
        <v>10100000000000</v>
      </c>
      <c r="I1043" s="2228">
        <v>16600000000</v>
      </c>
      <c r="J1043" s="1407"/>
      <c r="K1043" s="1431">
        <f t="shared" si="132"/>
        <v>24887938931297.711</v>
      </c>
      <c r="L1043" s="2307" t="s">
        <v>58</v>
      </c>
      <c r="M1043" s="2309" t="s">
        <v>4440</v>
      </c>
      <c r="N1043" s="1407"/>
      <c r="O1043" s="1407"/>
      <c r="P1043" s="1407"/>
      <c r="Q1043" s="1407"/>
      <c r="R1043" s="1407"/>
      <c r="S1043" s="1407"/>
      <c r="T1043" s="1407"/>
      <c r="U1043" s="1407"/>
    </row>
    <row r="1044" spans="1:21" ht="12">
      <c r="A1044" s="639" t="s">
        <v>4446</v>
      </c>
      <c r="B1044" s="1483">
        <v>42690</v>
      </c>
      <c r="C1044" s="639" t="s">
        <v>3212</v>
      </c>
      <c r="D1044" s="1831" t="s">
        <v>4441</v>
      </c>
      <c r="E1044" s="2264">
        <v>42690</v>
      </c>
      <c r="F1044" s="2228">
        <v>11500000000000</v>
      </c>
      <c r="G1044" s="2228">
        <v>13100000000</v>
      </c>
      <c r="H1044" s="2228">
        <v>10100000000000</v>
      </c>
      <c r="I1044" s="2228">
        <v>16600000000</v>
      </c>
      <c r="J1044" s="1407"/>
      <c r="K1044" s="1431">
        <f t="shared" si="132"/>
        <v>28793893129770.996</v>
      </c>
      <c r="L1044" s="2307" t="s">
        <v>58</v>
      </c>
      <c r="M1044" s="2307" t="s">
        <v>1243</v>
      </c>
      <c r="N1044" s="1407"/>
      <c r="O1044" s="1407"/>
      <c r="P1044" s="1407"/>
      <c r="Q1044" s="1407"/>
      <c r="R1044" s="1407"/>
      <c r="S1044" s="1407"/>
      <c r="T1044" s="1407"/>
      <c r="U1044" s="1407"/>
    </row>
    <row r="1045" spans="1:21" ht="12">
      <c r="A1045" s="639" t="s">
        <v>4446</v>
      </c>
      <c r="B1045" s="1483">
        <v>42690</v>
      </c>
      <c r="C1045" s="639" t="s">
        <v>3212</v>
      </c>
      <c r="D1045" s="1831" t="s">
        <v>4442</v>
      </c>
      <c r="E1045" s="2264">
        <v>42690</v>
      </c>
      <c r="F1045" s="2228">
        <v>21100000000000</v>
      </c>
      <c r="G1045" s="2228">
        <v>13100000000</v>
      </c>
      <c r="H1045" s="2228">
        <v>10100000000000</v>
      </c>
      <c r="I1045" s="2228">
        <v>16600000000</v>
      </c>
      <c r="J1045" s="1407"/>
      <c r="K1045" s="1431">
        <f t="shared" si="132"/>
        <v>52830534351145.039</v>
      </c>
      <c r="L1045" s="2309" t="s">
        <v>58</v>
      </c>
      <c r="M1045" s="2307" t="s">
        <v>1532</v>
      </c>
      <c r="N1045" s="1407"/>
      <c r="O1045" s="1407"/>
      <c r="P1045" s="1407"/>
      <c r="Q1045" s="1407"/>
      <c r="R1045" s="1407"/>
      <c r="S1045" s="1407"/>
      <c r="T1045" s="1407"/>
      <c r="U1045" s="1407"/>
    </row>
    <row r="1046" spans="1:21" ht="12">
      <c r="A1046" s="639" t="s">
        <v>4446</v>
      </c>
      <c r="B1046" s="1483">
        <v>42690</v>
      </c>
      <c r="C1046" s="639" t="s">
        <v>3212</v>
      </c>
      <c r="D1046" s="1831" t="s">
        <v>4443</v>
      </c>
      <c r="E1046" s="2264">
        <v>42690</v>
      </c>
      <c r="F1046" s="2228">
        <v>11800000000000</v>
      </c>
      <c r="G1046" s="2228">
        <v>13100000000</v>
      </c>
      <c r="H1046" s="2228">
        <v>10100000000000</v>
      </c>
      <c r="I1046" s="2228">
        <v>16600000000</v>
      </c>
      <c r="J1046" s="1407"/>
      <c r="K1046" s="1431">
        <f t="shared" si="132"/>
        <v>29545038167938.934</v>
      </c>
      <c r="L1046" s="2307" t="s">
        <v>58</v>
      </c>
      <c r="M1046" s="2307" t="s">
        <v>1616</v>
      </c>
      <c r="N1046" s="1407"/>
      <c r="O1046" s="1407"/>
      <c r="P1046" s="1407"/>
      <c r="Q1046" s="1407"/>
      <c r="R1046" s="1407"/>
      <c r="S1046" s="1407"/>
      <c r="T1046" s="1407"/>
      <c r="U1046" s="1407"/>
    </row>
    <row r="1047" spans="1:21" ht="12">
      <c r="A1047" s="639" t="s">
        <v>4446</v>
      </c>
      <c r="B1047" s="1483">
        <v>42690</v>
      </c>
      <c r="C1047" s="639" t="s">
        <v>3212</v>
      </c>
      <c r="D1047" s="1831" t="s">
        <v>4444</v>
      </c>
      <c r="E1047" s="2264">
        <v>42690</v>
      </c>
      <c r="F1047" s="2228">
        <v>232000000000000</v>
      </c>
      <c r="G1047" s="2228">
        <v>13100000000</v>
      </c>
      <c r="H1047" s="2228">
        <v>10100000000000</v>
      </c>
      <c r="I1047" s="2228">
        <v>16600000000</v>
      </c>
      <c r="J1047" s="1407"/>
      <c r="K1047" s="1431">
        <f t="shared" si="132"/>
        <v>580885496183206.12</v>
      </c>
      <c r="L1047" s="2320" t="s">
        <v>586</v>
      </c>
      <c r="M1047" s="2320" t="s">
        <v>633</v>
      </c>
      <c r="N1047" s="1407"/>
      <c r="O1047" s="1407"/>
      <c r="P1047" s="1407"/>
      <c r="Q1047" s="1407"/>
      <c r="R1047" s="1407"/>
      <c r="S1047" s="1407"/>
      <c r="T1047" s="1407"/>
      <c r="U1047" s="1407"/>
    </row>
    <row r="1048" spans="1:21" ht="12">
      <c r="A1048" s="639" t="s">
        <v>4446</v>
      </c>
      <c r="B1048" s="1483">
        <v>42690</v>
      </c>
      <c r="C1048" s="639" t="s">
        <v>3212</v>
      </c>
      <c r="D1048" s="1831" t="s">
        <v>4445</v>
      </c>
      <c r="E1048" s="2264">
        <v>42690</v>
      </c>
      <c r="F1048" s="2228">
        <v>160000000000000</v>
      </c>
      <c r="G1048" s="2228">
        <v>13100000000</v>
      </c>
      <c r="H1048" s="2228">
        <v>10100000000000</v>
      </c>
      <c r="I1048" s="2228">
        <v>16600000000</v>
      </c>
      <c r="J1048" s="1407"/>
      <c r="K1048" s="1431">
        <f t="shared" si="132"/>
        <v>400610687022900.81</v>
      </c>
      <c r="L1048" s="2320" t="s">
        <v>478</v>
      </c>
      <c r="M1048" s="2320" t="s">
        <v>627</v>
      </c>
      <c r="N1048" s="1407"/>
      <c r="O1048" s="1407"/>
      <c r="P1048" s="1407"/>
      <c r="Q1048" s="1407"/>
      <c r="R1048" s="1407"/>
      <c r="S1048" s="1407"/>
      <c r="T1048" s="1407"/>
      <c r="U1048" s="1407"/>
    </row>
    <row r="1049" spans="1:21" ht="12">
      <c r="A1049" s="639" t="s">
        <v>4446</v>
      </c>
      <c r="B1049" s="1483">
        <v>42690</v>
      </c>
      <c r="C1049" s="639" t="s">
        <v>3212</v>
      </c>
      <c r="D1049" s="1831" t="s">
        <v>4449</v>
      </c>
      <c r="E1049" s="2264">
        <v>42690</v>
      </c>
      <c r="F1049" s="2323">
        <v>105000000000</v>
      </c>
      <c r="G1049" s="2228">
        <v>13100000000</v>
      </c>
      <c r="H1049" s="2228">
        <v>10100000000000</v>
      </c>
      <c r="I1049" s="2228">
        <v>16600000000</v>
      </c>
      <c r="J1049" s="1407"/>
      <c r="K1049" s="1431">
        <f t="shared" si="132"/>
        <v>262900763358.77866</v>
      </c>
      <c r="L1049" s="2325" t="s">
        <v>4450</v>
      </c>
      <c r="M1049" s="2325" t="s">
        <v>1243</v>
      </c>
      <c r="N1049" s="1407"/>
      <c r="O1049" s="1407"/>
      <c r="P1049" s="1407"/>
      <c r="Q1049" s="1407"/>
      <c r="R1049" s="1407"/>
      <c r="S1049" s="1407"/>
      <c r="T1049" s="1407"/>
      <c r="U1049" s="1407"/>
    </row>
    <row r="1050" spans="1:21" ht="12">
      <c r="A1050" s="639" t="s">
        <v>4446</v>
      </c>
      <c r="B1050" s="1483">
        <v>42690</v>
      </c>
      <c r="C1050" s="639" t="s">
        <v>3212</v>
      </c>
      <c r="D1050" s="1831" t="s">
        <v>4451</v>
      </c>
      <c r="E1050" s="2264">
        <v>42690</v>
      </c>
      <c r="F1050" s="2323">
        <v>8330000000000</v>
      </c>
      <c r="G1050" s="2228">
        <v>13100000000</v>
      </c>
      <c r="H1050" s="2228">
        <v>10100000000000</v>
      </c>
      <c r="I1050" s="2228">
        <v>16600000000</v>
      </c>
      <c r="J1050" s="1407"/>
      <c r="K1050" s="1431">
        <f t="shared" si="132"/>
        <v>20856793893129.773</v>
      </c>
      <c r="L1050" s="2320" t="s">
        <v>58</v>
      </c>
      <c r="M1050" s="2320" t="s">
        <v>633</v>
      </c>
      <c r="N1050" s="1407"/>
      <c r="O1050" s="1407"/>
      <c r="P1050" s="1407"/>
      <c r="Q1050" s="1407"/>
      <c r="R1050" s="1407"/>
      <c r="S1050" s="1407"/>
      <c r="T1050" s="1407"/>
      <c r="U1050" s="1407"/>
    </row>
    <row r="1051" spans="1:21" ht="12">
      <c r="A1051" s="639" t="s">
        <v>4446</v>
      </c>
      <c r="B1051" s="1483">
        <v>42690</v>
      </c>
      <c r="C1051" s="639" t="s">
        <v>3212</v>
      </c>
      <c r="D1051" s="1831" t="s">
        <v>4452</v>
      </c>
      <c r="E1051" s="2264">
        <v>42690</v>
      </c>
      <c r="F1051" s="2323">
        <v>5490000000000</v>
      </c>
      <c r="G1051" s="2228">
        <v>13100000000</v>
      </c>
      <c r="H1051" s="2228">
        <v>10100000000000</v>
      </c>
      <c r="I1051" s="2228">
        <v>16600000000</v>
      </c>
      <c r="J1051" s="1407"/>
      <c r="K1051" s="1431">
        <f t="shared" si="132"/>
        <v>13745954198473.283</v>
      </c>
      <c r="L1051" s="2320" t="s">
        <v>58</v>
      </c>
      <c r="M1051" s="2328" t="s">
        <v>716</v>
      </c>
      <c r="N1051" s="1407"/>
      <c r="O1051" s="1407"/>
      <c r="P1051" s="1407"/>
      <c r="Q1051" s="1407"/>
      <c r="R1051" s="1407"/>
      <c r="S1051" s="1407"/>
      <c r="T1051" s="1407"/>
      <c r="U1051" s="1407"/>
    </row>
    <row r="1052" spans="1:21" ht="12">
      <c r="A1052" s="639" t="s">
        <v>4446</v>
      </c>
      <c r="B1052" s="1483">
        <v>42690</v>
      </c>
      <c r="C1052" s="639" t="s">
        <v>3212</v>
      </c>
      <c r="D1052" s="1831" t="s">
        <v>4453</v>
      </c>
      <c r="E1052" s="2264">
        <v>42690</v>
      </c>
      <c r="F1052" s="2323">
        <v>3730000000000</v>
      </c>
      <c r="G1052" s="2228">
        <v>13100000000</v>
      </c>
      <c r="H1052" s="2228">
        <v>10100000000000</v>
      </c>
      <c r="I1052" s="2228">
        <v>16600000000</v>
      </c>
      <c r="J1052" s="1407"/>
      <c r="K1052" s="1431">
        <f t="shared" si="132"/>
        <v>9339236641221.375</v>
      </c>
      <c r="L1052" s="2320" t="s">
        <v>58</v>
      </c>
      <c r="M1052" s="2328" t="s">
        <v>716</v>
      </c>
      <c r="N1052" s="1407"/>
      <c r="O1052" s="1407"/>
      <c r="P1052" s="1407"/>
      <c r="Q1052" s="1407"/>
      <c r="R1052" s="1407"/>
      <c r="S1052" s="1407"/>
      <c r="T1052" s="1407"/>
      <c r="U1052" s="1407"/>
    </row>
    <row r="1053" spans="1:21" ht="12">
      <c r="A1053" s="639" t="s">
        <v>4446</v>
      </c>
      <c r="B1053" s="1483">
        <v>42690</v>
      </c>
      <c r="C1053" s="639" t="s">
        <v>3212</v>
      </c>
      <c r="D1053" s="1831" t="s">
        <v>4454</v>
      </c>
      <c r="E1053" s="2264">
        <v>42690</v>
      </c>
      <c r="F1053" s="2330">
        <v>9540000000000</v>
      </c>
      <c r="G1053" s="2228">
        <v>13100000000</v>
      </c>
      <c r="H1053" s="2228">
        <v>10100000000000</v>
      </c>
      <c r="I1053" s="2228">
        <v>16600000000</v>
      </c>
      <c r="J1053" s="1407"/>
      <c r="K1053" s="1431">
        <f t="shared" si="132"/>
        <v>23886412213740.461</v>
      </c>
      <c r="L1053" s="2320" t="s">
        <v>58</v>
      </c>
      <c r="M1053" s="2320" t="s">
        <v>1943</v>
      </c>
      <c r="N1053" s="1407"/>
      <c r="O1053" s="1407"/>
      <c r="P1053" s="1407"/>
      <c r="Q1053" s="1407"/>
      <c r="R1053" s="1407"/>
      <c r="S1053" s="1407"/>
      <c r="T1053" s="1407"/>
      <c r="U1053" s="1407"/>
    </row>
    <row r="1054" spans="1:21" ht="12">
      <c r="A1054" s="639" t="s">
        <v>4446</v>
      </c>
      <c r="B1054" s="1483">
        <v>42690</v>
      </c>
      <c r="C1054" s="639" t="s">
        <v>3212</v>
      </c>
      <c r="D1054" s="1831" t="s">
        <v>4393</v>
      </c>
      <c r="E1054" s="2264">
        <v>42690</v>
      </c>
      <c r="F1054" s="2323">
        <v>23800000000000</v>
      </c>
      <c r="G1054" s="2228">
        <v>13100000000</v>
      </c>
      <c r="H1054" s="2228">
        <v>10100000000000</v>
      </c>
      <c r="I1054" s="2228">
        <v>16600000000</v>
      </c>
      <c r="J1054" s="1407"/>
      <c r="K1054" s="1431">
        <f t="shared" si="132"/>
        <v>59590839694656.492</v>
      </c>
      <c r="L1054" s="2320" t="s">
        <v>58</v>
      </c>
      <c r="M1054" s="2320" t="s">
        <v>1943</v>
      </c>
      <c r="N1054" s="1407"/>
      <c r="O1054" s="1407"/>
      <c r="P1054" s="1407"/>
      <c r="Q1054" s="1407"/>
      <c r="R1054" s="1407"/>
      <c r="S1054" s="1407"/>
      <c r="T1054" s="1407"/>
      <c r="U1054" s="1407"/>
    </row>
    <row r="1055" spans="1:21" ht="12">
      <c r="A1055" s="639" t="s">
        <v>4446</v>
      </c>
      <c r="B1055" s="1483">
        <v>42690</v>
      </c>
      <c r="C1055" s="639" t="s">
        <v>3212</v>
      </c>
      <c r="D1055" s="1831" t="s">
        <v>4434</v>
      </c>
      <c r="E1055" s="2264">
        <v>42690</v>
      </c>
      <c r="F1055" s="2228">
        <v>68000000000000</v>
      </c>
      <c r="G1055" s="2228">
        <v>13100000000</v>
      </c>
      <c r="H1055" s="2228">
        <v>10100000000000</v>
      </c>
      <c r="I1055" s="2228">
        <v>16600000000</v>
      </c>
      <c r="J1055" s="1407"/>
      <c r="K1055" s="1431">
        <f t="shared" si="132"/>
        <v>170259541984732.84</v>
      </c>
      <c r="L1055" s="1407"/>
      <c r="M1055" s="1407"/>
      <c r="N1055" s="1407"/>
      <c r="O1055" s="1407"/>
      <c r="P1055" s="1407"/>
      <c r="Q1055" s="1407"/>
      <c r="R1055" s="1407"/>
      <c r="S1055" s="1407"/>
      <c r="T1055" s="1407"/>
      <c r="U1055" s="1407"/>
    </row>
    <row r="1056" spans="1:21" ht="12">
      <c r="A1056" s="639" t="s">
        <v>4446</v>
      </c>
      <c r="B1056" s="1483">
        <v>42690</v>
      </c>
      <c r="C1056" s="639" t="s">
        <v>3212</v>
      </c>
      <c r="D1056" s="1831" t="s">
        <v>4435</v>
      </c>
      <c r="E1056" s="2264">
        <v>42690</v>
      </c>
      <c r="F1056" s="2228">
        <v>14000000000000</v>
      </c>
      <c r="G1056" s="2228">
        <v>13100000000</v>
      </c>
      <c r="H1056" s="2228">
        <v>10100000000000</v>
      </c>
      <c r="I1056" s="2228">
        <v>16600000000</v>
      </c>
      <c r="J1056" s="1407"/>
      <c r="K1056" s="1431">
        <f t="shared" si="132"/>
        <v>35053435114503.82</v>
      </c>
      <c r="L1056" s="1407"/>
      <c r="M1056" s="1407"/>
      <c r="N1056" s="1407"/>
      <c r="O1056" s="1407"/>
      <c r="P1056" s="1407"/>
      <c r="Q1056" s="1407"/>
      <c r="R1056" s="1407"/>
      <c r="S1056" s="1407"/>
      <c r="T1056" s="1407"/>
      <c r="U1056" s="1407"/>
    </row>
    <row r="1057" spans="1:21" ht="12">
      <c r="A1057" s="639" t="s">
        <v>4446</v>
      </c>
      <c r="B1057" s="1483">
        <v>42690</v>
      </c>
      <c r="C1057" s="639" t="s">
        <v>3212</v>
      </c>
      <c r="D1057" s="1831" t="s">
        <v>4436</v>
      </c>
      <c r="E1057" s="2264">
        <v>42690</v>
      </c>
      <c r="F1057" s="2228">
        <v>110000000000000</v>
      </c>
      <c r="G1057" s="2228">
        <v>13100000000</v>
      </c>
      <c r="H1057" s="2228">
        <v>10100000000000</v>
      </c>
      <c r="I1057" s="2228">
        <v>16600000000</v>
      </c>
      <c r="J1057" s="1407"/>
      <c r="K1057" s="1431">
        <f t="shared" si="132"/>
        <v>275419847328244.28</v>
      </c>
      <c r="L1057" s="1407"/>
      <c r="M1057" s="1407"/>
      <c r="N1057" s="1407"/>
      <c r="O1057" s="1407"/>
      <c r="P1057" s="1407"/>
      <c r="Q1057" s="1407"/>
      <c r="R1057" s="1407"/>
      <c r="S1057" s="1407"/>
      <c r="T1057" s="1407"/>
      <c r="U1057" s="1407"/>
    </row>
    <row r="1058" spans="1:21" ht="12">
      <c r="A1058" s="639" t="s">
        <v>4446</v>
      </c>
      <c r="B1058" s="1483">
        <v>42690</v>
      </c>
      <c r="C1058" s="639" t="s">
        <v>3212</v>
      </c>
      <c r="D1058" s="1831" t="s">
        <v>4437</v>
      </c>
      <c r="E1058" s="2264">
        <v>42690</v>
      </c>
      <c r="F1058" s="2228">
        <v>82200000000000</v>
      </c>
      <c r="G1058" s="2228">
        <v>13100000000</v>
      </c>
      <c r="H1058" s="2228">
        <v>10100000000000</v>
      </c>
      <c r="I1058" s="2228">
        <v>16600000000</v>
      </c>
      <c r="J1058" s="1407"/>
      <c r="K1058" s="1431">
        <f t="shared" si="132"/>
        <v>205813740458015.28</v>
      </c>
      <c r="L1058" s="1407"/>
      <c r="M1058" s="1407"/>
      <c r="N1058" s="1407"/>
      <c r="O1058" s="1407"/>
      <c r="P1058" s="1407"/>
      <c r="Q1058" s="1407"/>
      <c r="R1058" s="1407"/>
      <c r="S1058" s="1407"/>
      <c r="T1058" s="1407"/>
      <c r="U1058" s="1407"/>
    </row>
    <row r="1059" spans="1:21" ht="12">
      <c r="A1059" s="639"/>
      <c r="B1059" s="1483"/>
      <c r="C1059" s="639"/>
      <c r="D1059" s="1831"/>
      <c r="E1059" s="2264"/>
      <c r="F1059" s="1407"/>
      <c r="G1059" s="2262"/>
      <c r="H1059" s="2262"/>
      <c r="I1059" s="1428"/>
      <c r="J1059" s="641"/>
      <c r="K1059" s="1406"/>
      <c r="L1059" s="1407"/>
      <c r="M1059" s="1407"/>
      <c r="N1059" s="1407"/>
      <c r="O1059" s="1407"/>
      <c r="P1059" s="1407"/>
      <c r="Q1059" s="1407"/>
      <c r="R1059" s="1407"/>
      <c r="S1059" s="1407"/>
      <c r="T1059" s="1407"/>
      <c r="U1059" s="1407"/>
    </row>
    <row r="1060" spans="1:21" ht="12">
      <c r="A1060" s="639" t="s">
        <v>4455</v>
      </c>
      <c r="B1060" s="1483">
        <v>42695</v>
      </c>
      <c r="C1060" s="639" t="s">
        <v>2126</v>
      </c>
      <c r="D1060" s="1831" t="s">
        <v>4449</v>
      </c>
      <c r="E1060" s="2264">
        <v>42690</v>
      </c>
      <c r="F1060" s="2335">
        <v>104000000000</v>
      </c>
      <c r="G1060" s="2228">
        <v>5300000000</v>
      </c>
      <c r="H1060" s="2228">
        <v>1770000000000</v>
      </c>
      <c r="I1060" s="1731">
        <v>16500000000</v>
      </c>
      <c r="J1060" s="1431"/>
      <c r="K1060" s="1431">
        <f t="shared" ref="K1060:K1065" si="133">(32800000000/G1060)*F1060</f>
        <v>643622641509.43396</v>
      </c>
      <c r="L1060" s="1407"/>
      <c r="M1060" s="1407"/>
      <c r="N1060" s="1407"/>
      <c r="O1060" s="1407"/>
      <c r="P1060" s="1407"/>
      <c r="Q1060" s="1407"/>
      <c r="R1060" s="1407"/>
      <c r="S1060" s="1407"/>
      <c r="T1060" s="1407"/>
      <c r="U1060" s="1407"/>
    </row>
    <row r="1061" spans="1:21" ht="12">
      <c r="A1061" s="639" t="s">
        <v>4455</v>
      </c>
      <c r="B1061" s="1483">
        <v>42695</v>
      </c>
      <c r="C1061" s="639" t="s">
        <v>2126</v>
      </c>
      <c r="D1061" s="1831" t="s">
        <v>4451</v>
      </c>
      <c r="E1061" s="2264">
        <v>42690</v>
      </c>
      <c r="F1061" s="2335">
        <v>4405000000000</v>
      </c>
      <c r="G1061" s="2228">
        <v>5300000000</v>
      </c>
      <c r="H1061" s="2228">
        <v>1770000000000</v>
      </c>
      <c r="I1061" s="1731">
        <v>16500000000</v>
      </c>
      <c r="J1061" s="1431"/>
      <c r="K1061" s="1431">
        <f t="shared" si="133"/>
        <v>27261132075471.699</v>
      </c>
      <c r="L1061" s="1407"/>
      <c r="M1061" s="1407"/>
      <c r="N1061" s="1407"/>
      <c r="O1061" s="1407"/>
      <c r="P1061" s="1407"/>
      <c r="Q1061" s="1407"/>
      <c r="R1061" s="1407"/>
      <c r="S1061" s="1407"/>
      <c r="T1061" s="1407"/>
      <c r="U1061" s="1407"/>
    </row>
    <row r="1062" spans="1:21" ht="12">
      <c r="A1062" s="639" t="s">
        <v>4455</v>
      </c>
      <c r="B1062" s="1483">
        <v>42695</v>
      </c>
      <c r="C1062" s="639" t="s">
        <v>2126</v>
      </c>
      <c r="D1062" s="1831" t="s">
        <v>4452</v>
      </c>
      <c r="E1062" s="2264">
        <v>42690</v>
      </c>
      <c r="F1062" s="2335">
        <v>3170000000000</v>
      </c>
      <c r="G1062" s="2228">
        <v>5300000000</v>
      </c>
      <c r="H1062" s="2228">
        <v>1770000000000</v>
      </c>
      <c r="I1062" s="1731">
        <v>16500000000</v>
      </c>
      <c r="J1062" s="1431"/>
      <c r="K1062" s="1431">
        <f t="shared" si="133"/>
        <v>19618113207547.172</v>
      </c>
      <c r="L1062" s="1407"/>
      <c r="M1062" s="1407"/>
      <c r="N1062" s="1407"/>
      <c r="O1062" s="1407"/>
      <c r="P1062" s="1407"/>
      <c r="Q1062" s="1407"/>
      <c r="R1062" s="1407"/>
      <c r="S1062" s="1407"/>
      <c r="T1062" s="1407"/>
      <c r="U1062" s="1407"/>
    </row>
    <row r="1063" spans="1:21" ht="12">
      <c r="A1063" s="639" t="s">
        <v>4455</v>
      </c>
      <c r="B1063" s="1483">
        <v>42695</v>
      </c>
      <c r="C1063" s="639" t="s">
        <v>2126</v>
      </c>
      <c r="D1063" s="1831" t="s">
        <v>4453</v>
      </c>
      <c r="E1063" s="2264">
        <v>42690</v>
      </c>
      <c r="F1063" s="2335">
        <v>2293000000000</v>
      </c>
      <c r="G1063" s="2228">
        <v>5300000000</v>
      </c>
      <c r="H1063" s="2228">
        <v>1770000000000</v>
      </c>
      <c r="I1063" s="1731">
        <v>16500000000</v>
      </c>
      <c r="J1063" s="1431"/>
      <c r="K1063" s="1431">
        <f t="shared" si="133"/>
        <v>14190641509433.963</v>
      </c>
      <c r="L1063" s="1407"/>
      <c r="M1063" s="1407"/>
      <c r="N1063" s="1407"/>
      <c r="O1063" s="1407"/>
      <c r="P1063" s="1407"/>
      <c r="Q1063" s="1407"/>
      <c r="R1063" s="1407"/>
      <c r="S1063" s="1407"/>
      <c r="T1063" s="1407"/>
      <c r="U1063" s="1407"/>
    </row>
    <row r="1064" spans="1:21" ht="12">
      <c r="A1064" s="639" t="s">
        <v>4455</v>
      </c>
      <c r="B1064" s="1483">
        <v>42695</v>
      </c>
      <c r="C1064" s="639" t="s">
        <v>2126</v>
      </c>
      <c r="D1064" s="1831" t="s">
        <v>4454</v>
      </c>
      <c r="E1064" s="2264">
        <v>42690</v>
      </c>
      <c r="F1064" s="2343">
        <v>6200000000000</v>
      </c>
      <c r="G1064" s="2228">
        <v>5300000000</v>
      </c>
      <c r="H1064" s="2228">
        <v>1770000000000</v>
      </c>
      <c r="I1064" s="1731">
        <v>16500000000</v>
      </c>
      <c r="J1064" s="1431"/>
      <c r="K1064" s="1431">
        <f t="shared" si="133"/>
        <v>38369811320754.719</v>
      </c>
      <c r="L1064" s="1407"/>
      <c r="M1064" s="1407"/>
      <c r="N1064" s="1407"/>
      <c r="O1064" s="1407"/>
      <c r="P1064" s="1407"/>
      <c r="Q1064" s="1407"/>
      <c r="R1064" s="1407"/>
      <c r="S1064" s="1407"/>
      <c r="T1064" s="1407"/>
      <c r="U1064" s="1407"/>
    </row>
    <row r="1065" spans="1:21" ht="12">
      <c r="A1065" s="639" t="s">
        <v>4455</v>
      </c>
      <c r="B1065" s="1483">
        <v>42695</v>
      </c>
      <c r="C1065" s="639" t="s">
        <v>2126</v>
      </c>
      <c r="D1065" s="1831" t="s">
        <v>4393</v>
      </c>
      <c r="E1065" s="2264">
        <v>42690</v>
      </c>
      <c r="F1065" s="2335">
        <v>41750000000000</v>
      </c>
      <c r="G1065" s="2228">
        <v>5300000000</v>
      </c>
      <c r="H1065" s="2228">
        <v>1770000000000</v>
      </c>
      <c r="I1065" s="1731">
        <v>16500000000</v>
      </c>
      <c r="J1065" s="1431"/>
      <c r="K1065" s="1431">
        <f t="shared" si="133"/>
        <v>258377358490566.06</v>
      </c>
      <c r="L1065" s="1407"/>
      <c r="M1065" s="1407"/>
      <c r="N1065" s="1407"/>
      <c r="O1065" s="1407"/>
      <c r="P1065" s="1407"/>
      <c r="Q1065" s="1407"/>
      <c r="R1065" s="1407"/>
      <c r="S1065" s="1407"/>
      <c r="T1065" s="1407"/>
      <c r="U1065" s="1407"/>
    </row>
    <row r="1066" spans="1:21" ht="12">
      <c r="A1066" s="639"/>
      <c r="B1066" s="1483"/>
      <c r="C1066" s="639"/>
      <c r="D1066" s="1831"/>
      <c r="E1066" s="2264"/>
      <c r="F1066" s="1407"/>
      <c r="G1066" s="2262"/>
      <c r="H1066" s="2262"/>
      <c r="I1066" s="1428"/>
      <c r="J1066" s="641"/>
      <c r="K1066" s="1406"/>
      <c r="L1066" s="1407"/>
      <c r="M1066" s="1407"/>
      <c r="N1066" s="1407"/>
      <c r="O1066" s="1407"/>
      <c r="P1066" s="1407"/>
      <c r="Q1066" s="1407"/>
      <c r="R1066" s="1407"/>
      <c r="S1066" s="1407"/>
      <c r="T1066" s="1407"/>
      <c r="U1066" s="1407"/>
    </row>
    <row r="1067" spans="1:21" ht="12">
      <c r="A1067" s="639" t="s">
        <v>4459</v>
      </c>
      <c r="B1067" s="1483">
        <v>42697</v>
      </c>
      <c r="C1067" s="639" t="s">
        <v>2126</v>
      </c>
      <c r="D1067" s="1831" t="s">
        <v>4449</v>
      </c>
      <c r="E1067" s="2264">
        <v>42697</v>
      </c>
      <c r="F1067" s="2228">
        <v>1130000000000</v>
      </c>
      <c r="G1067" s="2228">
        <v>6100000000</v>
      </c>
      <c r="H1067" s="2228">
        <v>907000000000</v>
      </c>
      <c r="I1067" s="1731">
        <v>7000000000</v>
      </c>
      <c r="J1067" s="1407"/>
      <c r="K1067" s="1431">
        <f t="shared" ref="K1067:K1078" si="134">(32800000000/G1067)*F1067</f>
        <v>6076065573770.4912</v>
      </c>
      <c r="L1067" s="1407"/>
      <c r="M1067" s="1407"/>
      <c r="N1067" s="1407"/>
      <c r="O1067" s="1407"/>
      <c r="P1067" s="1407"/>
      <c r="Q1067" s="1407"/>
      <c r="R1067" s="1407"/>
      <c r="S1067" s="1407"/>
      <c r="T1067" s="1407"/>
      <c r="U1067" s="1407"/>
    </row>
    <row r="1068" spans="1:21" ht="12">
      <c r="A1068" s="639" t="s">
        <v>4459</v>
      </c>
      <c r="B1068" s="1483">
        <v>42697</v>
      </c>
      <c r="C1068" s="639" t="s">
        <v>2126</v>
      </c>
      <c r="D1068" s="1831" t="s">
        <v>4451</v>
      </c>
      <c r="E1068" s="2264">
        <v>42697</v>
      </c>
      <c r="F1068" s="2228">
        <v>6694000000000</v>
      </c>
      <c r="G1068" s="2228">
        <v>6100000000</v>
      </c>
      <c r="H1068" s="2228">
        <v>907000000000</v>
      </c>
      <c r="I1068" s="1731">
        <v>7000000000</v>
      </c>
      <c r="J1068" s="1407"/>
      <c r="K1068" s="1431">
        <f t="shared" si="134"/>
        <v>35993967213114.75</v>
      </c>
      <c r="L1068" s="1407"/>
      <c r="M1068" s="1407"/>
      <c r="N1068" s="1407"/>
      <c r="O1068" s="1407"/>
      <c r="P1068" s="1407"/>
      <c r="Q1068" s="1407"/>
      <c r="R1068" s="1407"/>
      <c r="S1068" s="1407"/>
      <c r="T1068" s="1407"/>
      <c r="U1068" s="1407"/>
    </row>
    <row r="1069" spans="1:21" ht="12">
      <c r="A1069" s="639" t="s">
        <v>4459</v>
      </c>
      <c r="B1069" s="1483">
        <v>42697</v>
      </c>
      <c r="C1069" s="639" t="s">
        <v>2126</v>
      </c>
      <c r="D1069" s="1831" t="s">
        <v>4452</v>
      </c>
      <c r="E1069" s="2264">
        <v>42697</v>
      </c>
      <c r="F1069" s="2228">
        <v>4260000000000</v>
      </c>
      <c r="G1069" s="2228">
        <v>6100000000</v>
      </c>
      <c r="H1069" s="2228">
        <v>907000000000</v>
      </c>
      <c r="I1069" s="1731">
        <v>7000000000</v>
      </c>
      <c r="J1069" s="1407"/>
      <c r="K1069" s="1431">
        <f t="shared" si="134"/>
        <v>22906229508196.719</v>
      </c>
      <c r="L1069" s="1407"/>
      <c r="M1069" s="1407"/>
      <c r="N1069" s="1407"/>
      <c r="O1069" s="1407"/>
      <c r="P1069" s="1407"/>
      <c r="Q1069" s="1407"/>
      <c r="R1069" s="1407"/>
      <c r="S1069" s="1407"/>
      <c r="T1069" s="1407"/>
      <c r="U1069" s="1407"/>
    </row>
    <row r="1070" spans="1:21" ht="12">
      <c r="A1070" s="639" t="s">
        <v>4459</v>
      </c>
      <c r="B1070" s="1483">
        <v>42697</v>
      </c>
      <c r="C1070" s="639" t="s">
        <v>2126</v>
      </c>
      <c r="D1070" s="1831" t="s">
        <v>4453</v>
      </c>
      <c r="E1070" s="2264">
        <v>42697</v>
      </c>
      <c r="F1070" s="2228">
        <v>6176000000000</v>
      </c>
      <c r="G1070" s="2228">
        <v>6100000000</v>
      </c>
      <c r="H1070" s="2228">
        <v>907000000000</v>
      </c>
      <c r="I1070" s="1731">
        <v>7000000000</v>
      </c>
      <c r="J1070" s="1407"/>
      <c r="K1070" s="1431">
        <f t="shared" si="134"/>
        <v>33208655737704.918</v>
      </c>
      <c r="L1070" s="1407"/>
      <c r="M1070" s="1407"/>
      <c r="N1070" s="1407"/>
      <c r="O1070" s="1407"/>
      <c r="P1070" s="1407"/>
      <c r="Q1070" s="1407"/>
      <c r="R1070" s="1407"/>
      <c r="S1070" s="1407"/>
      <c r="T1070" s="1407"/>
      <c r="U1070" s="1407"/>
    </row>
    <row r="1071" spans="1:21" ht="12">
      <c r="A1071" s="639" t="s">
        <v>4459</v>
      </c>
      <c r="B1071" s="1483">
        <v>42697</v>
      </c>
      <c r="C1071" s="639" t="s">
        <v>2126</v>
      </c>
      <c r="D1071" s="1831" t="s">
        <v>4454</v>
      </c>
      <c r="E1071" s="2264">
        <v>42697</v>
      </c>
      <c r="F1071" s="2228">
        <v>13700000000000</v>
      </c>
      <c r="G1071" s="2228">
        <v>6100000000</v>
      </c>
      <c r="H1071" s="2228">
        <v>907000000000</v>
      </c>
      <c r="I1071" s="1731">
        <v>7000000000</v>
      </c>
      <c r="J1071" s="1407"/>
      <c r="K1071" s="1431">
        <f t="shared" si="134"/>
        <v>73665573770491.797</v>
      </c>
      <c r="L1071" s="1407"/>
      <c r="M1071" s="1407"/>
      <c r="N1071" s="1407"/>
      <c r="O1071" s="1407"/>
      <c r="P1071" s="1407"/>
      <c r="Q1071" s="1407"/>
      <c r="R1071" s="1407"/>
      <c r="S1071" s="1407"/>
      <c r="T1071" s="1407"/>
      <c r="U1071" s="1407"/>
    </row>
    <row r="1072" spans="1:21" ht="12">
      <c r="A1072" s="639" t="s">
        <v>4459</v>
      </c>
      <c r="B1072" s="1483">
        <v>42697</v>
      </c>
      <c r="C1072" s="639" t="s">
        <v>2126</v>
      </c>
      <c r="D1072" s="1831" t="s">
        <v>4462</v>
      </c>
      <c r="E1072" s="2264">
        <v>42697</v>
      </c>
      <c r="F1072" s="2228">
        <v>444000000000000</v>
      </c>
      <c r="G1072" s="2228">
        <v>6100000000</v>
      </c>
      <c r="H1072" s="2228">
        <v>907000000000</v>
      </c>
      <c r="I1072" s="1731">
        <v>7000000000</v>
      </c>
      <c r="J1072" s="1407"/>
      <c r="K1072" s="1431">
        <f t="shared" si="134"/>
        <v>2387409836065573.5</v>
      </c>
      <c r="L1072" s="1407"/>
      <c r="M1072" s="1407"/>
      <c r="N1072" s="1407"/>
      <c r="O1072" s="1407"/>
      <c r="P1072" s="1407"/>
      <c r="Q1072" s="1407"/>
      <c r="R1072" s="1407"/>
      <c r="S1072" s="1407"/>
      <c r="T1072" s="1407"/>
      <c r="U1072" s="1407"/>
    </row>
    <row r="1073" spans="1:21" ht="12">
      <c r="A1073" s="639" t="s">
        <v>4459</v>
      </c>
      <c r="B1073" s="1483">
        <v>42697</v>
      </c>
      <c r="C1073" s="639" t="s">
        <v>2126</v>
      </c>
      <c r="D1073" s="1831" t="s">
        <v>4463</v>
      </c>
      <c r="E1073" s="2264">
        <v>42697</v>
      </c>
      <c r="F1073" s="2228">
        <v>27000000000000</v>
      </c>
      <c r="G1073" s="2228">
        <v>6100000000</v>
      </c>
      <c r="H1073" s="2228">
        <v>907000000000</v>
      </c>
      <c r="I1073" s="1731">
        <v>7000000000</v>
      </c>
      <c r="J1073" s="1407"/>
      <c r="K1073" s="1431">
        <f t="shared" si="134"/>
        <v>145180327868852.44</v>
      </c>
      <c r="L1073" s="1407"/>
      <c r="M1073" s="1407"/>
      <c r="N1073" s="1407"/>
      <c r="O1073" s="1407"/>
      <c r="P1073" s="1407"/>
      <c r="Q1073" s="1407"/>
      <c r="R1073" s="1407"/>
      <c r="S1073" s="1407"/>
      <c r="T1073" s="1407"/>
      <c r="U1073" s="1407"/>
    </row>
    <row r="1074" spans="1:21" ht="12">
      <c r="A1074" s="639" t="s">
        <v>4459</v>
      </c>
      <c r="B1074" s="1483">
        <v>42697</v>
      </c>
      <c r="C1074" s="639" t="s">
        <v>2126</v>
      </c>
      <c r="D1074" s="1831" t="s">
        <v>4465</v>
      </c>
      <c r="E1074" s="2264">
        <v>42697</v>
      </c>
      <c r="F1074" s="2228">
        <v>235000000000</v>
      </c>
      <c r="G1074" s="2228">
        <v>6100000000</v>
      </c>
      <c r="H1074" s="2228">
        <v>907000000000</v>
      </c>
      <c r="I1074" s="1731">
        <v>7000000000</v>
      </c>
      <c r="J1074" s="1407"/>
      <c r="K1074" s="1431">
        <f t="shared" si="134"/>
        <v>1263606557377.0491</v>
      </c>
      <c r="L1074" s="1407"/>
      <c r="M1074" s="1407"/>
      <c r="N1074" s="1407"/>
      <c r="O1074" s="1407"/>
      <c r="P1074" s="1407"/>
      <c r="Q1074" s="1407"/>
      <c r="R1074" s="1407"/>
      <c r="S1074" s="1407"/>
      <c r="T1074" s="1407"/>
      <c r="U1074" s="1407"/>
    </row>
    <row r="1075" spans="1:21" ht="12">
      <c r="A1075" s="639" t="s">
        <v>4459</v>
      </c>
      <c r="B1075" s="1483">
        <v>42697</v>
      </c>
      <c r="C1075" s="639" t="s">
        <v>2126</v>
      </c>
      <c r="D1075" s="1831" t="s">
        <v>4466</v>
      </c>
      <c r="E1075" s="2264">
        <v>42697</v>
      </c>
      <c r="F1075" s="2228">
        <v>25500000000000</v>
      </c>
      <c r="G1075" s="2228">
        <v>6100000000</v>
      </c>
      <c r="H1075" s="2228">
        <v>907000000000</v>
      </c>
      <c r="I1075" s="1731">
        <v>7000000000</v>
      </c>
      <c r="J1075" s="1407"/>
      <c r="K1075" s="1431">
        <f t="shared" si="134"/>
        <v>137114754098360.66</v>
      </c>
      <c r="L1075" s="1407"/>
      <c r="M1075" s="1407"/>
      <c r="N1075" s="1407"/>
      <c r="O1075" s="1407"/>
      <c r="P1075" s="1407"/>
      <c r="Q1075" s="1407"/>
      <c r="R1075" s="1407"/>
      <c r="S1075" s="1407"/>
      <c r="T1075" s="1407"/>
      <c r="U1075" s="1407"/>
    </row>
    <row r="1076" spans="1:21" ht="12">
      <c r="A1076" s="639" t="s">
        <v>4459</v>
      </c>
      <c r="B1076" s="1483">
        <v>42697</v>
      </c>
      <c r="C1076" s="639" t="s">
        <v>2126</v>
      </c>
      <c r="D1076" s="1831" t="s">
        <v>4393</v>
      </c>
      <c r="E1076" s="2264">
        <v>42697</v>
      </c>
      <c r="F1076" s="2228">
        <v>27413700000000</v>
      </c>
      <c r="G1076" s="2228">
        <v>6100000000</v>
      </c>
      <c r="H1076" s="2228">
        <v>907000000000</v>
      </c>
      <c r="I1076" s="1731">
        <v>7000000000</v>
      </c>
      <c r="J1076" s="1407"/>
      <c r="K1076" s="1431">
        <f t="shared" si="134"/>
        <v>147404813114754.09</v>
      </c>
      <c r="L1076" s="1407"/>
      <c r="M1076" s="1407"/>
      <c r="N1076" s="1407"/>
      <c r="O1076" s="1407"/>
      <c r="P1076" s="1407"/>
      <c r="Q1076" s="1407"/>
      <c r="R1076" s="1407"/>
      <c r="S1076" s="1407"/>
      <c r="T1076" s="1407"/>
      <c r="U1076" s="1407"/>
    </row>
    <row r="1077" spans="1:21" ht="12">
      <c r="A1077" s="639" t="s">
        <v>4459</v>
      </c>
      <c r="B1077" s="1483">
        <v>42697</v>
      </c>
      <c r="C1077" s="639" t="s">
        <v>2126</v>
      </c>
      <c r="D1077" s="1831" t="s">
        <v>3855</v>
      </c>
      <c r="E1077" s="2264">
        <v>42697</v>
      </c>
      <c r="F1077" s="2228">
        <v>14200000000000</v>
      </c>
      <c r="G1077" s="2228">
        <v>6100000000</v>
      </c>
      <c r="H1077" s="2228">
        <v>907000000000</v>
      </c>
      <c r="I1077" s="1731">
        <v>7000000000</v>
      </c>
      <c r="J1077" s="1407"/>
      <c r="K1077" s="1431">
        <f t="shared" si="134"/>
        <v>76354098360655.734</v>
      </c>
      <c r="L1077" s="1407"/>
      <c r="M1077" s="1407"/>
      <c r="N1077" s="1407"/>
      <c r="O1077" s="1407"/>
      <c r="P1077" s="1407"/>
      <c r="Q1077" s="1407"/>
      <c r="R1077" s="1407"/>
      <c r="S1077" s="1407"/>
      <c r="T1077" s="1407"/>
      <c r="U1077" s="1407"/>
    </row>
    <row r="1078" spans="1:21" ht="12">
      <c r="A1078" s="639" t="s">
        <v>4459</v>
      </c>
      <c r="B1078" s="1483">
        <v>42697</v>
      </c>
      <c r="C1078" s="639" t="s">
        <v>2126</v>
      </c>
      <c r="D1078" s="1831" t="s">
        <v>3992</v>
      </c>
      <c r="E1078" s="2264">
        <v>42697</v>
      </c>
      <c r="F1078" s="2228">
        <v>4179310000000</v>
      </c>
      <c r="G1078" s="2228">
        <v>6100000000</v>
      </c>
      <c r="H1078" s="2228">
        <v>907000000000</v>
      </c>
      <c r="I1078" s="1731">
        <v>7000000000</v>
      </c>
      <c r="J1078" s="1407"/>
      <c r="K1078" s="1431">
        <f t="shared" si="134"/>
        <v>22472355409836.066</v>
      </c>
      <c r="L1078" s="1407"/>
      <c r="M1078" s="1407"/>
      <c r="N1078" s="1407"/>
      <c r="O1078" s="1407"/>
      <c r="P1078" s="1407"/>
      <c r="Q1078" s="1407"/>
      <c r="R1078" s="1407"/>
      <c r="S1078" s="1407"/>
      <c r="T1078" s="1407"/>
      <c r="U1078" s="1407"/>
    </row>
    <row r="1079" spans="1:21" ht="12">
      <c r="A1079" s="639"/>
      <c r="B1079" s="1483"/>
      <c r="C1079" s="639"/>
      <c r="D1079" s="1831"/>
      <c r="E1079" s="2264"/>
      <c r="F1079" s="1407"/>
      <c r="G1079" s="2262"/>
      <c r="H1079" s="2262"/>
      <c r="I1079" s="1428"/>
      <c r="J1079" s="1407"/>
      <c r="K1079" s="1431"/>
      <c r="L1079" s="1407"/>
      <c r="M1079" s="1407"/>
      <c r="N1079" s="1407"/>
      <c r="O1079" s="1407"/>
      <c r="P1079" s="1407"/>
      <c r="Q1079" s="1407"/>
      <c r="R1079" s="1407"/>
      <c r="S1079" s="1407"/>
      <c r="T1079" s="1407"/>
      <c r="U1079" s="1407"/>
    </row>
    <row r="1080" spans="1:21" ht="12">
      <c r="A1080" s="639" t="s">
        <v>4471</v>
      </c>
      <c r="B1080" s="1483">
        <v>42699</v>
      </c>
      <c r="C1080" s="639" t="s">
        <v>2126</v>
      </c>
      <c r="D1080" s="1831" t="s">
        <v>4449</v>
      </c>
      <c r="E1080" s="1483">
        <v>42699</v>
      </c>
      <c r="F1080" s="1731">
        <v>919000000000</v>
      </c>
      <c r="G1080" s="1731">
        <v>10700000000</v>
      </c>
      <c r="H1080" s="2228">
        <v>1060000000000</v>
      </c>
      <c r="I1080" s="1731">
        <v>17200000000</v>
      </c>
      <c r="J1080" s="1407"/>
      <c r="K1080" s="1431">
        <f t="shared" ref="K1080:K1091" si="135">(32800000000/G1080)*F1080</f>
        <v>2817121495327.1025</v>
      </c>
      <c r="L1080" s="1407"/>
      <c r="M1080" s="1407"/>
      <c r="N1080" s="1407"/>
      <c r="O1080" s="1407"/>
      <c r="P1080" s="1407"/>
      <c r="Q1080" s="1407"/>
      <c r="R1080" s="1407"/>
      <c r="S1080" s="1407"/>
      <c r="T1080" s="1407"/>
      <c r="U1080" s="1407"/>
    </row>
    <row r="1081" spans="1:21" ht="12">
      <c r="A1081" s="639" t="s">
        <v>4471</v>
      </c>
      <c r="B1081" s="1483">
        <v>42699</v>
      </c>
      <c r="C1081" s="639" t="s">
        <v>2126</v>
      </c>
      <c r="D1081" s="1831" t="s">
        <v>4451</v>
      </c>
      <c r="E1081" s="1483">
        <v>42699</v>
      </c>
      <c r="F1081" s="1731">
        <v>2134000000000</v>
      </c>
      <c r="G1081" s="1731">
        <v>10700000000</v>
      </c>
      <c r="H1081" s="2228">
        <v>1060000000000</v>
      </c>
      <c r="I1081" s="1731">
        <v>17200000000</v>
      </c>
      <c r="J1081" s="1407"/>
      <c r="K1081" s="1431">
        <f t="shared" si="135"/>
        <v>6541607476635.5137</v>
      </c>
      <c r="L1081" s="1407"/>
      <c r="M1081" s="1407"/>
      <c r="N1081" s="1407"/>
      <c r="O1081" s="1407"/>
      <c r="P1081" s="1407"/>
      <c r="Q1081" s="1407"/>
      <c r="R1081" s="1407"/>
      <c r="S1081" s="1407"/>
      <c r="T1081" s="1407"/>
      <c r="U1081" s="1407"/>
    </row>
    <row r="1082" spans="1:21" ht="12">
      <c r="A1082" s="639" t="s">
        <v>4471</v>
      </c>
      <c r="B1082" s="1483">
        <v>42699</v>
      </c>
      <c r="C1082" s="639" t="s">
        <v>2126</v>
      </c>
      <c r="D1082" s="1831" t="s">
        <v>4452</v>
      </c>
      <c r="E1082" s="1483">
        <v>42699</v>
      </c>
      <c r="F1082" s="1731">
        <v>4940000000000</v>
      </c>
      <c r="G1082" s="1731">
        <v>10700000000</v>
      </c>
      <c r="H1082" s="2228">
        <v>1060000000000</v>
      </c>
      <c r="I1082" s="1731">
        <v>17200000000</v>
      </c>
      <c r="J1082" s="1407"/>
      <c r="K1082" s="1431">
        <f t="shared" si="135"/>
        <v>15143177570093.457</v>
      </c>
      <c r="L1082" s="1407"/>
      <c r="M1082" s="1407"/>
      <c r="N1082" s="1407"/>
      <c r="O1082" s="1407"/>
      <c r="P1082" s="1407"/>
      <c r="Q1082" s="1407"/>
      <c r="R1082" s="1407"/>
      <c r="S1082" s="1407"/>
      <c r="T1082" s="1407"/>
      <c r="U1082" s="1407"/>
    </row>
    <row r="1083" spans="1:21" ht="12">
      <c r="A1083" s="639" t="s">
        <v>4471</v>
      </c>
      <c r="B1083" s="1483">
        <v>42699</v>
      </c>
      <c r="C1083" s="639" t="s">
        <v>2126</v>
      </c>
      <c r="D1083" s="1831" t="s">
        <v>4453</v>
      </c>
      <c r="E1083" s="1483">
        <v>42699</v>
      </c>
      <c r="F1083" s="1731">
        <v>8515000000000</v>
      </c>
      <c r="G1083" s="1731">
        <v>10700000000</v>
      </c>
      <c r="H1083" s="2228">
        <v>1060000000000</v>
      </c>
      <c r="I1083" s="1731">
        <v>17200000000</v>
      </c>
      <c r="J1083" s="1407"/>
      <c r="K1083" s="1431">
        <f t="shared" si="135"/>
        <v>26102056074766.355</v>
      </c>
      <c r="L1083" s="1407"/>
      <c r="M1083" s="1407"/>
      <c r="N1083" s="1407"/>
      <c r="O1083" s="1407"/>
      <c r="P1083" s="1407"/>
      <c r="Q1083" s="1407"/>
      <c r="R1083" s="1407"/>
      <c r="S1083" s="1407"/>
      <c r="T1083" s="1407"/>
      <c r="U1083" s="1407"/>
    </row>
    <row r="1084" spans="1:21" ht="12">
      <c r="A1084" s="639" t="s">
        <v>4471</v>
      </c>
      <c r="B1084" s="1483">
        <v>42699</v>
      </c>
      <c r="C1084" s="639" t="s">
        <v>2126</v>
      </c>
      <c r="D1084" s="1831" t="s">
        <v>4454</v>
      </c>
      <c r="E1084" s="1483">
        <v>42699</v>
      </c>
      <c r="F1084" s="1731">
        <v>6220000000000</v>
      </c>
      <c r="G1084" s="1731">
        <v>10700000000</v>
      </c>
      <c r="H1084" s="2228">
        <v>1060000000000</v>
      </c>
      <c r="I1084" s="1731">
        <v>17200000000</v>
      </c>
      <c r="J1084" s="1407"/>
      <c r="K1084" s="1431">
        <f t="shared" si="135"/>
        <v>19066915887850.465</v>
      </c>
      <c r="L1084" s="1407"/>
      <c r="M1084" s="1407"/>
      <c r="N1084" s="1407"/>
      <c r="O1084" s="1407"/>
      <c r="P1084" s="1407"/>
      <c r="Q1084" s="1407"/>
      <c r="R1084" s="1407"/>
      <c r="S1084" s="1407"/>
      <c r="T1084" s="1407"/>
      <c r="U1084" s="1407"/>
    </row>
    <row r="1085" spans="1:21" ht="12">
      <c r="A1085" s="639" t="s">
        <v>4471</v>
      </c>
      <c r="B1085" s="1483">
        <v>42699</v>
      </c>
      <c r="C1085" s="639" t="s">
        <v>2126</v>
      </c>
      <c r="D1085" s="1831" t="s">
        <v>4462</v>
      </c>
      <c r="E1085" s="1483">
        <v>42699</v>
      </c>
      <c r="F1085" s="1731">
        <v>424100000000000</v>
      </c>
      <c r="G1085" s="1731">
        <v>10700000000</v>
      </c>
      <c r="H1085" s="2228">
        <v>1060000000000</v>
      </c>
      <c r="I1085" s="1731">
        <v>17200000000</v>
      </c>
      <c r="J1085" s="1407"/>
      <c r="K1085" s="1431">
        <f t="shared" si="135"/>
        <v>1300044859813084</v>
      </c>
      <c r="L1085" s="1407"/>
      <c r="M1085" s="1407"/>
      <c r="N1085" s="1407"/>
      <c r="O1085" s="1407"/>
      <c r="P1085" s="1407"/>
      <c r="Q1085" s="1407"/>
      <c r="R1085" s="1407"/>
      <c r="S1085" s="1407"/>
      <c r="T1085" s="1407"/>
      <c r="U1085" s="1407"/>
    </row>
    <row r="1086" spans="1:21" ht="12">
      <c r="A1086" s="639" t="s">
        <v>4471</v>
      </c>
      <c r="B1086" s="1483">
        <v>42699</v>
      </c>
      <c r="C1086" s="639" t="s">
        <v>2126</v>
      </c>
      <c r="D1086" s="1831" t="s">
        <v>4463</v>
      </c>
      <c r="E1086" s="1483">
        <v>42699</v>
      </c>
      <c r="F1086" s="1731">
        <v>3360000000000</v>
      </c>
      <c r="G1086" s="1731">
        <v>10700000000</v>
      </c>
      <c r="H1086" s="2228">
        <v>1060000000000</v>
      </c>
      <c r="I1086" s="1731">
        <v>17200000000</v>
      </c>
      <c r="J1086" s="1407"/>
      <c r="K1086" s="1431">
        <f t="shared" si="135"/>
        <v>10299813084112.148</v>
      </c>
      <c r="L1086" s="1407"/>
      <c r="M1086" s="1407"/>
      <c r="N1086" s="1407"/>
      <c r="O1086" s="1407"/>
      <c r="P1086" s="1407"/>
      <c r="Q1086" s="1407"/>
      <c r="R1086" s="1407"/>
      <c r="S1086" s="1407"/>
      <c r="T1086" s="1407"/>
      <c r="U1086" s="1407"/>
    </row>
    <row r="1087" spans="1:21" ht="12">
      <c r="A1087" s="639" t="s">
        <v>4471</v>
      </c>
      <c r="B1087" s="1483">
        <v>42699</v>
      </c>
      <c r="C1087" s="639" t="s">
        <v>2126</v>
      </c>
      <c r="D1087" s="1831" t="s">
        <v>4465</v>
      </c>
      <c r="E1087" s="1483">
        <v>42699</v>
      </c>
      <c r="F1087" s="1731">
        <v>169700000000</v>
      </c>
      <c r="G1087" s="1731">
        <v>10700000000</v>
      </c>
      <c r="H1087" s="2228">
        <v>1060000000000</v>
      </c>
      <c r="I1087" s="1731">
        <v>17200000000</v>
      </c>
      <c r="J1087" s="1407"/>
      <c r="K1087" s="1431">
        <f t="shared" si="135"/>
        <v>520201869158.87848</v>
      </c>
      <c r="L1087" s="1407"/>
      <c r="M1087" s="1407"/>
      <c r="N1087" s="1407"/>
      <c r="O1087" s="1407"/>
      <c r="P1087" s="1407"/>
      <c r="Q1087" s="1407"/>
      <c r="R1087" s="1407"/>
      <c r="S1087" s="1407"/>
      <c r="T1087" s="1407"/>
      <c r="U1087" s="1407"/>
    </row>
    <row r="1088" spans="1:21" ht="12">
      <c r="A1088" s="639" t="s">
        <v>4471</v>
      </c>
      <c r="B1088" s="1483">
        <v>42699</v>
      </c>
      <c r="C1088" s="639" t="s">
        <v>2126</v>
      </c>
      <c r="D1088" s="1831" t="s">
        <v>4466</v>
      </c>
      <c r="E1088" s="1483">
        <v>42699</v>
      </c>
      <c r="F1088" s="1731">
        <v>17500000000000</v>
      </c>
      <c r="G1088" s="1731">
        <v>10700000000</v>
      </c>
      <c r="H1088" s="2228">
        <v>1060000000000</v>
      </c>
      <c r="I1088" s="1731">
        <v>17200000000</v>
      </c>
      <c r="J1088" s="1407"/>
      <c r="K1088" s="1431">
        <f t="shared" si="135"/>
        <v>53644859813084.109</v>
      </c>
      <c r="L1088" s="1407"/>
      <c r="M1088" s="1407"/>
      <c r="N1088" s="1407"/>
      <c r="O1088" s="1407"/>
      <c r="P1088" s="1407"/>
      <c r="Q1088" s="1407"/>
      <c r="R1088" s="1407"/>
      <c r="S1088" s="1407"/>
      <c r="T1088" s="1407"/>
      <c r="U1088" s="1407"/>
    </row>
    <row r="1089" spans="1:21" ht="12">
      <c r="A1089" s="639" t="s">
        <v>4471</v>
      </c>
      <c r="B1089" s="1483">
        <v>42699</v>
      </c>
      <c r="C1089" s="639" t="s">
        <v>2126</v>
      </c>
      <c r="D1089" s="1831" t="s">
        <v>4393</v>
      </c>
      <c r="E1089" s="1483">
        <v>42699</v>
      </c>
      <c r="F1089" s="1731">
        <v>22370000000000</v>
      </c>
      <c r="G1089" s="1731">
        <v>10700000000</v>
      </c>
      <c r="H1089" s="2228">
        <v>1060000000000</v>
      </c>
      <c r="I1089" s="1731">
        <v>17200000000</v>
      </c>
      <c r="J1089" s="1407"/>
      <c r="K1089" s="1431">
        <f t="shared" si="135"/>
        <v>68573457943925.234</v>
      </c>
      <c r="L1089" s="1407"/>
      <c r="M1089" s="1407"/>
      <c r="N1089" s="1407"/>
      <c r="O1089" s="1407"/>
      <c r="P1089" s="1407"/>
      <c r="Q1089" s="1407"/>
      <c r="R1089" s="1407"/>
      <c r="S1089" s="1407"/>
      <c r="T1089" s="1407"/>
      <c r="U1089" s="1407"/>
    </row>
    <row r="1090" spans="1:21" ht="12">
      <c r="A1090" s="639" t="s">
        <v>4471</v>
      </c>
      <c r="B1090" s="1483">
        <v>42699</v>
      </c>
      <c r="C1090" s="639" t="s">
        <v>2126</v>
      </c>
      <c r="D1090" s="1831" t="s">
        <v>3855</v>
      </c>
      <c r="E1090" s="1483">
        <v>42699</v>
      </c>
      <c r="F1090" s="1731">
        <v>14900000000000</v>
      </c>
      <c r="G1090" s="1731">
        <v>10700000000</v>
      </c>
      <c r="H1090" s="2228">
        <v>1060000000000</v>
      </c>
      <c r="I1090" s="1731">
        <v>17200000000</v>
      </c>
      <c r="J1090" s="1407"/>
      <c r="K1090" s="1431">
        <f t="shared" si="135"/>
        <v>45674766355140.188</v>
      </c>
      <c r="L1090" s="1407"/>
      <c r="M1090" s="1407"/>
      <c r="N1090" s="1407"/>
      <c r="O1090" s="1407"/>
      <c r="P1090" s="1407"/>
      <c r="Q1090" s="1407"/>
      <c r="R1090" s="1407"/>
      <c r="S1090" s="1407"/>
      <c r="T1090" s="1407"/>
      <c r="U1090" s="1407"/>
    </row>
    <row r="1091" spans="1:21" ht="12">
      <c r="A1091" s="639" t="s">
        <v>4471</v>
      </c>
      <c r="B1091" s="1483">
        <v>42699</v>
      </c>
      <c r="C1091" s="639" t="s">
        <v>2126</v>
      </c>
      <c r="D1091" s="1831" t="s">
        <v>3992</v>
      </c>
      <c r="E1091" s="1483">
        <v>42699</v>
      </c>
      <c r="F1091" s="1731">
        <v>4201000000000</v>
      </c>
      <c r="G1091" s="1731">
        <v>10700000000</v>
      </c>
      <c r="H1091" s="2228">
        <v>1060000000000</v>
      </c>
      <c r="I1091" s="1731">
        <v>17200000000</v>
      </c>
      <c r="J1091" s="1407"/>
      <c r="K1091" s="1431">
        <f t="shared" si="135"/>
        <v>12877831775700.934</v>
      </c>
      <c r="L1091" s="1407"/>
      <c r="M1091" s="1407"/>
      <c r="N1091" s="1407"/>
      <c r="O1091" s="1407"/>
      <c r="P1091" s="1407"/>
      <c r="Q1091" s="1407"/>
      <c r="R1091" s="1407"/>
      <c r="S1091" s="1407"/>
      <c r="T1091" s="1407"/>
      <c r="U1091" s="1407"/>
    </row>
    <row r="1092" spans="1:21" ht="12">
      <c r="A1092" s="639"/>
      <c r="B1092" s="1483"/>
      <c r="C1092" s="639"/>
      <c r="D1092" s="1831"/>
      <c r="E1092" s="2264"/>
      <c r="F1092" s="1407"/>
      <c r="G1092" s="2262"/>
      <c r="H1092" s="2262"/>
      <c r="I1092" s="1428"/>
      <c r="J1092" s="1407"/>
      <c r="K1092" s="1431"/>
      <c r="L1092" s="1407"/>
      <c r="M1092" s="1407"/>
      <c r="N1092" s="1407"/>
      <c r="O1092" s="1407"/>
      <c r="P1092" s="1407"/>
      <c r="Q1092" s="1407"/>
      <c r="R1092" s="1407"/>
      <c r="S1092" s="1407"/>
      <c r="T1092" s="1407"/>
      <c r="U1092" s="1407"/>
    </row>
    <row r="1093" spans="1:21" ht="12">
      <c r="A1093" s="639" t="s">
        <v>4473</v>
      </c>
      <c r="B1093" s="1483">
        <v>42711</v>
      </c>
      <c r="C1093" s="639" t="s">
        <v>2126</v>
      </c>
      <c r="D1093" s="1831" t="s">
        <v>4474</v>
      </c>
      <c r="E1093" s="2264">
        <v>42710</v>
      </c>
      <c r="F1093" s="1731">
        <v>178000000000</v>
      </c>
      <c r="G1093" s="2228">
        <v>10400000</v>
      </c>
      <c r="H1093" s="2228">
        <v>33300000000</v>
      </c>
      <c r="I1093" s="1731">
        <v>6320000</v>
      </c>
      <c r="J1093" s="1407"/>
      <c r="K1093" s="1431"/>
      <c r="L1093" s="1407"/>
      <c r="M1093" s="1407"/>
      <c r="N1093" s="1407"/>
      <c r="O1093" s="1407"/>
      <c r="P1093" s="1407"/>
      <c r="Q1093" s="1407"/>
      <c r="R1093" s="1407"/>
      <c r="S1093" s="1407"/>
      <c r="T1093" s="1407"/>
      <c r="U1093" s="1407"/>
    </row>
    <row r="1094" spans="1:21" ht="12">
      <c r="A1094" s="639" t="s">
        <v>4473</v>
      </c>
      <c r="B1094" s="1483">
        <v>42711</v>
      </c>
      <c r="C1094" s="639" t="s">
        <v>2126</v>
      </c>
      <c r="D1094" s="1831" t="s">
        <v>4475</v>
      </c>
      <c r="E1094" s="2264">
        <v>42710</v>
      </c>
      <c r="F1094" s="1731">
        <v>572000000</v>
      </c>
      <c r="G1094" s="2228">
        <v>10400000</v>
      </c>
      <c r="H1094" s="2228">
        <v>33300000000</v>
      </c>
      <c r="I1094" s="1731">
        <v>6320000</v>
      </c>
      <c r="J1094" s="1407"/>
      <c r="K1094" s="1431"/>
      <c r="L1094" s="1407"/>
      <c r="M1094" s="1407"/>
      <c r="N1094" s="1407"/>
      <c r="O1094" s="1407"/>
      <c r="P1094" s="1407"/>
      <c r="Q1094" s="1407"/>
      <c r="R1094" s="1407"/>
      <c r="S1094" s="1407"/>
      <c r="T1094" s="1407"/>
      <c r="U1094" s="1407"/>
    </row>
    <row r="1095" spans="1:21" ht="12">
      <c r="A1095" s="639" t="s">
        <v>4473</v>
      </c>
      <c r="B1095" s="1483">
        <v>42711</v>
      </c>
      <c r="C1095" s="639" t="s">
        <v>2126</v>
      </c>
      <c r="D1095" s="1831" t="s">
        <v>4476</v>
      </c>
      <c r="E1095" s="2264">
        <v>42710</v>
      </c>
      <c r="F1095" s="1731">
        <v>15500000000</v>
      </c>
      <c r="G1095" s="2228">
        <v>10400000</v>
      </c>
      <c r="H1095" s="2228">
        <v>33300000000</v>
      </c>
      <c r="I1095" s="1731">
        <v>6320000</v>
      </c>
      <c r="J1095" s="1407"/>
      <c r="K1095" s="1431"/>
      <c r="L1095" s="1407"/>
      <c r="M1095" s="1407"/>
      <c r="N1095" s="1407"/>
      <c r="O1095" s="1407"/>
      <c r="P1095" s="1407"/>
      <c r="Q1095" s="1407"/>
      <c r="R1095" s="1407"/>
      <c r="S1095" s="1407"/>
      <c r="T1095" s="1407"/>
      <c r="U1095" s="1407"/>
    </row>
    <row r="1096" spans="1:21" ht="12">
      <c r="A1096" s="639" t="s">
        <v>4473</v>
      </c>
      <c r="B1096" s="1483">
        <v>42711</v>
      </c>
      <c r="C1096" s="639" t="s">
        <v>2126</v>
      </c>
      <c r="D1096" s="1831" t="s">
        <v>4477</v>
      </c>
      <c r="E1096" s="2264">
        <v>42710</v>
      </c>
      <c r="F1096" s="1731">
        <v>39800000000</v>
      </c>
      <c r="G1096" s="2228">
        <v>10400000</v>
      </c>
      <c r="H1096" s="2228">
        <v>33300000000</v>
      </c>
      <c r="I1096" s="1731">
        <v>6320000</v>
      </c>
      <c r="J1096" s="1407"/>
      <c r="K1096" s="1431"/>
      <c r="L1096" s="1407"/>
      <c r="M1096" s="1407"/>
      <c r="N1096" s="1407"/>
      <c r="O1096" s="1407"/>
      <c r="P1096" s="1407"/>
      <c r="Q1096" s="1407"/>
      <c r="R1096" s="1407"/>
      <c r="S1096" s="1407"/>
      <c r="T1096" s="1407"/>
      <c r="U1096" s="1407"/>
    </row>
    <row r="1097" spans="1:21" ht="12">
      <c r="A1097" s="639" t="s">
        <v>4473</v>
      </c>
      <c r="B1097" s="1483">
        <v>42711</v>
      </c>
      <c r="C1097" s="639" t="s">
        <v>2126</v>
      </c>
      <c r="D1097" s="1831" t="s">
        <v>4478</v>
      </c>
      <c r="E1097" s="2264">
        <v>42710</v>
      </c>
      <c r="F1097" s="1731">
        <v>1310000000</v>
      </c>
      <c r="G1097" s="2228">
        <v>10400000</v>
      </c>
      <c r="H1097" s="2228">
        <v>33300000000</v>
      </c>
      <c r="I1097" s="1731">
        <v>6320000</v>
      </c>
      <c r="J1097" s="1407"/>
      <c r="K1097" s="1431"/>
      <c r="L1097" s="1407"/>
      <c r="M1097" s="1407"/>
      <c r="N1097" s="1407"/>
      <c r="O1097" s="1407"/>
      <c r="P1097" s="1407"/>
      <c r="Q1097" s="1407"/>
      <c r="R1097" s="1407"/>
      <c r="S1097" s="1407"/>
      <c r="T1097" s="1407"/>
      <c r="U1097" s="1407"/>
    </row>
    <row r="1098" spans="1:21" ht="12">
      <c r="A1098" s="639" t="s">
        <v>4473</v>
      </c>
      <c r="B1098" s="1483">
        <v>42711</v>
      </c>
      <c r="C1098" s="639" t="s">
        <v>2126</v>
      </c>
      <c r="D1098" s="1831" t="s">
        <v>4479</v>
      </c>
      <c r="E1098" s="2264">
        <v>42710</v>
      </c>
      <c r="F1098" s="1731">
        <v>147000000000</v>
      </c>
      <c r="G1098" s="2228">
        <v>10400000</v>
      </c>
      <c r="H1098" s="2228">
        <v>33300000000</v>
      </c>
      <c r="I1098" s="1731">
        <v>6320000</v>
      </c>
      <c r="J1098" s="1407"/>
      <c r="K1098" s="1431"/>
      <c r="L1098" s="1407"/>
      <c r="M1098" s="1407"/>
      <c r="N1098" s="1407"/>
      <c r="O1098" s="1407"/>
      <c r="P1098" s="1407"/>
      <c r="Q1098" s="1407"/>
      <c r="R1098" s="1407"/>
      <c r="S1098" s="1407"/>
      <c r="T1098" s="1407"/>
      <c r="U1098" s="1407"/>
    </row>
    <row r="1099" spans="1:21" ht="12">
      <c r="A1099" s="639" t="s">
        <v>4473</v>
      </c>
      <c r="B1099" s="1483">
        <v>42711</v>
      </c>
      <c r="C1099" s="639" t="s">
        <v>2126</v>
      </c>
      <c r="D1099" s="1831" t="s">
        <v>4482</v>
      </c>
      <c r="E1099" s="2264">
        <v>42710</v>
      </c>
      <c r="F1099" s="1731">
        <v>2300000000</v>
      </c>
      <c r="G1099" s="2228">
        <v>10400000</v>
      </c>
      <c r="H1099" s="2228">
        <v>33300000000</v>
      </c>
      <c r="I1099" s="1731">
        <v>6320000</v>
      </c>
      <c r="J1099" s="1407"/>
      <c r="K1099" s="1431"/>
      <c r="L1099" s="1407"/>
      <c r="M1099" s="1407"/>
      <c r="N1099" s="1407"/>
      <c r="O1099" s="1407"/>
      <c r="P1099" s="1407"/>
      <c r="Q1099" s="1407"/>
      <c r="R1099" s="1407"/>
      <c r="S1099" s="1407"/>
      <c r="T1099" s="1407"/>
      <c r="U1099" s="1407"/>
    </row>
    <row r="1100" spans="1:21" ht="12">
      <c r="A1100" s="639" t="s">
        <v>4473</v>
      </c>
      <c r="B1100" s="1483">
        <v>42711</v>
      </c>
      <c r="C1100" s="639" t="s">
        <v>2126</v>
      </c>
      <c r="D1100" s="1831" t="s">
        <v>4483</v>
      </c>
      <c r="E1100" s="2264">
        <v>42710</v>
      </c>
      <c r="F1100" s="1731">
        <v>3060000000</v>
      </c>
      <c r="G1100" s="2228">
        <v>10400000</v>
      </c>
      <c r="H1100" s="2228">
        <v>33300000000</v>
      </c>
      <c r="I1100" s="1731">
        <v>6320000</v>
      </c>
      <c r="J1100" s="1407"/>
      <c r="K1100" s="1431"/>
      <c r="L1100" s="1407"/>
      <c r="M1100" s="1407"/>
      <c r="N1100" s="1407"/>
      <c r="O1100" s="1407"/>
      <c r="P1100" s="1407"/>
      <c r="Q1100" s="1407"/>
      <c r="R1100" s="1407"/>
      <c r="S1100" s="1407"/>
      <c r="T1100" s="1407"/>
      <c r="U1100" s="1407"/>
    </row>
    <row r="1101" spans="1:21" ht="12">
      <c r="A1101" s="639" t="s">
        <v>4473</v>
      </c>
      <c r="B1101" s="1483">
        <v>42711</v>
      </c>
      <c r="C1101" s="639" t="s">
        <v>2126</v>
      </c>
      <c r="D1101" s="1831" t="s">
        <v>4484</v>
      </c>
      <c r="E1101" s="2264">
        <v>42710</v>
      </c>
      <c r="F1101" s="1731">
        <v>21700000</v>
      </c>
      <c r="G1101" s="2228">
        <v>10400000</v>
      </c>
      <c r="H1101" s="2228">
        <v>33300000000</v>
      </c>
      <c r="I1101" s="1731">
        <v>6320000</v>
      </c>
      <c r="J1101" s="1407"/>
      <c r="K1101" s="1431"/>
      <c r="L1101" s="1407"/>
      <c r="M1101" s="1407"/>
      <c r="N1101" s="1407"/>
      <c r="O1101" s="1407"/>
      <c r="P1101" s="1407"/>
      <c r="Q1101" s="1407"/>
      <c r="R1101" s="1407"/>
      <c r="S1101" s="1407"/>
      <c r="T1101" s="1407"/>
      <c r="U1101" s="1407"/>
    </row>
    <row r="1102" spans="1:21" ht="12">
      <c r="A1102" s="639" t="s">
        <v>4473</v>
      </c>
      <c r="B1102" s="1483">
        <v>42711</v>
      </c>
      <c r="C1102" s="639" t="s">
        <v>2126</v>
      </c>
      <c r="D1102" s="1831" t="s">
        <v>4485</v>
      </c>
      <c r="E1102" s="2264">
        <v>42710</v>
      </c>
      <c r="F1102" s="1731">
        <v>819000000000</v>
      </c>
      <c r="G1102" s="2228">
        <v>10400000</v>
      </c>
      <c r="H1102" s="2228">
        <v>33300000000</v>
      </c>
      <c r="I1102" s="1731">
        <v>6320000</v>
      </c>
      <c r="J1102" s="1407"/>
      <c r="K1102" s="1431"/>
      <c r="L1102" s="1407"/>
      <c r="M1102" s="1407"/>
      <c r="N1102" s="1407"/>
      <c r="O1102" s="1407"/>
      <c r="P1102" s="1407"/>
      <c r="Q1102" s="1407"/>
      <c r="R1102" s="1407"/>
      <c r="S1102" s="1407"/>
      <c r="T1102" s="1407"/>
      <c r="U1102" s="1407"/>
    </row>
    <row r="1103" spans="1:21" ht="12">
      <c r="A1103" s="639" t="s">
        <v>4473</v>
      </c>
      <c r="B1103" s="1483">
        <v>42711</v>
      </c>
      <c r="C1103" s="639" t="s">
        <v>2126</v>
      </c>
      <c r="D1103" s="1831" t="s">
        <v>4487</v>
      </c>
      <c r="E1103" s="2264">
        <v>42710</v>
      </c>
      <c r="F1103" s="1731">
        <v>3010000000</v>
      </c>
      <c r="G1103" s="2228">
        <v>10400000</v>
      </c>
      <c r="H1103" s="2228">
        <v>33300000000</v>
      </c>
      <c r="I1103" s="1731">
        <v>6320000</v>
      </c>
      <c r="J1103" s="1407"/>
      <c r="K1103" s="1431"/>
      <c r="L1103" s="1407"/>
      <c r="M1103" s="1407"/>
      <c r="N1103" s="1407"/>
      <c r="O1103" s="1407"/>
      <c r="P1103" s="1407"/>
      <c r="Q1103" s="1407"/>
      <c r="R1103" s="1407"/>
      <c r="S1103" s="1407"/>
      <c r="T1103" s="1407"/>
      <c r="U1103" s="1407"/>
    </row>
    <row r="1104" spans="1:21" ht="12">
      <c r="A1104" s="639" t="s">
        <v>4473</v>
      </c>
      <c r="B1104" s="1483">
        <v>42711</v>
      </c>
      <c r="C1104" s="639" t="s">
        <v>2126</v>
      </c>
      <c r="D1104" s="1831" t="s">
        <v>4488</v>
      </c>
      <c r="E1104" s="2264">
        <v>42710</v>
      </c>
      <c r="F1104" s="1731">
        <v>69900000000</v>
      </c>
      <c r="G1104" s="2228">
        <v>10400000</v>
      </c>
      <c r="H1104" s="2228">
        <v>33300000000</v>
      </c>
      <c r="I1104" s="1731">
        <v>6320000</v>
      </c>
      <c r="J1104" s="1407"/>
      <c r="K1104" s="1431"/>
      <c r="L1104" s="1407"/>
      <c r="M1104" s="1407"/>
      <c r="N1104" s="1407"/>
      <c r="O1104" s="1407"/>
      <c r="P1104" s="1407"/>
      <c r="Q1104" s="1407"/>
      <c r="R1104" s="1407"/>
      <c r="S1104" s="1407"/>
      <c r="T1104" s="1407"/>
      <c r="U1104" s="1407"/>
    </row>
    <row r="1105" spans="1:21" ht="12">
      <c r="A1105" s="639" t="s">
        <v>4473</v>
      </c>
      <c r="B1105" s="1483">
        <v>42711</v>
      </c>
      <c r="C1105" s="639" t="s">
        <v>2126</v>
      </c>
      <c r="D1105" s="1831" t="s">
        <v>4489</v>
      </c>
      <c r="E1105" s="2264">
        <v>42710</v>
      </c>
      <c r="F1105" s="1731">
        <v>55100000000</v>
      </c>
      <c r="G1105" s="2228">
        <v>10400000</v>
      </c>
      <c r="H1105" s="2228">
        <v>33300000000</v>
      </c>
      <c r="I1105" s="1731">
        <v>6320000</v>
      </c>
      <c r="J1105" s="1407"/>
      <c r="K1105" s="1431"/>
      <c r="L1105" s="1407"/>
      <c r="M1105" s="1407"/>
      <c r="N1105" s="1407"/>
      <c r="O1105" s="1407"/>
      <c r="P1105" s="1407"/>
      <c r="Q1105" s="1407"/>
      <c r="R1105" s="1407"/>
      <c r="S1105" s="1407"/>
      <c r="T1105" s="1407"/>
      <c r="U1105" s="1407"/>
    </row>
    <row r="1106" spans="1:21" ht="12">
      <c r="A1106" s="639" t="s">
        <v>4473</v>
      </c>
      <c r="B1106" s="1483">
        <v>42711</v>
      </c>
      <c r="C1106" s="639" t="s">
        <v>2126</v>
      </c>
      <c r="D1106" s="1831" t="s">
        <v>4490</v>
      </c>
      <c r="E1106" s="2264">
        <v>42710</v>
      </c>
      <c r="F1106" s="1731">
        <v>843000000000000</v>
      </c>
      <c r="G1106" s="2228">
        <v>10400000</v>
      </c>
      <c r="H1106" s="2228">
        <v>33300000000</v>
      </c>
      <c r="I1106" s="1731">
        <v>6320000</v>
      </c>
      <c r="J1106" s="1407"/>
      <c r="K1106" s="1431"/>
      <c r="L1106" s="1407"/>
      <c r="M1106" s="1407"/>
      <c r="N1106" s="1407"/>
      <c r="O1106" s="1407"/>
      <c r="P1106" s="1407"/>
      <c r="Q1106" s="1407"/>
      <c r="R1106" s="1407"/>
      <c r="S1106" s="1407"/>
      <c r="T1106" s="1407"/>
      <c r="U1106" s="1407"/>
    </row>
    <row r="1107" spans="1:21" ht="12">
      <c r="A1107" s="639" t="s">
        <v>4473</v>
      </c>
      <c r="B1107" s="1483">
        <v>42711</v>
      </c>
      <c r="C1107" s="639" t="s">
        <v>2126</v>
      </c>
      <c r="D1107" s="1831" t="s">
        <v>4491</v>
      </c>
      <c r="E1107" s="2264">
        <v>42710</v>
      </c>
      <c r="F1107" s="1731">
        <v>2070000000000</v>
      </c>
      <c r="G1107" s="2228">
        <v>10400000</v>
      </c>
      <c r="H1107" s="2228">
        <v>33300000000</v>
      </c>
      <c r="I1107" s="1731">
        <v>6320000</v>
      </c>
      <c r="J1107" s="1407"/>
      <c r="K1107" s="1431"/>
      <c r="L1107" s="1407"/>
      <c r="M1107" s="1407"/>
      <c r="N1107" s="1407"/>
      <c r="O1107" s="1407"/>
      <c r="P1107" s="1407"/>
      <c r="Q1107" s="1407"/>
      <c r="R1107" s="1407"/>
      <c r="S1107" s="1407"/>
      <c r="T1107" s="1407"/>
      <c r="U1107" s="1407"/>
    </row>
    <row r="1108" spans="1:21" ht="12">
      <c r="A1108" s="639"/>
      <c r="B1108" s="1483"/>
      <c r="C1108" s="639"/>
      <c r="D1108" s="1831"/>
      <c r="E1108" s="2264"/>
      <c r="F1108" s="1407"/>
      <c r="G1108" s="2262"/>
      <c r="H1108" s="2262"/>
      <c r="I1108" s="1428"/>
      <c r="J1108" s="1407"/>
      <c r="K1108" s="1431"/>
      <c r="L1108" s="1407"/>
      <c r="M1108" s="1407"/>
      <c r="N1108" s="1407"/>
      <c r="O1108" s="1407"/>
      <c r="P1108" s="1407"/>
      <c r="Q1108" s="1407"/>
      <c r="R1108" s="1407"/>
      <c r="S1108" s="1407"/>
      <c r="T1108" s="1407"/>
      <c r="U1108" s="1407"/>
    </row>
    <row r="1109" spans="1:21" ht="12">
      <c r="A1109" s="639" t="s">
        <v>4493</v>
      </c>
      <c r="B1109" s="1483">
        <v>42712</v>
      </c>
      <c r="C1109" s="639" t="s">
        <v>2126</v>
      </c>
      <c r="D1109" s="1831" t="s">
        <v>4474</v>
      </c>
      <c r="E1109" s="2264">
        <v>42710</v>
      </c>
      <c r="F1109" s="1731">
        <v>1770000000000</v>
      </c>
      <c r="G1109" s="2228">
        <v>5090000000</v>
      </c>
      <c r="H1109" s="2228">
        <v>1750000000000</v>
      </c>
      <c r="I1109" s="1731">
        <v>3860000000</v>
      </c>
      <c r="J1109" s="1407"/>
      <c r="K1109" s="1431">
        <f t="shared" ref="K1109:K1124" si="136">(32800000000/G1109)*F1109</f>
        <v>11405893909626.719</v>
      </c>
      <c r="L1109" s="1407"/>
      <c r="M1109" s="1407"/>
      <c r="N1109" s="1407"/>
      <c r="O1109" s="1407"/>
      <c r="P1109" s="1407"/>
      <c r="Q1109" s="1407"/>
      <c r="R1109" s="1407"/>
      <c r="S1109" s="1407"/>
      <c r="T1109" s="1407"/>
      <c r="U1109" s="1407"/>
    </row>
    <row r="1110" spans="1:21" ht="12">
      <c r="A1110" s="639" t="s">
        <v>4493</v>
      </c>
      <c r="B1110" s="1483">
        <v>42712</v>
      </c>
      <c r="C1110" s="639" t="s">
        <v>2126</v>
      </c>
      <c r="D1110" s="1831" t="s">
        <v>4475</v>
      </c>
      <c r="E1110" s="2264">
        <v>42710</v>
      </c>
      <c r="F1110" s="1731">
        <v>87900000000</v>
      </c>
      <c r="G1110" s="2228">
        <v>5090000000</v>
      </c>
      <c r="H1110" s="2228">
        <v>1750000000000</v>
      </c>
      <c r="I1110" s="1731">
        <v>3860000000</v>
      </c>
      <c r="J1110" s="1407"/>
      <c r="K1110" s="1431">
        <f t="shared" si="136"/>
        <v>566428290766.20825</v>
      </c>
      <c r="L1110" s="1407"/>
      <c r="M1110" s="1407"/>
      <c r="N1110" s="1407"/>
      <c r="O1110" s="1407"/>
      <c r="P1110" s="1407"/>
      <c r="Q1110" s="1407"/>
      <c r="R1110" s="1407"/>
      <c r="S1110" s="1407"/>
      <c r="T1110" s="1407"/>
      <c r="U1110" s="1407"/>
    </row>
    <row r="1111" spans="1:21" ht="12">
      <c r="A1111" s="639" t="s">
        <v>4493</v>
      </c>
      <c r="B1111" s="1483">
        <v>42712</v>
      </c>
      <c r="C1111" s="639" t="s">
        <v>2126</v>
      </c>
      <c r="D1111" s="1831" t="s">
        <v>4476</v>
      </c>
      <c r="E1111" s="2264">
        <v>42710</v>
      </c>
      <c r="F1111" s="1731">
        <v>764000000000</v>
      </c>
      <c r="G1111" s="2228">
        <v>5090000000</v>
      </c>
      <c r="H1111" s="2228">
        <v>1750000000000</v>
      </c>
      <c r="I1111" s="1731">
        <v>3860000000</v>
      </c>
      <c r="J1111" s="1407"/>
      <c r="K1111" s="1431">
        <f t="shared" si="136"/>
        <v>4923222003929.2734</v>
      </c>
      <c r="L1111" s="1407"/>
      <c r="M1111" s="1407"/>
      <c r="N1111" s="1407"/>
      <c r="O1111" s="1407"/>
      <c r="P1111" s="1407"/>
      <c r="Q1111" s="1407"/>
      <c r="R1111" s="1407"/>
      <c r="S1111" s="1407"/>
      <c r="T1111" s="1407"/>
      <c r="U1111" s="1407"/>
    </row>
    <row r="1112" spans="1:21" ht="12">
      <c r="A1112" s="639" t="s">
        <v>4493</v>
      </c>
      <c r="B1112" s="1483">
        <v>42712</v>
      </c>
      <c r="C1112" s="639" t="s">
        <v>2126</v>
      </c>
      <c r="D1112" s="1831" t="s">
        <v>4477</v>
      </c>
      <c r="E1112" s="2264">
        <v>42710</v>
      </c>
      <c r="F1112" s="2228">
        <v>1200000000000</v>
      </c>
      <c r="G1112" s="2228">
        <v>5090000000</v>
      </c>
      <c r="H1112" s="2228">
        <v>1750000000000</v>
      </c>
      <c r="I1112" s="1731">
        <v>3860000000</v>
      </c>
      <c r="J1112" s="1407"/>
      <c r="K1112" s="1431">
        <f t="shared" si="136"/>
        <v>7732809430255.4033</v>
      </c>
      <c r="L1112" s="1407"/>
      <c r="M1112" s="1407"/>
      <c r="N1112" s="1407"/>
      <c r="O1112" s="1407"/>
      <c r="P1112" s="1407"/>
      <c r="Q1112" s="1407"/>
      <c r="R1112" s="1407"/>
      <c r="S1112" s="1407"/>
      <c r="T1112" s="1407"/>
      <c r="U1112" s="1407"/>
    </row>
    <row r="1113" spans="1:21" ht="12">
      <c r="A1113" s="639" t="s">
        <v>4493</v>
      </c>
      <c r="B1113" s="1483">
        <v>42712</v>
      </c>
      <c r="C1113" s="639" t="s">
        <v>2126</v>
      </c>
      <c r="D1113" s="1831" t="s">
        <v>4478</v>
      </c>
      <c r="E1113" s="2264">
        <v>42710</v>
      </c>
      <c r="F1113" s="1731">
        <v>138000000000</v>
      </c>
      <c r="G1113" s="2228">
        <v>5090000000</v>
      </c>
      <c r="H1113" s="2228">
        <v>1750000000000</v>
      </c>
      <c r="I1113" s="1731">
        <v>3860000000</v>
      </c>
      <c r="J1113" s="1407"/>
      <c r="K1113" s="1431">
        <f t="shared" si="136"/>
        <v>889273084479.37134</v>
      </c>
      <c r="L1113" s="1407"/>
      <c r="M1113" s="1407"/>
      <c r="N1113" s="1407"/>
      <c r="O1113" s="1407"/>
      <c r="P1113" s="1407"/>
      <c r="Q1113" s="1407"/>
      <c r="R1113" s="1407"/>
      <c r="S1113" s="1407"/>
      <c r="T1113" s="1407"/>
      <c r="U1113" s="1407"/>
    </row>
    <row r="1114" spans="1:21" ht="12">
      <c r="A1114" s="639" t="s">
        <v>4493</v>
      </c>
      <c r="B1114" s="1483">
        <v>42712</v>
      </c>
      <c r="C1114" s="639" t="s">
        <v>2126</v>
      </c>
      <c r="D1114" s="1831" t="s">
        <v>4479</v>
      </c>
      <c r="E1114" s="2264">
        <v>42710</v>
      </c>
      <c r="F1114" s="2228">
        <v>1610000000000</v>
      </c>
      <c r="G1114" s="2228">
        <v>5090000000</v>
      </c>
      <c r="H1114" s="2228">
        <v>1750000000000</v>
      </c>
      <c r="I1114" s="1731">
        <v>3860000000</v>
      </c>
      <c r="J1114" s="1407"/>
      <c r="K1114" s="1431">
        <f t="shared" si="136"/>
        <v>10374852652259.332</v>
      </c>
      <c r="L1114" s="1407"/>
      <c r="M1114" s="1407"/>
      <c r="N1114" s="1407"/>
      <c r="O1114" s="1407"/>
      <c r="P1114" s="1407"/>
      <c r="Q1114" s="1407"/>
      <c r="R1114" s="1407"/>
      <c r="S1114" s="1407"/>
      <c r="T1114" s="1407"/>
      <c r="U1114" s="1407"/>
    </row>
    <row r="1115" spans="1:21" ht="12">
      <c r="A1115" s="639" t="s">
        <v>4493</v>
      </c>
      <c r="B1115" s="1483">
        <v>42712</v>
      </c>
      <c r="C1115" s="639" t="s">
        <v>2126</v>
      </c>
      <c r="D1115" s="1831" t="s">
        <v>4482</v>
      </c>
      <c r="E1115" s="2264">
        <v>42710</v>
      </c>
      <c r="F1115" s="2228">
        <v>282000000000</v>
      </c>
      <c r="G1115" s="2228">
        <v>5090000000</v>
      </c>
      <c r="H1115" s="2228">
        <v>1750000000000</v>
      </c>
      <c r="I1115" s="1731">
        <v>3860000000</v>
      </c>
      <c r="J1115" s="1407"/>
      <c r="K1115" s="1431">
        <f t="shared" si="136"/>
        <v>1817210216110.0198</v>
      </c>
      <c r="L1115" s="1407"/>
      <c r="M1115" s="1407"/>
      <c r="N1115" s="1407"/>
      <c r="O1115" s="1407"/>
      <c r="P1115" s="1407"/>
      <c r="Q1115" s="1407"/>
      <c r="R1115" s="1407"/>
      <c r="S1115" s="1407"/>
      <c r="T1115" s="1407"/>
      <c r="U1115" s="1407"/>
    </row>
    <row r="1116" spans="1:21" ht="12">
      <c r="A1116" s="639" t="s">
        <v>4493</v>
      </c>
      <c r="B1116" s="1483">
        <v>42712</v>
      </c>
      <c r="C1116" s="639" t="s">
        <v>2126</v>
      </c>
      <c r="D1116" s="1831" t="s">
        <v>4483</v>
      </c>
      <c r="E1116" s="2264">
        <v>42710</v>
      </c>
      <c r="F1116" s="2228">
        <v>279000000000</v>
      </c>
      <c r="G1116" s="2228">
        <v>5090000000</v>
      </c>
      <c r="H1116" s="2228">
        <v>1750000000000</v>
      </c>
      <c r="I1116" s="1731">
        <v>3860000000</v>
      </c>
      <c r="J1116" s="1407"/>
      <c r="K1116" s="1431">
        <f t="shared" si="136"/>
        <v>1797878192534.3813</v>
      </c>
      <c r="L1116" s="1407"/>
      <c r="M1116" s="1407"/>
      <c r="N1116" s="1407"/>
      <c r="O1116" s="1407"/>
      <c r="P1116" s="1407"/>
      <c r="Q1116" s="1407"/>
      <c r="R1116" s="1407"/>
      <c r="S1116" s="1407"/>
      <c r="T1116" s="1407"/>
      <c r="U1116" s="1407"/>
    </row>
    <row r="1117" spans="1:21" ht="12">
      <c r="A1117" s="639" t="s">
        <v>4493</v>
      </c>
      <c r="B1117" s="1483">
        <v>42712</v>
      </c>
      <c r="C1117" s="639" t="s">
        <v>2126</v>
      </c>
      <c r="D1117" s="2281" t="s">
        <v>4484</v>
      </c>
      <c r="E1117" s="2264">
        <v>42710</v>
      </c>
      <c r="F1117" s="2228">
        <v>13800000000</v>
      </c>
      <c r="G1117" s="2228">
        <v>5090000000</v>
      </c>
      <c r="H1117" s="2228">
        <v>1750000000000</v>
      </c>
      <c r="I1117" s="1731">
        <v>3860000000</v>
      </c>
      <c r="J1117" s="1407"/>
      <c r="K1117" s="2287">
        <f t="shared" si="136"/>
        <v>88927308447.937134</v>
      </c>
      <c r="L1117" s="1407"/>
      <c r="M1117" s="1407"/>
      <c r="N1117" s="1407"/>
      <c r="O1117" s="1407"/>
      <c r="P1117" s="1407"/>
      <c r="Q1117" s="1407"/>
      <c r="R1117" s="1407"/>
      <c r="S1117" s="1407"/>
      <c r="T1117" s="1407"/>
      <c r="U1117" s="1407"/>
    </row>
    <row r="1118" spans="1:21" ht="12">
      <c r="A1118" s="639" t="s">
        <v>4493</v>
      </c>
      <c r="B1118" s="1483">
        <v>42712</v>
      </c>
      <c r="C1118" s="639" t="s">
        <v>2126</v>
      </c>
      <c r="D1118" s="2281" t="s">
        <v>4485</v>
      </c>
      <c r="E1118" s="2264">
        <v>42710</v>
      </c>
      <c r="F1118" s="2228">
        <v>6130000000000</v>
      </c>
      <c r="G1118" s="2228">
        <v>5090000000</v>
      </c>
      <c r="H1118" s="2228">
        <v>1750000000000</v>
      </c>
      <c r="I1118" s="1731">
        <v>3860000000</v>
      </c>
      <c r="J1118" s="1407"/>
      <c r="K1118" s="2287">
        <f t="shared" si="136"/>
        <v>39501768172888.016</v>
      </c>
      <c r="L1118" s="1407"/>
      <c r="M1118" s="1407"/>
      <c r="N1118" s="1407"/>
      <c r="O1118" s="1407"/>
      <c r="P1118" s="1407"/>
      <c r="Q1118" s="1407"/>
      <c r="R1118" s="1407"/>
      <c r="S1118" s="1407"/>
      <c r="T1118" s="1407"/>
      <c r="U1118" s="1407"/>
    </row>
    <row r="1119" spans="1:21" ht="12">
      <c r="A1119" s="639" t="s">
        <v>4493</v>
      </c>
      <c r="B1119" s="1483">
        <v>42712</v>
      </c>
      <c r="C1119" s="639" t="s">
        <v>2126</v>
      </c>
      <c r="D1119" s="2281" t="s">
        <v>4487</v>
      </c>
      <c r="E1119" s="2264">
        <v>42710</v>
      </c>
      <c r="F1119" s="2228">
        <v>479000000000</v>
      </c>
      <c r="G1119" s="2228">
        <v>5090000000</v>
      </c>
      <c r="H1119" s="2228">
        <v>1750000000000</v>
      </c>
      <c r="I1119" s="1731">
        <v>3860000000</v>
      </c>
      <c r="J1119" s="1407"/>
      <c r="K1119" s="2287">
        <f t="shared" si="136"/>
        <v>3086679764243.6152</v>
      </c>
      <c r="L1119" s="1407"/>
      <c r="M1119" s="1407"/>
      <c r="N1119" s="1407"/>
      <c r="O1119" s="1407"/>
      <c r="P1119" s="1407"/>
      <c r="Q1119" s="1407"/>
      <c r="R1119" s="1407"/>
      <c r="S1119" s="1407"/>
      <c r="T1119" s="1407"/>
      <c r="U1119" s="1407"/>
    </row>
    <row r="1120" spans="1:21" ht="12">
      <c r="A1120" s="639" t="s">
        <v>4493</v>
      </c>
      <c r="B1120" s="1483">
        <v>42712</v>
      </c>
      <c r="C1120" s="639" t="s">
        <v>2126</v>
      </c>
      <c r="D1120" s="2281" t="s">
        <v>4488</v>
      </c>
      <c r="E1120" s="2264">
        <v>42710</v>
      </c>
      <c r="F1120" s="2228">
        <v>1700000000000</v>
      </c>
      <c r="G1120" s="2228">
        <v>5090000000</v>
      </c>
      <c r="H1120" s="2228">
        <v>1750000000000</v>
      </c>
      <c r="I1120" s="1731">
        <v>3860000000</v>
      </c>
      <c r="J1120" s="1407"/>
      <c r="K1120" s="2287">
        <f t="shared" si="136"/>
        <v>10954813359528.488</v>
      </c>
      <c r="L1120" s="1407"/>
      <c r="M1120" s="1407"/>
      <c r="N1120" s="1407"/>
      <c r="O1120" s="1407"/>
      <c r="P1120" s="1407"/>
      <c r="Q1120" s="1407"/>
      <c r="R1120" s="1407"/>
      <c r="S1120" s="1407"/>
      <c r="T1120" s="1407"/>
      <c r="U1120" s="1407"/>
    </row>
    <row r="1121" spans="1:21" ht="12">
      <c r="A1121" s="639" t="s">
        <v>4493</v>
      </c>
      <c r="B1121" s="1483">
        <v>42712</v>
      </c>
      <c r="C1121" s="639" t="s">
        <v>2126</v>
      </c>
      <c r="D1121" s="2281" t="s">
        <v>4489</v>
      </c>
      <c r="E1121" s="2264">
        <v>42710</v>
      </c>
      <c r="F1121" s="2228">
        <v>14300000</v>
      </c>
      <c r="G1121" s="2228">
        <v>5090000000</v>
      </c>
      <c r="H1121" s="2228">
        <v>1750000000000</v>
      </c>
      <c r="I1121" s="1731">
        <v>3860000000</v>
      </c>
      <c r="J1121" s="1407"/>
      <c r="K1121" s="2287">
        <f t="shared" si="136"/>
        <v>92149312.377210215</v>
      </c>
      <c r="L1121" s="1407"/>
      <c r="M1121" s="1407"/>
      <c r="N1121" s="1407"/>
      <c r="O1121" s="1407"/>
      <c r="P1121" s="1407"/>
      <c r="Q1121" s="1407"/>
      <c r="R1121" s="1407"/>
      <c r="S1121" s="1407"/>
      <c r="T1121" s="1407"/>
      <c r="U1121" s="1407"/>
    </row>
    <row r="1122" spans="1:21" ht="12">
      <c r="A1122" s="639" t="s">
        <v>4493</v>
      </c>
      <c r="B1122" s="1483">
        <v>42712</v>
      </c>
      <c r="C1122" s="639" t="s">
        <v>2126</v>
      </c>
      <c r="D1122" s="2281" t="s">
        <v>4490</v>
      </c>
      <c r="E1122" s="2264">
        <v>42710</v>
      </c>
      <c r="F1122" s="2228">
        <v>2100000000</v>
      </c>
      <c r="G1122" s="2228">
        <v>5090000000</v>
      </c>
      <c r="H1122" s="2228">
        <v>1750000000000</v>
      </c>
      <c r="I1122" s="1731">
        <v>3860000000</v>
      </c>
      <c r="J1122" s="1407"/>
      <c r="K1122" s="2287">
        <f t="shared" si="136"/>
        <v>13532416502.946955</v>
      </c>
      <c r="L1122" s="1407"/>
      <c r="M1122" s="1407"/>
      <c r="N1122" s="1407"/>
      <c r="O1122" s="1407"/>
      <c r="P1122" s="1407"/>
      <c r="Q1122" s="1407"/>
      <c r="R1122" s="1407"/>
      <c r="S1122" s="1407"/>
      <c r="T1122" s="1407"/>
      <c r="U1122" s="1407"/>
    </row>
    <row r="1123" spans="1:21" ht="12">
      <c r="A1123" s="639" t="s">
        <v>4493</v>
      </c>
      <c r="B1123" s="1483">
        <v>42712</v>
      </c>
      <c r="C1123" s="639" t="s">
        <v>2126</v>
      </c>
      <c r="D1123" s="2281" t="s">
        <v>4491</v>
      </c>
      <c r="E1123" s="2264">
        <v>42710</v>
      </c>
      <c r="F1123" s="2228">
        <v>8270000000000</v>
      </c>
      <c r="G1123" s="2228">
        <v>5090000000</v>
      </c>
      <c r="H1123" s="2228">
        <v>1750000000000</v>
      </c>
      <c r="I1123" s="1731">
        <v>3860000000</v>
      </c>
      <c r="J1123" s="1407"/>
      <c r="K1123" s="2287">
        <f t="shared" si="136"/>
        <v>53291944990176.82</v>
      </c>
      <c r="L1123" s="1407"/>
      <c r="M1123" s="1407"/>
      <c r="N1123" s="1407"/>
      <c r="O1123" s="1407"/>
      <c r="P1123" s="1407"/>
      <c r="Q1123" s="1407"/>
      <c r="R1123" s="1407"/>
      <c r="S1123" s="1407"/>
      <c r="T1123" s="1407"/>
      <c r="U1123" s="1407"/>
    </row>
    <row r="1124" spans="1:21" ht="12">
      <c r="A1124" s="639" t="s">
        <v>4493</v>
      </c>
      <c r="B1124" s="1483">
        <v>42712</v>
      </c>
      <c r="C1124" s="639" t="s">
        <v>2126</v>
      </c>
      <c r="D1124" s="2281" t="s">
        <v>4499</v>
      </c>
      <c r="E1124" s="2264">
        <v>42710</v>
      </c>
      <c r="F1124" s="2228">
        <v>38400000000000</v>
      </c>
      <c r="G1124" s="2228">
        <v>5090000000</v>
      </c>
      <c r="H1124" s="2228">
        <v>1750000000000</v>
      </c>
      <c r="I1124" s="1731">
        <v>3860000000</v>
      </c>
      <c r="J1124" s="1407"/>
      <c r="K1124" s="2287">
        <f t="shared" si="136"/>
        <v>247449901768172.91</v>
      </c>
      <c r="L1124" s="1407"/>
      <c r="M1124" s="1407"/>
      <c r="N1124" s="1407"/>
      <c r="O1124" s="1407"/>
      <c r="P1124" s="1407"/>
      <c r="Q1124" s="1407"/>
      <c r="R1124" s="1407"/>
      <c r="S1124" s="1407"/>
      <c r="T1124" s="1407"/>
      <c r="U1124" s="1407"/>
    </row>
    <row r="1125" spans="1:21" ht="12">
      <c r="A1125" s="639"/>
      <c r="B1125" s="1483"/>
      <c r="C1125" s="639"/>
      <c r="D1125" s="1831"/>
      <c r="E1125" s="2264"/>
      <c r="F1125" s="2262"/>
      <c r="G1125" s="2262"/>
      <c r="H1125" s="2262"/>
      <c r="I1125" s="1428"/>
      <c r="J1125" s="1407"/>
      <c r="K1125" s="1431"/>
      <c r="L1125" s="1407"/>
      <c r="M1125" s="1407"/>
      <c r="N1125" s="1407"/>
      <c r="O1125" s="1407"/>
      <c r="P1125" s="1407"/>
      <c r="Q1125" s="1407"/>
      <c r="R1125" s="1407"/>
      <c r="S1125" s="1407"/>
      <c r="T1125" s="1407"/>
      <c r="U1125" s="1407"/>
    </row>
    <row r="1126" spans="1:21" ht="12">
      <c r="A1126" s="639" t="s">
        <v>4500</v>
      </c>
      <c r="B1126" s="1483">
        <v>42712</v>
      </c>
      <c r="C1126" s="639" t="s">
        <v>2126</v>
      </c>
      <c r="D1126" s="1831" t="s">
        <v>4501</v>
      </c>
      <c r="E1126" s="2264">
        <v>42710</v>
      </c>
      <c r="F1126" s="2228">
        <v>14600000000000</v>
      </c>
      <c r="G1126" s="2228">
        <v>47000000000</v>
      </c>
      <c r="H1126" s="2228">
        <v>11100000000000</v>
      </c>
      <c r="I1126" s="1731">
        <v>12500000000</v>
      </c>
      <c r="J1126" s="1407"/>
      <c r="K1126" s="1431">
        <f t="shared" ref="K1126:K1130" si="137">(32800000000/G1126)*F1126</f>
        <v>10188936170212.766</v>
      </c>
      <c r="L1126" s="1407"/>
      <c r="M1126" s="2228"/>
      <c r="N1126" s="1407"/>
      <c r="O1126" s="1407"/>
      <c r="P1126" s="1407"/>
      <c r="Q1126" s="1407"/>
      <c r="R1126" s="1407"/>
      <c r="S1126" s="1407"/>
      <c r="T1126" s="1407"/>
      <c r="U1126" s="1407"/>
    </row>
    <row r="1127" spans="1:21" ht="12">
      <c r="A1127" s="639" t="s">
        <v>4500</v>
      </c>
      <c r="B1127" s="1483">
        <v>42712</v>
      </c>
      <c r="C1127" s="639" t="s">
        <v>2126</v>
      </c>
      <c r="D1127" s="641">
        <v>824</v>
      </c>
      <c r="E1127" s="2264">
        <v>42710</v>
      </c>
      <c r="F1127" s="2228">
        <v>8040000000000</v>
      </c>
      <c r="G1127" s="2228">
        <v>47000000000</v>
      </c>
      <c r="H1127" s="2228">
        <v>11100000000000</v>
      </c>
      <c r="I1127" s="1731">
        <v>12500000000</v>
      </c>
      <c r="J1127" s="1407"/>
      <c r="K1127" s="1431">
        <f t="shared" si="137"/>
        <v>5610893617021.2764</v>
      </c>
      <c r="L1127" s="1407"/>
      <c r="M1127" s="2228"/>
      <c r="N1127" s="1407"/>
      <c r="O1127" s="1407"/>
      <c r="P1127" s="1407"/>
      <c r="Q1127" s="1407"/>
      <c r="R1127" s="1407"/>
      <c r="S1127" s="1407"/>
      <c r="T1127" s="1407"/>
      <c r="U1127" s="1407"/>
    </row>
    <row r="1128" spans="1:21" ht="12">
      <c r="A1128" s="639" t="s">
        <v>4500</v>
      </c>
      <c r="B1128" s="1483">
        <v>42712</v>
      </c>
      <c r="C1128" s="639" t="s">
        <v>2126</v>
      </c>
      <c r="D1128" s="641">
        <v>825</v>
      </c>
      <c r="E1128" s="2264">
        <v>42710</v>
      </c>
      <c r="F1128" s="2228">
        <v>614000000000</v>
      </c>
      <c r="G1128" s="2228">
        <v>47000000000</v>
      </c>
      <c r="H1128" s="2228">
        <v>11100000000000</v>
      </c>
      <c r="I1128" s="1731">
        <v>12500000000</v>
      </c>
      <c r="J1128" s="1407"/>
      <c r="K1128" s="1431">
        <f t="shared" si="137"/>
        <v>428493617021.27661</v>
      </c>
      <c r="L1128" s="1407"/>
      <c r="M1128" s="2228"/>
      <c r="N1128" s="1407"/>
      <c r="O1128" s="1407"/>
      <c r="P1128" s="1407"/>
      <c r="Q1128" s="1407"/>
      <c r="R1128" s="1407"/>
      <c r="S1128" s="1407"/>
      <c r="T1128" s="1407"/>
      <c r="U1128" s="1407"/>
    </row>
    <row r="1129" spans="1:21" ht="12">
      <c r="A1129" s="639" t="s">
        <v>4500</v>
      </c>
      <c r="B1129" s="1483">
        <v>42712</v>
      </c>
      <c r="C1129" s="639" t="s">
        <v>2126</v>
      </c>
      <c r="D1129" s="641">
        <v>828</v>
      </c>
      <c r="E1129" s="2264">
        <v>42710</v>
      </c>
      <c r="F1129" s="2228">
        <v>4060000000000</v>
      </c>
      <c r="G1129" s="2228">
        <v>47000000000</v>
      </c>
      <c r="H1129" s="2228">
        <v>11100000000000</v>
      </c>
      <c r="I1129" s="1731">
        <v>12500000000</v>
      </c>
      <c r="J1129" s="1407"/>
      <c r="K1129" s="1431">
        <f t="shared" si="137"/>
        <v>2833361702127.6597</v>
      </c>
      <c r="L1129" s="1407"/>
      <c r="M1129" s="2228"/>
      <c r="N1129" s="1407"/>
      <c r="O1129" s="1407"/>
      <c r="P1129" s="1407"/>
      <c r="Q1129" s="1407"/>
      <c r="R1129" s="1407"/>
      <c r="S1129" s="1407"/>
      <c r="T1129" s="1407"/>
      <c r="U1129" s="1407"/>
    </row>
    <row r="1130" spans="1:21" ht="12">
      <c r="A1130" s="639" t="s">
        <v>4500</v>
      </c>
      <c r="B1130" s="1483">
        <v>42712</v>
      </c>
      <c r="C1130" s="639" t="s">
        <v>2126</v>
      </c>
      <c r="D1130" s="641">
        <v>830</v>
      </c>
      <c r="E1130" s="2264">
        <v>42710</v>
      </c>
      <c r="F1130" s="2228">
        <v>4760000000000</v>
      </c>
      <c r="G1130" s="2228">
        <v>47000000000</v>
      </c>
      <c r="H1130" s="2228">
        <v>11100000000000</v>
      </c>
      <c r="I1130" s="1731">
        <v>12500000000</v>
      </c>
      <c r="J1130" s="1407"/>
      <c r="K1130" s="1431">
        <f t="shared" si="137"/>
        <v>3321872340425.5317</v>
      </c>
      <c r="L1130" s="1407"/>
      <c r="M1130" s="2228"/>
      <c r="N1130" s="1407"/>
      <c r="O1130" s="1407"/>
      <c r="P1130" s="1407"/>
      <c r="Q1130" s="1407"/>
      <c r="R1130" s="1407"/>
      <c r="S1130" s="1407"/>
      <c r="T1130" s="1407"/>
      <c r="U1130" s="1407"/>
    </row>
    <row r="1131" spans="1:21" ht="12">
      <c r="A1131" s="639"/>
      <c r="B1131" s="1483"/>
      <c r="C1131" s="639"/>
      <c r="D1131" s="1831"/>
      <c r="E1131" s="2264"/>
      <c r="F1131" s="2262"/>
      <c r="G1131" s="2262"/>
      <c r="H1131" s="2262"/>
      <c r="I1131" s="1428"/>
      <c r="J1131" s="1407"/>
      <c r="K1131" s="1431"/>
      <c r="L1131" s="1407"/>
      <c r="M1131" s="2228"/>
      <c r="N1131" s="1407"/>
      <c r="O1131" s="1407"/>
      <c r="P1131" s="1407"/>
      <c r="Q1131" s="1407"/>
      <c r="R1131" s="1407"/>
      <c r="S1131" s="1407"/>
      <c r="T1131" s="1407"/>
      <c r="U1131" s="1407"/>
    </row>
    <row r="1132" spans="1:21" ht="13">
      <c r="A1132" s="5326" t="s">
        <v>4502</v>
      </c>
      <c r="B1132" s="5320"/>
      <c r="C1132" s="5320"/>
      <c r="D1132" s="5320"/>
      <c r="E1132" s="5320"/>
      <c r="F1132" s="2373"/>
      <c r="G1132" s="2373"/>
      <c r="H1132" s="2373"/>
      <c r="I1132" s="2375"/>
      <c r="J1132" s="1964"/>
      <c r="K1132" s="1966"/>
      <c r="L1132" s="1964"/>
      <c r="M1132" s="2377"/>
      <c r="N1132" s="1964"/>
      <c r="O1132" s="1964"/>
      <c r="P1132" s="1964"/>
      <c r="Q1132" s="1964"/>
      <c r="R1132" s="1964"/>
      <c r="S1132" s="1964"/>
      <c r="T1132" s="1964"/>
      <c r="U1132" s="1964"/>
    </row>
    <row r="1133" spans="1:21" ht="12">
      <c r="A1133" s="639"/>
      <c r="B1133" s="1483"/>
      <c r="C1133" s="639"/>
      <c r="D1133" s="1831"/>
      <c r="E1133" s="2264"/>
      <c r="F1133" s="2262"/>
      <c r="G1133" s="2262"/>
      <c r="H1133" s="2262"/>
      <c r="I1133" s="1428"/>
      <c r="J1133" s="1407"/>
      <c r="K1133" s="1431"/>
      <c r="L1133" s="1407"/>
      <c r="M1133" s="2228"/>
      <c r="N1133" s="1407"/>
      <c r="O1133" s="1407"/>
      <c r="P1133" s="1407"/>
      <c r="Q1133" s="1407"/>
      <c r="R1133" s="1407"/>
      <c r="S1133" s="1407"/>
      <c r="T1133" s="1407"/>
      <c r="U1133" s="1407"/>
    </row>
    <row r="1134" spans="1:21" ht="12">
      <c r="A1134" s="639" t="s">
        <v>4503</v>
      </c>
      <c r="B1134" s="2264">
        <v>42718</v>
      </c>
      <c r="C1134" s="639" t="s">
        <v>3212</v>
      </c>
      <c r="D1134" s="2281" t="s">
        <v>4484</v>
      </c>
      <c r="E1134" s="2264">
        <v>42710</v>
      </c>
      <c r="F1134" s="2228">
        <v>27800000000</v>
      </c>
      <c r="G1134" s="2228">
        <v>112000000000</v>
      </c>
      <c r="H1134" s="2228">
        <v>1140000000000</v>
      </c>
      <c r="I1134" s="2228">
        <v>12100000000</v>
      </c>
      <c r="J1134" s="1407"/>
      <c r="K1134" s="2287">
        <f t="shared" ref="K1134:K1145" si="138">(32800000000/G1134)*F1134</f>
        <v>8141428571.4285717</v>
      </c>
      <c r="L1134" s="2381">
        <v>42718</v>
      </c>
      <c r="M1134" s="2228"/>
      <c r="N1134" s="2228"/>
      <c r="O1134" s="2228"/>
      <c r="P1134" s="1431"/>
      <c r="Q1134" s="1407"/>
      <c r="R1134" s="1407"/>
      <c r="S1134" s="1407"/>
      <c r="T1134" s="1407"/>
      <c r="U1134" s="1407"/>
    </row>
    <row r="1135" spans="1:21" ht="12">
      <c r="A1135" s="639" t="s">
        <v>4503</v>
      </c>
      <c r="B1135" s="2264">
        <v>42718</v>
      </c>
      <c r="C1135" s="639" t="s">
        <v>3212</v>
      </c>
      <c r="D1135" s="2281" t="s">
        <v>4485</v>
      </c>
      <c r="E1135" s="2264">
        <v>42710</v>
      </c>
      <c r="F1135" s="2228">
        <v>13400000000000</v>
      </c>
      <c r="G1135" s="2228">
        <v>112000000000</v>
      </c>
      <c r="H1135" s="2228">
        <v>1140000000000</v>
      </c>
      <c r="I1135" s="2228">
        <v>12100000000</v>
      </c>
      <c r="J1135" s="1407"/>
      <c r="K1135" s="2287">
        <f t="shared" si="138"/>
        <v>3924285714285.7144</v>
      </c>
      <c r="L1135" s="2381">
        <v>42718</v>
      </c>
      <c r="M1135" s="2228"/>
      <c r="N1135" s="2228"/>
      <c r="O1135" s="2228"/>
      <c r="P1135" s="1431"/>
      <c r="Q1135" s="1407"/>
      <c r="R1135" s="1407"/>
      <c r="S1135" s="1407"/>
      <c r="T1135" s="1407"/>
      <c r="U1135" s="1407"/>
    </row>
    <row r="1136" spans="1:21" ht="12">
      <c r="A1136" s="639" t="s">
        <v>4503</v>
      </c>
      <c r="B1136" s="2264">
        <v>42718</v>
      </c>
      <c r="C1136" s="639" t="s">
        <v>3212</v>
      </c>
      <c r="D1136" s="2281" t="s">
        <v>4487</v>
      </c>
      <c r="E1136" s="2264">
        <v>42710</v>
      </c>
      <c r="F1136" s="2228">
        <v>681000000000</v>
      </c>
      <c r="G1136" s="2228">
        <v>112000000000</v>
      </c>
      <c r="H1136" s="2228">
        <v>1140000000000</v>
      </c>
      <c r="I1136" s="2228">
        <v>12100000000</v>
      </c>
      <c r="J1136" s="1407"/>
      <c r="K1136" s="2287">
        <f t="shared" si="138"/>
        <v>199435714285.71429</v>
      </c>
      <c r="L1136" s="2381">
        <v>42718</v>
      </c>
      <c r="M1136" s="2228"/>
      <c r="N1136" s="2228"/>
      <c r="O1136" s="2228"/>
      <c r="P1136" s="1431"/>
      <c r="Q1136" s="1407"/>
      <c r="R1136" s="1407"/>
      <c r="S1136" s="1407"/>
      <c r="T1136" s="1407"/>
      <c r="U1136" s="1407"/>
    </row>
    <row r="1137" spans="1:21" ht="12">
      <c r="A1137" s="639" t="s">
        <v>4503</v>
      </c>
      <c r="B1137" s="2264">
        <v>42718</v>
      </c>
      <c r="C1137" s="639" t="s">
        <v>3212</v>
      </c>
      <c r="D1137" s="2281" t="s">
        <v>4488</v>
      </c>
      <c r="E1137" s="2264">
        <v>42710</v>
      </c>
      <c r="F1137" s="2228">
        <v>2060000000000</v>
      </c>
      <c r="G1137" s="2228">
        <v>112000000000</v>
      </c>
      <c r="H1137" s="2228">
        <v>1140000000000</v>
      </c>
      <c r="I1137" s="2228">
        <v>12100000000</v>
      </c>
      <c r="J1137" s="1407"/>
      <c r="K1137" s="2287">
        <f t="shared" si="138"/>
        <v>603285714285.71436</v>
      </c>
      <c r="L1137" s="2381">
        <v>42718</v>
      </c>
      <c r="M1137" s="2228"/>
      <c r="N1137" s="2228"/>
      <c r="O1137" s="2228"/>
      <c r="P1137" s="1431"/>
      <c r="Q1137" s="1407"/>
      <c r="R1137" s="1407"/>
      <c r="S1137" s="1407"/>
      <c r="T1137" s="1407"/>
      <c r="U1137" s="1407"/>
    </row>
    <row r="1138" spans="1:21" ht="12">
      <c r="A1138" s="639" t="s">
        <v>4503</v>
      </c>
      <c r="B1138" s="2264">
        <v>42718</v>
      </c>
      <c r="C1138" s="639" t="s">
        <v>3212</v>
      </c>
      <c r="D1138" s="2281" t="s">
        <v>4489</v>
      </c>
      <c r="E1138" s="2264">
        <v>42710</v>
      </c>
      <c r="F1138" s="2228">
        <v>2380000000000</v>
      </c>
      <c r="G1138" s="2228">
        <v>112000000000</v>
      </c>
      <c r="H1138" s="2228">
        <v>1140000000000</v>
      </c>
      <c r="I1138" s="2228">
        <v>12100000000</v>
      </c>
      <c r="J1138" s="1407"/>
      <c r="K1138" s="2287">
        <f t="shared" si="138"/>
        <v>697000000000</v>
      </c>
      <c r="L1138" s="2381">
        <v>42718</v>
      </c>
      <c r="M1138" s="2228"/>
      <c r="N1138" s="2228"/>
      <c r="O1138" s="2228"/>
      <c r="P1138" s="1431"/>
      <c r="Q1138" s="1407"/>
      <c r="R1138" s="1407"/>
      <c r="S1138" s="1407"/>
      <c r="T1138" s="1407"/>
      <c r="U1138" s="1407"/>
    </row>
    <row r="1139" spans="1:21" ht="12">
      <c r="A1139" s="639" t="s">
        <v>4503</v>
      </c>
      <c r="B1139" s="2264">
        <v>42718</v>
      </c>
      <c r="C1139" s="639" t="s">
        <v>3212</v>
      </c>
      <c r="D1139" s="2281" t="s">
        <v>4490</v>
      </c>
      <c r="E1139" s="2264">
        <v>42710</v>
      </c>
      <c r="F1139" s="2228">
        <v>271000000000000</v>
      </c>
      <c r="G1139" s="2228">
        <v>112000000000</v>
      </c>
      <c r="H1139" s="2228">
        <v>1140000000000</v>
      </c>
      <c r="I1139" s="2228">
        <v>12100000000</v>
      </c>
      <c r="J1139" s="1407"/>
      <c r="K1139" s="2287">
        <f t="shared" si="138"/>
        <v>79364285714285.719</v>
      </c>
      <c r="L1139" s="2381">
        <v>42718</v>
      </c>
      <c r="M1139" s="2228"/>
      <c r="N1139" s="2228"/>
      <c r="O1139" s="2228"/>
      <c r="P1139" s="1431"/>
      <c r="Q1139" s="1407"/>
      <c r="R1139" s="1407"/>
      <c r="S1139" s="1407"/>
      <c r="T1139" s="1407"/>
      <c r="U1139" s="1407"/>
    </row>
    <row r="1140" spans="1:21" ht="12">
      <c r="A1140" s="639" t="s">
        <v>4503</v>
      </c>
      <c r="B1140" s="2264">
        <v>42718</v>
      </c>
      <c r="C1140" s="639" t="s">
        <v>3212</v>
      </c>
      <c r="D1140" s="2281" t="s">
        <v>4491</v>
      </c>
      <c r="E1140" s="2264">
        <v>42710</v>
      </c>
      <c r="F1140" s="2228">
        <v>29000000000000</v>
      </c>
      <c r="G1140" s="2228">
        <v>112000000000</v>
      </c>
      <c r="H1140" s="2228">
        <v>1140000000000</v>
      </c>
      <c r="I1140" s="2228">
        <v>12100000000</v>
      </c>
      <c r="J1140" s="1407"/>
      <c r="K1140" s="2287">
        <f t="shared" si="138"/>
        <v>8492857142857.1436</v>
      </c>
      <c r="L1140" s="2381">
        <v>42718</v>
      </c>
      <c r="M1140" s="2228"/>
      <c r="N1140" s="2228"/>
      <c r="O1140" s="2228"/>
      <c r="P1140" s="1431"/>
      <c r="Q1140" s="1407"/>
      <c r="R1140" s="1407"/>
      <c r="S1140" s="1407"/>
      <c r="T1140" s="1407"/>
      <c r="U1140" s="1407"/>
    </row>
    <row r="1141" spans="1:21" ht="12">
      <c r="A1141" s="639" t="s">
        <v>4503</v>
      </c>
      <c r="B1141" s="2264">
        <v>42718</v>
      </c>
      <c r="C1141" s="639" t="s">
        <v>3212</v>
      </c>
      <c r="D1141" s="2281" t="s">
        <v>4499</v>
      </c>
      <c r="E1141" s="2264">
        <v>42710</v>
      </c>
      <c r="F1141" s="2228">
        <v>56600000000000</v>
      </c>
      <c r="G1141" s="2228">
        <v>112000000000</v>
      </c>
      <c r="H1141" s="2228">
        <v>1140000000000</v>
      </c>
      <c r="I1141" s="2228">
        <v>12100000000</v>
      </c>
      <c r="J1141" s="1407"/>
      <c r="K1141" s="2287">
        <f t="shared" si="138"/>
        <v>16575714285714.287</v>
      </c>
      <c r="L1141" s="2381">
        <v>42718</v>
      </c>
      <c r="M1141" s="2228"/>
      <c r="N1141" s="2228"/>
      <c r="O1141" s="2228"/>
      <c r="P1141" s="1431"/>
      <c r="Q1141" s="1407"/>
      <c r="R1141" s="1407"/>
      <c r="S1141" s="1407"/>
      <c r="T1141" s="1407"/>
      <c r="U1141" s="1407"/>
    </row>
    <row r="1142" spans="1:21" ht="12">
      <c r="A1142" s="639" t="s">
        <v>4503</v>
      </c>
      <c r="B1142" s="2264">
        <v>42718</v>
      </c>
      <c r="C1142" s="639" t="s">
        <v>3212</v>
      </c>
      <c r="D1142" s="1831" t="s">
        <v>4504</v>
      </c>
      <c r="E1142" s="2264">
        <v>42718</v>
      </c>
      <c r="F1142" s="2228">
        <v>12100000000000</v>
      </c>
      <c r="G1142" s="2228">
        <v>112000000000</v>
      </c>
      <c r="H1142" s="2228">
        <v>1140000000000</v>
      </c>
      <c r="I1142" s="2228">
        <v>12100000000</v>
      </c>
      <c r="J1142" s="1407"/>
      <c r="K1142" s="1431">
        <f t="shared" si="138"/>
        <v>3543571428571.4287</v>
      </c>
      <c r="L1142" s="2381">
        <v>42718</v>
      </c>
      <c r="M1142" s="2228"/>
      <c r="N1142" s="2228"/>
      <c r="O1142" s="2228"/>
      <c r="P1142" s="1431"/>
      <c r="Q1142" s="1407"/>
      <c r="R1142" s="1407"/>
      <c r="S1142" s="1407"/>
      <c r="T1142" s="1407"/>
      <c r="U1142" s="1407"/>
    </row>
    <row r="1143" spans="1:21" ht="12">
      <c r="A1143" s="639" t="s">
        <v>4503</v>
      </c>
      <c r="B1143" s="2264">
        <v>42718</v>
      </c>
      <c r="C1143" s="639" t="s">
        <v>3212</v>
      </c>
      <c r="D1143" s="1831" t="s">
        <v>4506</v>
      </c>
      <c r="E1143" s="2264">
        <v>42718</v>
      </c>
      <c r="F1143" s="2228">
        <v>6570000000000</v>
      </c>
      <c r="G1143" s="2228">
        <v>112000000000</v>
      </c>
      <c r="H1143" s="2228">
        <v>1140000000000</v>
      </c>
      <c r="I1143" s="2228">
        <v>12100000000</v>
      </c>
      <c r="J1143" s="1407"/>
      <c r="K1143" s="1431">
        <f t="shared" si="138"/>
        <v>1924071428571.4287</v>
      </c>
      <c r="L1143" s="2381">
        <v>42718</v>
      </c>
      <c r="M1143" s="2228"/>
      <c r="N1143" s="2228"/>
      <c r="O1143" s="2228"/>
      <c r="P1143" s="1431"/>
      <c r="Q1143" s="1407"/>
      <c r="R1143" s="1407"/>
      <c r="S1143" s="1407"/>
      <c r="T1143" s="1407"/>
      <c r="U1143" s="1407"/>
    </row>
    <row r="1144" spans="1:21" ht="12">
      <c r="A1144" s="639" t="s">
        <v>4503</v>
      </c>
      <c r="B1144" s="2264">
        <v>42718</v>
      </c>
      <c r="C1144" s="639" t="s">
        <v>3212</v>
      </c>
      <c r="D1144" s="1831" t="s">
        <v>4507</v>
      </c>
      <c r="E1144" s="2264">
        <v>42718</v>
      </c>
      <c r="F1144" s="2228">
        <v>20500000000000</v>
      </c>
      <c r="G1144" s="2228">
        <v>112000000000</v>
      </c>
      <c r="H1144" s="2228">
        <v>1140000000000</v>
      </c>
      <c r="I1144" s="2228">
        <v>12100000000</v>
      </c>
      <c r="J1144" s="1407"/>
      <c r="K1144" s="1431">
        <f t="shared" si="138"/>
        <v>6003571428571.4287</v>
      </c>
      <c r="L1144" s="2381">
        <v>42718</v>
      </c>
      <c r="M1144" s="2228"/>
      <c r="N1144" s="2228"/>
      <c r="O1144" s="2228"/>
      <c r="P1144" s="1431"/>
      <c r="Q1144" s="1407"/>
      <c r="R1144" s="1407"/>
      <c r="S1144" s="1407"/>
      <c r="T1144" s="1407"/>
      <c r="U1144" s="1407"/>
    </row>
    <row r="1145" spans="1:21" ht="12">
      <c r="A1145" s="639" t="s">
        <v>4503</v>
      </c>
      <c r="B1145" s="2264">
        <v>42718</v>
      </c>
      <c r="C1145" s="639" t="s">
        <v>3212</v>
      </c>
      <c r="D1145" s="1831" t="s">
        <v>4508</v>
      </c>
      <c r="E1145" s="2264">
        <v>42718</v>
      </c>
      <c r="F1145" s="2228">
        <v>18000000000000</v>
      </c>
      <c r="G1145" s="2228">
        <v>112000000000</v>
      </c>
      <c r="H1145" s="2228">
        <v>1140000000000</v>
      </c>
      <c r="I1145" s="2228">
        <v>12100000000</v>
      </c>
      <c r="J1145" s="1407"/>
      <c r="K1145" s="1431">
        <f t="shared" si="138"/>
        <v>5271428571428.5713</v>
      </c>
      <c r="L1145" s="2381">
        <v>42718</v>
      </c>
      <c r="M1145" s="2228"/>
      <c r="N1145" s="2228"/>
      <c r="O1145" s="2228"/>
      <c r="P1145" s="1431"/>
      <c r="Q1145" s="1407"/>
      <c r="R1145" s="1407"/>
      <c r="S1145" s="1407"/>
      <c r="T1145" s="1407"/>
      <c r="U1145" s="1407"/>
    </row>
    <row r="1146" spans="1:21" ht="12">
      <c r="A1146" s="639"/>
      <c r="B1146" s="2264"/>
      <c r="C1146" s="639"/>
      <c r="D1146" s="1831"/>
      <c r="E1146" s="2264"/>
      <c r="F1146" s="1407"/>
      <c r="G1146" s="2262"/>
      <c r="H1146" s="2262"/>
      <c r="I1146" s="1428"/>
      <c r="J1146" s="1407"/>
      <c r="K1146" s="1431"/>
      <c r="L1146" s="1407"/>
      <c r="M1146" s="1407"/>
      <c r="N1146" s="1407"/>
      <c r="O1146" s="1407"/>
      <c r="P1146" s="1407"/>
      <c r="Q1146" s="1407"/>
      <c r="R1146" s="1407"/>
      <c r="S1146" s="1407"/>
      <c r="T1146" s="1407"/>
      <c r="U1146" s="1407"/>
    </row>
    <row r="1147" spans="1:21" ht="12">
      <c r="A1147" s="639" t="s">
        <v>4510</v>
      </c>
      <c r="B1147" s="1483">
        <v>42720</v>
      </c>
      <c r="C1147" s="639" t="s">
        <v>3212</v>
      </c>
      <c r="D1147" s="1831" t="s">
        <v>4501</v>
      </c>
      <c r="E1147" s="2264">
        <v>42710</v>
      </c>
      <c r="F1147" s="2228">
        <v>17000000000000</v>
      </c>
      <c r="G1147" s="2228">
        <v>29300000000</v>
      </c>
      <c r="H1147" s="2228">
        <v>824000000000</v>
      </c>
      <c r="I1147" s="2228">
        <v>17700000000</v>
      </c>
      <c r="J1147" s="1407"/>
      <c r="K1147" s="1431">
        <f t="shared" ref="K1147:K1154" si="139">(32800000000/G1147)*F1147</f>
        <v>19030716723549.488</v>
      </c>
      <c r="L1147" s="1407"/>
      <c r="M1147" s="1407"/>
      <c r="N1147" s="1407"/>
      <c r="O1147" s="1407"/>
      <c r="P1147" s="1407"/>
      <c r="Q1147" s="1407"/>
      <c r="R1147" s="1407"/>
      <c r="S1147" s="1407"/>
      <c r="T1147" s="1407"/>
      <c r="U1147" s="1407"/>
    </row>
    <row r="1148" spans="1:21" ht="12">
      <c r="A1148" s="639" t="s">
        <v>4510</v>
      </c>
      <c r="B1148" s="1483">
        <v>42720</v>
      </c>
      <c r="C1148" s="639" t="s">
        <v>3212</v>
      </c>
      <c r="D1148" s="1831" t="s">
        <v>4511</v>
      </c>
      <c r="E1148" s="2264">
        <v>42710</v>
      </c>
      <c r="F1148" s="2228">
        <v>8990000000000</v>
      </c>
      <c r="G1148" s="2228">
        <v>29300000000</v>
      </c>
      <c r="H1148" s="2228">
        <v>824000000000</v>
      </c>
      <c r="I1148" s="2228">
        <v>17700000000</v>
      </c>
      <c r="J1148" s="1407"/>
      <c r="K1148" s="1431">
        <f t="shared" si="139"/>
        <v>10063890784982.936</v>
      </c>
      <c r="L1148" s="1407"/>
      <c r="M1148" s="1407"/>
      <c r="N1148" s="1407"/>
      <c r="O1148" s="1407"/>
      <c r="P1148" s="1407"/>
      <c r="Q1148" s="1407"/>
      <c r="R1148" s="1407"/>
      <c r="S1148" s="1407"/>
      <c r="T1148" s="1407"/>
      <c r="U1148" s="1407"/>
    </row>
    <row r="1149" spans="1:21" ht="12">
      <c r="A1149" s="639" t="s">
        <v>4510</v>
      </c>
      <c r="B1149" s="1483">
        <v>42720</v>
      </c>
      <c r="C1149" s="639" t="s">
        <v>3212</v>
      </c>
      <c r="D1149" s="641">
        <v>825</v>
      </c>
      <c r="E1149" s="2264">
        <v>42710</v>
      </c>
      <c r="F1149" s="2228">
        <v>1640000000000</v>
      </c>
      <c r="G1149" s="2228">
        <v>29300000000</v>
      </c>
      <c r="H1149" s="2228">
        <v>824000000000</v>
      </c>
      <c r="I1149" s="2228">
        <v>17700000000</v>
      </c>
      <c r="J1149" s="1407"/>
      <c r="K1149" s="1431">
        <f t="shared" si="139"/>
        <v>1835904436860.0684</v>
      </c>
      <c r="L1149" s="1407"/>
      <c r="M1149" s="1407"/>
      <c r="N1149" s="1407"/>
      <c r="O1149" s="1407"/>
      <c r="P1149" s="1407"/>
      <c r="Q1149" s="1407"/>
      <c r="R1149" s="1407"/>
      <c r="S1149" s="1407"/>
      <c r="T1149" s="1407"/>
      <c r="U1149" s="1407"/>
    </row>
    <row r="1150" spans="1:21" ht="12">
      <c r="A1150" s="639" t="s">
        <v>4510</v>
      </c>
      <c r="B1150" s="1483">
        <v>42720</v>
      </c>
      <c r="C1150" s="639" t="s">
        <v>3212</v>
      </c>
      <c r="D1150" s="1831" t="s">
        <v>4512</v>
      </c>
      <c r="E1150" s="2264">
        <v>42710</v>
      </c>
      <c r="F1150" s="2228">
        <v>5380000000000</v>
      </c>
      <c r="G1150" s="2228">
        <v>29300000000</v>
      </c>
      <c r="H1150" s="2228">
        <v>824000000000</v>
      </c>
      <c r="I1150" s="2228">
        <v>17700000000</v>
      </c>
      <c r="J1150" s="1407"/>
      <c r="K1150" s="1431">
        <f t="shared" si="139"/>
        <v>6022662116040.9561</v>
      </c>
      <c r="L1150" s="1407"/>
      <c r="M1150" s="1407"/>
      <c r="N1150" s="1407"/>
      <c r="O1150" s="1407"/>
      <c r="P1150" s="1407"/>
      <c r="Q1150" s="1407"/>
      <c r="R1150" s="1407"/>
      <c r="S1150" s="1407"/>
      <c r="T1150" s="1407"/>
      <c r="U1150" s="1407"/>
    </row>
    <row r="1151" spans="1:21" ht="12">
      <c r="A1151" s="639" t="s">
        <v>4510</v>
      </c>
      <c r="B1151" s="1483">
        <v>42720</v>
      </c>
      <c r="C1151" s="639" t="s">
        <v>3212</v>
      </c>
      <c r="D1151" s="1831" t="s">
        <v>4513</v>
      </c>
      <c r="E1151" s="2264">
        <v>42710</v>
      </c>
      <c r="F1151" s="2228">
        <v>45900000000000</v>
      </c>
      <c r="G1151" s="2228">
        <v>29300000000</v>
      </c>
      <c r="H1151" s="2228">
        <v>824000000000</v>
      </c>
      <c r="I1151" s="2228">
        <v>17700000000</v>
      </c>
      <c r="J1151" s="1407"/>
      <c r="K1151" s="1431">
        <f t="shared" si="139"/>
        <v>51382935153583.617</v>
      </c>
      <c r="L1151" s="1407"/>
      <c r="M1151" s="1407"/>
      <c r="N1151" s="1407"/>
      <c r="O1151" s="1407"/>
      <c r="P1151" s="1407"/>
      <c r="Q1151" s="1407"/>
      <c r="R1151" s="1407"/>
      <c r="S1151" s="1407"/>
      <c r="T1151" s="1407"/>
      <c r="U1151" s="1407"/>
    </row>
    <row r="1152" spans="1:21" ht="12">
      <c r="A1152" s="639" t="s">
        <v>4510</v>
      </c>
      <c r="B1152" s="1483">
        <v>42720</v>
      </c>
      <c r="C1152" s="639" t="s">
        <v>3212</v>
      </c>
      <c r="D1152" s="1831" t="s">
        <v>4514</v>
      </c>
      <c r="E1152" s="2264"/>
      <c r="F1152" s="2228">
        <v>28000000000</v>
      </c>
      <c r="G1152" s="2228">
        <v>29300000000</v>
      </c>
      <c r="H1152" s="2228">
        <v>824000000000</v>
      </c>
      <c r="I1152" s="2228">
        <v>17700000000</v>
      </c>
      <c r="J1152" s="1407"/>
      <c r="K1152" s="2393">
        <f t="shared" si="139"/>
        <v>31344709897.61092</v>
      </c>
      <c r="L1152" s="1407"/>
      <c r="M1152" s="1407"/>
      <c r="N1152" s="1407"/>
      <c r="O1152" s="1407"/>
      <c r="P1152" s="1407"/>
      <c r="Q1152" s="1407"/>
      <c r="R1152" s="1407"/>
      <c r="S1152" s="1407"/>
      <c r="T1152" s="1407"/>
      <c r="U1152" s="1407"/>
    </row>
    <row r="1153" spans="1:21" ht="12">
      <c r="A1153" s="639" t="s">
        <v>4510</v>
      </c>
      <c r="B1153" s="1483">
        <v>42720</v>
      </c>
      <c r="C1153" s="639" t="s">
        <v>3212</v>
      </c>
      <c r="D1153" s="1831" t="s">
        <v>4515</v>
      </c>
      <c r="E1153" s="2264">
        <v>42718</v>
      </c>
      <c r="F1153" s="2228">
        <v>46000000000</v>
      </c>
      <c r="G1153" s="2228">
        <v>29300000000</v>
      </c>
      <c r="H1153" s="2228">
        <v>824000000000</v>
      </c>
      <c r="I1153" s="2228">
        <v>17700000000</v>
      </c>
      <c r="J1153" s="1407"/>
      <c r="K1153" s="2393">
        <f t="shared" si="139"/>
        <v>51494880546.075089</v>
      </c>
      <c r="L1153" s="1407"/>
      <c r="M1153" s="1407"/>
      <c r="N1153" s="1407"/>
      <c r="O1153" s="1407"/>
      <c r="P1153" s="1407"/>
      <c r="Q1153" s="1407"/>
      <c r="R1153" s="1407"/>
      <c r="S1153" s="1407"/>
      <c r="T1153" s="1407"/>
      <c r="U1153" s="1407"/>
    </row>
    <row r="1154" spans="1:21" ht="12">
      <c r="A1154" s="639" t="s">
        <v>4510</v>
      </c>
      <c r="B1154" s="1483">
        <v>42720</v>
      </c>
      <c r="C1154" s="639" t="s">
        <v>3212</v>
      </c>
      <c r="D1154" s="1831" t="s">
        <v>4516</v>
      </c>
      <c r="E1154" s="2264">
        <v>42718</v>
      </c>
      <c r="F1154" s="2228">
        <v>46000000000</v>
      </c>
      <c r="G1154" s="2228">
        <v>29300000000</v>
      </c>
      <c r="H1154" s="2228">
        <v>824000000000</v>
      </c>
      <c r="I1154" s="2228">
        <v>17700000000</v>
      </c>
      <c r="J1154" s="1407"/>
      <c r="K1154" s="2393">
        <f t="shared" si="139"/>
        <v>51494880546.075089</v>
      </c>
      <c r="L1154" s="2228"/>
      <c r="M1154" s="1407"/>
      <c r="N1154" s="1407"/>
      <c r="O1154" s="1407"/>
      <c r="P1154" s="1407"/>
      <c r="Q1154" s="1407"/>
      <c r="R1154" s="1407"/>
      <c r="S1154" s="1407"/>
      <c r="T1154" s="1407"/>
      <c r="U1154" s="1407"/>
    </row>
    <row r="1155" spans="1:21" ht="12">
      <c r="A1155" s="639"/>
      <c r="B1155" s="1483"/>
      <c r="C1155" s="639"/>
      <c r="D1155" s="1831"/>
      <c r="E1155" s="2264"/>
      <c r="F1155" s="1407"/>
      <c r="G1155" s="2262"/>
      <c r="H1155" s="2262"/>
      <c r="I1155" s="1428"/>
      <c r="J1155" s="1407"/>
      <c r="K1155" s="1431"/>
      <c r="L1155" s="2228"/>
      <c r="M1155" s="1407"/>
      <c r="N1155" s="1407"/>
      <c r="O1155" s="1407"/>
      <c r="P1155" s="1407"/>
      <c r="Q1155" s="1407"/>
      <c r="R1155" s="1407"/>
      <c r="S1155" s="1407"/>
      <c r="T1155" s="1407"/>
      <c r="U1155" s="1407"/>
    </row>
    <row r="1156" spans="1:21" ht="12">
      <c r="A1156" s="639" t="s">
        <v>4517</v>
      </c>
      <c r="B1156" s="1483">
        <v>42725</v>
      </c>
      <c r="C1156" s="639" t="s">
        <v>2126</v>
      </c>
      <c r="D1156" s="1831" t="s">
        <v>4485</v>
      </c>
      <c r="E1156" s="2264">
        <v>42710</v>
      </c>
      <c r="F1156" s="2228">
        <v>9030000000000</v>
      </c>
      <c r="G1156" s="2228">
        <v>5950000000</v>
      </c>
      <c r="H1156" s="2228">
        <v>10200000000000</v>
      </c>
      <c r="I1156" s="1731">
        <v>2930000000</v>
      </c>
      <c r="J1156" s="1407"/>
      <c r="K1156" s="1431">
        <f t="shared" ref="K1156:K1168" si="140">(32800000000/G1156)*F1156</f>
        <v>49778823529411.766</v>
      </c>
      <c r="L1156" s="2228"/>
      <c r="M1156" s="1407"/>
      <c r="N1156" s="1407"/>
      <c r="O1156" s="1407"/>
      <c r="P1156" s="1407"/>
      <c r="Q1156" s="1407"/>
      <c r="R1156" s="1407"/>
      <c r="S1156" s="1407"/>
      <c r="T1156" s="1407"/>
      <c r="U1156" s="1407"/>
    </row>
    <row r="1157" spans="1:21" ht="12">
      <c r="A1157" s="639" t="s">
        <v>4517</v>
      </c>
      <c r="B1157" s="1483">
        <v>42725</v>
      </c>
      <c r="C1157" s="639" t="s">
        <v>2126</v>
      </c>
      <c r="D1157" s="1831" t="s">
        <v>4487</v>
      </c>
      <c r="E1157" s="2264">
        <v>42710</v>
      </c>
      <c r="F1157" s="2228">
        <v>401000000000</v>
      </c>
      <c r="G1157" s="2228">
        <v>5950000000</v>
      </c>
      <c r="H1157" s="2228">
        <v>10200000000000</v>
      </c>
      <c r="I1157" s="1731">
        <v>2930000000</v>
      </c>
      <c r="J1157" s="1407"/>
      <c r="K1157" s="1431">
        <f t="shared" si="140"/>
        <v>2210554621848.7393</v>
      </c>
      <c r="L1157" s="2228"/>
      <c r="M1157" s="1407"/>
      <c r="N1157" s="1407"/>
      <c r="O1157" s="1407"/>
      <c r="P1157" s="1407"/>
      <c r="Q1157" s="1407"/>
      <c r="R1157" s="1407"/>
      <c r="S1157" s="1407"/>
      <c r="T1157" s="1407"/>
      <c r="U1157" s="1407"/>
    </row>
    <row r="1158" spans="1:21" ht="12">
      <c r="A1158" s="639" t="s">
        <v>4517</v>
      </c>
      <c r="B1158" s="1483">
        <v>42725</v>
      </c>
      <c r="C1158" s="639" t="s">
        <v>2126</v>
      </c>
      <c r="D1158" s="1831" t="s">
        <v>4488</v>
      </c>
      <c r="E1158" s="2264">
        <v>42710</v>
      </c>
      <c r="F1158" s="1731">
        <v>691000000000</v>
      </c>
      <c r="G1158" s="2228">
        <v>5950000000</v>
      </c>
      <c r="H1158" s="2228">
        <v>10200000000000</v>
      </c>
      <c r="I1158" s="1731">
        <v>2930000000</v>
      </c>
      <c r="J1158" s="1407"/>
      <c r="K1158" s="1431">
        <f t="shared" si="140"/>
        <v>3809210084033.6133</v>
      </c>
      <c r="L1158" s="2228"/>
      <c r="M1158" s="1407"/>
      <c r="N1158" s="1407"/>
      <c r="O1158" s="1407"/>
      <c r="P1158" s="1407"/>
      <c r="Q1158" s="1407"/>
      <c r="R1158" s="1407"/>
      <c r="S1158" s="1407"/>
      <c r="T1158" s="1407"/>
      <c r="U1158" s="1407"/>
    </row>
    <row r="1159" spans="1:21" ht="12">
      <c r="A1159" s="639" t="s">
        <v>4517</v>
      </c>
      <c r="B1159" s="1483">
        <v>42725</v>
      </c>
      <c r="C1159" s="639" t="s">
        <v>2126</v>
      </c>
      <c r="D1159" s="1831" t="s">
        <v>4491</v>
      </c>
      <c r="E1159" s="2264">
        <v>42710</v>
      </c>
      <c r="F1159" s="1731">
        <v>28600000000000</v>
      </c>
      <c r="G1159" s="2228">
        <v>5950000000</v>
      </c>
      <c r="H1159" s="2228">
        <v>10200000000000</v>
      </c>
      <c r="I1159" s="1731">
        <v>2930000000</v>
      </c>
      <c r="J1159" s="1407"/>
      <c r="K1159" s="1431">
        <f t="shared" si="140"/>
        <v>157660504201680.66</v>
      </c>
      <c r="L1159" s="2398"/>
      <c r="M1159" s="1407"/>
      <c r="N1159" s="1407"/>
      <c r="O1159" s="1407"/>
      <c r="P1159" s="1407"/>
      <c r="Q1159" s="1407"/>
      <c r="R1159" s="1407"/>
      <c r="S1159" s="1407"/>
      <c r="T1159" s="1407"/>
      <c r="U1159" s="1407"/>
    </row>
    <row r="1160" spans="1:21" ht="12">
      <c r="A1160" s="639" t="s">
        <v>4517</v>
      </c>
      <c r="B1160" s="1483">
        <v>42725</v>
      </c>
      <c r="C1160" s="639" t="s">
        <v>2126</v>
      </c>
      <c r="D1160" s="1831" t="s">
        <v>4499</v>
      </c>
      <c r="E1160" s="2264">
        <v>42710</v>
      </c>
      <c r="F1160" s="1731">
        <v>39800000000000</v>
      </c>
      <c r="G1160" s="2228">
        <v>5950000000</v>
      </c>
      <c r="H1160" s="2228">
        <v>10200000000000</v>
      </c>
      <c r="I1160" s="1731">
        <v>2930000000</v>
      </c>
      <c r="J1160" s="1407"/>
      <c r="K1160" s="1431">
        <f t="shared" si="140"/>
        <v>219401680672268.91</v>
      </c>
      <c r="L1160" s="2398"/>
      <c r="M1160" s="1407"/>
      <c r="N1160" s="1407"/>
      <c r="O1160" s="1407"/>
      <c r="P1160" s="1407"/>
      <c r="Q1160" s="1407"/>
      <c r="R1160" s="1407"/>
      <c r="S1160" s="1407"/>
      <c r="T1160" s="1407"/>
      <c r="U1160" s="1407"/>
    </row>
    <row r="1161" spans="1:21" ht="12">
      <c r="A1161" s="639" t="s">
        <v>4517</v>
      </c>
      <c r="B1161" s="1483">
        <v>42725</v>
      </c>
      <c r="C1161" s="639" t="s">
        <v>2126</v>
      </c>
      <c r="D1161" s="1831" t="s">
        <v>4504</v>
      </c>
      <c r="E1161" s="2264">
        <v>42718</v>
      </c>
      <c r="F1161" s="1731">
        <v>5280000000000</v>
      </c>
      <c r="G1161" s="2228">
        <v>5950000000</v>
      </c>
      <c r="H1161" s="2228">
        <v>10200000000000</v>
      </c>
      <c r="I1161" s="1731">
        <v>2930000000</v>
      </c>
      <c r="J1161" s="1407"/>
      <c r="K1161" s="1431">
        <f t="shared" si="140"/>
        <v>29106554621848.738</v>
      </c>
      <c r="L1161" s="2398"/>
      <c r="M1161" s="1407"/>
      <c r="N1161" s="1407"/>
      <c r="O1161" s="1407"/>
      <c r="P1161" s="1407"/>
      <c r="Q1161" s="1407"/>
      <c r="R1161" s="1407"/>
      <c r="S1161" s="1407"/>
      <c r="T1161" s="1407"/>
      <c r="U1161" s="1407"/>
    </row>
    <row r="1162" spans="1:21" ht="12">
      <c r="A1162" s="639" t="s">
        <v>4517</v>
      </c>
      <c r="B1162" s="1483">
        <v>42725</v>
      </c>
      <c r="C1162" s="639" t="s">
        <v>2126</v>
      </c>
      <c r="D1162" s="1831" t="s">
        <v>4506</v>
      </c>
      <c r="E1162" s="2264">
        <v>42718</v>
      </c>
      <c r="F1162" s="1731">
        <v>3900000000000</v>
      </c>
      <c r="G1162" s="2228">
        <v>5950000000</v>
      </c>
      <c r="H1162" s="2228">
        <v>10200000000000</v>
      </c>
      <c r="I1162" s="1731">
        <v>2930000000</v>
      </c>
      <c r="J1162" s="1407"/>
      <c r="K1162" s="1431">
        <f t="shared" si="140"/>
        <v>21499159663865.547</v>
      </c>
      <c r="L1162" s="2398"/>
      <c r="M1162" s="1407"/>
      <c r="N1162" s="1407"/>
      <c r="O1162" s="1407"/>
      <c r="P1162" s="1407"/>
      <c r="Q1162" s="1407"/>
      <c r="R1162" s="1407"/>
      <c r="S1162" s="1407"/>
      <c r="T1162" s="1407"/>
      <c r="U1162" s="1407"/>
    </row>
    <row r="1163" spans="1:21" ht="12">
      <c r="A1163" s="639" t="s">
        <v>4517</v>
      </c>
      <c r="B1163" s="1483">
        <v>42725</v>
      </c>
      <c r="C1163" s="639" t="s">
        <v>2126</v>
      </c>
      <c r="D1163" s="1831" t="s">
        <v>4507</v>
      </c>
      <c r="E1163" s="2264">
        <v>42718</v>
      </c>
      <c r="F1163" s="1731">
        <v>14800000000000</v>
      </c>
      <c r="G1163" s="2228">
        <v>5950000000</v>
      </c>
      <c r="H1163" s="2228">
        <v>10200000000000</v>
      </c>
      <c r="I1163" s="1731">
        <v>2930000000</v>
      </c>
      <c r="J1163" s="1407"/>
      <c r="K1163" s="1431">
        <f t="shared" si="140"/>
        <v>81586554621848.734</v>
      </c>
      <c r="L1163" s="2398"/>
      <c r="M1163" s="1407"/>
      <c r="N1163" s="1407"/>
      <c r="O1163" s="1407"/>
      <c r="P1163" s="1407"/>
      <c r="Q1163" s="1407"/>
      <c r="R1163" s="1407"/>
      <c r="S1163" s="1407"/>
      <c r="T1163" s="1407"/>
      <c r="U1163" s="1407"/>
    </row>
    <row r="1164" spans="1:21" ht="12">
      <c r="A1164" s="639" t="s">
        <v>4517</v>
      </c>
      <c r="B1164" s="1483">
        <v>42725</v>
      </c>
      <c r="C1164" s="639" t="s">
        <v>2126</v>
      </c>
      <c r="D1164" s="1831" t="s">
        <v>4508</v>
      </c>
      <c r="E1164" s="2264">
        <v>42718</v>
      </c>
      <c r="F1164" s="1731">
        <v>10000000000000</v>
      </c>
      <c r="G1164" s="2228">
        <v>5950000000</v>
      </c>
      <c r="H1164" s="2228">
        <v>10200000000000</v>
      </c>
      <c r="I1164" s="1731">
        <v>2930000000</v>
      </c>
      <c r="J1164" s="1407"/>
      <c r="K1164" s="1431">
        <f t="shared" si="140"/>
        <v>55126050420168.07</v>
      </c>
      <c r="L1164" s="2398"/>
      <c r="M1164" s="1407"/>
      <c r="N1164" s="1407"/>
      <c r="O1164" s="1407"/>
      <c r="P1164" s="1407"/>
      <c r="Q1164" s="1407"/>
      <c r="R1164" s="1407"/>
      <c r="S1164" s="1407"/>
      <c r="T1164" s="1407"/>
      <c r="U1164" s="1407"/>
    </row>
    <row r="1165" spans="1:21" ht="12">
      <c r="A1165" s="639" t="s">
        <v>4517</v>
      </c>
      <c r="B1165" s="1483">
        <v>42725</v>
      </c>
      <c r="C1165" s="639" t="s">
        <v>2126</v>
      </c>
      <c r="D1165" s="1831" t="s">
        <v>4521</v>
      </c>
      <c r="E1165" s="2264">
        <v>42725</v>
      </c>
      <c r="F1165" s="1731">
        <v>6170000000000</v>
      </c>
      <c r="G1165" s="2228">
        <v>5950000000</v>
      </c>
      <c r="H1165" s="2228">
        <v>10200000000000</v>
      </c>
      <c r="I1165" s="1731">
        <v>2930000000</v>
      </c>
      <c r="J1165" s="1407"/>
      <c r="K1165" s="1431">
        <f t="shared" si="140"/>
        <v>34012773109243.695</v>
      </c>
      <c r="L1165" s="1407"/>
      <c r="M1165" s="1407"/>
      <c r="N1165" s="1407"/>
      <c r="O1165" s="1407"/>
      <c r="P1165" s="1407"/>
      <c r="Q1165" s="1407"/>
      <c r="R1165" s="1407"/>
      <c r="S1165" s="1407"/>
      <c r="T1165" s="1407"/>
      <c r="U1165" s="1407"/>
    </row>
    <row r="1166" spans="1:21" ht="12">
      <c r="A1166" s="639" t="s">
        <v>4517</v>
      </c>
      <c r="B1166" s="1483">
        <v>42725</v>
      </c>
      <c r="C1166" s="639" t="s">
        <v>2126</v>
      </c>
      <c r="D1166" s="1831" t="s">
        <v>4522</v>
      </c>
      <c r="E1166" s="2264">
        <v>42725</v>
      </c>
      <c r="F1166" s="1731">
        <v>2690000000000</v>
      </c>
      <c r="G1166" s="2228">
        <v>5950000000</v>
      </c>
      <c r="H1166" s="2228">
        <v>10200000000000</v>
      </c>
      <c r="I1166" s="1731">
        <v>2930000000</v>
      </c>
      <c r="J1166" s="1407"/>
      <c r="K1166" s="1431">
        <f t="shared" si="140"/>
        <v>14828907563025.211</v>
      </c>
      <c r="L1166" s="2228"/>
      <c r="M1166" s="1407"/>
      <c r="N1166" s="1407"/>
      <c r="O1166" s="1407"/>
      <c r="P1166" s="1407"/>
      <c r="Q1166" s="1407"/>
      <c r="R1166" s="1407"/>
      <c r="S1166" s="1407"/>
      <c r="T1166" s="1407"/>
      <c r="U1166" s="1407"/>
    </row>
    <row r="1167" spans="1:21" ht="12">
      <c r="A1167" s="639" t="s">
        <v>4517</v>
      </c>
      <c r="B1167" s="1483">
        <v>42725</v>
      </c>
      <c r="C1167" s="639" t="s">
        <v>2126</v>
      </c>
      <c r="D1167" s="1831" t="s">
        <v>4523</v>
      </c>
      <c r="E1167" s="2264">
        <v>42725</v>
      </c>
      <c r="F1167" s="1731">
        <v>117000000000</v>
      </c>
      <c r="G1167" s="2228">
        <v>5950000000</v>
      </c>
      <c r="H1167" s="2228">
        <v>10200000000000</v>
      </c>
      <c r="I1167" s="1731">
        <v>2930000000</v>
      </c>
      <c r="J1167" s="1407"/>
      <c r="K1167" s="1431">
        <f t="shared" si="140"/>
        <v>644974789915.96643</v>
      </c>
      <c r="L1167" s="2228"/>
      <c r="M1167" s="1407"/>
      <c r="N1167" s="1407"/>
      <c r="O1167" s="1407"/>
      <c r="P1167" s="1407"/>
      <c r="Q1167" s="1407"/>
      <c r="R1167" s="1407"/>
      <c r="S1167" s="1407"/>
      <c r="T1167" s="1407"/>
      <c r="U1167" s="1407"/>
    </row>
    <row r="1168" spans="1:21" ht="12">
      <c r="A1168" s="639" t="s">
        <v>4517</v>
      </c>
      <c r="B1168" s="1483">
        <v>42725</v>
      </c>
      <c r="C1168" s="639" t="s">
        <v>2126</v>
      </c>
      <c r="D1168" s="1831" t="s">
        <v>4524</v>
      </c>
      <c r="E1168" s="2264">
        <v>42725</v>
      </c>
      <c r="F1168" s="1731">
        <v>184000000000</v>
      </c>
      <c r="G1168" s="2228">
        <v>5950000000</v>
      </c>
      <c r="H1168" s="2228">
        <v>10200000000000</v>
      </c>
      <c r="I1168" s="1731">
        <v>2930000000</v>
      </c>
      <c r="J1168" s="1407"/>
      <c r="K1168" s="1431">
        <f t="shared" si="140"/>
        <v>1014319327731.0924</v>
      </c>
      <c r="L1168" s="2228"/>
      <c r="M1168" s="1407"/>
      <c r="N1168" s="1407"/>
      <c r="O1168" s="1407"/>
      <c r="P1168" s="1407"/>
      <c r="Q1168" s="1407"/>
      <c r="R1168" s="1407"/>
      <c r="S1168" s="1407"/>
      <c r="T1168" s="1407"/>
      <c r="U1168" s="1407"/>
    </row>
    <row r="1169" spans="1:21" ht="12">
      <c r="A1169" s="639"/>
      <c r="B1169" s="1483"/>
      <c r="C1169" s="639"/>
      <c r="D1169" s="1831"/>
      <c r="E1169" s="2264"/>
      <c r="F1169" s="1407"/>
      <c r="G1169" s="2262"/>
      <c r="H1169" s="2262"/>
      <c r="I1169" s="1428"/>
      <c r="J1169" s="1407"/>
      <c r="K1169" s="1431"/>
      <c r="L1169" s="2228"/>
      <c r="M1169" s="1407"/>
      <c r="N1169" s="1407"/>
      <c r="O1169" s="1407"/>
      <c r="P1169" s="1407"/>
      <c r="Q1169" s="1407"/>
      <c r="R1169" s="1407"/>
      <c r="S1169" s="1407"/>
      <c r="T1169" s="1407"/>
      <c r="U1169" s="1407"/>
    </row>
    <row r="1170" spans="1:21" ht="12">
      <c r="A1170" s="639" t="s">
        <v>4525</v>
      </c>
      <c r="B1170" s="1483">
        <v>42726</v>
      </c>
      <c r="C1170" s="639" t="s">
        <v>2126</v>
      </c>
      <c r="D1170" s="1831" t="s">
        <v>4485</v>
      </c>
      <c r="E1170" s="2264">
        <v>42710</v>
      </c>
      <c r="F1170" s="1731">
        <v>12600000000000</v>
      </c>
      <c r="G1170" s="2228">
        <v>11800000000</v>
      </c>
      <c r="H1170" s="2228">
        <v>13000000000000</v>
      </c>
      <c r="I1170" s="1731">
        <v>11700000000</v>
      </c>
      <c r="J1170" s="1407"/>
      <c r="K1170" s="1431">
        <f t="shared" ref="K1170:K1182" si="141">(32800000000/G1170)*F1170</f>
        <v>35023728813559.324</v>
      </c>
      <c r="L1170" s="2228"/>
      <c r="M1170" s="1407"/>
      <c r="N1170" s="1407"/>
      <c r="O1170" s="1407"/>
      <c r="P1170" s="1407"/>
      <c r="Q1170" s="1407"/>
      <c r="R1170" s="1407"/>
      <c r="S1170" s="1407"/>
      <c r="T1170" s="1407"/>
      <c r="U1170" s="1407"/>
    </row>
    <row r="1171" spans="1:21" ht="12">
      <c r="A1171" s="639" t="s">
        <v>4525</v>
      </c>
      <c r="B1171" s="1483">
        <v>42726</v>
      </c>
      <c r="C1171" s="639" t="s">
        <v>2126</v>
      </c>
      <c r="D1171" s="1831" t="s">
        <v>4487</v>
      </c>
      <c r="E1171" s="2264">
        <v>42710</v>
      </c>
      <c r="F1171" s="1731">
        <v>842000000000</v>
      </c>
      <c r="G1171" s="2228">
        <v>11800000000</v>
      </c>
      <c r="H1171" s="2228">
        <v>13000000000000</v>
      </c>
      <c r="I1171" s="1731">
        <v>11700000000</v>
      </c>
      <c r="J1171" s="1407"/>
      <c r="K1171" s="1431">
        <f t="shared" si="141"/>
        <v>2340474576271.1865</v>
      </c>
      <c r="L1171" s="1407"/>
      <c r="M1171" s="1407"/>
      <c r="N1171" s="1407"/>
      <c r="O1171" s="1407"/>
      <c r="P1171" s="1407"/>
      <c r="Q1171" s="1407"/>
      <c r="R1171" s="1407"/>
      <c r="S1171" s="1407"/>
      <c r="T1171" s="1407"/>
      <c r="U1171" s="1407"/>
    </row>
    <row r="1172" spans="1:21" ht="12">
      <c r="A1172" s="639" t="s">
        <v>4525</v>
      </c>
      <c r="B1172" s="1483">
        <v>42726</v>
      </c>
      <c r="C1172" s="639" t="s">
        <v>2126</v>
      </c>
      <c r="D1172" s="1831" t="s">
        <v>4488</v>
      </c>
      <c r="E1172" s="2264">
        <v>42710</v>
      </c>
      <c r="F1172" s="1731">
        <v>1540000000000</v>
      </c>
      <c r="G1172" s="2228">
        <v>11800000000</v>
      </c>
      <c r="H1172" s="2228">
        <v>13000000000000</v>
      </c>
      <c r="I1172" s="1731">
        <v>11700000000</v>
      </c>
      <c r="J1172" s="1407"/>
      <c r="K1172" s="1431">
        <f t="shared" si="141"/>
        <v>4280677966101.6953</v>
      </c>
      <c r="L1172" s="2228"/>
      <c r="M1172" s="1407"/>
      <c r="N1172" s="1407"/>
      <c r="O1172" s="1407"/>
      <c r="P1172" s="1407"/>
      <c r="Q1172" s="1407"/>
      <c r="R1172" s="1407"/>
      <c r="S1172" s="1407"/>
      <c r="T1172" s="1407"/>
      <c r="U1172" s="1407"/>
    </row>
    <row r="1173" spans="1:21" ht="12">
      <c r="A1173" s="639" t="s">
        <v>4525</v>
      </c>
      <c r="B1173" s="1483">
        <v>42726</v>
      </c>
      <c r="C1173" s="639" t="s">
        <v>2126</v>
      </c>
      <c r="D1173" s="1831" t="s">
        <v>4491</v>
      </c>
      <c r="E1173" s="2264">
        <v>42710</v>
      </c>
      <c r="F1173" s="1731">
        <v>20600000000000</v>
      </c>
      <c r="G1173" s="2228">
        <v>11800000000</v>
      </c>
      <c r="H1173" s="2228">
        <v>13000000000000</v>
      </c>
      <c r="I1173" s="1731">
        <v>11700000000</v>
      </c>
      <c r="J1173" s="1407"/>
      <c r="K1173" s="1431">
        <f t="shared" si="141"/>
        <v>57261016949152.547</v>
      </c>
      <c r="L1173" s="2228"/>
      <c r="M1173" s="1407"/>
      <c r="N1173" s="1407"/>
      <c r="O1173" s="1407"/>
      <c r="P1173" s="1407"/>
      <c r="Q1173" s="1407"/>
      <c r="R1173" s="1407"/>
      <c r="S1173" s="1407"/>
      <c r="T1173" s="1407"/>
      <c r="U1173" s="1407"/>
    </row>
    <row r="1174" spans="1:21" ht="12">
      <c r="A1174" s="639" t="s">
        <v>4525</v>
      </c>
      <c r="B1174" s="1483">
        <v>42726</v>
      </c>
      <c r="C1174" s="639" t="s">
        <v>2126</v>
      </c>
      <c r="D1174" s="1831" t="s">
        <v>4499</v>
      </c>
      <c r="E1174" s="2264">
        <v>42710</v>
      </c>
      <c r="F1174" s="1731">
        <v>59700000000000</v>
      </c>
      <c r="G1174" s="2228">
        <v>11800000000</v>
      </c>
      <c r="H1174" s="2228">
        <v>13000000000000</v>
      </c>
      <c r="I1174" s="1731">
        <v>11700000000</v>
      </c>
      <c r="J1174" s="1407"/>
      <c r="K1174" s="1431">
        <f t="shared" si="141"/>
        <v>165945762711864.41</v>
      </c>
      <c r="L1174" s="2228"/>
      <c r="M1174" s="1407"/>
      <c r="N1174" s="1407"/>
      <c r="O1174" s="1407"/>
      <c r="P1174" s="1407"/>
      <c r="Q1174" s="1407"/>
      <c r="R1174" s="1407"/>
      <c r="S1174" s="1407"/>
      <c r="T1174" s="1407"/>
      <c r="U1174" s="1407"/>
    </row>
    <row r="1175" spans="1:21" ht="12">
      <c r="A1175" s="639" t="s">
        <v>4525</v>
      </c>
      <c r="B1175" s="1483">
        <v>42726</v>
      </c>
      <c r="C1175" s="639" t="s">
        <v>2126</v>
      </c>
      <c r="D1175" s="1831" t="s">
        <v>4504</v>
      </c>
      <c r="E1175" s="2264">
        <v>42718</v>
      </c>
      <c r="F1175" s="1731">
        <v>8510000000000</v>
      </c>
      <c r="G1175" s="2228">
        <v>11800000000</v>
      </c>
      <c r="H1175" s="2228">
        <v>13000000000000</v>
      </c>
      <c r="I1175" s="1731">
        <v>11700000000</v>
      </c>
      <c r="J1175" s="1407"/>
      <c r="K1175" s="1431">
        <f t="shared" si="141"/>
        <v>23654915254237.289</v>
      </c>
      <c r="L1175" s="2228"/>
      <c r="M1175" s="1407"/>
      <c r="N1175" s="1407"/>
      <c r="O1175" s="1407"/>
      <c r="P1175" s="1407"/>
      <c r="Q1175" s="1407"/>
      <c r="R1175" s="1407"/>
      <c r="S1175" s="1407"/>
      <c r="T1175" s="1407"/>
      <c r="U1175" s="1407"/>
    </row>
    <row r="1176" spans="1:21" ht="12">
      <c r="A1176" s="639" t="s">
        <v>4525</v>
      </c>
      <c r="B1176" s="1483">
        <v>42726</v>
      </c>
      <c r="C1176" s="639" t="s">
        <v>2126</v>
      </c>
      <c r="D1176" s="1831" t="s">
        <v>4506</v>
      </c>
      <c r="E1176" s="2264">
        <v>42718</v>
      </c>
      <c r="F1176" s="2228">
        <v>5560000000000</v>
      </c>
      <c r="G1176" s="2228">
        <v>11800000000</v>
      </c>
      <c r="H1176" s="2228">
        <v>13000000000000</v>
      </c>
      <c r="I1176" s="1731">
        <v>11700000000</v>
      </c>
      <c r="J1176" s="1407"/>
      <c r="K1176" s="1431">
        <f t="shared" si="141"/>
        <v>15454915254237.289</v>
      </c>
      <c r="L1176" s="2228"/>
      <c r="M1176" s="1407"/>
      <c r="N1176" s="1407"/>
      <c r="O1176" s="1407"/>
      <c r="P1176" s="1407"/>
      <c r="Q1176" s="1407"/>
      <c r="R1176" s="1407"/>
      <c r="S1176" s="1407"/>
      <c r="T1176" s="1407"/>
      <c r="U1176" s="1407"/>
    </row>
    <row r="1177" spans="1:21" ht="12">
      <c r="A1177" s="639" t="s">
        <v>4525</v>
      </c>
      <c r="B1177" s="1483">
        <v>42726</v>
      </c>
      <c r="C1177" s="639" t="s">
        <v>2126</v>
      </c>
      <c r="D1177" s="1831" t="s">
        <v>4507</v>
      </c>
      <c r="E1177" s="2264">
        <v>42718</v>
      </c>
      <c r="F1177" s="1731">
        <v>23400000000000</v>
      </c>
      <c r="G1177" s="2228">
        <v>11800000000</v>
      </c>
      <c r="H1177" s="2228">
        <v>13000000000000</v>
      </c>
      <c r="I1177" s="1731">
        <v>11700000000</v>
      </c>
      <c r="J1177" s="1407"/>
      <c r="K1177" s="1431">
        <f t="shared" si="141"/>
        <v>65044067796610.172</v>
      </c>
      <c r="L1177" s="1407"/>
      <c r="M1177" s="1407"/>
      <c r="N1177" s="1407"/>
      <c r="O1177" s="1407"/>
      <c r="P1177" s="1407"/>
      <c r="Q1177" s="1407"/>
      <c r="R1177" s="1407"/>
      <c r="S1177" s="1407"/>
      <c r="T1177" s="1407"/>
      <c r="U1177" s="1407"/>
    </row>
    <row r="1178" spans="1:21" ht="12">
      <c r="A1178" s="639" t="s">
        <v>4525</v>
      </c>
      <c r="B1178" s="1483">
        <v>42726</v>
      </c>
      <c r="C1178" s="639" t="s">
        <v>2126</v>
      </c>
      <c r="D1178" s="1831" t="s">
        <v>4508</v>
      </c>
      <c r="E1178" s="2264">
        <v>42718</v>
      </c>
      <c r="F1178" s="2228">
        <v>16900000000000</v>
      </c>
      <c r="G1178" s="2228">
        <v>11800000000</v>
      </c>
      <c r="H1178" s="2228">
        <v>13000000000000</v>
      </c>
      <c r="I1178" s="1731">
        <v>11700000000</v>
      </c>
      <c r="J1178" s="1407"/>
      <c r="K1178" s="1431">
        <f t="shared" si="141"/>
        <v>46976271186440.68</v>
      </c>
      <c r="L1178" s="1407"/>
      <c r="M1178" s="1407"/>
      <c r="N1178" s="1407"/>
      <c r="O1178" s="1407"/>
      <c r="P1178" s="1407"/>
      <c r="Q1178" s="1407"/>
      <c r="R1178" s="1407"/>
      <c r="S1178" s="1407"/>
      <c r="T1178" s="1407"/>
      <c r="U1178" s="1407"/>
    </row>
    <row r="1179" spans="1:21" ht="12">
      <c r="A1179" s="639" t="s">
        <v>4525</v>
      </c>
      <c r="B1179" s="1483">
        <v>42726</v>
      </c>
      <c r="C1179" s="639" t="s">
        <v>2126</v>
      </c>
      <c r="D1179" s="1831" t="s">
        <v>4521</v>
      </c>
      <c r="E1179" s="2264">
        <v>42725</v>
      </c>
      <c r="F1179" s="2228">
        <v>9290000000000</v>
      </c>
      <c r="G1179" s="2228">
        <v>11800000000</v>
      </c>
      <c r="H1179" s="2228">
        <v>13000000000000</v>
      </c>
      <c r="I1179" s="1731">
        <v>11700000000</v>
      </c>
      <c r="J1179" s="1407"/>
      <c r="K1179" s="1431">
        <f t="shared" si="141"/>
        <v>25823050847457.629</v>
      </c>
      <c r="L1179" s="1407"/>
      <c r="M1179" s="1407"/>
      <c r="N1179" s="1407"/>
      <c r="O1179" s="1407"/>
      <c r="P1179" s="1407"/>
      <c r="Q1179" s="1407"/>
      <c r="R1179" s="1407"/>
      <c r="S1179" s="1407"/>
      <c r="T1179" s="1407"/>
      <c r="U1179" s="1407"/>
    </row>
    <row r="1180" spans="1:21" ht="12">
      <c r="A1180" s="639" t="s">
        <v>4525</v>
      </c>
      <c r="B1180" s="1483">
        <v>42726</v>
      </c>
      <c r="C1180" s="639" t="s">
        <v>2126</v>
      </c>
      <c r="D1180" s="1831" t="s">
        <v>4522</v>
      </c>
      <c r="E1180" s="2264">
        <v>42725</v>
      </c>
      <c r="F1180" s="1731">
        <v>4710000000000</v>
      </c>
      <c r="G1180" s="2228">
        <v>11800000000</v>
      </c>
      <c r="H1180" s="2228">
        <v>13000000000000</v>
      </c>
      <c r="I1180" s="1731">
        <v>11700000000</v>
      </c>
      <c r="J1180" s="1407"/>
      <c r="K1180" s="1431">
        <f t="shared" si="141"/>
        <v>13092203389830.51</v>
      </c>
      <c r="L1180" s="1407"/>
      <c r="M1180" s="1407"/>
      <c r="N1180" s="1407"/>
      <c r="O1180" s="1407"/>
      <c r="P1180" s="1407"/>
      <c r="Q1180" s="1407"/>
      <c r="R1180" s="1407"/>
      <c r="S1180" s="1407"/>
      <c r="T1180" s="1407"/>
      <c r="U1180" s="1407"/>
    </row>
    <row r="1181" spans="1:21" ht="12">
      <c r="A1181" s="639" t="s">
        <v>4525</v>
      </c>
      <c r="B1181" s="1483">
        <v>42726</v>
      </c>
      <c r="C1181" s="639" t="s">
        <v>2126</v>
      </c>
      <c r="D1181" s="1831" t="s">
        <v>4523</v>
      </c>
      <c r="E1181" s="2264">
        <v>42725</v>
      </c>
      <c r="F1181" s="1731">
        <v>237000000000</v>
      </c>
      <c r="G1181" s="2228">
        <v>11800000000</v>
      </c>
      <c r="H1181" s="2228">
        <v>13000000000000</v>
      </c>
      <c r="I1181" s="1731">
        <v>11700000000</v>
      </c>
      <c r="J1181" s="1407"/>
      <c r="K1181" s="1431">
        <f t="shared" si="141"/>
        <v>658779661016.94922</v>
      </c>
      <c r="L1181" s="1407"/>
      <c r="M1181" s="1407"/>
      <c r="N1181" s="1407"/>
      <c r="O1181" s="1407"/>
      <c r="P1181" s="1407"/>
      <c r="Q1181" s="1407"/>
      <c r="R1181" s="1407"/>
      <c r="S1181" s="1407"/>
      <c r="T1181" s="1407"/>
      <c r="U1181" s="1407"/>
    </row>
    <row r="1182" spans="1:21" ht="12">
      <c r="A1182" s="639" t="s">
        <v>4525</v>
      </c>
      <c r="B1182" s="1483">
        <v>42726</v>
      </c>
      <c r="C1182" s="639" t="s">
        <v>2126</v>
      </c>
      <c r="D1182" s="1831" t="s">
        <v>4524</v>
      </c>
      <c r="E1182" s="2264">
        <v>42725</v>
      </c>
      <c r="F1182" s="1731">
        <v>467000000000</v>
      </c>
      <c r="G1182" s="2228">
        <v>11800000000</v>
      </c>
      <c r="H1182" s="2228">
        <v>13000000000000</v>
      </c>
      <c r="I1182" s="1731">
        <v>11700000000</v>
      </c>
      <c r="J1182" s="1407"/>
      <c r="K1182" s="1431">
        <f t="shared" si="141"/>
        <v>1298101694915.2544</v>
      </c>
      <c r="L1182" s="1407"/>
      <c r="M1182" s="1407"/>
      <c r="N1182" s="1407"/>
      <c r="O1182" s="1407"/>
      <c r="P1182" s="1407"/>
      <c r="Q1182" s="1407"/>
      <c r="R1182" s="1407"/>
      <c r="S1182" s="1407"/>
      <c r="T1182" s="1407"/>
      <c r="U1182" s="1407"/>
    </row>
    <row r="1183" spans="1:21" ht="12">
      <c r="A1183" s="639"/>
      <c r="B1183" s="1407"/>
      <c r="C1183" s="639"/>
      <c r="D1183" s="1831"/>
      <c r="E1183" s="2264"/>
      <c r="F1183" s="1407"/>
      <c r="G1183" s="2262"/>
      <c r="H1183" s="2262"/>
      <c r="I1183" s="1428"/>
      <c r="J1183" s="1407"/>
      <c r="K1183" s="1431"/>
      <c r="L1183" s="1407"/>
      <c r="M1183" s="1407"/>
      <c r="N1183" s="1407"/>
      <c r="O1183" s="1407"/>
      <c r="P1183" s="1407"/>
      <c r="Q1183" s="1407"/>
      <c r="R1183" s="1407"/>
      <c r="S1183" s="1407"/>
      <c r="T1183" s="1407"/>
      <c r="U1183" s="1407"/>
    </row>
    <row r="1184" spans="1:21" ht="12">
      <c r="A1184" s="639" t="s">
        <v>4529</v>
      </c>
      <c r="B1184" s="1483">
        <v>42380</v>
      </c>
      <c r="C1184" s="639" t="s">
        <v>3212</v>
      </c>
      <c r="D1184" s="1831" t="s">
        <v>4530</v>
      </c>
      <c r="E1184" s="1483">
        <v>42380</v>
      </c>
      <c r="F1184" s="2228">
        <v>113000000000000</v>
      </c>
      <c r="G1184" s="2228">
        <v>5510000000</v>
      </c>
      <c r="H1184" s="2228">
        <v>695000000000</v>
      </c>
      <c r="I1184" s="2228">
        <v>4300000000</v>
      </c>
      <c r="J1184" s="1407"/>
      <c r="K1184" s="1431">
        <f t="shared" ref="K1184:K1191" si="142">(32800000000/G1184)*F1184</f>
        <v>672667876588021.75</v>
      </c>
      <c r="L1184" s="2381">
        <v>42718</v>
      </c>
      <c r="M1184" s="2264">
        <v>42724</v>
      </c>
      <c r="N1184" s="1407"/>
      <c r="O1184" s="1407"/>
      <c r="P1184" s="1407"/>
      <c r="Q1184" s="1407"/>
      <c r="R1184" s="1407"/>
      <c r="S1184" s="1407"/>
      <c r="T1184" s="1407"/>
      <c r="U1184" s="1407"/>
    </row>
    <row r="1185" spans="1:21" ht="12">
      <c r="A1185" s="639" t="s">
        <v>4529</v>
      </c>
      <c r="B1185" s="1483">
        <v>42380</v>
      </c>
      <c r="C1185" s="639" t="s">
        <v>3212</v>
      </c>
      <c r="D1185" s="1831" t="s">
        <v>4531</v>
      </c>
      <c r="E1185" s="1483">
        <v>42380</v>
      </c>
      <c r="F1185" s="2228">
        <v>140000000000000</v>
      </c>
      <c r="G1185" s="2228">
        <v>5510000000</v>
      </c>
      <c r="H1185" s="2228">
        <v>695000000000</v>
      </c>
      <c r="I1185" s="2228">
        <v>4300000000</v>
      </c>
      <c r="J1185" s="1407"/>
      <c r="K1185" s="1431">
        <f t="shared" si="142"/>
        <v>833393829401088.88</v>
      </c>
      <c r="L1185" s="2381">
        <v>42718</v>
      </c>
      <c r="M1185" s="2264">
        <v>42724</v>
      </c>
      <c r="N1185" s="1407"/>
      <c r="O1185" s="1407"/>
      <c r="P1185" s="1407"/>
      <c r="Q1185" s="1407"/>
      <c r="R1185" s="1407"/>
      <c r="S1185" s="1407"/>
      <c r="T1185" s="1407"/>
      <c r="U1185" s="1407"/>
    </row>
    <row r="1186" spans="1:21" ht="12">
      <c r="A1186" s="639" t="s">
        <v>4529</v>
      </c>
      <c r="B1186" s="1483">
        <v>42380</v>
      </c>
      <c r="C1186" s="639" t="s">
        <v>3212</v>
      </c>
      <c r="D1186" s="1831" t="s">
        <v>4532</v>
      </c>
      <c r="E1186" s="1483">
        <v>42380</v>
      </c>
      <c r="F1186" s="2228">
        <v>1570000000000</v>
      </c>
      <c r="G1186" s="2228">
        <v>5510000000</v>
      </c>
      <c r="H1186" s="2228">
        <v>695000000000</v>
      </c>
      <c r="I1186" s="2228">
        <v>4300000000</v>
      </c>
      <c r="J1186" s="1407"/>
      <c r="K1186" s="1431">
        <f t="shared" si="142"/>
        <v>9345916515426.498</v>
      </c>
      <c r="L1186" s="2381">
        <v>42718</v>
      </c>
      <c r="M1186" s="2264">
        <v>42724</v>
      </c>
      <c r="N1186" s="1407"/>
      <c r="O1186" s="1407"/>
      <c r="P1186" s="1407"/>
      <c r="Q1186" s="1407"/>
      <c r="R1186" s="1407"/>
      <c r="S1186" s="1407"/>
      <c r="T1186" s="1407"/>
      <c r="U1186" s="1407"/>
    </row>
    <row r="1187" spans="1:21" ht="12">
      <c r="A1187" s="639" t="s">
        <v>4529</v>
      </c>
      <c r="B1187" s="1483">
        <v>42380</v>
      </c>
      <c r="C1187" s="639" t="s">
        <v>3212</v>
      </c>
      <c r="D1187" s="1831" t="s">
        <v>4533</v>
      </c>
      <c r="E1187" s="1483">
        <v>42380</v>
      </c>
      <c r="F1187" s="2228">
        <v>252000000000000</v>
      </c>
      <c r="G1187" s="2228">
        <v>5510000000</v>
      </c>
      <c r="H1187" s="2228">
        <v>695000000000</v>
      </c>
      <c r="I1187" s="2228">
        <v>4300000000</v>
      </c>
      <c r="J1187" s="1407"/>
      <c r="K1187" s="1431">
        <f t="shared" si="142"/>
        <v>1500108892921960</v>
      </c>
      <c r="L1187" s="2381">
        <v>42718</v>
      </c>
      <c r="M1187" s="2264">
        <v>42724</v>
      </c>
      <c r="N1187" s="1407"/>
      <c r="O1187" s="1407"/>
      <c r="P1187" s="1407"/>
      <c r="Q1187" s="1407"/>
      <c r="R1187" s="1407"/>
      <c r="S1187" s="1407"/>
      <c r="T1187" s="1407"/>
      <c r="U1187" s="1407"/>
    </row>
    <row r="1188" spans="1:21" ht="12">
      <c r="A1188" s="639" t="s">
        <v>4529</v>
      </c>
      <c r="B1188" s="1483">
        <v>42380</v>
      </c>
      <c r="C1188" s="639" t="s">
        <v>3212</v>
      </c>
      <c r="D1188" s="1831" t="s">
        <v>4042</v>
      </c>
      <c r="E1188" s="1483">
        <v>42380</v>
      </c>
      <c r="F1188" s="2228">
        <v>250000000000000</v>
      </c>
      <c r="G1188" s="2228">
        <v>5510000000</v>
      </c>
      <c r="H1188" s="2228">
        <v>695000000000</v>
      </c>
      <c r="I1188" s="2228">
        <v>4300000000</v>
      </c>
      <c r="J1188" s="1407"/>
      <c r="K1188" s="1431">
        <f t="shared" si="142"/>
        <v>1488203266787658.8</v>
      </c>
      <c r="L1188" s="2381">
        <v>42718</v>
      </c>
      <c r="M1188" s="2264">
        <v>42724</v>
      </c>
      <c r="N1188" s="1407"/>
      <c r="O1188" s="1407"/>
      <c r="P1188" s="1407"/>
      <c r="Q1188" s="1407"/>
      <c r="R1188" s="1407"/>
      <c r="S1188" s="1407"/>
      <c r="T1188" s="1407"/>
      <c r="U1188" s="1407"/>
    </row>
    <row r="1189" spans="1:21" ht="12">
      <c r="A1189" s="639" t="s">
        <v>4529</v>
      </c>
      <c r="B1189" s="1483">
        <v>42380</v>
      </c>
      <c r="C1189" s="639" t="s">
        <v>3212</v>
      </c>
      <c r="D1189" s="1831" t="s">
        <v>4319</v>
      </c>
      <c r="E1189" s="1483">
        <v>42380</v>
      </c>
      <c r="F1189" s="2228">
        <v>79100000000000</v>
      </c>
      <c r="G1189" s="2228">
        <v>5510000000</v>
      </c>
      <c r="H1189" s="2228">
        <v>695000000000</v>
      </c>
      <c r="I1189" s="2228">
        <v>4300000000</v>
      </c>
      <c r="J1189" s="1407"/>
      <c r="K1189" s="1431">
        <f t="shared" si="142"/>
        <v>470867513611615.25</v>
      </c>
      <c r="L1189" s="2381">
        <v>42718</v>
      </c>
      <c r="M1189" s="2264">
        <v>42724</v>
      </c>
      <c r="N1189" s="1407"/>
      <c r="O1189" s="1407"/>
      <c r="P1189" s="1407"/>
      <c r="Q1189" s="1407"/>
      <c r="R1189" s="1407"/>
      <c r="S1189" s="1407"/>
      <c r="T1189" s="1407"/>
      <c r="U1189" s="1407"/>
    </row>
    <row r="1190" spans="1:21" ht="12">
      <c r="A1190" s="639" t="s">
        <v>4529</v>
      </c>
      <c r="B1190" s="1483">
        <v>42380</v>
      </c>
      <c r="C1190" s="639" t="s">
        <v>3212</v>
      </c>
      <c r="D1190" s="1831" t="s">
        <v>4321</v>
      </c>
      <c r="E1190" s="1483">
        <v>42380</v>
      </c>
      <c r="F1190" s="2228">
        <v>250000000000000</v>
      </c>
      <c r="G1190" s="2228">
        <v>5510000000</v>
      </c>
      <c r="H1190" s="2228">
        <v>695000000000</v>
      </c>
      <c r="I1190" s="2228">
        <v>4300000000</v>
      </c>
      <c r="J1190" s="1407"/>
      <c r="K1190" s="1431">
        <f t="shared" si="142"/>
        <v>1488203266787658.8</v>
      </c>
      <c r="L1190" s="2381">
        <v>42718</v>
      </c>
      <c r="M1190" s="2264">
        <v>42724</v>
      </c>
      <c r="N1190" s="1407"/>
      <c r="O1190" s="1407"/>
      <c r="P1190" s="1407"/>
      <c r="Q1190" s="1407"/>
      <c r="R1190" s="1407"/>
      <c r="S1190" s="1407"/>
      <c r="T1190" s="1407"/>
      <c r="U1190" s="1407"/>
    </row>
    <row r="1191" spans="1:21" ht="12">
      <c r="A1191" s="639" t="s">
        <v>4529</v>
      </c>
      <c r="B1191" s="1483">
        <v>42380</v>
      </c>
      <c r="C1191" s="639" t="s">
        <v>3212</v>
      </c>
      <c r="D1191" s="1831" t="s">
        <v>4463</v>
      </c>
      <c r="E1191" s="1483">
        <v>42380</v>
      </c>
      <c r="F1191" s="2228">
        <v>1730000000000</v>
      </c>
      <c r="G1191" s="2228">
        <v>5510000000</v>
      </c>
      <c r="H1191" s="2228">
        <v>695000000000</v>
      </c>
      <c r="I1191" s="2228">
        <v>4300000000</v>
      </c>
      <c r="J1191" s="1407"/>
      <c r="K1191" s="1431">
        <f t="shared" si="142"/>
        <v>10298366606170.6</v>
      </c>
      <c r="L1191" s="2381">
        <v>42718</v>
      </c>
      <c r="M1191" s="2264">
        <v>42724</v>
      </c>
      <c r="N1191" s="1407"/>
      <c r="O1191" s="1407"/>
      <c r="P1191" s="1407"/>
      <c r="Q1191" s="1407"/>
      <c r="R1191" s="1407"/>
      <c r="S1191" s="1407"/>
      <c r="T1191" s="1407"/>
      <c r="U1191" s="1407"/>
    </row>
    <row r="1192" spans="1:21" ht="12">
      <c r="A1192" s="639"/>
      <c r="B1192" s="1483"/>
      <c r="C1192" s="639"/>
      <c r="D1192" s="1831"/>
      <c r="E1192" s="2264"/>
      <c r="F1192" s="1407"/>
      <c r="G1192" s="2262"/>
      <c r="H1192" s="2262"/>
      <c r="I1192" s="1428"/>
      <c r="J1192" s="1407"/>
      <c r="K1192" s="1431"/>
      <c r="L1192" s="2381"/>
      <c r="M1192" s="1407"/>
      <c r="N1192" s="1407"/>
      <c r="O1192" s="1407"/>
      <c r="P1192" s="1407"/>
      <c r="Q1192" s="1407"/>
      <c r="R1192" s="1407"/>
      <c r="S1192" s="1407"/>
      <c r="T1192" s="1407"/>
      <c r="U1192" s="1407"/>
    </row>
    <row r="1193" spans="1:21" ht="12">
      <c r="A1193" s="639" t="s">
        <v>4534</v>
      </c>
      <c r="B1193" s="1483">
        <v>42380</v>
      </c>
      <c r="C1193" s="639" t="s">
        <v>3212</v>
      </c>
      <c r="D1193" s="1831" t="s">
        <v>4530</v>
      </c>
      <c r="E1193" s="1483">
        <v>42381</v>
      </c>
      <c r="F1193" s="2228">
        <v>203000000000000</v>
      </c>
      <c r="G1193" s="2228">
        <v>8810000000</v>
      </c>
      <c r="H1193" s="2228">
        <v>399000000000</v>
      </c>
      <c r="I1193" s="2228">
        <v>21200000000</v>
      </c>
      <c r="J1193" s="1407"/>
      <c r="K1193" s="1431">
        <f t="shared" ref="K1193:K1200" si="143">(32800000000/G1193)*F1193</f>
        <v>755777525539160</v>
      </c>
      <c r="L1193" s="2381">
        <v>42718</v>
      </c>
      <c r="M1193" s="2264">
        <v>42724</v>
      </c>
      <c r="N1193" s="1407"/>
      <c r="O1193" s="1407"/>
      <c r="P1193" s="1407"/>
      <c r="Q1193" s="1407"/>
      <c r="R1193" s="1407"/>
      <c r="S1193" s="1407"/>
      <c r="T1193" s="1407"/>
      <c r="U1193" s="1407"/>
    </row>
    <row r="1194" spans="1:21" ht="12">
      <c r="A1194" s="639" t="s">
        <v>4534</v>
      </c>
      <c r="B1194" s="1483">
        <v>42380</v>
      </c>
      <c r="C1194" s="639" t="s">
        <v>3212</v>
      </c>
      <c r="D1194" s="1831" t="s">
        <v>4531</v>
      </c>
      <c r="E1194" s="1483">
        <v>42381</v>
      </c>
      <c r="F1194" s="2228">
        <v>282000000000000</v>
      </c>
      <c r="G1194" s="2228">
        <v>8810000000</v>
      </c>
      <c r="H1194" s="2228">
        <v>399000000000</v>
      </c>
      <c r="I1194" s="2228">
        <v>21200000000</v>
      </c>
      <c r="J1194" s="1407"/>
      <c r="K1194" s="1431">
        <f t="shared" si="143"/>
        <v>1049897843359818.4</v>
      </c>
      <c r="L1194" s="2381">
        <v>42718</v>
      </c>
      <c r="M1194" s="2264">
        <v>42724</v>
      </c>
      <c r="N1194" s="1407"/>
      <c r="O1194" s="1407"/>
      <c r="P1194" s="1407"/>
      <c r="Q1194" s="1407"/>
      <c r="R1194" s="1407"/>
      <c r="S1194" s="1407"/>
      <c r="T1194" s="1407"/>
      <c r="U1194" s="1407"/>
    </row>
    <row r="1195" spans="1:21" ht="12">
      <c r="A1195" s="639" t="s">
        <v>4534</v>
      </c>
      <c r="B1195" s="1483">
        <v>42380</v>
      </c>
      <c r="C1195" s="639" t="s">
        <v>3212</v>
      </c>
      <c r="D1195" s="1831" t="s">
        <v>4532</v>
      </c>
      <c r="E1195" s="1483">
        <v>42381</v>
      </c>
      <c r="F1195" s="2228">
        <v>2730000000000</v>
      </c>
      <c r="G1195" s="2228">
        <v>8810000000</v>
      </c>
      <c r="H1195" s="2228">
        <v>399000000000</v>
      </c>
      <c r="I1195" s="2228">
        <v>21200000000</v>
      </c>
      <c r="J1195" s="1407"/>
      <c r="K1195" s="1431">
        <f t="shared" si="143"/>
        <v>10163904653802.496</v>
      </c>
      <c r="L1195" s="2381">
        <v>42718</v>
      </c>
      <c r="M1195" s="2264">
        <v>42724</v>
      </c>
      <c r="N1195" s="1407"/>
      <c r="O1195" s="1407"/>
      <c r="P1195" s="1407"/>
      <c r="Q1195" s="1407"/>
      <c r="R1195" s="1407"/>
      <c r="S1195" s="1407"/>
      <c r="T1195" s="1407"/>
      <c r="U1195" s="1407"/>
    </row>
    <row r="1196" spans="1:21" ht="12">
      <c r="A1196" s="639" t="s">
        <v>4534</v>
      </c>
      <c r="B1196" s="1483">
        <v>42380</v>
      </c>
      <c r="C1196" s="639" t="s">
        <v>3212</v>
      </c>
      <c r="D1196" s="1831" t="s">
        <v>4533</v>
      </c>
      <c r="E1196" s="1483">
        <v>42381</v>
      </c>
      <c r="F1196" s="2228">
        <v>448000000000000</v>
      </c>
      <c r="G1196" s="2228">
        <v>8810000000</v>
      </c>
      <c r="H1196" s="2228">
        <v>399000000000</v>
      </c>
      <c r="I1196" s="2228">
        <v>21200000000</v>
      </c>
      <c r="J1196" s="1407"/>
      <c r="K1196" s="1431">
        <f t="shared" si="143"/>
        <v>1667922814982973.8</v>
      </c>
      <c r="L1196" s="2381">
        <v>42718</v>
      </c>
      <c r="M1196" s="2264">
        <v>42724</v>
      </c>
      <c r="N1196" s="1407"/>
      <c r="O1196" s="1407"/>
      <c r="P1196" s="1407"/>
      <c r="Q1196" s="1407"/>
      <c r="R1196" s="1407"/>
      <c r="S1196" s="1407"/>
      <c r="T1196" s="1407"/>
      <c r="U1196" s="1407"/>
    </row>
    <row r="1197" spans="1:21" ht="12">
      <c r="A1197" s="639" t="s">
        <v>4534</v>
      </c>
      <c r="B1197" s="1483">
        <v>42380</v>
      </c>
      <c r="C1197" s="639" t="s">
        <v>3212</v>
      </c>
      <c r="D1197" s="1831" t="s">
        <v>4042</v>
      </c>
      <c r="E1197" s="1483">
        <v>42381</v>
      </c>
      <c r="F1197" s="2228">
        <v>484000000000000</v>
      </c>
      <c r="G1197" s="2228">
        <v>8810000000</v>
      </c>
      <c r="H1197" s="2228">
        <v>399000000000</v>
      </c>
      <c r="I1197" s="2228">
        <v>21200000000</v>
      </c>
      <c r="J1197" s="1407"/>
      <c r="K1197" s="1431">
        <f t="shared" si="143"/>
        <v>1801952326901248.5</v>
      </c>
      <c r="L1197" s="2381">
        <v>42718</v>
      </c>
      <c r="M1197" s="2264">
        <v>42724</v>
      </c>
      <c r="N1197" s="1407"/>
      <c r="O1197" s="1407"/>
      <c r="P1197" s="1407"/>
      <c r="Q1197" s="1407"/>
      <c r="R1197" s="1407"/>
      <c r="S1197" s="1407"/>
      <c r="T1197" s="1407"/>
      <c r="U1197" s="1407"/>
    </row>
    <row r="1198" spans="1:21" ht="12">
      <c r="A1198" s="639" t="s">
        <v>4534</v>
      </c>
      <c r="B1198" s="1483">
        <v>42380</v>
      </c>
      <c r="C1198" s="639" t="s">
        <v>3212</v>
      </c>
      <c r="D1198" s="1831" t="s">
        <v>4319</v>
      </c>
      <c r="E1198" s="1483">
        <v>42381</v>
      </c>
      <c r="F1198" s="2228">
        <v>152000000000000</v>
      </c>
      <c r="G1198" s="2228">
        <v>8810000000</v>
      </c>
      <c r="H1198" s="2228">
        <v>399000000000</v>
      </c>
      <c r="I1198" s="2228">
        <v>21200000000</v>
      </c>
      <c r="J1198" s="1407"/>
      <c r="K1198" s="1431">
        <f t="shared" si="143"/>
        <v>565902383654937.5</v>
      </c>
      <c r="L1198" s="2381">
        <v>42718</v>
      </c>
      <c r="M1198" s="2264">
        <v>42724</v>
      </c>
      <c r="N1198" s="1407"/>
      <c r="O1198" s="1407"/>
      <c r="P1198" s="1407"/>
      <c r="Q1198" s="1407"/>
      <c r="R1198" s="1407"/>
      <c r="S1198" s="1407"/>
      <c r="T1198" s="1407"/>
      <c r="U1198" s="1407"/>
    </row>
    <row r="1199" spans="1:21" ht="12">
      <c r="A1199" s="639" t="s">
        <v>4534</v>
      </c>
      <c r="B1199" s="1483">
        <v>42380</v>
      </c>
      <c r="C1199" s="639" t="s">
        <v>3212</v>
      </c>
      <c r="D1199" s="1831" t="s">
        <v>4321</v>
      </c>
      <c r="E1199" s="1483">
        <v>42381</v>
      </c>
      <c r="F1199" s="2228">
        <v>639000000000000</v>
      </c>
      <c r="G1199" s="2228">
        <v>8810000000</v>
      </c>
      <c r="H1199" s="2228">
        <v>399000000000</v>
      </c>
      <c r="I1199" s="2228">
        <v>21200000000</v>
      </c>
      <c r="J1199" s="1407"/>
      <c r="K1199" s="1431">
        <f t="shared" si="143"/>
        <v>2379023836549375.5</v>
      </c>
      <c r="L1199" s="2381">
        <v>42718</v>
      </c>
      <c r="M1199" s="2264">
        <v>42724</v>
      </c>
      <c r="N1199" s="1407"/>
      <c r="O1199" s="1407"/>
      <c r="P1199" s="1407"/>
      <c r="Q1199" s="1407"/>
      <c r="R1199" s="1407"/>
      <c r="S1199" s="1407"/>
      <c r="T1199" s="1407"/>
      <c r="U1199" s="1407"/>
    </row>
    <row r="1200" spans="1:21" ht="12">
      <c r="A1200" s="639" t="s">
        <v>4534</v>
      </c>
      <c r="B1200" s="1483">
        <v>42380</v>
      </c>
      <c r="C1200" s="639" t="s">
        <v>3212</v>
      </c>
      <c r="D1200" s="1831" t="s">
        <v>4463</v>
      </c>
      <c r="E1200" s="1483">
        <v>42381</v>
      </c>
      <c r="F1200" s="2228">
        <v>3710000000000</v>
      </c>
      <c r="G1200" s="2228">
        <v>8810000000</v>
      </c>
      <c r="H1200" s="2228">
        <v>399000000000</v>
      </c>
      <c r="I1200" s="2228">
        <v>21200000000</v>
      </c>
      <c r="J1200" s="1407"/>
      <c r="K1200" s="1431">
        <f t="shared" si="143"/>
        <v>13812485811577.752</v>
      </c>
      <c r="L1200" s="2381">
        <v>42718</v>
      </c>
      <c r="M1200" s="2264">
        <v>42724</v>
      </c>
      <c r="N1200" s="1407"/>
      <c r="O1200" s="1407"/>
      <c r="P1200" s="1407"/>
      <c r="Q1200" s="1407"/>
      <c r="R1200" s="1407"/>
      <c r="S1200" s="1407"/>
      <c r="T1200" s="1407"/>
      <c r="U1200" s="1407"/>
    </row>
    <row r="1201" spans="1:21" ht="12">
      <c r="A1201" s="639"/>
      <c r="B1201" s="1483"/>
      <c r="C1201" s="639"/>
      <c r="D1201" s="1831"/>
      <c r="E1201" s="2264"/>
      <c r="F1201" s="2228"/>
      <c r="G1201" s="2262"/>
      <c r="H1201" s="2262"/>
      <c r="I1201" s="1428"/>
      <c r="J1201" s="1407"/>
      <c r="K1201" s="1431"/>
      <c r="L1201" s="1407"/>
      <c r="M1201" s="1407"/>
      <c r="N1201" s="1407"/>
      <c r="O1201" s="1407"/>
      <c r="P1201" s="1407"/>
      <c r="Q1201" s="1407"/>
      <c r="R1201" s="1407"/>
      <c r="S1201" s="1407"/>
      <c r="T1201" s="1407"/>
      <c r="U1201" s="1407"/>
    </row>
    <row r="1202" spans="1:21" ht="12">
      <c r="A1202" s="639" t="s">
        <v>4535</v>
      </c>
      <c r="B1202" s="1483">
        <v>42753</v>
      </c>
      <c r="C1202" s="639" t="s">
        <v>2126</v>
      </c>
      <c r="D1202" s="1831" t="s">
        <v>4536</v>
      </c>
      <c r="E1202" s="2264">
        <v>42752</v>
      </c>
      <c r="F1202" s="2228">
        <v>1280000000</v>
      </c>
      <c r="G1202" s="2228">
        <v>3440000000</v>
      </c>
      <c r="H1202" s="2228">
        <v>10800000000000</v>
      </c>
      <c r="I1202" s="1731">
        <v>3630000000</v>
      </c>
      <c r="J1202" s="1407"/>
      <c r="K1202" s="1431">
        <f t="shared" ref="K1202:K1212" si="144">(32800000000/G1202)*F1202</f>
        <v>12204651162.790697</v>
      </c>
      <c r="L1202" s="2381">
        <v>42718</v>
      </c>
      <c r="M1202" s="2264">
        <v>42724</v>
      </c>
      <c r="N1202" s="1407"/>
      <c r="O1202" s="1407"/>
      <c r="P1202" s="1407"/>
      <c r="Q1202" s="1407"/>
      <c r="R1202" s="1407"/>
      <c r="S1202" s="1407"/>
      <c r="T1202" s="1407"/>
      <c r="U1202" s="1407"/>
    </row>
    <row r="1203" spans="1:21" ht="12">
      <c r="A1203" s="639" t="s">
        <v>4535</v>
      </c>
      <c r="B1203" s="1483">
        <v>42753</v>
      </c>
      <c r="C1203" s="639" t="s">
        <v>2126</v>
      </c>
      <c r="D1203" s="1831" t="s">
        <v>4537</v>
      </c>
      <c r="E1203" s="2264">
        <v>42752</v>
      </c>
      <c r="F1203" s="2228">
        <v>53300000000000</v>
      </c>
      <c r="G1203" s="2228">
        <v>3440000000</v>
      </c>
      <c r="H1203" s="2228">
        <v>10800000000000</v>
      </c>
      <c r="I1203" s="1731">
        <v>3630000000</v>
      </c>
      <c r="J1203" s="1407"/>
      <c r="K1203" s="1431">
        <f t="shared" si="144"/>
        <v>508209302325581.38</v>
      </c>
      <c r="L1203" s="2381">
        <v>42718</v>
      </c>
      <c r="M1203" s="2264">
        <v>42724</v>
      </c>
      <c r="N1203" s="1407"/>
      <c r="O1203" s="1407"/>
      <c r="P1203" s="1407"/>
      <c r="Q1203" s="1407"/>
      <c r="R1203" s="1407"/>
      <c r="S1203" s="1407"/>
      <c r="T1203" s="1407"/>
      <c r="U1203" s="1407"/>
    </row>
    <row r="1204" spans="1:21" ht="12">
      <c r="A1204" s="639" t="s">
        <v>4535</v>
      </c>
      <c r="B1204" s="1483">
        <v>42753</v>
      </c>
      <c r="C1204" s="639" t="s">
        <v>2126</v>
      </c>
      <c r="D1204" s="1831" t="s">
        <v>4538</v>
      </c>
      <c r="E1204" s="2264">
        <v>42752</v>
      </c>
      <c r="F1204" s="2228">
        <v>70200000000</v>
      </c>
      <c r="G1204" s="2228">
        <v>3440000000</v>
      </c>
      <c r="H1204" s="2228">
        <v>10800000000000</v>
      </c>
      <c r="I1204" s="1731">
        <v>3630000000</v>
      </c>
      <c r="J1204" s="1407"/>
      <c r="K1204" s="1431">
        <f t="shared" si="144"/>
        <v>669348837209.30225</v>
      </c>
      <c r="L1204" s="2381">
        <v>42718</v>
      </c>
      <c r="M1204" s="2264">
        <v>42724</v>
      </c>
      <c r="N1204" s="1407"/>
      <c r="O1204" s="1407"/>
      <c r="P1204" s="1407"/>
      <c r="Q1204" s="1407"/>
      <c r="R1204" s="1407"/>
      <c r="S1204" s="1407"/>
      <c r="T1204" s="1407"/>
      <c r="U1204" s="1407"/>
    </row>
    <row r="1205" spans="1:21" ht="12">
      <c r="A1205" s="639" t="s">
        <v>4535</v>
      </c>
      <c r="B1205" s="1483">
        <v>42753</v>
      </c>
      <c r="C1205" s="639" t="s">
        <v>2126</v>
      </c>
      <c r="D1205" s="1831" t="s">
        <v>4539</v>
      </c>
      <c r="E1205" s="2264">
        <v>42752</v>
      </c>
      <c r="F1205" s="1731">
        <v>335000000000</v>
      </c>
      <c r="G1205" s="2228">
        <v>3440000000</v>
      </c>
      <c r="H1205" s="2228">
        <v>10800000000000</v>
      </c>
      <c r="I1205" s="1731">
        <v>3630000000</v>
      </c>
      <c r="J1205" s="1407"/>
      <c r="K1205" s="1431">
        <f t="shared" si="144"/>
        <v>3194186046511.6274</v>
      </c>
      <c r="L1205" s="2381">
        <v>42718</v>
      </c>
      <c r="M1205" s="2264">
        <v>42724</v>
      </c>
      <c r="N1205" s="1407"/>
      <c r="O1205" s="1407"/>
      <c r="P1205" s="1407"/>
      <c r="Q1205" s="1407"/>
      <c r="R1205" s="1407"/>
      <c r="S1205" s="1407"/>
      <c r="T1205" s="1407"/>
      <c r="U1205" s="1407"/>
    </row>
    <row r="1206" spans="1:21" ht="12">
      <c r="A1206" s="639" t="s">
        <v>4535</v>
      </c>
      <c r="B1206" s="1483">
        <v>42753</v>
      </c>
      <c r="C1206" s="639" t="s">
        <v>2126</v>
      </c>
      <c r="D1206" s="1831" t="s">
        <v>4540</v>
      </c>
      <c r="E1206" s="2264">
        <v>42752</v>
      </c>
      <c r="F1206" s="1731">
        <v>6140000000000</v>
      </c>
      <c r="G1206" s="2228">
        <v>3440000000</v>
      </c>
      <c r="H1206" s="2228">
        <v>10800000000000</v>
      </c>
      <c r="I1206" s="1731">
        <v>3630000000</v>
      </c>
      <c r="J1206" s="1407"/>
      <c r="K1206" s="1431">
        <f t="shared" si="144"/>
        <v>58544186046511.625</v>
      </c>
      <c r="L1206" s="2381">
        <v>42718</v>
      </c>
      <c r="M1206" s="2264">
        <v>42724</v>
      </c>
      <c r="N1206" s="1407"/>
      <c r="O1206" s="1407"/>
      <c r="P1206" s="1407"/>
      <c r="Q1206" s="1407"/>
      <c r="R1206" s="1407"/>
      <c r="S1206" s="1407"/>
      <c r="T1206" s="1407"/>
      <c r="U1206" s="1407"/>
    </row>
    <row r="1207" spans="1:21" ht="12">
      <c r="A1207" s="639" t="s">
        <v>4535</v>
      </c>
      <c r="B1207" s="1483">
        <v>42753</v>
      </c>
      <c r="C1207" s="639" t="s">
        <v>2126</v>
      </c>
      <c r="D1207" s="1831" t="s">
        <v>4541</v>
      </c>
      <c r="E1207" s="2264">
        <v>42752</v>
      </c>
      <c r="F1207" s="1731">
        <v>1330000000000</v>
      </c>
      <c r="G1207" s="2228">
        <v>3440000000</v>
      </c>
      <c r="H1207" s="2228">
        <v>10800000000000</v>
      </c>
      <c r="I1207" s="1731">
        <v>3630000000</v>
      </c>
      <c r="J1207" s="1407"/>
      <c r="K1207" s="1431">
        <f t="shared" si="144"/>
        <v>12681395348837.209</v>
      </c>
      <c r="L1207" s="2381">
        <v>42718</v>
      </c>
      <c r="M1207" s="2264">
        <v>42724</v>
      </c>
      <c r="N1207" s="1407"/>
      <c r="O1207" s="1407"/>
      <c r="P1207" s="1407"/>
      <c r="Q1207" s="1407"/>
      <c r="R1207" s="1407"/>
      <c r="S1207" s="1407"/>
      <c r="T1207" s="1407"/>
      <c r="U1207" s="1407"/>
    </row>
    <row r="1208" spans="1:21" ht="12">
      <c r="A1208" s="639" t="s">
        <v>4535</v>
      </c>
      <c r="B1208" s="1483">
        <v>42753</v>
      </c>
      <c r="C1208" s="639" t="s">
        <v>2126</v>
      </c>
      <c r="D1208" s="1831" t="s">
        <v>4542</v>
      </c>
      <c r="E1208" s="2264">
        <v>42752</v>
      </c>
      <c r="F1208" s="1731">
        <v>14100000000000</v>
      </c>
      <c r="G1208" s="2228">
        <v>3440000000</v>
      </c>
      <c r="H1208" s="2228">
        <v>10800000000000</v>
      </c>
      <c r="I1208" s="1731">
        <v>3630000000</v>
      </c>
      <c r="J1208" s="1407"/>
      <c r="K1208" s="1431">
        <f t="shared" si="144"/>
        <v>134441860465116.27</v>
      </c>
      <c r="L1208" s="2381">
        <v>42718</v>
      </c>
      <c r="M1208" s="2264">
        <v>42724</v>
      </c>
      <c r="N1208" s="1407"/>
      <c r="O1208" s="1407"/>
      <c r="P1208" s="1407"/>
      <c r="Q1208" s="1407"/>
      <c r="R1208" s="1407"/>
      <c r="S1208" s="1407"/>
      <c r="T1208" s="1407"/>
      <c r="U1208" s="1407"/>
    </row>
    <row r="1209" spans="1:21" ht="12">
      <c r="A1209" s="639" t="s">
        <v>4535</v>
      </c>
      <c r="B1209" s="1483">
        <v>42753</v>
      </c>
      <c r="C1209" s="639" t="s">
        <v>2126</v>
      </c>
      <c r="D1209" s="1831" t="s">
        <v>4543</v>
      </c>
      <c r="E1209" s="2264">
        <v>42752</v>
      </c>
      <c r="F1209" s="1731">
        <v>3730000000</v>
      </c>
      <c r="G1209" s="2228">
        <v>3440000000</v>
      </c>
      <c r="H1209" s="2228">
        <v>10800000000000</v>
      </c>
      <c r="I1209" s="1731">
        <v>3630000000</v>
      </c>
      <c r="J1209" s="1407"/>
      <c r="K1209" s="1431">
        <f t="shared" si="144"/>
        <v>35565116279.069763</v>
      </c>
      <c r="L1209" s="2381">
        <v>42718</v>
      </c>
      <c r="M1209" s="2264">
        <v>42724</v>
      </c>
      <c r="N1209" s="1407"/>
      <c r="O1209" s="1407"/>
      <c r="P1209" s="1407"/>
      <c r="Q1209" s="1407"/>
      <c r="R1209" s="1407"/>
      <c r="S1209" s="1407"/>
      <c r="T1209" s="1407"/>
      <c r="U1209" s="1407"/>
    </row>
    <row r="1210" spans="1:21" ht="12">
      <c r="A1210" s="639" t="s">
        <v>4535</v>
      </c>
      <c r="B1210" s="1483">
        <v>42753</v>
      </c>
      <c r="C1210" s="639" t="s">
        <v>2126</v>
      </c>
      <c r="D1210" s="1831" t="s">
        <v>4544</v>
      </c>
      <c r="E1210" s="2264">
        <v>42752</v>
      </c>
      <c r="F1210" s="1731">
        <v>1420000000</v>
      </c>
      <c r="G1210" s="2228">
        <v>3440000000</v>
      </c>
      <c r="H1210" s="2228">
        <v>10800000000000</v>
      </c>
      <c r="I1210" s="1731">
        <v>3630000000</v>
      </c>
      <c r="J1210" s="1407"/>
      <c r="K1210" s="1431">
        <f t="shared" si="144"/>
        <v>13539534883.720928</v>
      </c>
      <c r="L1210" s="2381">
        <v>42718</v>
      </c>
      <c r="M1210" s="2264">
        <v>42724</v>
      </c>
      <c r="N1210" s="1407"/>
      <c r="O1210" s="1407"/>
      <c r="P1210" s="1407"/>
      <c r="Q1210" s="1407"/>
      <c r="R1210" s="1407"/>
      <c r="S1210" s="1407"/>
      <c r="T1210" s="1407"/>
      <c r="U1210" s="1407"/>
    </row>
    <row r="1211" spans="1:21" ht="12">
      <c r="A1211" s="639" t="s">
        <v>4535</v>
      </c>
      <c r="B1211" s="1483">
        <v>42753</v>
      </c>
      <c r="C1211" s="639" t="s">
        <v>2126</v>
      </c>
      <c r="D1211" s="1831" t="s">
        <v>4545</v>
      </c>
      <c r="E1211" s="2264">
        <v>42752</v>
      </c>
      <c r="F1211" s="1731">
        <v>398000000000</v>
      </c>
      <c r="G1211" s="2228">
        <v>3440000000</v>
      </c>
      <c r="H1211" s="2228">
        <v>10800000000000</v>
      </c>
      <c r="I1211" s="1731">
        <v>3630000000</v>
      </c>
      <c r="J1211" s="1407"/>
      <c r="K1211" s="1431">
        <f t="shared" si="144"/>
        <v>3794883720930.2324</v>
      </c>
      <c r="L1211" s="2381">
        <v>42718</v>
      </c>
      <c r="M1211" s="2264">
        <v>42724</v>
      </c>
      <c r="N1211" s="1407"/>
      <c r="O1211" s="1407"/>
      <c r="P1211" s="1407"/>
      <c r="Q1211" s="1407"/>
      <c r="R1211" s="1407"/>
      <c r="S1211" s="1407"/>
      <c r="T1211" s="1407"/>
      <c r="U1211" s="1407"/>
    </row>
    <row r="1212" spans="1:21" ht="12">
      <c r="A1212" s="639" t="s">
        <v>4535</v>
      </c>
      <c r="B1212" s="1483">
        <v>42753</v>
      </c>
      <c r="C1212" s="639" t="s">
        <v>2126</v>
      </c>
      <c r="D1212" s="1831" t="s">
        <v>4546</v>
      </c>
      <c r="E1212" s="2264">
        <v>42752</v>
      </c>
      <c r="F1212" s="1731">
        <v>10100000000000</v>
      </c>
      <c r="G1212" s="2228">
        <v>3440000000</v>
      </c>
      <c r="H1212" s="2228">
        <v>10800000000000</v>
      </c>
      <c r="I1212" s="1731">
        <v>3630000000</v>
      </c>
      <c r="J1212" s="1407"/>
      <c r="K1212" s="1431">
        <f t="shared" si="144"/>
        <v>96302325581395.344</v>
      </c>
      <c r="L1212" s="2381">
        <v>42718</v>
      </c>
      <c r="M1212" s="2264">
        <v>42724</v>
      </c>
      <c r="N1212" s="1407"/>
      <c r="O1212" s="1407"/>
      <c r="P1212" s="1407"/>
      <c r="Q1212" s="1407"/>
      <c r="R1212" s="1407"/>
      <c r="S1212" s="1407"/>
      <c r="T1212" s="1407"/>
      <c r="U1212" s="1407"/>
    </row>
    <row r="1213" spans="1:21" ht="12">
      <c r="A1213" s="639"/>
      <c r="B1213" s="1483"/>
      <c r="C1213" s="639"/>
      <c r="D1213" s="1831"/>
      <c r="E1213" s="2264"/>
      <c r="F1213" s="1407"/>
      <c r="G1213" s="2262"/>
      <c r="H1213" s="2262"/>
      <c r="I1213" s="1428"/>
      <c r="J1213" s="1407"/>
      <c r="K1213" s="1431"/>
      <c r="L1213" s="1407"/>
      <c r="M1213" s="1407"/>
      <c r="N1213" s="1407"/>
      <c r="O1213" s="1407"/>
      <c r="P1213" s="1407"/>
      <c r="Q1213" s="1407"/>
      <c r="R1213" s="1407"/>
      <c r="S1213" s="1407"/>
      <c r="T1213" s="1407"/>
      <c r="U1213" s="1407"/>
    </row>
    <row r="1214" spans="1:21" ht="12">
      <c r="A1214" s="639" t="s">
        <v>4547</v>
      </c>
      <c r="B1214" s="1483">
        <v>42753</v>
      </c>
      <c r="C1214" s="639" t="s">
        <v>2126</v>
      </c>
      <c r="D1214" s="1831" t="s">
        <v>4536</v>
      </c>
      <c r="E1214" s="2264">
        <v>42752</v>
      </c>
      <c r="F1214" s="1731">
        <v>4560000000</v>
      </c>
      <c r="G1214" s="2228">
        <v>12500000000</v>
      </c>
      <c r="H1214" s="2262"/>
      <c r="I1214" s="1428"/>
      <c r="J1214" s="1407"/>
      <c r="K1214" s="1431">
        <f t="shared" ref="K1214:K1224" si="145">(32800000000/G1214)*F1214</f>
        <v>11965440000</v>
      </c>
      <c r="L1214" s="2381">
        <v>42718</v>
      </c>
      <c r="M1214" s="2264">
        <v>42724</v>
      </c>
      <c r="N1214" s="1407"/>
      <c r="O1214" s="1407"/>
      <c r="P1214" s="1407"/>
      <c r="Q1214" s="1407"/>
      <c r="R1214" s="1407"/>
      <c r="S1214" s="1407"/>
      <c r="T1214" s="1407"/>
      <c r="U1214" s="1407"/>
    </row>
    <row r="1215" spans="1:21" ht="12">
      <c r="A1215" s="639" t="s">
        <v>4547</v>
      </c>
      <c r="B1215" s="1483">
        <v>42753</v>
      </c>
      <c r="C1215" s="639" t="s">
        <v>2126</v>
      </c>
      <c r="D1215" s="1831" t="s">
        <v>4537</v>
      </c>
      <c r="E1215" s="2264">
        <v>42752</v>
      </c>
      <c r="F1215" s="1731">
        <v>80800000000000</v>
      </c>
      <c r="G1215" s="2228">
        <v>12500000000</v>
      </c>
      <c r="H1215" s="2262"/>
      <c r="I1215" s="1428"/>
      <c r="J1215" s="1407"/>
      <c r="K1215" s="1431">
        <f t="shared" si="145"/>
        <v>212019200000000</v>
      </c>
      <c r="L1215" s="2381">
        <v>42718</v>
      </c>
      <c r="M1215" s="2264">
        <v>42724</v>
      </c>
      <c r="N1215" s="1407"/>
      <c r="O1215" s="1407"/>
      <c r="P1215" s="1407"/>
      <c r="Q1215" s="1407"/>
      <c r="R1215" s="1407"/>
      <c r="S1215" s="1407"/>
      <c r="T1215" s="1407"/>
      <c r="U1215" s="1407"/>
    </row>
    <row r="1216" spans="1:21" ht="12">
      <c r="A1216" s="639" t="s">
        <v>4547</v>
      </c>
      <c r="B1216" s="1483">
        <v>42753</v>
      </c>
      <c r="C1216" s="639" t="s">
        <v>2126</v>
      </c>
      <c r="D1216" s="1831" t="s">
        <v>4538</v>
      </c>
      <c r="E1216" s="2264">
        <v>42752</v>
      </c>
      <c r="F1216" s="1731">
        <v>121000000000</v>
      </c>
      <c r="G1216" s="2228">
        <v>12500000000</v>
      </c>
      <c r="H1216" s="2262"/>
      <c r="I1216" s="1428"/>
      <c r="J1216" s="1407"/>
      <c r="K1216" s="1431">
        <f t="shared" si="145"/>
        <v>317504000000</v>
      </c>
      <c r="L1216" s="2381">
        <v>42718</v>
      </c>
      <c r="M1216" s="2264">
        <v>42724</v>
      </c>
      <c r="N1216" s="1407"/>
      <c r="O1216" s="1407"/>
      <c r="P1216" s="1407"/>
      <c r="Q1216" s="1407"/>
      <c r="R1216" s="1407"/>
      <c r="S1216" s="1407"/>
      <c r="T1216" s="1407"/>
      <c r="U1216" s="1407"/>
    </row>
    <row r="1217" spans="1:21" ht="12">
      <c r="A1217" s="639" t="s">
        <v>4547</v>
      </c>
      <c r="B1217" s="1483">
        <v>42753</v>
      </c>
      <c r="C1217" s="639" t="s">
        <v>2126</v>
      </c>
      <c r="D1217" s="1831" t="s">
        <v>4539</v>
      </c>
      <c r="E1217" s="2264">
        <v>42752</v>
      </c>
      <c r="F1217" s="1731">
        <v>500000000000</v>
      </c>
      <c r="G1217" s="2228">
        <v>12500000000</v>
      </c>
      <c r="H1217" s="2262"/>
      <c r="I1217" s="1428"/>
      <c r="J1217" s="1407"/>
      <c r="K1217" s="1431">
        <f t="shared" si="145"/>
        <v>1312000000000</v>
      </c>
      <c r="L1217" s="2381">
        <v>42718</v>
      </c>
      <c r="M1217" s="2264">
        <v>42724</v>
      </c>
      <c r="N1217" s="1407"/>
      <c r="O1217" s="1407"/>
      <c r="P1217" s="1407"/>
      <c r="Q1217" s="1407"/>
      <c r="R1217" s="1407"/>
      <c r="S1217" s="1407"/>
      <c r="T1217" s="1407"/>
      <c r="U1217" s="1407"/>
    </row>
    <row r="1218" spans="1:21" ht="12">
      <c r="A1218" s="639" t="s">
        <v>4547</v>
      </c>
      <c r="B1218" s="1483">
        <v>42753</v>
      </c>
      <c r="C1218" s="639" t="s">
        <v>2126</v>
      </c>
      <c r="D1218" s="1831" t="s">
        <v>4540</v>
      </c>
      <c r="E1218" s="2264">
        <v>42752</v>
      </c>
      <c r="F1218" s="1731">
        <v>9480000000000</v>
      </c>
      <c r="G1218" s="2228">
        <v>12500000000</v>
      </c>
      <c r="H1218" s="2262"/>
      <c r="I1218" s="1428"/>
      <c r="J1218" s="1407"/>
      <c r="K1218" s="1431">
        <f t="shared" si="145"/>
        <v>24875520000000</v>
      </c>
      <c r="L1218" s="2381">
        <v>42718</v>
      </c>
      <c r="M1218" s="2264">
        <v>42724</v>
      </c>
      <c r="N1218" s="1407"/>
      <c r="O1218" s="1407"/>
      <c r="P1218" s="1407"/>
      <c r="Q1218" s="1407"/>
      <c r="R1218" s="1407"/>
      <c r="S1218" s="1407"/>
      <c r="T1218" s="1407"/>
      <c r="U1218" s="1407"/>
    </row>
    <row r="1219" spans="1:21" ht="12">
      <c r="A1219" s="639" t="s">
        <v>4547</v>
      </c>
      <c r="B1219" s="1483">
        <v>42753</v>
      </c>
      <c r="C1219" s="639" t="s">
        <v>2126</v>
      </c>
      <c r="D1219" s="1831" t="s">
        <v>4541</v>
      </c>
      <c r="E1219" s="2264">
        <v>42752</v>
      </c>
      <c r="F1219" s="1731">
        <v>2680000000000</v>
      </c>
      <c r="G1219" s="2228">
        <v>12500000000</v>
      </c>
      <c r="H1219" s="2262"/>
      <c r="I1219" s="1428"/>
      <c r="J1219" s="1407"/>
      <c r="K1219" s="1431">
        <f t="shared" si="145"/>
        <v>7032320000000</v>
      </c>
      <c r="L1219" s="2381">
        <v>42718</v>
      </c>
      <c r="M1219" s="2264">
        <v>42724</v>
      </c>
      <c r="N1219" s="1407"/>
      <c r="O1219" s="1407"/>
      <c r="P1219" s="1407"/>
      <c r="Q1219" s="1407"/>
      <c r="R1219" s="1407"/>
      <c r="S1219" s="1407"/>
      <c r="T1219" s="1407"/>
      <c r="U1219" s="1407"/>
    </row>
    <row r="1220" spans="1:21" ht="12">
      <c r="A1220" s="639" t="s">
        <v>4547</v>
      </c>
      <c r="B1220" s="1483">
        <v>42753</v>
      </c>
      <c r="C1220" s="639" t="s">
        <v>2126</v>
      </c>
      <c r="D1220" s="1831" t="s">
        <v>4542</v>
      </c>
      <c r="E1220" s="2264">
        <v>42752</v>
      </c>
      <c r="F1220" s="1731">
        <v>15700000000000</v>
      </c>
      <c r="G1220" s="2228">
        <v>12500000000</v>
      </c>
      <c r="H1220" s="2262"/>
      <c r="I1220" s="1428"/>
      <c r="J1220" s="1407"/>
      <c r="K1220" s="1431">
        <f t="shared" si="145"/>
        <v>41196800000000</v>
      </c>
      <c r="L1220" s="2381">
        <v>42718</v>
      </c>
      <c r="M1220" s="2264">
        <v>42724</v>
      </c>
      <c r="N1220" s="1407"/>
      <c r="O1220" s="1407"/>
      <c r="P1220" s="1407"/>
      <c r="Q1220" s="1407"/>
      <c r="R1220" s="1407"/>
      <c r="S1220" s="1407"/>
      <c r="T1220" s="1407"/>
      <c r="U1220" s="1407"/>
    </row>
    <row r="1221" spans="1:21" ht="12">
      <c r="A1221" s="639" t="s">
        <v>4547</v>
      </c>
      <c r="B1221" s="1483">
        <v>42753</v>
      </c>
      <c r="C1221" s="639" t="s">
        <v>2126</v>
      </c>
      <c r="D1221" s="1831" t="s">
        <v>4543</v>
      </c>
      <c r="E1221" s="2264">
        <v>42752</v>
      </c>
      <c r="F1221" s="1731">
        <v>24400000000</v>
      </c>
      <c r="G1221" s="2228">
        <v>12500000000</v>
      </c>
      <c r="H1221" s="2262"/>
      <c r="I1221" s="1428"/>
      <c r="J1221" s="1407"/>
      <c r="K1221" s="1431">
        <f t="shared" si="145"/>
        <v>64025600000</v>
      </c>
      <c r="L1221" s="2381">
        <v>42718</v>
      </c>
      <c r="M1221" s="2264">
        <v>42724</v>
      </c>
      <c r="N1221" s="1407"/>
      <c r="O1221" s="1407"/>
      <c r="P1221" s="1407"/>
      <c r="Q1221" s="1407"/>
      <c r="R1221" s="1407"/>
      <c r="S1221" s="1407"/>
      <c r="T1221" s="1407"/>
      <c r="U1221" s="1407"/>
    </row>
    <row r="1222" spans="1:21" ht="12">
      <c r="A1222" s="639" t="s">
        <v>4547</v>
      </c>
      <c r="B1222" s="1483">
        <v>42753</v>
      </c>
      <c r="C1222" s="639" t="s">
        <v>2126</v>
      </c>
      <c r="D1222" s="1831" t="s">
        <v>4544</v>
      </c>
      <c r="E1222" s="2264">
        <v>42752</v>
      </c>
      <c r="F1222" s="1731">
        <v>5150000000</v>
      </c>
      <c r="G1222" s="2228">
        <v>12500000000</v>
      </c>
      <c r="H1222" s="2262"/>
      <c r="I1222" s="1428"/>
      <c r="J1222" s="1407"/>
      <c r="K1222" s="1431">
        <f t="shared" si="145"/>
        <v>13513600000</v>
      </c>
      <c r="L1222" s="2381">
        <v>42718</v>
      </c>
      <c r="M1222" s="2264">
        <v>42724</v>
      </c>
      <c r="N1222" s="1407"/>
      <c r="O1222" s="1407"/>
      <c r="P1222" s="1407"/>
      <c r="Q1222" s="1407"/>
      <c r="R1222" s="1407"/>
      <c r="S1222" s="1407"/>
      <c r="T1222" s="1407"/>
      <c r="U1222" s="1407"/>
    </row>
    <row r="1223" spans="1:21" ht="12">
      <c r="A1223" s="639" t="s">
        <v>4547</v>
      </c>
      <c r="B1223" s="1483">
        <v>42753</v>
      </c>
      <c r="C1223" s="639" t="s">
        <v>2126</v>
      </c>
      <c r="D1223" s="1831" t="s">
        <v>4545</v>
      </c>
      <c r="E1223" s="2264">
        <v>42752</v>
      </c>
      <c r="F1223" s="1731">
        <v>946000000000</v>
      </c>
      <c r="G1223" s="2228">
        <v>12500000000</v>
      </c>
      <c r="H1223" s="2262"/>
      <c r="I1223" s="1428"/>
      <c r="J1223" s="1407"/>
      <c r="K1223" s="1431">
        <f t="shared" si="145"/>
        <v>2482304000000</v>
      </c>
      <c r="L1223" s="2381">
        <v>42718</v>
      </c>
      <c r="M1223" s="2264">
        <v>42724</v>
      </c>
      <c r="N1223" s="1407"/>
      <c r="O1223" s="1407"/>
      <c r="P1223" s="1407"/>
      <c r="Q1223" s="1407"/>
      <c r="R1223" s="1407"/>
      <c r="S1223" s="1407"/>
      <c r="T1223" s="1407"/>
      <c r="U1223" s="1407"/>
    </row>
    <row r="1224" spans="1:21" ht="12">
      <c r="A1224" s="639" t="s">
        <v>4547</v>
      </c>
      <c r="B1224" s="1483">
        <v>42753</v>
      </c>
      <c r="C1224" s="639" t="s">
        <v>2126</v>
      </c>
      <c r="D1224" s="1831" t="s">
        <v>4546</v>
      </c>
      <c r="E1224" s="2264">
        <v>42752</v>
      </c>
      <c r="F1224" s="1731">
        <v>13500000000000</v>
      </c>
      <c r="G1224" s="2228">
        <v>12500000000</v>
      </c>
      <c r="H1224" s="2262"/>
      <c r="I1224" s="1428"/>
      <c r="J1224" s="1407"/>
      <c r="K1224" s="1431">
        <f t="shared" si="145"/>
        <v>35424000000000</v>
      </c>
      <c r="L1224" s="2381">
        <v>42718</v>
      </c>
      <c r="M1224" s="2264">
        <v>42724</v>
      </c>
      <c r="N1224" s="1407"/>
      <c r="O1224" s="1407"/>
      <c r="P1224" s="1407"/>
      <c r="Q1224" s="1407"/>
      <c r="R1224" s="1407"/>
      <c r="S1224" s="1407"/>
      <c r="T1224" s="1407"/>
      <c r="U1224" s="1407"/>
    </row>
    <row r="1225" spans="1:21" ht="12">
      <c r="A1225" s="639"/>
      <c r="B1225" s="1483"/>
      <c r="C1225" s="639"/>
      <c r="D1225" s="1831"/>
      <c r="E1225" s="2264"/>
      <c r="F1225" s="1407"/>
      <c r="G1225" s="2262"/>
      <c r="H1225" s="2262"/>
      <c r="I1225" s="1428"/>
      <c r="J1225" s="1407"/>
      <c r="K1225" s="1431"/>
      <c r="L1225" s="1407"/>
      <c r="M1225" s="1407"/>
      <c r="N1225" s="1407"/>
      <c r="O1225" s="1407"/>
      <c r="P1225" s="1407"/>
      <c r="Q1225" s="1407"/>
      <c r="R1225" s="1407"/>
      <c r="S1225" s="1407"/>
      <c r="T1225" s="1407"/>
      <c r="U1225" s="1407"/>
    </row>
    <row r="1226" spans="1:21" ht="12">
      <c r="A1226" s="639" t="s">
        <v>4548</v>
      </c>
      <c r="B1226" s="1483">
        <v>42760</v>
      </c>
      <c r="C1226" s="639" t="s">
        <v>3212</v>
      </c>
      <c r="D1226" s="641">
        <v>860</v>
      </c>
      <c r="E1226" s="2264">
        <v>42759</v>
      </c>
      <c r="F1226" s="2442" t="s">
        <v>4549</v>
      </c>
      <c r="G1226" s="2442" t="s">
        <v>4550</v>
      </c>
      <c r="H1226" s="2262"/>
      <c r="I1226" s="1428"/>
      <c r="J1226" s="1407"/>
      <c r="K1226" s="1431">
        <f t="shared" ref="K1226:K1239" si="146">(32800000000/G1226)*F1226</f>
        <v>70376699029126.219</v>
      </c>
      <c r="L1226" s="2381">
        <v>42718</v>
      </c>
      <c r="M1226" s="2264">
        <v>42724</v>
      </c>
      <c r="N1226" s="1407"/>
      <c r="O1226" s="1407"/>
      <c r="P1226" s="1407"/>
      <c r="Q1226" s="1407"/>
      <c r="R1226" s="1407"/>
      <c r="S1226" s="1407"/>
      <c r="T1226" s="1407"/>
      <c r="U1226" s="1407"/>
    </row>
    <row r="1227" spans="1:21" ht="12">
      <c r="A1227" s="639" t="s">
        <v>4548</v>
      </c>
      <c r="B1227" s="1483">
        <v>42760</v>
      </c>
      <c r="C1227" s="639" t="s">
        <v>3212</v>
      </c>
      <c r="D1227" s="641">
        <v>861</v>
      </c>
      <c r="E1227" s="2264">
        <v>42759</v>
      </c>
      <c r="F1227" s="2442" t="s">
        <v>4551</v>
      </c>
      <c r="G1227" s="2442" t="s">
        <v>4550</v>
      </c>
      <c r="H1227" s="2262"/>
      <c r="I1227" s="1428"/>
      <c r="J1227" s="1407"/>
      <c r="K1227" s="1431">
        <f t="shared" si="146"/>
        <v>38054368932038.836</v>
      </c>
      <c r="L1227" s="2381">
        <v>42718</v>
      </c>
      <c r="M1227" s="2264">
        <v>42724</v>
      </c>
      <c r="N1227" s="1407"/>
      <c r="O1227" s="1407"/>
      <c r="P1227" s="1407"/>
      <c r="Q1227" s="1407"/>
      <c r="R1227" s="1407"/>
      <c r="S1227" s="1407"/>
      <c r="T1227" s="1407"/>
      <c r="U1227" s="1407"/>
    </row>
    <row r="1228" spans="1:21" ht="12">
      <c r="A1228" s="639" t="s">
        <v>4548</v>
      </c>
      <c r="B1228" s="1483">
        <v>42760</v>
      </c>
      <c r="C1228" s="639" t="s">
        <v>3212</v>
      </c>
      <c r="D1228" s="641">
        <v>862</v>
      </c>
      <c r="E1228" s="2264">
        <v>42759</v>
      </c>
      <c r="F1228" s="2442" t="s">
        <v>4553</v>
      </c>
      <c r="G1228" s="2442" t="s">
        <v>4550</v>
      </c>
      <c r="H1228" s="2262"/>
      <c r="I1228" s="1428"/>
      <c r="J1228" s="1407"/>
      <c r="K1228" s="1431">
        <f t="shared" si="146"/>
        <v>142504854368932.03</v>
      </c>
      <c r="L1228" s="2381">
        <v>42718</v>
      </c>
      <c r="M1228" s="2264">
        <v>42724</v>
      </c>
      <c r="N1228" s="1407"/>
      <c r="O1228" s="1407"/>
      <c r="P1228" s="1407"/>
      <c r="Q1228" s="1407"/>
      <c r="R1228" s="1407"/>
      <c r="S1228" s="1407"/>
      <c r="T1228" s="1407"/>
      <c r="U1228" s="1407"/>
    </row>
    <row r="1229" spans="1:21" ht="12">
      <c r="A1229" s="639" t="s">
        <v>4548</v>
      </c>
      <c r="B1229" s="1483">
        <v>42760</v>
      </c>
      <c r="C1229" s="639" t="s">
        <v>3212</v>
      </c>
      <c r="D1229" s="641">
        <v>863</v>
      </c>
      <c r="E1229" s="2264">
        <v>42759</v>
      </c>
      <c r="F1229" s="2442" t="s">
        <v>4554</v>
      </c>
      <c r="G1229" s="2442" t="s">
        <v>4550</v>
      </c>
      <c r="H1229" s="2262"/>
      <c r="I1229" s="1428"/>
      <c r="J1229" s="1407"/>
      <c r="K1229" s="1431">
        <f t="shared" si="146"/>
        <v>496776699029126.19</v>
      </c>
      <c r="L1229" s="2381">
        <v>42718</v>
      </c>
      <c r="M1229" s="2264">
        <v>42724</v>
      </c>
      <c r="N1229" s="1407"/>
      <c r="O1229" s="1407"/>
      <c r="P1229" s="1407"/>
      <c r="Q1229" s="1407"/>
      <c r="R1229" s="1407"/>
      <c r="S1229" s="1407"/>
      <c r="T1229" s="1407"/>
      <c r="U1229" s="1407"/>
    </row>
    <row r="1230" spans="1:21" ht="12">
      <c r="A1230" s="639" t="s">
        <v>4548</v>
      </c>
      <c r="B1230" s="1483">
        <v>42760</v>
      </c>
      <c r="C1230" s="639" t="s">
        <v>3212</v>
      </c>
      <c r="D1230" s="641">
        <v>864</v>
      </c>
      <c r="E1230" s="2264">
        <v>42759</v>
      </c>
      <c r="F1230" s="2442" t="s">
        <v>4555</v>
      </c>
      <c r="G1230" s="2442" t="s">
        <v>4550</v>
      </c>
      <c r="H1230" s="2262"/>
      <c r="I1230" s="1428"/>
      <c r="J1230" s="1407"/>
      <c r="K1230" s="1431">
        <f t="shared" si="146"/>
        <v>853436893203883.5</v>
      </c>
      <c r="L1230" s="2381">
        <v>42718</v>
      </c>
      <c r="M1230" s="2264">
        <v>42724</v>
      </c>
      <c r="N1230" s="1407"/>
      <c r="O1230" s="1407"/>
      <c r="P1230" s="1407"/>
      <c r="Q1230" s="1407"/>
      <c r="R1230" s="1407"/>
      <c r="S1230" s="1407"/>
      <c r="T1230" s="1407"/>
      <c r="U1230" s="1407"/>
    </row>
    <row r="1231" spans="1:21" ht="12">
      <c r="A1231" s="639" t="s">
        <v>4548</v>
      </c>
      <c r="B1231" s="1483">
        <v>42760</v>
      </c>
      <c r="C1231" s="639" t="s">
        <v>3212</v>
      </c>
      <c r="D1231" s="641">
        <v>865</v>
      </c>
      <c r="E1231" s="2264">
        <v>42759</v>
      </c>
      <c r="F1231" s="2442" t="s">
        <v>4556</v>
      </c>
      <c r="G1231" s="2442" t="s">
        <v>4550</v>
      </c>
      <c r="H1231" s="2262"/>
      <c r="I1231" s="1428"/>
      <c r="J1231" s="1407"/>
      <c r="K1231" s="1431">
        <f t="shared" si="146"/>
        <v>968077669902912.62</v>
      </c>
      <c r="L1231" s="2381">
        <v>42718</v>
      </c>
      <c r="M1231" s="2264">
        <v>42724</v>
      </c>
      <c r="N1231" s="1407"/>
      <c r="O1231" s="1407"/>
      <c r="P1231" s="1407"/>
      <c r="Q1231" s="1407"/>
      <c r="R1231" s="1407"/>
      <c r="S1231" s="1407"/>
      <c r="T1231" s="1407"/>
      <c r="U1231" s="1407"/>
    </row>
    <row r="1232" spans="1:21" ht="12">
      <c r="A1232" s="639" t="s">
        <v>4548</v>
      </c>
      <c r="B1232" s="1483">
        <v>42760</v>
      </c>
      <c r="C1232" s="639" t="s">
        <v>3212</v>
      </c>
      <c r="D1232" s="641">
        <v>866</v>
      </c>
      <c r="E1232" s="2264">
        <v>42759</v>
      </c>
      <c r="F1232" s="2442" t="s">
        <v>4557</v>
      </c>
      <c r="G1232" s="2442" t="s">
        <v>4550</v>
      </c>
      <c r="H1232" s="2262"/>
      <c r="I1232" s="1428"/>
      <c r="J1232" s="1407"/>
      <c r="K1232" s="1431">
        <f t="shared" si="146"/>
        <v>40442718446601.945</v>
      </c>
      <c r="L1232" s="2381">
        <v>42718</v>
      </c>
      <c r="M1232" s="2264">
        <v>42724</v>
      </c>
      <c r="N1232" s="1407"/>
      <c r="O1232" s="1407"/>
      <c r="P1232" s="1407"/>
      <c r="Q1232" s="1407"/>
      <c r="R1232" s="1407"/>
      <c r="S1232" s="1407"/>
      <c r="T1232" s="1407"/>
      <c r="U1232" s="1407"/>
    </row>
    <row r="1233" spans="1:21" ht="12">
      <c r="A1233" s="639" t="s">
        <v>4548</v>
      </c>
      <c r="B1233" s="1483">
        <v>42760</v>
      </c>
      <c r="C1233" s="639" t="s">
        <v>3212</v>
      </c>
      <c r="D1233" s="641">
        <v>867</v>
      </c>
      <c r="E1233" s="2264">
        <v>42759</v>
      </c>
      <c r="F1233" s="2442" t="s">
        <v>4561</v>
      </c>
      <c r="G1233" s="2442" t="s">
        <v>4550</v>
      </c>
      <c r="H1233" s="2262"/>
      <c r="I1233" s="1428"/>
      <c r="J1233" s="1407"/>
      <c r="K1233" s="1431">
        <f t="shared" si="146"/>
        <v>122601941747572.81</v>
      </c>
      <c r="L1233" s="2381">
        <v>42718</v>
      </c>
      <c r="M1233" s="2264">
        <v>42724</v>
      </c>
      <c r="N1233" s="1407"/>
      <c r="O1233" s="1407"/>
      <c r="P1233" s="1407"/>
      <c r="Q1233" s="1407"/>
      <c r="R1233" s="1407"/>
      <c r="S1233" s="1407"/>
      <c r="T1233" s="1407"/>
      <c r="U1233" s="1407"/>
    </row>
    <row r="1234" spans="1:21" ht="12">
      <c r="A1234" s="639" t="s">
        <v>4548</v>
      </c>
      <c r="B1234" s="1483">
        <v>42760</v>
      </c>
      <c r="C1234" s="639" t="s">
        <v>3212</v>
      </c>
      <c r="D1234" s="641">
        <v>868</v>
      </c>
      <c r="E1234" s="2264">
        <v>42759</v>
      </c>
      <c r="F1234" s="2442" t="s">
        <v>4564</v>
      </c>
      <c r="G1234" s="2442" t="s">
        <v>4550</v>
      </c>
      <c r="H1234" s="2262"/>
      <c r="I1234" s="1428"/>
      <c r="J1234" s="1407"/>
      <c r="K1234" s="1431">
        <f t="shared" si="146"/>
        <v>89642718446601.938</v>
      </c>
      <c r="L1234" s="2381">
        <v>42718</v>
      </c>
      <c r="M1234" s="2264">
        <v>42724</v>
      </c>
      <c r="N1234" s="1407"/>
      <c r="O1234" s="1407"/>
      <c r="P1234" s="1407"/>
      <c r="Q1234" s="1407"/>
      <c r="R1234" s="1407"/>
      <c r="S1234" s="1407"/>
      <c r="T1234" s="1407"/>
      <c r="U1234" s="1407"/>
    </row>
    <row r="1235" spans="1:21" ht="12">
      <c r="A1235" s="639" t="s">
        <v>4548</v>
      </c>
      <c r="B1235" s="1483">
        <v>42760</v>
      </c>
      <c r="C1235" s="639" t="s">
        <v>3212</v>
      </c>
      <c r="D1235" s="641">
        <v>869</v>
      </c>
      <c r="E1235" s="2264">
        <v>42759</v>
      </c>
      <c r="F1235" s="2442" t="s">
        <v>4565</v>
      </c>
      <c r="G1235" s="2442" t="s">
        <v>4550</v>
      </c>
      <c r="H1235" s="2262"/>
      <c r="I1235" s="1428"/>
      <c r="J1235" s="1407"/>
      <c r="K1235" s="1431">
        <f t="shared" si="146"/>
        <v>619378640776699</v>
      </c>
      <c r="L1235" s="2381">
        <v>42718</v>
      </c>
      <c r="M1235" s="2264">
        <v>42724</v>
      </c>
      <c r="N1235" s="1407"/>
      <c r="O1235" s="1407"/>
      <c r="P1235" s="1407"/>
      <c r="Q1235" s="1407"/>
      <c r="R1235" s="1407"/>
      <c r="S1235" s="1407"/>
      <c r="T1235" s="1407"/>
      <c r="U1235" s="1407"/>
    </row>
    <row r="1236" spans="1:21" ht="12">
      <c r="A1236" s="639" t="s">
        <v>4548</v>
      </c>
      <c r="B1236" s="1483">
        <v>42760</v>
      </c>
      <c r="C1236" s="639" t="s">
        <v>3212</v>
      </c>
      <c r="D1236" s="641">
        <v>870</v>
      </c>
      <c r="E1236" s="2264">
        <v>42759</v>
      </c>
      <c r="F1236" s="2442" t="s">
        <v>4566</v>
      </c>
      <c r="G1236" s="2442" t="s">
        <v>4550</v>
      </c>
      <c r="H1236" s="2262"/>
      <c r="I1236" s="1428"/>
      <c r="J1236" s="1407"/>
      <c r="K1236" s="1431">
        <f t="shared" si="146"/>
        <v>1590640776699029.2</v>
      </c>
      <c r="L1236" s="2381">
        <v>42718</v>
      </c>
      <c r="M1236" s="2264">
        <v>42724</v>
      </c>
      <c r="N1236" s="1407"/>
      <c r="O1236" s="1407"/>
      <c r="P1236" s="1407"/>
      <c r="Q1236" s="1407"/>
      <c r="R1236" s="1407"/>
      <c r="S1236" s="1407"/>
      <c r="T1236" s="1407"/>
      <c r="U1236" s="1407"/>
    </row>
    <row r="1237" spans="1:21" ht="12">
      <c r="A1237" s="639" t="s">
        <v>4548</v>
      </c>
      <c r="B1237" s="1483">
        <v>42760</v>
      </c>
      <c r="C1237" s="639" t="s">
        <v>3212</v>
      </c>
      <c r="D1237" s="641">
        <v>871</v>
      </c>
      <c r="E1237" s="2264">
        <v>42759</v>
      </c>
      <c r="F1237" s="2442" t="s">
        <v>4567</v>
      </c>
      <c r="G1237" s="2442" t="s">
        <v>4550</v>
      </c>
      <c r="H1237" s="2262"/>
      <c r="I1237" s="1428"/>
      <c r="J1237" s="1407"/>
      <c r="K1237" s="1431">
        <f t="shared" si="146"/>
        <v>700582524271844.62</v>
      </c>
      <c r="L1237" s="2381">
        <v>42718</v>
      </c>
      <c r="M1237" s="2264">
        <v>42724</v>
      </c>
      <c r="N1237" s="1407"/>
      <c r="O1237" s="1407"/>
      <c r="P1237" s="1407"/>
      <c r="Q1237" s="1407"/>
      <c r="R1237" s="1407"/>
      <c r="S1237" s="1407"/>
      <c r="T1237" s="1407"/>
      <c r="U1237" s="1407"/>
    </row>
    <row r="1238" spans="1:21" ht="12">
      <c r="A1238" s="639" t="s">
        <v>4548</v>
      </c>
      <c r="B1238" s="1483">
        <v>42760</v>
      </c>
      <c r="C1238" s="639" t="s">
        <v>3212</v>
      </c>
      <c r="D1238" s="641">
        <v>872</v>
      </c>
      <c r="E1238" s="2264">
        <v>42759</v>
      </c>
      <c r="F1238" s="2442" t="s">
        <v>4569</v>
      </c>
      <c r="G1238" s="2442" t="s">
        <v>4550</v>
      </c>
      <c r="H1238" s="2262"/>
      <c r="I1238" s="1428"/>
      <c r="J1238" s="1407"/>
      <c r="K1238" s="1431">
        <f t="shared" si="146"/>
        <v>20699029126213.594</v>
      </c>
      <c r="L1238" s="2381">
        <v>42718</v>
      </c>
      <c r="M1238" s="2264">
        <v>42724</v>
      </c>
      <c r="N1238" s="1407"/>
      <c r="O1238" s="1407"/>
      <c r="P1238" s="1407"/>
      <c r="Q1238" s="1407"/>
      <c r="R1238" s="1407"/>
      <c r="S1238" s="1407"/>
      <c r="T1238" s="1407"/>
      <c r="U1238" s="1407"/>
    </row>
    <row r="1239" spans="1:21" ht="12">
      <c r="A1239" s="639" t="s">
        <v>4548</v>
      </c>
      <c r="B1239" s="1483">
        <v>42760</v>
      </c>
      <c r="C1239" s="639" t="s">
        <v>3212</v>
      </c>
      <c r="D1239" s="641">
        <v>873</v>
      </c>
      <c r="E1239" s="2264">
        <v>42759</v>
      </c>
      <c r="F1239" s="2442" t="s">
        <v>4570</v>
      </c>
      <c r="G1239" s="2442" t="s">
        <v>4550</v>
      </c>
      <c r="H1239" s="2262"/>
      <c r="I1239" s="1428"/>
      <c r="J1239" s="1407"/>
      <c r="K1239" s="1431">
        <f t="shared" si="146"/>
        <v>41079611650485.438</v>
      </c>
      <c r="L1239" s="2381">
        <v>42718</v>
      </c>
      <c r="M1239" s="2264">
        <v>42724</v>
      </c>
      <c r="N1239" s="1407"/>
      <c r="O1239" s="1407"/>
      <c r="P1239" s="1407"/>
      <c r="Q1239" s="1407"/>
      <c r="R1239" s="1407"/>
      <c r="S1239" s="1407"/>
      <c r="T1239" s="1407"/>
      <c r="U1239" s="1407"/>
    </row>
    <row r="1240" spans="1:21" ht="12">
      <c r="A1240" s="639"/>
      <c r="B1240" s="1483"/>
      <c r="C1240" s="639"/>
      <c r="D1240" s="1407"/>
      <c r="E1240" s="2264"/>
      <c r="F1240" s="2262"/>
      <c r="G1240" s="2262"/>
      <c r="H1240" s="2262"/>
      <c r="I1240" s="1428"/>
      <c r="J1240" s="1407"/>
      <c r="K1240" s="1431"/>
      <c r="L1240" s="1407"/>
      <c r="M1240" s="1407"/>
      <c r="N1240" s="1407"/>
      <c r="O1240" s="1407"/>
      <c r="P1240" s="1407"/>
      <c r="Q1240" s="1407"/>
      <c r="R1240" s="1407"/>
      <c r="S1240" s="1407"/>
      <c r="T1240" s="1407"/>
      <c r="U1240" s="1407"/>
    </row>
    <row r="1241" spans="1:21" ht="12">
      <c r="A1241" s="639" t="s">
        <v>4571</v>
      </c>
      <c r="B1241" s="1483">
        <v>42761</v>
      </c>
      <c r="C1241" s="639" t="s">
        <v>3212</v>
      </c>
      <c r="D1241" s="641">
        <v>860</v>
      </c>
      <c r="E1241" s="2264">
        <v>42759</v>
      </c>
      <c r="F1241" s="2228">
        <v>12700000000000</v>
      </c>
      <c r="G1241" s="2228">
        <v>10300000000</v>
      </c>
      <c r="H1241" s="2262"/>
      <c r="I1241" s="1428"/>
      <c r="J1241" s="1407"/>
      <c r="K1241" s="1431">
        <f t="shared" ref="K1241:K1254" si="147">(32800000000/G1241)*F1241</f>
        <v>40442718446601.938</v>
      </c>
      <c r="L1241" s="2381">
        <v>42718</v>
      </c>
      <c r="M1241" s="2264">
        <v>42724</v>
      </c>
      <c r="N1241" s="1407"/>
      <c r="O1241" s="1407"/>
      <c r="P1241" s="1407"/>
      <c r="Q1241" s="1407"/>
      <c r="R1241" s="1407"/>
      <c r="S1241" s="1407"/>
      <c r="T1241" s="1407"/>
      <c r="U1241" s="1407"/>
    </row>
    <row r="1242" spans="1:21" ht="12">
      <c r="A1242" s="639" t="s">
        <v>4571</v>
      </c>
      <c r="B1242" s="1483">
        <v>42761</v>
      </c>
      <c r="C1242" s="639" t="s">
        <v>3212</v>
      </c>
      <c r="D1242" s="641">
        <v>861</v>
      </c>
      <c r="E1242" s="2264">
        <v>42759</v>
      </c>
      <c r="F1242" s="2228">
        <v>7620000000000</v>
      </c>
      <c r="G1242" s="2228">
        <v>10300000000</v>
      </c>
      <c r="H1242" s="2262"/>
      <c r="I1242" s="1428"/>
      <c r="J1242" s="1407"/>
      <c r="K1242" s="1431">
        <f t="shared" si="147"/>
        <v>24265631067961.164</v>
      </c>
      <c r="L1242" s="2381">
        <v>42718</v>
      </c>
      <c r="M1242" s="2264">
        <v>42724</v>
      </c>
      <c r="N1242" s="1407"/>
      <c r="O1242" s="1407"/>
      <c r="P1242" s="1407"/>
      <c r="Q1242" s="1407"/>
      <c r="R1242" s="1407"/>
      <c r="S1242" s="1407"/>
      <c r="T1242" s="1407"/>
      <c r="U1242" s="1407"/>
    </row>
    <row r="1243" spans="1:21" ht="12">
      <c r="A1243" s="639" t="s">
        <v>4571</v>
      </c>
      <c r="B1243" s="1483">
        <v>42761</v>
      </c>
      <c r="C1243" s="639" t="s">
        <v>3212</v>
      </c>
      <c r="D1243" s="641">
        <v>862</v>
      </c>
      <c r="E1243" s="2264">
        <v>42759</v>
      </c>
      <c r="F1243" s="2228">
        <v>28800000000000</v>
      </c>
      <c r="G1243" s="2228">
        <v>10300000000</v>
      </c>
      <c r="H1243" s="2262"/>
      <c r="I1243" s="1428"/>
      <c r="J1243" s="1407"/>
      <c r="K1243" s="1431">
        <f t="shared" si="147"/>
        <v>91712621359223.297</v>
      </c>
      <c r="L1243" s="2381">
        <v>42718</v>
      </c>
      <c r="M1243" s="2264">
        <v>42724</v>
      </c>
      <c r="N1243" s="1407"/>
      <c r="O1243" s="1407"/>
      <c r="P1243" s="1407"/>
      <c r="Q1243" s="1407"/>
      <c r="R1243" s="1407"/>
      <c r="S1243" s="1407"/>
      <c r="T1243" s="1407"/>
      <c r="U1243" s="1407"/>
    </row>
    <row r="1244" spans="1:21" ht="12">
      <c r="A1244" s="639" t="s">
        <v>4571</v>
      </c>
      <c r="B1244" s="1483">
        <v>42761</v>
      </c>
      <c r="C1244" s="639" t="s">
        <v>3212</v>
      </c>
      <c r="D1244" s="641">
        <v>863</v>
      </c>
      <c r="E1244" s="2264">
        <v>42759</v>
      </c>
      <c r="F1244" s="2228">
        <v>87500000000000</v>
      </c>
      <c r="G1244" s="2228">
        <v>10300000000</v>
      </c>
      <c r="H1244" s="2262"/>
      <c r="I1244" s="1428"/>
      <c r="J1244" s="1407"/>
      <c r="K1244" s="1431">
        <f t="shared" si="147"/>
        <v>278640776699029.12</v>
      </c>
      <c r="L1244" s="2381">
        <v>42718</v>
      </c>
      <c r="M1244" s="2264">
        <v>42724</v>
      </c>
      <c r="N1244" s="1407"/>
      <c r="O1244" s="1407"/>
      <c r="P1244" s="1407"/>
      <c r="Q1244" s="1407"/>
      <c r="R1244" s="1407"/>
      <c r="S1244" s="1407"/>
      <c r="T1244" s="1407"/>
      <c r="U1244" s="1407"/>
    </row>
    <row r="1245" spans="1:21" ht="12">
      <c r="A1245" s="639" t="s">
        <v>4571</v>
      </c>
      <c r="B1245" s="1483">
        <v>42761</v>
      </c>
      <c r="C1245" s="639" t="s">
        <v>3212</v>
      </c>
      <c r="D1245" s="641">
        <v>864</v>
      </c>
      <c r="E1245" s="2264">
        <v>42759</v>
      </c>
      <c r="F1245" s="2228">
        <v>138000000000000</v>
      </c>
      <c r="G1245" s="2228">
        <v>10300000000</v>
      </c>
      <c r="H1245" s="2262"/>
      <c r="I1245" s="1428"/>
      <c r="J1245" s="1407"/>
      <c r="K1245" s="1431">
        <f t="shared" si="147"/>
        <v>439456310679611.62</v>
      </c>
      <c r="L1245" s="2381">
        <v>42718</v>
      </c>
      <c r="M1245" s="2264">
        <v>42724</v>
      </c>
      <c r="N1245" s="1407"/>
      <c r="O1245" s="1407"/>
      <c r="P1245" s="1407"/>
      <c r="Q1245" s="1407"/>
      <c r="R1245" s="1407"/>
      <c r="S1245" s="1407"/>
      <c r="T1245" s="1407"/>
      <c r="U1245" s="1407"/>
    </row>
    <row r="1246" spans="1:21" ht="12">
      <c r="A1246" s="639" t="s">
        <v>4571</v>
      </c>
      <c r="B1246" s="1483">
        <v>42761</v>
      </c>
      <c r="C1246" s="639" t="s">
        <v>3212</v>
      </c>
      <c r="D1246" s="641">
        <v>865</v>
      </c>
      <c r="E1246" s="2264">
        <v>42759</v>
      </c>
      <c r="F1246" s="2228">
        <v>136000000000000</v>
      </c>
      <c r="G1246" s="2228">
        <v>10300000000</v>
      </c>
      <c r="H1246" s="2262"/>
      <c r="I1246" s="1428"/>
      <c r="J1246" s="1407"/>
      <c r="K1246" s="1431">
        <f t="shared" si="147"/>
        <v>433087378640776.69</v>
      </c>
      <c r="L1246" s="2381">
        <v>42718</v>
      </c>
      <c r="M1246" s="2264">
        <v>42724</v>
      </c>
      <c r="N1246" s="1407"/>
      <c r="O1246" s="1407"/>
      <c r="P1246" s="1407"/>
      <c r="Q1246" s="1407"/>
      <c r="R1246" s="1407"/>
      <c r="S1246" s="1407"/>
      <c r="T1246" s="1407"/>
      <c r="U1246" s="1407"/>
    </row>
    <row r="1247" spans="1:21" ht="12">
      <c r="A1247" s="639" t="s">
        <v>4571</v>
      </c>
      <c r="B1247" s="1483">
        <v>42761</v>
      </c>
      <c r="C1247" s="639" t="s">
        <v>3212</v>
      </c>
      <c r="D1247" s="641">
        <v>866</v>
      </c>
      <c r="E1247" s="2264">
        <v>42759</v>
      </c>
      <c r="F1247" s="2228">
        <v>6600000000000</v>
      </c>
      <c r="G1247" s="2228">
        <v>10300000000</v>
      </c>
      <c r="H1247" s="2262"/>
      <c r="I1247" s="1428"/>
      <c r="J1247" s="1407"/>
      <c r="K1247" s="1431">
        <f t="shared" si="147"/>
        <v>21017475728155.34</v>
      </c>
      <c r="L1247" s="2381">
        <v>42718</v>
      </c>
      <c r="M1247" s="2264">
        <v>42724</v>
      </c>
      <c r="N1247" s="1407"/>
      <c r="O1247" s="1407"/>
      <c r="P1247" s="1407"/>
      <c r="Q1247" s="1407"/>
      <c r="R1247" s="1407"/>
      <c r="S1247" s="1407"/>
      <c r="T1247" s="1407"/>
      <c r="U1247" s="1407"/>
    </row>
    <row r="1248" spans="1:21" ht="12">
      <c r="A1248" s="639" t="s">
        <v>4571</v>
      </c>
      <c r="B1248" s="1483">
        <v>42761</v>
      </c>
      <c r="C1248" s="639" t="s">
        <v>3212</v>
      </c>
      <c r="D1248" s="641">
        <v>867</v>
      </c>
      <c r="E1248" s="2264">
        <v>42759</v>
      </c>
      <c r="F1248" s="2228">
        <v>24200000000000</v>
      </c>
      <c r="G1248" s="2228">
        <v>10300000000</v>
      </c>
      <c r="H1248" s="2262"/>
      <c r="I1248" s="1428"/>
      <c r="J1248" s="1407"/>
      <c r="K1248" s="1431">
        <f t="shared" si="147"/>
        <v>77064077669902.906</v>
      </c>
      <c r="L1248" s="2381">
        <v>42718</v>
      </c>
      <c r="M1248" s="2264">
        <v>42724</v>
      </c>
      <c r="N1248" s="1407"/>
      <c r="O1248" s="1407"/>
      <c r="P1248" s="1407"/>
      <c r="Q1248" s="1407"/>
      <c r="R1248" s="1407"/>
      <c r="S1248" s="1407"/>
      <c r="T1248" s="1407"/>
      <c r="U1248" s="1407"/>
    </row>
    <row r="1249" spans="1:21" ht="12">
      <c r="A1249" s="639" t="s">
        <v>4571</v>
      </c>
      <c r="B1249" s="1483">
        <v>42761</v>
      </c>
      <c r="C1249" s="639" t="s">
        <v>3212</v>
      </c>
      <c r="D1249" s="641">
        <v>868</v>
      </c>
      <c r="E1249" s="2264">
        <v>42759</v>
      </c>
      <c r="F1249" s="2228">
        <v>9930000000000</v>
      </c>
      <c r="G1249" s="2228">
        <v>10300000000</v>
      </c>
      <c r="H1249" s="2262"/>
      <c r="I1249" s="1428"/>
      <c r="J1249" s="1407"/>
      <c r="K1249" s="1431">
        <f t="shared" si="147"/>
        <v>31621747572815.531</v>
      </c>
      <c r="L1249" s="2381">
        <v>42718</v>
      </c>
      <c r="M1249" s="2264">
        <v>42724</v>
      </c>
      <c r="N1249" s="1407"/>
      <c r="O1249" s="1407"/>
      <c r="P1249" s="1407"/>
      <c r="Q1249" s="1407"/>
      <c r="R1249" s="1407"/>
      <c r="S1249" s="1407"/>
      <c r="T1249" s="1407"/>
      <c r="U1249" s="1407"/>
    </row>
    <row r="1250" spans="1:21" ht="12">
      <c r="A1250" s="639" t="s">
        <v>4571</v>
      </c>
      <c r="B1250" s="1483">
        <v>42761</v>
      </c>
      <c r="C1250" s="639" t="s">
        <v>3212</v>
      </c>
      <c r="D1250" s="641">
        <v>869</v>
      </c>
      <c r="E1250" s="2264">
        <v>42759</v>
      </c>
      <c r="F1250" s="2228">
        <v>95500000000000</v>
      </c>
      <c r="G1250" s="2228">
        <v>10300000000</v>
      </c>
      <c r="H1250" s="2262"/>
      <c r="I1250" s="1428"/>
      <c r="J1250" s="1407"/>
      <c r="K1250" s="1431">
        <f t="shared" si="147"/>
        <v>304116504854368.94</v>
      </c>
      <c r="L1250" s="2381">
        <v>42718</v>
      </c>
      <c r="M1250" s="2264">
        <v>42724</v>
      </c>
      <c r="N1250" s="1407"/>
      <c r="O1250" s="1407"/>
      <c r="P1250" s="1407"/>
      <c r="Q1250" s="1407"/>
      <c r="R1250" s="1407"/>
      <c r="S1250" s="1407"/>
      <c r="T1250" s="1407"/>
      <c r="U1250" s="1407"/>
    </row>
    <row r="1251" spans="1:21" ht="12">
      <c r="A1251" s="639" t="s">
        <v>4571</v>
      </c>
      <c r="B1251" s="1483">
        <v>42761</v>
      </c>
      <c r="C1251" s="639" t="s">
        <v>3212</v>
      </c>
      <c r="D1251" s="641">
        <v>870</v>
      </c>
      <c r="E1251" s="2264">
        <v>42759</v>
      </c>
      <c r="F1251" s="2228">
        <v>246000000000000</v>
      </c>
      <c r="G1251" s="2228">
        <v>10300000000</v>
      </c>
      <c r="H1251" s="2262"/>
      <c r="I1251" s="1428"/>
      <c r="J1251" s="1407"/>
      <c r="K1251" s="1431">
        <f t="shared" si="147"/>
        <v>783378640776699</v>
      </c>
      <c r="L1251" s="2381">
        <v>42718</v>
      </c>
      <c r="M1251" s="2264">
        <v>42724</v>
      </c>
      <c r="N1251" s="1407"/>
      <c r="O1251" s="1407"/>
      <c r="P1251" s="1407"/>
      <c r="Q1251" s="1407"/>
      <c r="R1251" s="1407"/>
      <c r="S1251" s="1407"/>
      <c r="T1251" s="1407"/>
      <c r="U1251" s="1407"/>
    </row>
    <row r="1252" spans="1:21" ht="12">
      <c r="A1252" s="639" t="s">
        <v>4571</v>
      </c>
      <c r="B1252" s="1483">
        <v>42761</v>
      </c>
      <c r="C1252" s="639" t="s">
        <v>3212</v>
      </c>
      <c r="D1252" s="641">
        <v>871</v>
      </c>
      <c r="E1252" s="2264">
        <v>42759</v>
      </c>
      <c r="F1252" s="2228">
        <v>108000000000000</v>
      </c>
      <c r="G1252" s="2228">
        <v>10300000000</v>
      </c>
      <c r="H1252" s="2262"/>
      <c r="I1252" s="1428"/>
      <c r="J1252" s="1407"/>
      <c r="K1252" s="1431">
        <f t="shared" si="147"/>
        <v>343922330097087.38</v>
      </c>
      <c r="L1252" s="2381">
        <v>42718</v>
      </c>
      <c r="M1252" s="2264">
        <v>42724</v>
      </c>
      <c r="N1252" s="1407"/>
      <c r="O1252" s="1407"/>
      <c r="P1252" s="1407"/>
      <c r="Q1252" s="1407"/>
      <c r="R1252" s="1407"/>
      <c r="S1252" s="1407"/>
      <c r="T1252" s="1407"/>
      <c r="U1252" s="1407"/>
    </row>
    <row r="1253" spans="1:21" ht="12">
      <c r="A1253" s="639" t="s">
        <v>4571</v>
      </c>
      <c r="B1253" s="1483">
        <v>42761</v>
      </c>
      <c r="C1253" s="639" t="s">
        <v>3212</v>
      </c>
      <c r="D1253" s="641">
        <v>872</v>
      </c>
      <c r="E1253" s="2264">
        <v>42759</v>
      </c>
      <c r="F1253" s="2228">
        <v>10400000000000</v>
      </c>
      <c r="G1253" s="2228">
        <v>10300000000</v>
      </c>
      <c r="H1253" s="2262"/>
      <c r="I1253" s="1428"/>
      <c r="J1253" s="1407"/>
      <c r="K1253" s="1431">
        <f t="shared" si="147"/>
        <v>33118446601941.746</v>
      </c>
      <c r="L1253" s="2381">
        <v>42718</v>
      </c>
      <c r="M1253" s="2264">
        <v>42724</v>
      </c>
      <c r="N1253" s="1407"/>
      <c r="O1253" s="1407"/>
      <c r="P1253" s="1407"/>
      <c r="Q1253" s="1407"/>
      <c r="R1253" s="1407"/>
      <c r="S1253" s="1407"/>
      <c r="T1253" s="1407"/>
      <c r="U1253" s="1407"/>
    </row>
    <row r="1254" spans="1:21" ht="12">
      <c r="A1254" s="639" t="s">
        <v>4571</v>
      </c>
      <c r="B1254" s="1483">
        <v>42761</v>
      </c>
      <c r="C1254" s="639" t="s">
        <v>3212</v>
      </c>
      <c r="D1254" s="641">
        <v>873</v>
      </c>
      <c r="E1254" s="2264">
        <v>42759</v>
      </c>
      <c r="F1254" s="2228">
        <v>8930000000000</v>
      </c>
      <c r="G1254" s="2228">
        <v>10300000000</v>
      </c>
      <c r="H1254" s="2262"/>
      <c r="I1254" s="1428"/>
      <c r="J1254" s="1407"/>
      <c r="K1254" s="1431">
        <f t="shared" si="147"/>
        <v>28437281553398.059</v>
      </c>
      <c r="L1254" s="2381">
        <v>42718</v>
      </c>
      <c r="M1254" s="2264">
        <v>42724</v>
      </c>
      <c r="N1254" s="1407"/>
      <c r="O1254" s="1407"/>
      <c r="P1254" s="1407"/>
      <c r="Q1254" s="1407"/>
      <c r="R1254" s="1407"/>
      <c r="S1254" s="1407"/>
      <c r="T1254" s="1407"/>
      <c r="U1254" s="1407"/>
    </row>
    <row r="1255" spans="1:21" ht="12">
      <c r="A1255" s="639"/>
      <c r="B1255" s="1483"/>
      <c r="C1255" s="639"/>
      <c r="D1255" s="1407"/>
      <c r="E1255" s="2264"/>
      <c r="F1255" s="1407"/>
      <c r="G1255" s="2262"/>
      <c r="H1255" s="2262"/>
      <c r="I1255" s="1428"/>
      <c r="J1255" s="1407"/>
      <c r="K1255" s="1431"/>
      <c r="L1255" s="1407"/>
      <c r="M1255" s="1407"/>
      <c r="N1255" s="1407"/>
      <c r="O1255" s="1407"/>
      <c r="P1255" s="1407"/>
      <c r="Q1255" s="1407"/>
      <c r="R1255" s="1407"/>
      <c r="S1255" s="1407"/>
      <c r="T1255" s="1407"/>
      <c r="U1255" s="1407"/>
    </row>
    <row r="1256" spans="1:21" ht="12">
      <c r="A1256" s="639" t="s">
        <v>4574</v>
      </c>
      <c r="B1256" s="1483">
        <v>42949</v>
      </c>
      <c r="C1256" s="639" t="s">
        <v>2126</v>
      </c>
      <c r="D1256" s="641">
        <v>874</v>
      </c>
      <c r="E1256" s="2264">
        <v>42949</v>
      </c>
      <c r="F1256" s="1731">
        <v>16100000000000</v>
      </c>
      <c r="G1256" s="2228">
        <v>31900000000</v>
      </c>
      <c r="H1256" s="2262"/>
      <c r="I1256" s="1428"/>
      <c r="J1256" s="1407"/>
      <c r="K1256" s="1431">
        <f t="shared" ref="K1256:K1267" si="148">(32800000000/G1256)*F1256</f>
        <v>16554231974921.631</v>
      </c>
      <c r="L1256" s="2381">
        <v>42718</v>
      </c>
      <c r="M1256" s="2264">
        <v>42724</v>
      </c>
      <c r="N1256" s="1407"/>
      <c r="O1256" s="1407"/>
      <c r="P1256" s="1407"/>
      <c r="Q1256" s="1407"/>
      <c r="R1256" s="1407"/>
      <c r="S1256" s="1407"/>
      <c r="T1256" s="1407"/>
      <c r="U1256" s="1407"/>
    </row>
    <row r="1257" spans="1:21" ht="12">
      <c r="A1257" s="639" t="s">
        <v>4574</v>
      </c>
      <c r="B1257" s="1483">
        <v>42949</v>
      </c>
      <c r="C1257" s="639" t="s">
        <v>2126</v>
      </c>
      <c r="D1257" s="641">
        <v>875</v>
      </c>
      <c r="E1257" s="2264">
        <v>42949</v>
      </c>
      <c r="F1257" s="1731">
        <v>25200000000000</v>
      </c>
      <c r="G1257" s="2228">
        <v>31900000000</v>
      </c>
      <c r="H1257" s="2262"/>
      <c r="I1257" s="1428"/>
      <c r="J1257" s="1407"/>
      <c r="K1257" s="1431">
        <f t="shared" si="148"/>
        <v>25910971786833.855</v>
      </c>
      <c r="L1257" s="2381">
        <v>42718</v>
      </c>
      <c r="M1257" s="2264">
        <v>42724</v>
      </c>
      <c r="N1257" s="1407"/>
      <c r="O1257" s="1407"/>
      <c r="P1257" s="1407"/>
      <c r="Q1257" s="1407"/>
      <c r="R1257" s="1407"/>
      <c r="S1257" s="1407"/>
      <c r="T1257" s="1407"/>
      <c r="U1257" s="1407"/>
    </row>
    <row r="1258" spans="1:21" ht="12">
      <c r="A1258" s="639" t="s">
        <v>4574</v>
      </c>
      <c r="B1258" s="1483">
        <v>42949</v>
      </c>
      <c r="C1258" s="639" t="s">
        <v>2126</v>
      </c>
      <c r="D1258" s="641">
        <v>876</v>
      </c>
      <c r="E1258" s="2264">
        <v>42949</v>
      </c>
      <c r="F1258" s="1731">
        <v>585000000000</v>
      </c>
      <c r="G1258" s="2228">
        <v>31900000000</v>
      </c>
      <c r="H1258" s="2262"/>
      <c r="I1258" s="1428"/>
      <c r="J1258" s="1407"/>
      <c r="K1258" s="1431">
        <f t="shared" si="148"/>
        <v>601504702194.35742</v>
      </c>
      <c r="L1258" s="2381">
        <v>42718</v>
      </c>
      <c r="M1258" s="2264">
        <v>42724</v>
      </c>
      <c r="N1258" s="1407"/>
      <c r="O1258" s="1407"/>
      <c r="P1258" s="1407"/>
      <c r="Q1258" s="1407"/>
      <c r="R1258" s="1407"/>
      <c r="S1258" s="1407"/>
      <c r="T1258" s="1407"/>
      <c r="U1258" s="1407"/>
    </row>
    <row r="1259" spans="1:21" ht="12">
      <c r="A1259" s="639" t="s">
        <v>4574</v>
      </c>
      <c r="B1259" s="1483">
        <v>42949</v>
      </c>
      <c r="C1259" s="639" t="s">
        <v>2126</v>
      </c>
      <c r="D1259" s="641">
        <v>877</v>
      </c>
      <c r="E1259" s="2264">
        <v>42949</v>
      </c>
      <c r="F1259" s="1731">
        <v>27500000000000</v>
      </c>
      <c r="G1259" s="2228">
        <v>31900000000</v>
      </c>
      <c r="H1259" s="2262"/>
      <c r="I1259" s="1428"/>
      <c r="J1259" s="1407"/>
      <c r="K1259" s="1431">
        <f t="shared" si="148"/>
        <v>28275862068965.52</v>
      </c>
      <c r="L1259" s="2381">
        <v>42718</v>
      </c>
      <c r="M1259" s="2264">
        <v>42724</v>
      </c>
      <c r="N1259" s="1407"/>
      <c r="O1259" s="1407"/>
      <c r="P1259" s="1407"/>
      <c r="Q1259" s="1407"/>
      <c r="R1259" s="1407"/>
      <c r="S1259" s="1407"/>
      <c r="T1259" s="1407"/>
      <c r="U1259" s="1407"/>
    </row>
    <row r="1260" spans="1:21" ht="12">
      <c r="A1260" s="639" t="s">
        <v>4574</v>
      </c>
      <c r="B1260" s="1483">
        <v>42949</v>
      </c>
      <c r="C1260" s="639" t="s">
        <v>2126</v>
      </c>
      <c r="D1260" s="641">
        <v>878</v>
      </c>
      <c r="E1260" s="2264">
        <v>42949</v>
      </c>
      <c r="F1260" s="1731">
        <v>1350000000000000</v>
      </c>
      <c r="G1260" s="2228">
        <v>31900000000</v>
      </c>
      <c r="H1260" s="2262"/>
      <c r="I1260" s="1428"/>
      <c r="J1260" s="1407"/>
      <c r="K1260" s="1431">
        <f t="shared" si="148"/>
        <v>1388087774294671</v>
      </c>
      <c r="L1260" s="2381">
        <v>42718</v>
      </c>
      <c r="M1260" s="2264">
        <v>42724</v>
      </c>
      <c r="N1260" s="1407"/>
      <c r="O1260" s="1407"/>
      <c r="P1260" s="1407"/>
      <c r="Q1260" s="1407"/>
      <c r="R1260" s="1407"/>
      <c r="S1260" s="1407"/>
      <c r="T1260" s="1407"/>
      <c r="U1260" s="1407"/>
    </row>
    <row r="1261" spans="1:21" ht="12">
      <c r="A1261" s="639" t="s">
        <v>4574</v>
      </c>
      <c r="B1261" s="1483">
        <v>42949</v>
      </c>
      <c r="C1261" s="639" t="s">
        <v>2126</v>
      </c>
      <c r="D1261" s="641">
        <v>879</v>
      </c>
      <c r="E1261" s="2264">
        <v>42949</v>
      </c>
      <c r="F1261" s="1731">
        <v>15100000000000</v>
      </c>
      <c r="G1261" s="2228">
        <v>31900000000</v>
      </c>
      <c r="H1261" s="2262"/>
      <c r="I1261" s="1428"/>
      <c r="J1261" s="1407"/>
      <c r="K1261" s="1431">
        <f t="shared" si="148"/>
        <v>15526018808777.43</v>
      </c>
      <c r="L1261" s="2381">
        <v>42718</v>
      </c>
      <c r="M1261" s="2264">
        <v>42724</v>
      </c>
      <c r="N1261" s="1407"/>
      <c r="O1261" s="1407"/>
      <c r="P1261" s="1407"/>
      <c r="Q1261" s="1407"/>
      <c r="R1261" s="1407"/>
      <c r="S1261" s="1407"/>
      <c r="T1261" s="1407"/>
      <c r="U1261" s="1407"/>
    </row>
    <row r="1262" spans="1:21" ht="12">
      <c r="A1262" s="639" t="s">
        <v>4574</v>
      </c>
      <c r="B1262" s="1483">
        <v>42949</v>
      </c>
      <c r="C1262" s="639" t="s">
        <v>2126</v>
      </c>
      <c r="D1262" s="641">
        <v>880</v>
      </c>
      <c r="E1262" s="2264">
        <v>42949</v>
      </c>
      <c r="F1262" s="1731">
        <v>68800000000000</v>
      </c>
      <c r="G1262" s="2228">
        <v>31900000000</v>
      </c>
      <c r="H1262" s="2262"/>
      <c r="I1262" s="1428"/>
      <c r="J1262" s="1407"/>
      <c r="K1262" s="1431">
        <f t="shared" si="148"/>
        <v>70741065830721</v>
      </c>
      <c r="L1262" s="2381">
        <v>42718</v>
      </c>
      <c r="M1262" s="2264">
        <v>42724</v>
      </c>
      <c r="N1262" s="1407"/>
      <c r="O1262" s="1407"/>
      <c r="P1262" s="1407"/>
      <c r="Q1262" s="1407"/>
      <c r="R1262" s="1407"/>
      <c r="S1262" s="1407"/>
      <c r="T1262" s="1407"/>
      <c r="U1262" s="1407"/>
    </row>
    <row r="1263" spans="1:21" ht="12">
      <c r="A1263" s="639" t="s">
        <v>4574</v>
      </c>
      <c r="B1263" s="1483">
        <v>42949</v>
      </c>
      <c r="C1263" s="639" t="s">
        <v>2126</v>
      </c>
      <c r="D1263" s="641">
        <v>881</v>
      </c>
      <c r="E1263" s="2264">
        <v>42949</v>
      </c>
      <c r="F1263" s="1731">
        <v>38700000000000</v>
      </c>
      <c r="G1263" s="2228">
        <v>31900000000</v>
      </c>
      <c r="H1263" s="2262"/>
      <c r="I1263" s="1428"/>
      <c r="J1263" s="1407"/>
      <c r="K1263" s="1431">
        <f t="shared" si="148"/>
        <v>39791849529780.562</v>
      </c>
      <c r="L1263" s="2381">
        <v>42718</v>
      </c>
      <c r="M1263" s="2264">
        <v>42724</v>
      </c>
      <c r="N1263" s="1407"/>
      <c r="O1263" s="1407"/>
      <c r="P1263" s="1407"/>
      <c r="Q1263" s="1407"/>
      <c r="R1263" s="1407"/>
      <c r="S1263" s="1407"/>
      <c r="T1263" s="1407"/>
      <c r="U1263" s="1407"/>
    </row>
    <row r="1264" spans="1:21" ht="12">
      <c r="A1264" s="639" t="s">
        <v>4574</v>
      </c>
      <c r="B1264" s="1483">
        <v>42949</v>
      </c>
      <c r="C1264" s="639" t="s">
        <v>2126</v>
      </c>
      <c r="D1264" s="641">
        <v>882</v>
      </c>
      <c r="E1264" s="2264">
        <v>42949</v>
      </c>
      <c r="F1264" s="1731">
        <v>8890000000000</v>
      </c>
      <c r="G1264" s="2228">
        <v>31900000000</v>
      </c>
      <c r="H1264" s="2262"/>
      <c r="I1264" s="1428"/>
      <c r="J1264" s="1407"/>
      <c r="K1264" s="1431">
        <f t="shared" si="148"/>
        <v>9140815047021.9434</v>
      </c>
      <c r="L1264" s="2381">
        <v>42718</v>
      </c>
      <c r="M1264" s="2264">
        <v>42724</v>
      </c>
      <c r="N1264" s="1407"/>
      <c r="O1264" s="1407"/>
      <c r="P1264" s="1407"/>
      <c r="Q1264" s="1407"/>
      <c r="R1264" s="1407"/>
      <c r="S1264" s="1407"/>
      <c r="T1264" s="1407"/>
      <c r="U1264" s="1407"/>
    </row>
    <row r="1265" spans="1:21" ht="12">
      <c r="A1265" s="639" t="s">
        <v>4574</v>
      </c>
      <c r="B1265" s="1483">
        <v>42949</v>
      </c>
      <c r="C1265" s="639" t="s">
        <v>2126</v>
      </c>
      <c r="D1265" s="641" t="s">
        <v>4576</v>
      </c>
      <c r="E1265" s="2264">
        <v>42949</v>
      </c>
      <c r="F1265" s="1731">
        <v>1320000000000</v>
      </c>
      <c r="G1265" s="2228">
        <v>31900000000</v>
      </c>
      <c r="H1265" s="2262"/>
      <c r="I1265" s="1428"/>
      <c r="J1265" s="1407"/>
      <c r="K1265" s="1431">
        <f t="shared" si="148"/>
        <v>1357241379310.345</v>
      </c>
      <c r="L1265" s="2381">
        <v>42718</v>
      </c>
      <c r="M1265" s="2264">
        <v>42724</v>
      </c>
      <c r="N1265" s="1407"/>
      <c r="O1265" s="1407"/>
      <c r="P1265" s="1407"/>
      <c r="Q1265" s="1407"/>
      <c r="R1265" s="1407"/>
      <c r="S1265" s="1407"/>
      <c r="T1265" s="1407"/>
      <c r="U1265" s="1407"/>
    </row>
    <row r="1266" spans="1:21" ht="12">
      <c r="A1266" s="639" t="s">
        <v>4574</v>
      </c>
      <c r="B1266" s="1483">
        <v>42949</v>
      </c>
      <c r="C1266" s="639" t="s">
        <v>2126</v>
      </c>
      <c r="D1266" s="641" t="s">
        <v>4577</v>
      </c>
      <c r="E1266" s="2264">
        <v>42949</v>
      </c>
      <c r="F1266" s="1731">
        <v>10900000000</v>
      </c>
      <c r="G1266" s="2228">
        <v>31900000000</v>
      </c>
      <c r="H1266" s="2262"/>
      <c r="I1266" s="1428"/>
      <c r="J1266" s="1407"/>
      <c r="K1266" s="1431">
        <f t="shared" si="148"/>
        <v>11207523510.971786</v>
      </c>
      <c r="L1266" s="2381">
        <v>42718</v>
      </c>
      <c r="M1266" s="2264">
        <v>42724</v>
      </c>
      <c r="N1266" s="1407"/>
      <c r="O1266" s="1407"/>
      <c r="P1266" s="1407"/>
      <c r="Q1266" s="1407"/>
      <c r="R1266" s="1407"/>
      <c r="S1266" s="1407"/>
      <c r="T1266" s="1407"/>
      <c r="U1266" s="1407"/>
    </row>
    <row r="1267" spans="1:21" ht="12">
      <c r="A1267" s="639" t="s">
        <v>4574</v>
      </c>
      <c r="B1267" s="1483">
        <v>42949</v>
      </c>
      <c r="C1267" s="639" t="s">
        <v>2126</v>
      </c>
      <c r="D1267" s="641" t="s">
        <v>4579</v>
      </c>
      <c r="E1267" s="2264">
        <v>42949</v>
      </c>
      <c r="F1267" s="1731">
        <v>10100000000</v>
      </c>
      <c r="G1267" s="2228">
        <v>31900000000</v>
      </c>
      <c r="H1267" s="2262"/>
      <c r="I1267" s="1428"/>
      <c r="J1267" s="1407"/>
      <c r="K1267" s="1431">
        <f t="shared" si="148"/>
        <v>10384952978.056427</v>
      </c>
      <c r="L1267" s="2381">
        <v>42718</v>
      </c>
      <c r="M1267" s="2264">
        <v>42724</v>
      </c>
      <c r="N1267" s="1407"/>
      <c r="O1267" s="1407"/>
      <c r="P1267" s="1407"/>
      <c r="Q1267" s="1407"/>
      <c r="R1267" s="1407"/>
      <c r="S1267" s="1407"/>
      <c r="T1267" s="1407"/>
      <c r="U1267" s="1407"/>
    </row>
    <row r="1268" spans="1:21" ht="12">
      <c r="A1268" s="639"/>
      <c r="B1268" s="1483"/>
      <c r="C1268" s="639"/>
      <c r="D1268" s="1407"/>
      <c r="E1268" s="2264"/>
      <c r="F1268" s="1407"/>
      <c r="G1268" s="2262"/>
      <c r="H1268" s="2262"/>
      <c r="I1268" s="1428"/>
      <c r="J1268" s="1407"/>
      <c r="K1268" s="1431"/>
      <c r="L1268" s="1407"/>
      <c r="M1268" s="1407"/>
      <c r="N1268" s="1407"/>
      <c r="O1268" s="1407"/>
      <c r="P1268" s="1407"/>
      <c r="Q1268" s="1407"/>
      <c r="R1268" s="1407"/>
      <c r="S1268" s="1407"/>
      <c r="T1268" s="1407"/>
      <c r="U1268" s="1407"/>
    </row>
    <row r="1269" spans="1:21" ht="12">
      <c r="A1269" s="639" t="s">
        <v>4580</v>
      </c>
      <c r="B1269" s="1483">
        <v>42781</v>
      </c>
      <c r="C1269" s="639" t="s">
        <v>2126</v>
      </c>
      <c r="D1269" s="639">
        <v>883</v>
      </c>
      <c r="E1269" s="2264">
        <v>42781</v>
      </c>
      <c r="F1269" s="1731">
        <v>154000000000</v>
      </c>
      <c r="G1269" s="2228">
        <v>27000000000</v>
      </c>
      <c r="H1269" s="2262"/>
      <c r="I1269" s="1428"/>
      <c r="J1269" s="1407"/>
      <c r="K1269" s="1431">
        <f t="shared" ref="K1269:K1273" si="149">(32800000000/G1269)*F1269</f>
        <v>187081481481.48148</v>
      </c>
      <c r="L1269" s="2381">
        <v>42718</v>
      </c>
      <c r="M1269" s="2264">
        <v>42724</v>
      </c>
      <c r="N1269" s="1407"/>
      <c r="O1269" s="1407"/>
      <c r="P1269" s="1407"/>
      <c r="Q1269" s="1407"/>
      <c r="R1269" s="1407"/>
      <c r="S1269" s="1407"/>
      <c r="T1269" s="1407"/>
      <c r="U1269" s="1407"/>
    </row>
    <row r="1270" spans="1:21" ht="12">
      <c r="A1270" s="639" t="s">
        <v>4580</v>
      </c>
      <c r="B1270" s="1483">
        <v>42781</v>
      </c>
      <c r="C1270" s="639" t="s">
        <v>2126</v>
      </c>
      <c r="D1270" s="2442" t="s">
        <v>4581</v>
      </c>
      <c r="E1270" s="2264">
        <v>42781</v>
      </c>
      <c r="F1270" s="1731">
        <v>4540000000000</v>
      </c>
      <c r="G1270" s="2228">
        <v>27000000000</v>
      </c>
      <c r="H1270" s="2262"/>
      <c r="I1270" s="1428"/>
      <c r="J1270" s="1407"/>
      <c r="K1270" s="1431">
        <f t="shared" si="149"/>
        <v>5515259259259.2588</v>
      </c>
      <c r="L1270" s="2381">
        <v>42718</v>
      </c>
      <c r="M1270" s="2264">
        <v>42724</v>
      </c>
      <c r="N1270" s="1407"/>
      <c r="O1270" s="1407"/>
      <c r="P1270" s="1407"/>
      <c r="Q1270" s="1407"/>
      <c r="R1270" s="1407"/>
      <c r="S1270" s="1407"/>
      <c r="T1270" s="1407"/>
      <c r="U1270" s="1407"/>
    </row>
    <row r="1271" spans="1:21" ht="12">
      <c r="A1271" s="639" t="s">
        <v>4580</v>
      </c>
      <c r="B1271" s="1483">
        <v>42781</v>
      </c>
      <c r="C1271" s="639" t="s">
        <v>2126</v>
      </c>
      <c r="D1271" s="2442" t="s">
        <v>4582</v>
      </c>
      <c r="E1271" s="2264">
        <v>42781</v>
      </c>
      <c r="F1271" s="1731">
        <v>1070000000000</v>
      </c>
      <c r="G1271" s="2228">
        <v>27000000000</v>
      </c>
      <c r="H1271" s="2262"/>
      <c r="I1271" s="1428"/>
      <c r="J1271" s="1407"/>
      <c r="K1271" s="1431">
        <f t="shared" si="149"/>
        <v>1299851851851.8518</v>
      </c>
      <c r="L1271" s="2381">
        <v>42718</v>
      </c>
      <c r="M1271" s="2264">
        <v>42724</v>
      </c>
      <c r="N1271" s="1407"/>
      <c r="O1271" s="1407"/>
      <c r="P1271" s="1407"/>
      <c r="Q1271" s="1407"/>
      <c r="R1271" s="1407"/>
      <c r="S1271" s="1407"/>
      <c r="T1271" s="1407"/>
      <c r="U1271" s="1407"/>
    </row>
    <row r="1272" spans="1:21" ht="12">
      <c r="A1272" s="639" t="s">
        <v>4580</v>
      </c>
      <c r="B1272" s="1483">
        <v>42781</v>
      </c>
      <c r="C1272" s="639" t="s">
        <v>2126</v>
      </c>
      <c r="D1272" s="639">
        <v>886</v>
      </c>
      <c r="E1272" s="2264">
        <v>42781</v>
      </c>
      <c r="F1272" s="1731">
        <v>1500000000000</v>
      </c>
      <c r="G1272" s="2228">
        <v>27000000000</v>
      </c>
      <c r="H1272" s="2262"/>
      <c r="I1272" s="1428"/>
      <c r="J1272" s="1407"/>
      <c r="K1272" s="1431">
        <f t="shared" si="149"/>
        <v>1822222222222.2222</v>
      </c>
      <c r="L1272" s="2381">
        <v>42718</v>
      </c>
      <c r="M1272" s="2264">
        <v>42724</v>
      </c>
      <c r="N1272" s="1407"/>
      <c r="O1272" s="1407"/>
      <c r="P1272" s="1407"/>
      <c r="Q1272" s="1407"/>
      <c r="R1272" s="1407"/>
      <c r="S1272" s="1407"/>
      <c r="T1272" s="1407"/>
      <c r="U1272" s="1407"/>
    </row>
    <row r="1273" spans="1:21" ht="12">
      <c r="A1273" s="639" t="s">
        <v>4580</v>
      </c>
      <c r="B1273" s="1483">
        <v>42781</v>
      </c>
      <c r="C1273" s="639" t="s">
        <v>2126</v>
      </c>
      <c r="D1273" s="639">
        <v>887</v>
      </c>
      <c r="E1273" s="2264">
        <v>42781</v>
      </c>
      <c r="F1273" s="1731">
        <v>137000000000</v>
      </c>
      <c r="G1273" s="2228">
        <v>27000000000</v>
      </c>
      <c r="H1273" s="2262"/>
      <c r="I1273" s="1428"/>
      <c r="J1273" s="1407"/>
      <c r="K1273" s="1431">
        <f t="shared" si="149"/>
        <v>166429629629.62964</v>
      </c>
      <c r="L1273" s="2381">
        <v>42718</v>
      </c>
      <c r="M1273" s="2264">
        <v>42724</v>
      </c>
      <c r="N1273" s="1407"/>
      <c r="O1273" s="1407"/>
      <c r="P1273" s="1407"/>
      <c r="Q1273" s="1407"/>
      <c r="R1273" s="1407"/>
      <c r="S1273" s="1407"/>
      <c r="T1273" s="1407"/>
      <c r="U1273" s="1407"/>
    </row>
    <row r="1274" spans="1:21" ht="12">
      <c r="A1274" s="639"/>
      <c r="B1274" s="1483"/>
      <c r="C1274" s="639"/>
      <c r="D1274" s="1831"/>
      <c r="E1274" s="2264"/>
      <c r="F1274" s="1407"/>
      <c r="G1274" s="2262"/>
      <c r="H1274" s="2262"/>
      <c r="I1274" s="1428"/>
      <c r="J1274" s="1407"/>
      <c r="K1274" s="1431"/>
      <c r="L1274" s="1407"/>
      <c r="M1274" s="1407"/>
      <c r="N1274" s="1407"/>
      <c r="O1274" s="1407"/>
      <c r="P1274" s="1407"/>
      <c r="Q1274" s="1407"/>
      <c r="R1274" s="1407"/>
      <c r="S1274" s="1407"/>
      <c r="T1274" s="1407"/>
      <c r="U1274" s="1407"/>
    </row>
    <row r="1275" spans="1:21" ht="12">
      <c r="A1275" s="639" t="s">
        <v>4583</v>
      </c>
      <c r="B1275" s="1483">
        <v>42802</v>
      </c>
      <c r="C1275" s="639" t="s">
        <v>3212</v>
      </c>
      <c r="D1275" s="1831" t="s">
        <v>4584</v>
      </c>
      <c r="E1275" s="2264">
        <v>42801</v>
      </c>
      <c r="F1275" s="2228">
        <v>122000000000000</v>
      </c>
      <c r="G1275" s="2228">
        <v>33000000000</v>
      </c>
      <c r="H1275" s="2262"/>
      <c r="I1275" s="1428"/>
      <c r="J1275" s="1407"/>
      <c r="K1275" s="1431">
        <f t="shared" ref="K1275:K1282" si="150">(32800000000/G1275)*F1275</f>
        <v>121260606060606.06</v>
      </c>
      <c r="L1275" s="2381">
        <v>42718</v>
      </c>
      <c r="M1275" s="2264">
        <v>42724</v>
      </c>
      <c r="N1275" s="1407"/>
      <c r="O1275" s="1407"/>
      <c r="P1275" s="1407"/>
      <c r="Q1275" s="1407"/>
      <c r="R1275" s="1407"/>
      <c r="S1275" s="1407"/>
      <c r="T1275" s="1407"/>
      <c r="U1275" s="1407"/>
    </row>
    <row r="1276" spans="1:21" ht="12">
      <c r="A1276" s="639" t="s">
        <v>4583</v>
      </c>
      <c r="B1276" s="1483">
        <v>42802</v>
      </c>
      <c r="C1276" s="639" t="s">
        <v>3212</v>
      </c>
      <c r="D1276" s="1831" t="s">
        <v>4587</v>
      </c>
      <c r="E1276" s="2264">
        <v>42801</v>
      </c>
      <c r="F1276" s="2228">
        <v>12100000000000</v>
      </c>
      <c r="G1276" s="2228">
        <v>33000000000</v>
      </c>
      <c r="H1276" s="2262"/>
      <c r="I1276" s="1428"/>
      <c r="J1276" s="1407"/>
      <c r="K1276" s="1431">
        <f t="shared" si="150"/>
        <v>12026666666666.666</v>
      </c>
      <c r="L1276" s="2381">
        <v>42718</v>
      </c>
      <c r="M1276" s="2264">
        <v>42724</v>
      </c>
      <c r="N1276" s="1407"/>
      <c r="O1276" s="1407"/>
      <c r="P1276" s="1407"/>
      <c r="Q1276" s="1407"/>
      <c r="R1276" s="1407"/>
      <c r="S1276" s="1407"/>
      <c r="T1276" s="1407"/>
      <c r="U1276" s="1407"/>
    </row>
    <row r="1277" spans="1:21" ht="12">
      <c r="A1277" s="639" t="s">
        <v>4583</v>
      </c>
      <c r="B1277" s="1483">
        <v>42802</v>
      </c>
      <c r="C1277" s="639" t="s">
        <v>3212</v>
      </c>
      <c r="D1277" s="1831" t="s">
        <v>4588</v>
      </c>
      <c r="E1277" s="2264">
        <v>42801</v>
      </c>
      <c r="F1277" s="2228">
        <v>6630000000000</v>
      </c>
      <c r="G1277" s="2228">
        <v>33000000000</v>
      </c>
      <c r="H1277" s="2262"/>
      <c r="I1277" s="1428"/>
      <c r="J1277" s="1407"/>
      <c r="K1277" s="1431">
        <f t="shared" si="150"/>
        <v>6589818181818.1816</v>
      </c>
      <c r="L1277" s="2381">
        <v>42718</v>
      </c>
      <c r="M1277" s="2264">
        <v>42724</v>
      </c>
      <c r="N1277" s="1407"/>
      <c r="O1277" s="1407"/>
      <c r="P1277" s="1407"/>
      <c r="Q1277" s="1407"/>
      <c r="R1277" s="1407"/>
      <c r="S1277" s="1407"/>
      <c r="T1277" s="1407"/>
      <c r="U1277" s="1407"/>
    </row>
    <row r="1278" spans="1:21" ht="12">
      <c r="A1278" s="2467" t="s">
        <v>4583</v>
      </c>
      <c r="B1278" s="2469">
        <v>42802</v>
      </c>
      <c r="C1278" s="2467" t="s">
        <v>3212</v>
      </c>
      <c r="D1278" s="2470" t="s">
        <v>4591</v>
      </c>
      <c r="E1278" s="2472">
        <v>42801</v>
      </c>
      <c r="F1278" s="2473">
        <v>4050000000000</v>
      </c>
      <c r="G1278" s="2473">
        <v>33000000000</v>
      </c>
      <c r="H1278" s="2475"/>
      <c r="I1278" s="2477"/>
      <c r="J1278" s="2480"/>
      <c r="K1278" s="1776">
        <f t="shared" si="150"/>
        <v>4025454545454.5454</v>
      </c>
      <c r="L1278" s="2482">
        <v>42718</v>
      </c>
      <c r="M1278" s="2472">
        <v>42724</v>
      </c>
      <c r="N1278" s="2480"/>
      <c r="O1278" s="2480"/>
      <c r="P1278" s="2480"/>
      <c r="Q1278" s="2480"/>
      <c r="R1278" s="2480"/>
      <c r="S1278" s="2480"/>
      <c r="T1278" s="2480"/>
      <c r="U1278" s="2480"/>
    </row>
    <row r="1279" spans="1:21" ht="12">
      <c r="A1279" s="639" t="s">
        <v>4583</v>
      </c>
      <c r="B1279" s="1483">
        <v>42802</v>
      </c>
      <c r="C1279" s="639" t="s">
        <v>3212</v>
      </c>
      <c r="D1279" s="1831" t="s">
        <v>4596</v>
      </c>
      <c r="E1279" s="2264">
        <v>42801</v>
      </c>
      <c r="F1279" s="2228">
        <v>1210000000000000</v>
      </c>
      <c r="G1279" s="2228">
        <v>33000000000</v>
      </c>
      <c r="H1279" s="2262"/>
      <c r="I1279" s="1428"/>
      <c r="J1279" s="1407"/>
      <c r="K1279" s="1431">
        <f t="shared" si="150"/>
        <v>1202666666666666.5</v>
      </c>
      <c r="L1279" s="2381">
        <v>42718</v>
      </c>
      <c r="M1279" s="2264">
        <v>42724</v>
      </c>
      <c r="N1279" s="1407"/>
      <c r="O1279" s="1407"/>
      <c r="P1279" s="1407"/>
      <c r="Q1279" s="1407"/>
      <c r="R1279" s="1407"/>
      <c r="S1279" s="1407"/>
      <c r="T1279" s="1407"/>
      <c r="U1279" s="1407"/>
    </row>
    <row r="1280" spans="1:21" ht="12">
      <c r="A1280" s="639" t="s">
        <v>4583</v>
      </c>
      <c r="B1280" s="1483">
        <v>42802</v>
      </c>
      <c r="C1280" s="639" t="s">
        <v>3212</v>
      </c>
      <c r="D1280" s="1831" t="s">
        <v>4598</v>
      </c>
      <c r="E1280" s="2264">
        <v>42801</v>
      </c>
      <c r="F1280" s="2228">
        <v>26700000000000</v>
      </c>
      <c r="G1280" s="2228">
        <v>33000000000</v>
      </c>
      <c r="H1280" s="2262"/>
      <c r="I1280" s="1428"/>
      <c r="J1280" s="1407"/>
      <c r="K1280" s="1431">
        <f t="shared" si="150"/>
        <v>26538181818181.816</v>
      </c>
      <c r="L1280" s="2381">
        <v>42718</v>
      </c>
      <c r="M1280" s="2264">
        <v>42724</v>
      </c>
      <c r="N1280" s="1407"/>
      <c r="O1280" s="1407"/>
      <c r="P1280" s="1407"/>
      <c r="Q1280" s="1407"/>
      <c r="R1280" s="1407"/>
      <c r="S1280" s="1407"/>
      <c r="T1280" s="1407"/>
      <c r="U1280" s="1407"/>
    </row>
    <row r="1281" spans="1:21" ht="12">
      <c r="A1281" s="639" t="s">
        <v>4583</v>
      </c>
      <c r="B1281" s="1483">
        <v>42802</v>
      </c>
      <c r="C1281" s="639" t="s">
        <v>3212</v>
      </c>
      <c r="D1281" s="1831" t="s">
        <v>4599</v>
      </c>
      <c r="E1281" s="2264">
        <v>42801</v>
      </c>
      <c r="F1281" s="2228">
        <v>11600000000000</v>
      </c>
      <c r="G1281" s="2228">
        <v>33000000000</v>
      </c>
      <c r="H1281" s="2262"/>
      <c r="I1281" s="1428"/>
      <c r="J1281" s="639" t="s">
        <v>4600</v>
      </c>
      <c r="K1281" s="1431">
        <f t="shared" si="150"/>
        <v>11529696969696.969</v>
      </c>
      <c r="L1281" s="2381">
        <v>42718</v>
      </c>
      <c r="M1281" s="2264">
        <v>42724</v>
      </c>
      <c r="N1281" s="1407"/>
      <c r="O1281" s="1407"/>
      <c r="P1281" s="1407"/>
      <c r="Q1281" s="1407"/>
      <c r="R1281" s="1407"/>
      <c r="S1281" s="1407"/>
      <c r="T1281" s="1407"/>
      <c r="U1281" s="1407"/>
    </row>
    <row r="1282" spans="1:21" ht="12">
      <c r="A1282" s="639" t="s">
        <v>4583</v>
      </c>
      <c r="B1282" s="1483">
        <v>42802</v>
      </c>
      <c r="C1282" s="639" t="s">
        <v>3212</v>
      </c>
      <c r="D1282" s="1831" t="s">
        <v>4601</v>
      </c>
      <c r="E1282" s="2264">
        <v>42801</v>
      </c>
      <c r="F1282" s="2228">
        <v>136000000000</v>
      </c>
      <c r="G1282" s="2228">
        <v>33000000000</v>
      </c>
      <c r="H1282" s="2262"/>
      <c r="I1282" s="1428"/>
      <c r="J1282" s="1407"/>
      <c r="K1282" s="1431">
        <f t="shared" si="150"/>
        <v>135175757575.75757</v>
      </c>
      <c r="L1282" s="2381">
        <v>42718</v>
      </c>
      <c r="M1282" s="2264">
        <v>42724</v>
      </c>
      <c r="N1282" s="1407"/>
      <c r="O1282" s="1407"/>
      <c r="P1282" s="1407"/>
      <c r="Q1282" s="1407"/>
      <c r="R1282" s="1407"/>
      <c r="S1282" s="1407"/>
      <c r="T1282" s="1407"/>
      <c r="U1282" s="1407"/>
    </row>
    <row r="1283" spans="1:21" ht="12">
      <c r="A1283" s="639"/>
      <c r="B1283" s="1483"/>
      <c r="C1283" s="639"/>
      <c r="D1283" s="1831"/>
      <c r="E1283" s="2264"/>
      <c r="F1283" s="1407"/>
      <c r="G1283" s="2262"/>
      <c r="H1283" s="2262"/>
      <c r="I1283" s="1428"/>
      <c r="J1283" s="1407"/>
      <c r="K1283" s="1431"/>
      <c r="L1283" s="1407"/>
      <c r="M1283" s="1407"/>
      <c r="N1283" s="1407"/>
      <c r="O1283" s="1407"/>
      <c r="P1283" s="1407"/>
      <c r="Q1283" s="1407"/>
      <c r="R1283" s="1407"/>
      <c r="S1283" s="1407"/>
      <c r="T1283" s="1407"/>
      <c r="U1283" s="1407"/>
    </row>
    <row r="1284" spans="1:21" ht="12">
      <c r="A1284" s="639" t="s">
        <v>4602</v>
      </c>
      <c r="B1284" s="1483">
        <v>42810</v>
      </c>
      <c r="C1284" s="639" t="s">
        <v>2126</v>
      </c>
      <c r="D1284" s="1831" t="s">
        <v>4603</v>
      </c>
      <c r="E1284" s="2264">
        <v>42809</v>
      </c>
      <c r="F1284" s="1731">
        <v>17700000000000</v>
      </c>
      <c r="G1284" s="2228">
        <v>28400000000</v>
      </c>
      <c r="H1284" s="2262"/>
      <c r="I1284" s="1428"/>
      <c r="J1284" s="1407"/>
      <c r="K1284" s="1431">
        <f t="shared" ref="K1284:K1290" si="151">(32800000000/G1284)*F1284</f>
        <v>20442253521126.762</v>
      </c>
      <c r="L1284" s="2381">
        <v>42718</v>
      </c>
      <c r="M1284" s="2264">
        <v>42724</v>
      </c>
      <c r="N1284" s="1407"/>
      <c r="O1284" s="1407"/>
      <c r="P1284" s="1407"/>
      <c r="Q1284" s="1407"/>
      <c r="R1284" s="1407"/>
      <c r="S1284" s="1407"/>
      <c r="T1284" s="1407"/>
      <c r="U1284" s="1407"/>
    </row>
    <row r="1285" spans="1:21" ht="12">
      <c r="A1285" s="639" t="s">
        <v>4602</v>
      </c>
      <c r="B1285" s="1483">
        <v>42810</v>
      </c>
      <c r="C1285" s="639" t="s">
        <v>2126</v>
      </c>
      <c r="D1285" s="1831" t="s">
        <v>4606</v>
      </c>
      <c r="E1285" s="2264">
        <v>42809</v>
      </c>
      <c r="F1285" s="1731">
        <v>447000000000000</v>
      </c>
      <c r="G1285" s="2228">
        <v>28400000000</v>
      </c>
      <c r="H1285" s="2262"/>
      <c r="I1285" s="1428"/>
      <c r="J1285" s="1407"/>
      <c r="K1285" s="1431">
        <f t="shared" si="151"/>
        <v>516253521126760.56</v>
      </c>
      <c r="L1285" s="2381">
        <v>42718</v>
      </c>
      <c r="M1285" s="2264">
        <v>42724</v>
      </c>
      <c r="N1285" s="1407"/>
      <c r="O1285" s="1407"/>
      <c r="P1285" s="1407"/>
      <c r="Q1285" s="1407"/>
      <c r="R1285" s="1407"/>
      <c r="S1285" s="1407"/>
      <c r="T1285" s="1407"/>
      <c r="U1285" s="1407"/>
    </row>
    <row r="1286" spans="1:21" ht="12">
      <c r="A1286" s="639" t="s">
        <v>4602</v>
      </c>
      <c r="B1286" s="1483">
        <v>42810</v>
      </c>
      <c r="C1286" s="639" t="s">
        <v>2126</v>
      </c>
      <c r="D1286" s="1831" t="s">
        <v>4607</v>
      </c>
      <c r="E1286" s="2264">
        <v>42809</v>
      </c>
      <c r="F1286" s="1731">
        <v>25100000000000</v>
      </c>
      <c r="G1286" s="2228">
        <v>28400000000</v>
      </c>
      <c r="H1286" s="2262"/>
      <c r="I1286" s="1428"/>
      <c r="J1286" s="1407"/>
      <c r="K1286" s="1431">
        <f t="shared" si="151"/>
        <v>28988732394366.199</v>
      </c>
      <c r="L1286" s="2381">
        <v>42718</v>
      </c>
      <c r="M1286" s="2264">
        <v>42724</v>
      </c>
      <c r="N1286" s="1407"/>
      <c r="O1286" s="1407"/>
      <c r="P1286" s="1407"/>
      <c r="Q1286" s="1407"/>
      <c r="R1286" s="1407"/>
      <c r="S1286" s="1407"/>
      <c r="T1286" s="1407"/>
      <c r="U1286" s="1407"/>
    </row>
    <row r="1287" spans="1:21" ht="12">
      <c r="A1287" s="639" t="s">
        <v>4602</v>
      </c>
      <c r="B1287" s="1483">
        <v>42810</v>
      </c>
      <c r="C1287" s="639" t="s">
        <v>2126</v>
      </c>
      <c r="D1287" s="1831" t="s">
        <v>4608</v>
      </c>
      <c r="E1287" s="2264">
        <v>42809</v>
      </c>
      <c r="F1287" s="1731">
        <v>19800000000000</v>
      </c>
      <c r="G1287" s="2228">
        <v>28400000000</v>
      </c>
      <c r="H1287" s="2262"/>
      <c r="I1287" s="1428"/>
      <c r="J1287" s="1407"/>
      <c r="K1287" s="1431">
        <f t="shared" si="151"/>
        <v>22867605633802.816</v>
      </c>
      <c r="L1287" s="2381">
        <v>42718</v>
      </c>
      <c r="M1287" s="2264">
        <v>42724</v>
      </c>
      <c r="N1287" s="1407"/>
      <c r="O1287" s="1407"/>
      <c r="P1287" s="1407"/>
      <c r="Q1287" s="1407"/>
      <c r="R1287" s="1407"/>
      <c r="S1287" s="1407"/>
      <c r="T1287" s="1407"/>
      <c r="U1287" s="1407"/>
    </row>
    <row r="1288" spans="1:21" ht="12">
      <c r="A1288" s="639" t="s">
        <v>4602</v>
      </c>
      <c r="B1288" s="1483">
        <v>42810</v>
      </c>
      <c r="C1288" s="639" t="s">
        <v>2126</v>
      </c>
      <c r="D1288" s="1831" t="s">
        <v>4609</v>
      </c>
      <c r="E1288" s="2264">
        <v>42809</v>
      </c>
      <c r="F1288" s="1731">
        <v>77700000000</v>
      </c>
      <c r="G1288" s="2228">
        <v>28400000000</v>
      </c>
      <c r="H1288" s="2262"/>
      <c r="I1288" s="1428"/>
      <c r="J1288" s="1407"/>
      <c r="K1288" s="1431">
        <f t="shared" si="151"/>
        <v>89738028169.014084</v>
      </c>
      <c r="L1288" s="2381">
        <v>42718</v>
      </c>
      <c r="M1288" s="2264">
        <v>42724</v>
      </c>
      <c r="N1288" s="1407"/>
      <c r="O1288" s="1407"/>
      <c r="P1288" s="1407"/>
      <c r="Q1288" s="1407"/>
      <c r="R1288" s="1407"/>
      <c r="S1288" s="1407"/>
      <c r="T1288" s="1407"/>
      <c r="U1288" s="1407"/>
    </row>
    <row r="1289" spans="1:21" ht="12">
      <c r="A1289" s="639" t="s">
        <v>4602</v>
      </c>
      <c r="B1289" s="1483">
        <v>42810</v>
      </c>
      <c r="C1289" s="639" t="s">
        <v>2126</v>
      </c>
      <c r="D1289" s="1831" t="s">
        <v>4610</v>
      </c>
      <c r="E1289" s="2264">
        <v>42809</v>
      </c>
      <c r="F1289" s="1731">
        <v>3820000000000</v>
      </c>
      <c r="G1289" s="2228">
        <v>28400000000</v>
      </c>
      <c r="H1289" s="2262"/>
      <c r="I1289" s="1428"/>
      <c r="J1289" s="1407"/>
      <c r="K1289" s="1431">
        <f t="shared" si="151"/>
        <v>4411830985915.4932</v>
      </c>
      <c r="L1289" s="2381">
        <v>42718</v>
      </c>
      <c r="M1289" s="2264">
        <v>42724</v>
      </c>
      <c r="N1289" s="1407"/>
      <c r="O1289" s="1407"/>
      <c r="P1289" s="1407"/>
      <c r="Q1289" s="1407"/>
      <c r="R1289" s="1407"/>
      <c r="S1289" s="1407"/>
      <c r="T1289" s="1407"/>
      <c r="U1289" s="1407"/>
    </row>
    <row r="1290" spans="1:21" ht="12">
      <c r="A1290" s="2467" t="s">
        <v>4602</v>
      </c>
      <c r="B1290" s="2469">
        <v>42810</v>
      </c>
      <c r="C1290" s="2467" t="s">
        <v>2126</v>
      </c>
      <c r="D1290" s="2470" t="s">
        <v>4591</v>
      </c>
      <c r="E1290" s="2472">
        <v>42809</v>
      </c>
      <c r="F1290" s="2491">
        <v>20000000000000</v>
      </c>
      <c r="G1290" s="2473">
        <v>28400000000</v>
      </c>
      <c r="H1290" s="2475"/>
      <c r="I1290" s="2477"/>
      <c r="J1290" s="2480"/>
      <c r="K1290" s="1776">
        <f t="shared" si="151"/>
        <v>23098591549295.773</v>
      </c>
      <c r="L1290" s="2482">
        <v>42718</v>
      </c>
      <c r="M1290" s="2472">
        <v>42724</v>
      </c>
      <c r="N1290" s="2480"/>
      <c r="O1290" s="2480"/>
      <c r="P1290" s="2480"/>
      <c r="Q1290" s="2480"/>
      <c r="R1290" s="2480"/>
      <c r="S1290" s="2480"/>
      <c r="T1290" s="2480"/>
      <c r="U1290" s="2480"/>
    </row>
    <row r="1291" spans="1:21" ht="12">
      <c r="A1291" s="639"/>
      <c r="B1291" s="1483"/>
      <c r="C1291" s="639"/>
      <c r="D1291" s="1831"/>
      <c r="E1291" s="2264"/>
      <c r="F1291" s="1407"/>
      <c r="G1291" s="2262"/>
      <c r="H1291" s="2262"/>
      <c r="I1291" s="1428"/>
      <c r="J1291" s="1407"/>
      <c r="K1291" s="1431"/>
      <c r="L1291" s="1407"/>
      <c r="M1291" s="1407"/>
      <c r="N1291" s="1407"/>
      <c r="O1291" s="1407"/>
      <c r="P1291" s="1407"/>
      <c r="Q1291" s="1407"/>
      <c r="R1291" s="1407"/>
      <c r="S1291" s="1407"/>
      <c r="T1291" s="1407"/>
      <c r="U1291" s="1407"/>
    </row>
    <row r="1292" spans="1:21" ht="12">
      <c r="A1292" s="639" t="s">
        <v>4611</v>
      </c>
      <c r="B1292" s="1483">
        <v>42816</v>
      </c>
      <c r="C1292" s="639" t="s">
        <v>3212</v>
      </c>
      <c r="D1292" s="1831" t="s">
        <v>4612</v>
      </c>
      <c r="E1292" s="2264">
        <v>42816</v>
      </c>
      <c r="F1292" s="2228">
        <v>3610000000000</v>
      </c>
      <c r="G1292" s="2228">
        <v>16600000000</v>
      </c>
      <c r="H1292" s="2262"/>
      <c r="I1292" s="1428"/>
      <c r="J1292" s="1407"/>
      <c r="K1292" s="1431">
        <f t="shared" ref="K1292:K1301" si="152">(32800000000/G1292)*F1292</f>
        <v>7133012048192.7705</v>
      </c>
      <c r="L1292" s="2381">
        <v>42718</v>
      </c>
      <c r="M1292" s="2264">
        <v>42724</v>
      </c>
      <c r="N1292" s="1407"/>
      <c r="O1292" s="1407"/>
      <c r="P1292" s="1407"/>
      <c r="Q1292" s="1407"/>
      <c r="R1292" s="1407"/>
      <c r="S1292" s="1407"/>
      <c r="T1292" s="1407"/>
      <c r="U1292" s="1407"/>
    </row>
    <row r="1293" spans="1:21" ht="12">
      <c r="A1293" s="639" t="s">
        <v>4611</v>
      </c>
      <c r="B1293" s="1483">
        <v>42816</v>
      </c>
      <c r="C1293" s="639" t="s">
        <v>3212</v>
      </c>
      <c r="D1293" s="1831" t="s">
        <v>4613</v>
      </c>
      <c r="E1293" s="2264">
        <v>42816</v>
      </c>
      <c r="F1293" s="2228">
        <v>40400000000000</v>
      </c>
      <c r="G1293" s="2228">
        <v>16600000000</v>
      </c>
      <c r="H1293" s="2262"/>
      <c r="I1293" s="1428"/>
      <c r="J1293" s="1407"/>
      <c r="K1293" s="1431">
        <f t="shared" si="152"/>
        <v>79826506024096.375</v>
      </c>
      <c r="L1293" s="2381">
        <v>42718</v>
      </c>
      <c r="M1293" s="2264">
        <v>42724</v>
      </c>
      <c r="N1293" s="1407"/>
      <c r="O1293" s="1407"/>
      <c r="P1293" s="1407"/>
      <c r="Q1293" s="1407"/>
      <c r="R1293" s="1407"/>
      <c r="S1293" s="1407"/>
      <c r="T1293" s="1407"/>
      <c r="U1293" s="1407"/>
    </row>
    <row r="1294" spans="1:21" ht="12">
      <c r="A1294" s="639" t="s">
        <v>4611</v>
      </c>
      <c r="B1294" s="1483">
        <v>42816</v>
      </c>
      <c r="C1294" s="639" t="s">
        <v>3212</v>
      </c>
      <c r="D1294" s="1831" t="s">
        <v>4614</v>
      </c>
      <c r="E1294" s="2264">
        <v>42816</v>
      </c>
      <c r="F1294" s="2228">
        <v>24400000000000</v>
      </c>
      <c r="G1294" s="2228">
        <v>16600000000</v>
      </c>
      <c r="H1294" s="2262"/>
      <c r="I1294" s="1428"/>
      <c r="J1294" s="1407"/>
      <c r="K1294" s="1431">
        <f t="shared" si="152"/>
        <v>48212048192771.086</v>
      </c>
      <c r="L1294" s="2381">
        <v>42718</v>
      </c>
      <c r="M1294" s="2264">
        <v>42724</v>
      </c>
      <c r="N1294" s="1407"/>
      <c r="O1294" s="1407"/>
      <c r="P1294" s="1407"/>
      <c r="Q1294" s="1407"/>
      <c r="R1294" s="1407"/>
      <c r="S1294" s="1407"/>
      <c r="T1294" s="1407"/>
      <c r="U1294" s="1407"/>
    </row>
    <row r="1295" spans="1:21" ht="12">
      <c r="A1295" s="639" t="s">
        <v>4611</v>
      </c>
      <c r="B1295" s="1483">
        <v>42816</v>
      </c>
      <c r="C1295" s="639" t="s">
        <v>3212</v>
      </c>
      <c r="D1295" s="1831" t="s">
        <v>4615</v>
      </c>
      <c r="E1295" s="2264">
        <v>42816</v>
      </c>
      <c r="F1295" s="2228">
        <v>2650000000000</v>
      </c>
      <c r="G1295" s="2228">
        <v>16600000000</v>
      </c>
      <c r="H1295" s="2262"/>
      <c r="I1295" s="1428"/>
      <c r="J1295" s="1407"/>
      <c r="K1295" s="1431">
        <f t="shared" si="152"/>
        <v>5236144578313.2529</v>
      </c>
      <c r="L1295" s="2381">
        <v>42718</v>
      </c>
      <c r="M1295" s="2264">
        <v>42724</v>
      </c>
      <c r="N1295" s="1407"/>
      <c r="O1295" s="1407"/>
      <c r="P1295" s="1407"/>
      <c r="Q1295" s="1407"/>
      <c r="R1295" s="1407"/>
      <c r="S1295" s="1407"/>
      <c r="T1295" s="1407"/>
      <c r="U1295" s="1407"/>
    </row>
    <row r="1296" spans="1:21" ht="12">
      <c r="A1296" s="639" t="s">
        <v>4611</v>
      </c>
      <c r="B1296" s="1483">
        <v>42816</v>
      </c>
      <c r="C1296" s="639" t="s">
        <v>3212</v>
      </c>
      <c r="D1296" s="1831" t="s">
        <v>4616</v>
      </c>
      <c r="E1296" s="2264">
        <v>42816</v>
      </c>
      <c r="F1296" s="2228">
        <v>105000000000</v>
      </c>
      <c r="G1296" s="2228">
        <v>16600000000</v>
      </c>
      <c r="H1296" s="2262"/>
      <c r="I1296" s="1428"/>
      <c r="J1296" s="1407"/>
      <c r="K1296" s="1431">
        <f t="shared" si="152"/>
        <v>207469879518.0723</v>
      </c>
      <c r="L1296" s="2381">
        <v>42718</v>
      </c>
      <c r="M1296" s="2264">
        <v>42724</v>
      </c>
      <c r="N1296" s="1407"/>
      <c r="O1296" s="1407"/>
      <c r="P1296" s="1407"/>
      <c r="Q1296" s="1407"/>
      <c r="R1296" s="1407"/>
      <c r="S1296" s="1407"/>
      <c r="T1296" s="1407"/>
      <c r="U1296" s="1407"/>
    </row>
    <row r="1297" spans="1:21" ht="12">
      <c r="A1297" s="639" t="s">
        <v>4611</v>
      </c>
      <c r="B1297" s="1483">
        <v>42816</v>
      </c>
      <c r="C1297" s="639" t="s">
        <v>3212</v>
      </c>
      <c r="D1297" s="1831" t="s">
        <v>4617</v>
      </c>
      <c r="E1297" s="2264">
        <v>42816</v>
      </c>
      <c r="F1297" s="2228">
        <v>123000000000000</v>
      </c>
      <c r="G1297" s="2228">
        <v>16600000000</v>
      </c>
      <c r="H1297" s="2262"/>
      <c r="I1297" s="1428"/>
      <c r="J1297" s="1407"/>
      <c r="K1297" s="1431">
        <f t="shared" si="152"/>
        <v>243036144578313.25</v>
      </c>
      <c r="L1297" s="2381">
        <v>42718</v>
      </c>
      <c r="M1297" s="2264">
        <v>42724</v>
      </c>
      <c r="N1297" s="1407"/>
      <c r="O1297" s="1407"/>
      <c r="P1297" s="1407"/>
      <c r="Q1297" s="1407"/>
      <c r="R1297" s="1407"/>
      <c r="S1297" s="1407"/>
      <c r="T1297" s="1407"/>
      <c r="U1297" s="1407"/>
    </row>
    <row r="1298" spans="1:21" ht="12">
      <c r="A1298" s="639" t="s">
        <v>4611</v>
      </c>
      <c r="B1298" s="1483">
        <v>42816</v>
      </c>
      <c r="C1298" s="639" t="s">
        <v>3212</v>
      </c>
      <c r="D1298" s="1831" t="s">
        <v>4618</v>
      </c>
      <c r="E1298" s="2264">
        <v>42816</v>
      </c>
      <c r="F1298" s="2228">
        <v>54600000000000</v>
      </c>
      <c r="G1298" s="2228">
        <v>16600000000</v>
      </c>
      <c r="H1298" s="2262"/>
      <c r="I1298" s="1428"/>
      <c r="J1298" s="1407"/>
      <c r="K1298" s="1431">
        <f t="shared" si="152"/>
        <v>107884337349397.59</v>
      </c>
      <c r="L1298" s="2381">
        <v>42718</v>
      </c>
      <c r="M1298" s="2264">
        <v>42724</v>
      </c>
      <c r="N1298" s="1407"/>
      <c r="O1298" s="1407"/>
      <c r="P1298" s="1407"/>
      <c r="Q1298" s="1407"/>
      <c r="R1298" s="1407"/>
      <c r="S1298" s="1407"/>
      <c r="T1298" s="1407"/>
      <c r="U1298" s="1407"/>
    </row>
    <row r="1299" spans="1:21" ht="12">
      <c r="A1299" s="639" t="s">
        <v>4611</v>
      </c>
      <c r="B1299" s="1483">
        <v>42816</v>
      </c>
      <c r="C1299" s="639" t="s">
        <v>3212</v>
      </c>
      <c r="D1299" s="1831" t="s">
        <v>4619</v>
      </c>
      <c r="E1299" s="2264">
        <v>42816</v>
      </c>
      <c r="F1299" s="2228">
        <v>15900000000000</v>
      </c>
      <c r="G1299" s="2228">
        <v>16600000000</v>
      </c>
      <c r="H1299" s="2262"/>
      <c r="I1299" s="1428"/>
      <c r="J1299" s="1407"/>
      <c r="K1299" s="1431">
        <f t="shared" si="152"/>
        <v>31416867469879.516</v>
      </c>
      <c r="L1299" s="2381">
        <v>42718</v>
      </c>
      <c r="M1299" s="2264">
        <v>42724</v>
      </c>
      <c r="N1299" s="1407"/>
      <c r="O1299" s="1407"/>
      <c r="P1299" s="1407"/>
      <c r="Q1299" s="1407"/>
      <c r="R1299" s="1407"/>
      <c r="S1299" s="1407"/>
      <c r="T1299" s="1407"/>
      <c r="U1299" s="1407"/>
    </row>
    <row r="1300" spans="1:21" ht="12">
      <c r="A1300" s="2467" t="s">
        <v>4611</v>
      </c>
      <c r="B1300" s="2469">
        <v>42816</v>
      </c>
      <c r="C1300" s="2467" t="s">
        <v>3212</v>
      </c>
      <c r="D1300" s="2470" t="s">
        <v>4591</v>
      </c>
      <c r="E1300" s="2472">
        <v>42816</v>
      </c>
      <c r="F1300" s="2473">
        <v>6450000000000</v>
      </c>
      <c r="G1300" s="2473">
        <v>16600000000</v>
      </c>
      <c r="H1300" s="2475"/>
      <c r="I1300" s="2477"/>
      <c r="J1300" s="2467" t="s">
        <v>4620</v>
      </c>
      <c r="K1300" s="1776">
        <f t="shared" si="152"/>
        <v>12744578313253.012</v>
      </c>
      <c r="L1300" s="2482">
        <v>42718</v>
      </c>
      <c r="M1300" s="2472">
        <v>42724</v>
      </c>
      <c r="N1300" s="2480"/>
      <c r="O1300" s="2480"/>
      <c r="P1300" s="2480"/>
      <c r="Q1300" s="2480"/>
      <c r="R1300" s="2480"/>
      <c r="S1300" s="2480"/>
      <c r="T1300" s="2480"/>
      <c r="U1300" s="2480"/>
    </row>
    <row r="1301" spans="1:21" ht="12">
      <c r="A1301" s="639" t="s">
        <v>4611</v>
      </c>
      <c r="B1301" s="1483">
        <v>42816</v>
      </c>
      <c r="C1301" s="639" t="s">
        <v>3212</v>
      </c>
      <c r="D1301" s="1831" t="s">
        <v>4596</v>
      </c>
      <c r="E1301" s="2264">
        <v>42816</v>
      </c>
      <c r="F1301" s="2228">
        <v>60400000000000</v>
      </c>
      <c r="G1301" s="2228">
        <v>16600000000</v>
      </c>
      <c r="H1301" s="2262"/>
      <c r="I1301" s="1428"/>
      <c r="J1301" s="1407"/>
      <c r="K1301" s="1431">
        <f t="shared" si="152"/>
        <v>119344578313253</v>
      </c>
      <c r="L1301" s="2381">
        <v>42718</v>
      </c>
      <c r="M1301" s="2264">
        <v>42724</v>
      </c>
      <c r="N1301" s="1407"/>
      <c r="O1301" s="1407"/>
      <c r="P1301" s="1407"/>
      <c r="Q1301" s="1407"/>
      <c r="R1301" s="1407"/>
      <c r="S1301" s="1407"/>
      <c r="T1301" s="1407"/>
      <c r="U1301" s="1407"/>
    </row>
    <row r="1302" spans="1:21" ht="12">
      <c r="A1302" s="639"/>
      <c r="B1302" s="1483"/>
      <c r="C1302" s="639"/>
      <c r="D1302" s="1831"/>
      <c r="E1302" s="2264"/>
      <c r="F1302" s="1407"/>
      <c r="G1302" s="2262"/>
      <c r="H1302" s="2262"/>
      <c r="I1302" s="1428"/>
      <c r="J1302" s="1407"/>
      <c r="K1302" s="1431"/>
      <c r="L1302" s="1407"/>
      <c r="M1302" s="1407"/>
      <c r="N1302" s="1407"/>
      <c r="O1302" s="1407"/>
      <c r="P1302" s="1407"/>
      <c r="Q1302" s="1407"/>
      <c r="R1302" s="1407"/>
      <c r="S1302" s="1407"/>
      <c r="T1302" s="1407"/>
      <c r="U1302" s="1407"/>
    </row>
    <row r="1303" spans="1:21" ht="12">
      <c r="A1303" s="639" t="s">
        <v>4621</v>
      </c>
      <c r="B1303" s="2501">
        <v>42823</v>
      </c>
      <c r="C1303" s="639" t="s">
        <v>2126</v>
      </c>
      <c r="D1303" s="1831" t="s">
        <v>4622</v>
      </c>
      <c r="E1303" s="2264">
        <v>42823</v>
      </c>
      <c r="F1303" s="2228">
        <v>6290000000000</v>
      </c>
      <c r="G1303" s="2228">
        <v>34100000000</v>
      </c>
      <c r="H1303" s="2262"/>
      <c r="I1303" s="1428"/>
      <c r="J1303" s="1407"/>
      <c r="K1303" s="1431">
        <f t="shared" ref="K1303:K1317" si="153">(32800000000/G1303)*F1303</f>
        <v>6050205278592.376</v>
      </c>
      <c r="L1303" s="2381">
        <v>42718</v>
      </c>
      <c r="M1303" s="2264">
        <v>42724</v>
      </c>
      <c r="N1303" s="1407"/>
      <c r="O1303" s="1407"/>
      <c r="P1303" s="1407"/>
      <c r="Q1303" s="1407"/>
      <c r="R1303" s="1407"/>
      <c r="S1303" s="1407"/>
      <c r="T1303" s="1407"/>
      <c r="U1303" s="1407"/>
    </row>
    <row r="1304" spans="1:21" ht="12">
      <c r="A1304" s="639" t="s">
        <v>4621</v>
      </c>
      <c r="B1304" s="2501">
        <v>42823</v>
      </c>
      <c r="C1304" s="639" t="s">
        <v>2126</v>
      </c>
      <c r="D1304" s="1831" t="s">
        <v>4623</v>
      </c>
      <c r="E1304" s="2264">
        <v>42823</v>
      </c>
      <c r="F1304" s="2228">
        <v>14100000000000</v>
      </c>
      <c r="G1304" s="2228">
        <v>34100000000</v>
      </c>
      <c r="H1304" s="2262"/>
      <c r="I1304" s="1428"/>
      <c r="J1304" s="1407"/>
      <c r="K1304" s="1431">
        <f t="shared" si="153"/>
        <v>13562463343108.504</v>
      </c>
      <c r="L1304" s="2381">
        <v>42718</v>
      </c>
      <c r="M1304" s="2264">
        <v>42724</v>
      </c>
      <c r="N1304" s="1407"/>
      <c r="O1304" s="1407"/>
      <c r="P1304" s="1407"/>
      <c r="Q1304" s="1407"/>
      <c r="R1304" s="1407"/>
      <c r="S1304" s="1407"/>
      <c r="T1304" s="1407"/>
      <c r="U1304" s="1407"/>
    </row>
    <row r="1305" spans="1:21" ht="12">
      <c r="A1305" s="639" t="s">
        <v>4621</v>
      </c>
      <c r="B1305" s="2501">
        <v>42823</v>
      </c>
      <c r="C1305" s="639" t="s">
        <v>2126</v>
      </c>
      <c r="D1305" s="1831" t="s">
        <v>4624</v>
      </c>
      <c r="E1305" s="2264">
        <v>42823</v>
      </c>
      <c r="F1305" s="2228">
        <v>627000000000</v>
      </c>
      <c r="G1305" s="2228">
        <v>34100000000</v>
      </c>
      <c r="H1305" s="2262"/>
      <c r="I1305" s="1428"/>
      <c r="J1305" s="1407"/>
      <c r="K1305" s="1431">
        <f t="shared" si="153"/>
        <v>603096774193.54846</v>
      </c>
      <c r="L1305" s="2381">
        <v>42718</v>
      </c>
      <c r="M1305" s="2264">
        <v>42724</v>
      </c>
      <c r="N1305" s="1407"/>
      <c r="O1305" s="1407"/>
      <c r="P1305" s="1407"/>
      <c r="Q1305" s="1407"/>
      <c r="R1305" s="1407"/>
      <c r="S1305" s="1407"/>
      <c r="T1305" s="1407"/>
      <c r="U1305" s="1407"/>
    </row>
    <row r="1306" spans="1:21" ht="12">
      <c r="A1306" s="639" t="s">
        <v>4621</v>
      </c>
      <c r="B1306" s="2501">
        <v>42823</v>
      </c>
      <c r="C1306" s="639" t="s">
        <v>2126</v>
      </c>
      <c r="D1306" s="1831" t="s">
        <v>4625</v>
      </c>
      <c r="E1306" s="2264">
        <v>42823</v>
      </c>
      <c r="F1306" s="2228">
        <v>65600000000000</v>
      </c>
      <c r="G1306" s="2228">
        <v>34100000000</v>
      </c>
      <c r="H1306" s="2262"/>
      <c r="I1306" s="1428"/>
      <c r="J1306" s="1407"/>
      <c r="K1306" s="1431">
        <f t="shared" si="153"/>
        <v>63099120234604.109</v>
      </c>
      <c r="L1306" s="2381">
        <v>42718</v>
      </c>
      <c r="M1306" s="2264">
        <v>42724</v>
      </c>
      <c r="N1306" s="1407"/>
      <c r="O1306" s="1407"/>
      <c r="P1306" s="1407"/>
      <c r="Q1306" s="1407"/>
      <c r="R1306" s="1407"/>
      <c r="S1306" s="1407"/>
      <c r="T1306" s="1407"/>
      <c r="U1306" s="1407"/>
    </row>
    <row r="1307" spans="1:21" ht="12">
      <c r="A1307" s="639" t="s">
        <v>4621</v>
      </c>
      <c r="B1307" s="2501">
        <v>42823</v>
      </c>
      <c r="C1307" s="639" t="s">
        <v>2126</v>
      </c>
      <c r="D1307" s="1831" t="s">
        <v>4626</v>
      </c>
      <c r="E1307" s="2264">
        <v>42823</v>
      </c>
      <c r="F1307" s="2228">
        <v>4650000000000</v>
      </c>
      <c r="G1307" s="2228">
        <v>34100000000</v>
      </c>
      <c r="H1307" s="2262"/>
      <c r="I1307" s="1428"/>
      <c r="J1307" s="1407"/>
      <c r="K1307" s="1431">
        <f t="shared" si="153"/>
        <v>4472727272727.2725</v>
      </c>
      <c r="L1307" s="2381">
        <v>42718</v>
      </c>
      <c r="M1307" s="2264">
        <v>42724</v>
      </c>
      <c r="N1307" s="1407"/>
      <c r="O1307" s="1407"/>
      <c r="P1307" s="1407"/>
      <c r="Q1307" s="1407"/>
      <c r="R1307" s="1407"/>
      <c r="S1307" s="1407"/>
      <c r="T1307" s="1407"/>
      <c r="U1307" s="1407"/>
    </row>
    <row r="1308" spans="1:21" ht="12">
      <c r="A1308" s="639" t="s">
        <v>4621</v>
      </c>
      <c r="B1308" s="2501">
        <v>42823</v>
      </c>
      <c r="C1308" s="639" t="s">
        <v>2126</v>
      </c>
      <c r="D1308" s="1831" t="s">
        <v>4627</v>
      </c>
      <c r="E1308" s="2264">
        <v>42823</v>
      </c>
      <c r="F1308" s="2228">
        <v>6410000000000</v>
      </c>
      <c r="G1308" s="2228">
        <v>34100000000</v>
      </c>
      <c r="H1308" s="2262"/>
      <c r="I1308" s="1428"/>
      <c r="J1308" s="1407"/>
      <c r="K1308" s="1431">
        <f t="shared" si="153"/>
        <v>6165630498533.7246</v>
      </c>
      <c r="L1308" s="2381">
        <v>42718</v>
      </c>
      <c r="M1308" s="2264">
        <v>42724</v>
      </c>
      <c r="N1308" s="1407"/>
      <c r="O1308" s="1407"/>
      <c r="P1308" s="1407"/>
      <c r="Q1308" s="1407"/>
      <c r="R1308" s="1407"/>
      <c r="S1308" s="1407"/>
      <c r="T1308" s="1407"/>
      <c r="U1308" s="1407"/>
    </row>
    <row r="1309" spans="1:21" ht="12">
      <c r="A1309" s="639" t="s">
        <v>4621</v>
      </c>
      <c r="B1309" s="2501">
        <v>42823</v>
      </c>
      <c r="C1309" s="639" t="s">
        <v>2126</v>
      </c>
      <c r="D1309" s="1831" t="s">
        <v>4628</v>
      </c>
      <c r="E1309" s="2264">
        <v>42823</v>
      </c>
      <c r="F1309" s="2228">
        <v>843000000000</v>
      </c>
      <c r="G1309" s="2228">
        <v>34100000000</v>
      </c>
      <c r="H1309" s="2262"/>
      <c r="I1309" s="1428"/>
      <c r="J1309" s="1407"/>
      <c r="K1309" s="1431">
        <f t="shared" si="153"/>
        <v>810862170087.97656</v>
      </c>
      <c r="L1309" s="2381">
        <v>42718</v>
      </c>
      <c r="M1309" s="2264">
        <v>42724</v>
      </c>
      <c r="N1309" s="1407"/>
      <c r="O1309" s="1407"/>
      <c r="P1309" s="1407"/>
      <c r="Q1309" s="1407"/>
      <c r="R1309" s="1407"/>
      <c r="S1309" s="1407"/>
      <c r="T1309" s="1407"/>
      <c r="U1309" s="1407"/>
    </row>
    <row r="1310" spans="1:21" ht="12">
      <c r="A1310" s="639" t="s">
        <v>4621</v>
      </c>
      <c r="B1310" s="2501">
        <v>42823</v>
      </c>
      <c r="C1310" s="639" t="s">
        <v>2126</v>
      </c>
      <c r="D1310" s="1831" t="s">
        <v>4629</v>
      </c>
      <c r="E1310" s="2264">
        <v>42823</v>
      </c>
      <c r="F1310" s="2228">
        <v>1910000000000</v>
      </c>
      <c r="G1310" s="2228">
        <v>34100000000</v>
      </c>
      <c r="H1310" s="2262"/>
      <c r="I1310" s="1428"/>
      <c r="J1310" s="1407"/>
      <c r="K1310" s="1431">
        <f t="shared" si="153"/>
        <v>1837184750733.1379</v>
      </c>
      <c r="L1310" s="2381">
        <v>42718</v>
      </c>
      <c r="M1310" s="2264">
        <v>42724</v>
      </c>
      <c r="N1310" s="1407"/>
      <c r="O1310" s="1407"/>
      <c r="P1310" s="1407"/>
      <c r="Q1310" s="1407"/>
      <c r="R1310" s="1407"/>
      <c r="S1310" s="1407"/>
      <c r="T1310" s="1407"/>
      <c r="U1310" s="1407"/>
    </row>
    <row r="1311" spans="1:21" ht="12">
      <c r="A1311" s="639" t="s">
        <v>4621</v>
      </c>
      <c r="B1311" s="2501">
        <v>42823</v>
      </c>
      <c r="C1311" s="639" t="s">
        <v>2126</v>
      </c>
      <c r="D1311" s="1831" t="s">
        <v>4631</v>
      </c>
      <c r="E1311" s="2264">
        <v>42823</v>
      </c>
      <c r="F1311" s="2228">
        <v>1420000000000</v>
      </c>
      <c r="G1311" s="2228">
        <v>34100000000</v>
      </c>
      <c r="H1311" s="2262"/>
      <c r="I1311" s="1428"/>
      <c r="J1311" s="1407"/>
      <c r="K1311" s="1431">
        <f t="shared" si="153"/>
        <v>1365865102639.2961</v>
      </c>
      <c r="L1311" s="2381">
        <v>42718</v>
      </c>
      <c r="M1311" s="2264">
        <v>42724</v>
      </c>
      <c r="N1311" s="1407"/>
      <c r="O1311" s="1407"/>
      <c r="P1311" s="1407"/>
      <c r="Q1311" s="1407"/>
      <c r="R1311" s="1407"/>
      <c r="S1311" s="1407"/>
      <c r="T1311" s="1407"/>
      <c r="U1311" s="1407"/>
    </row>
    <row r="1312" spans="1:21" ht="12">
      <c r="A1312" s="639" t="s">
        <v>4621</v>
      </c>
      <c r="B1312" s="2501">
        <v>42823</v>
      </c>
      <c r="C1312" s="639" t="s">
        <v>2126</v>
      </c>
      <c r="D1312" s="1831" t="s">
        <v>4042</v>
      </c>
      <c r="E1312" s="2264">
        <v>42823</v>
      </c>
      <c r="F1312" s="2228">
        <v>214000000000000</v>
      </c>
      <c r="G1312" s="2228">
        <v>34100000000</v>
      </c>
      <c r="H1312" s="2262"/>
      <c r="I1312" s="1428"/>
      <c r="J1312" s="1407"/>
      <c r="K1312" s="1431">
        <f t="shared" si="153"/>
        <v>205841642228739</v>
      </c>
      <c r="L1312" s="2381">
        <v>42718</v>
      </c>
      <c r="M1312" s="2264">
        <v>42724</v>
      </c>
      <c r="N1312" s="1407"/>
      <c r="O1312" s="1407"/>
      <c r="P1312" s="1407"/>
      <c r="Q1312" s="1407"/>
      <c r="R1312" s="1407"/>
      <c r="S1312" s="1407"/>
      <c r="T1312" s="1407"/>
      <c r="U1312" s="1407"/>
    </row>
    <row r="1313" spans="1:21" ht="12">
      <c r="A1313" s="639" t="s">
        <v>4621</v>
      </c>
      <c r="B1313" s="2501">
        <v>42823</v>
      </c>
      <c r="C1313" s="639" t="s">
        <v>2126</v>
      </c>
      <c r="D1313" s="1831" t="s">
        <v>4632</v>
      </c>
      <c r="E1313" s="2264">
        <v>42823</v>
      </c>
      <c r="F1313" s="2228">
        <v>2290000000000</v>
      </c>
      <c r="G1313" s="2228">
        <v>34100000000</v>
      </c>
      <c r="H1313" s="2262"/>
      <c r="I1313" s="1428"/>
      <c r="J1313" s="1407"/>
      <c r="K1313" s="1431">
        <f t="shared" si="153"/>
        <v>2202697947214.0762</v>
      </c>
      <c r="L1313" s="2381">
        <v>42718</v>
      </c>
      <c r="M1313" s="2264">
        <v>42724</v>
      </c>
      <c r="N1313" s="1407"/>
      <c r="O1313" s="1407"/>
      <c r="P1313" s="1407"/>
      <c r="Q1313" s="1407"/>
      <c r="R1313" s="1407"/>
      <c r="S1313" s="1407"/>
      <c r="T1313" s="1407"/>
      <c r="U1313" s="1407"/>
    </row>
    <row r="1314" spans="1:21" ht="12">
      <c r="A1314" s="639" t="s">
        <v>4621</v>
      </c>
      <c r="B1314" s="2501">
        <v>42823</v>
      </c>
      <c r="C1314" s="639" t="s">
        <v>2126</v>
      </c>
      <c r="D1314" s="1831" t="s">
        <v>4633</v>
      </c>
      <c r="E1314" s="2264">
        <v>42823</v>
      </c>
      <c r="F1314" s="2228">
        <v>1780000000000</v>
      </c>
      <c r="G1314" s="2228">
        <v>34100000000</v>
      </c>
      <c r="H1314" s="2262"/>
      <c r="I1314" s="1428"/>
      <c r="J1314" s="1407"/>
      <c r="K1314" s="1431">
        <f t="shared" si="153"/>
        <v>1712140762463.3433</v>
      </c>
      <c r="L1314" s="2381">
        <v>42718</v>
      </c>
      <c r="M1314" s="2264">
        <v>42724</v>
      </c>
      <c r="N1314" s="1407"/>
      <c r="O1314" s="1407"/>
      <c r="P1314" s="1407"/>
      <c r="Q1314" s="1407"/>
      <c r="R1314" s="1407"/>
      <c r="S1314" s="1407"/>
      <c r="T1314" s="1407"/>
      <c r="U1314" s="1407"/>
    </row>
    <row r="1315" spans="1:21" ht="12">
      <c r="A1315" s="639" t="s">
        <v>4621</v>
      </c>
      <c r="B1315" s="2501">
        <v>42823</v>
      </c>
      <c r="C1315" s="639" t="s">
        <v>2126</v>
      </c>
      <c r="D1315" s="1831" t="s">
        <v>4635</v>
      </c>
      <c r="E1315" s="2264">
        <v>42823</v>
      </c>
      <c r="F1315" s="1731">
        <v>2790000000000</v>
      </c>
      <c r="G1315" s="2228">
        <v>34100000000</v>
      </c>
      <c r="H1315" s="2262"/>
      <c r="I1315" s="1428"/>
      <c r="J1315" s="1407"/>
      <c r="K1315" s="1431">
        <f t="shared" si="153"/>
        <v>2683636363636.3638</v>
      </c>
      <c r="L1315" s="2381">
        <v>42718</v>
      </c>
      <c r="M1315" s="2264">
        <v>42724</v>
      </c>
      <c r="N1315" s="1407"/>
      <c r="O1315" s="1407"/>
      <c r="P1315" s="1407"/>
      <c r="Q1315" s="1407"/>
      <c r="R1315" s="1407"/>
      <c r="S1315" s="1407"/>
      <c r="T1315" s="1407"/>
      <c r="U1315" s="1407"/>
    </row>
    <row r="1316" spans="1:21" ht="12">
      <c r="A1316" s="639" t="s">
        <v>4621</v>
      </c>
      <c r="B1316" s="2501">
        <v>42823</v>
      </c>
      <c r="C1316" s="639" t="s">
        <v>2126</v>
      </c>
      <c r="D1316" s="1831" t="s">
        <v>4636</v>
      </c>
      <c r="E1316" s="2264">
        <v>42823</v>
      </c>
      <c r="F1316" s="1731">
        <v>392000000000</v>
      </c>
      <c r="G1316" s="2228">
        <v>34100000000</v>
      </c>
      <c r="H1316" s="2262"/>
      <c r="I1316" s="1428"/>
      <c r="J1316" s="1407"/>
      <c r="K1316" s="1431">
        <f t="shared" si="153"/>
        <v>377055718475.0733</v>
      </c>
      <c r="L1316" s="2381">
        <v>42718</v>
      </c>
      <c r="M1316" s="2264">
        <v>42724</v>
      </c>
      <c r="N1316" s="1407"/>
      <c r="O1316" s="1407"/>
      <c r="P1316" s="1407"/>
      <c r="Q1316" s="1407"/>
      <c r="R1316" s="1407"/>
      <c r="S1316" s="1407"/>
      <c r="T1316" s="1407"/>
      <c r="U1316" s="1407"/>
    </row>
    <row r="1317" spans="1:21" ht="12">
      <c r="A1317" s="639" t="s">
        <v>4621</v>
      </c>
      <c r="B1317" s="2501">
        <v>42823</v>
      </c>
      <c r="C1317" s="639" t="s">
        <v>2126</v>
      </c>
      <c r="D1317" s="1831" t="s">
        <v>4637</v>
      </c>
      <c r="E1317" s="2264">
        <v>42823</v>
      </c>
      <c r="F1317" s="1731">
        <v>16900000000000</v>
      </c>
      <c r="G1317" s="2228">
        <v>34100000000</v>
      </c>
      <c r="H1317" s="2262"/>
      <c r="I1317" s="1428"/>
      <c r="J1317" s="1407"/>
      <c r="K1317" s="1431">
        <f t="shared" si="153"/>
        <v>16255718475073.314</v>
      </c>
      <c r="L1317" s="2381">
        <v>42718</v>
      </c>
      <c r="M1317" s="2264">
        <v>42724</v>
      </c>
      <c r="N1317" s="1407"/>
      <c r="O1317" s="1407"/>
      <c r="P1317" s="1407"/>
      <c r="Q1317" s="1407"/>
      <c r="R1317" s="1407"/>
      <c r="S1317" s="1407"/>
      <c r="T1317" s="1407"/>
      <c r="U1317" s="1407"/>
    </row>
    <row r="1318" spans="1:21" ht="12">
      <c r="A1318" s="639"/>
      <c r="B1318" s="1483"/>
      <c r="C1318" s="639"/>
      <c r="D1318" s="1831"/>
      <c r="E1318" s="2264"/>
      <c r="F1318" s="1407"/>
      <c r="G1318" s="2262"/>
      <c r="H1318" s="2262"/>
      <c r="I1318" s="1428"/>
      <c r="J1318" s="1407"/>
      <c r="K1318" s="1431"/>
      <c r="L1318" s="1407"/>
      <c r="M1318" s="1407"/>
      <c r="N1318" s="1407"/>
      <c r="O1318" s="1407"/>
      <c r="P1318" s="1407"/>
      <c r="Q1318" s="1407"/>
      <c r="R1318" s="1407"/>
      <c r="S1318" s="1407"/>
      <c r="T1318" s="1407"/>
      <c r="U1318" s="1407"/>
    </row>
    <row r="1319" spans="1:21" ht="12">
      <c r="A1319" s="639" t="s">
        <v>4638</v>
      </c>
      <c r="B1319" s="1483">
        <v>42830</v>
      </c>
      <c r="C1319" s="639" t="s">
        <v>2126</v>
      </c>
      <c r="D1319" s="1831" t="s">
        <v>4639</v>
      </c>
      <c r="E1319" s="2264">
        <v>42859</v>
      </c>
      <c r="F1319" s="1731">
        <v>8760000000000</v>
      </c>
      <c r="G1319" s="2228">
        <v>14600000000</v>
      </c>
      <c r="H1319" s="2262"/>
      <c r="I1319" s="1428"/>
      <c r="J1319" s="1407"/>
      <c r="K1319" s="1431">
        <f t="shared" ref="K1319:K1326" si="154">(32800000000/G1319)*F1319</f>
        <v>19680000000000</v>
      </c>
      <c r="L1319" s="2381">
        <v>42718</v>
      </c>
      <c r="M1319" s="2264">
        <v>42724</v>
      </c>
      <c r="N1319" s="1407"/>
      <c r="O1319" s="1407"/>
      <c r="P1319" s="1407"/>
      <c r="Q1319" s="1407"/>
      <c r="R1319" s="1407"/>
      <c r="S1319" s="1407"/>
      <c r="T1319" s="1407"/>
      <c r="U1319" s="1407"/>
    </row>
    <row r="1320" spans="1:21" ht="12">
      <c r="A1320" s="639" t="s">
        <v>4638</v>
      </c>
      <c r="B1320" s="1483">
        <v>42830</v>
      </c>
      <c r="C1320" s="639" t="s">
        <v>2126</v>
      </c>
      <c r="D1320" s="1831" t="s">
        <v>4640</v>
      </c>
      <c r="E1320" s="2264">
        <v>42859</v>
      </c>
      <c r="F1320" s="1731">
        <v>2080000000000</v>
      </c>
      <c r="G1320" s="2228">
        <v>14600000000</v>
      </c>
      <c r="H1320" s="2262"/>
      <c r="I1320" s="1428"/>
      <c r="J1320" s="1407"/>
      <c r="K1320" s="1431">
        <f t="shared" si="154"/>
        <v>4672876712328.7676</v>
      </c>
      <c r="L1320" s="2381">
        <v>42718</v>
      </c>
      <c r="M1320" s="2264">
        <v>42724</v>
      </c>
      <c r="N1320" s="1407"/>
      <c r="O1320" s="1407"/>
      <c r="P1320" s="1407"/>
      <c r="Q1320" s="1407"/>
      <c r="R1320" s="1407"/>
      <c r="S1320" s="1407"/>
      <c r="T1320" s="1407"/>
      <c r="U1320" s="1407"/>
    </row>
    <row r="1321" spans="1:21" ht="12">
      <c r="A1321" s="639" t="s">
        <v>4638</v>
      </c>
      <c r="B1321" s="1483">
        <v>42830</v>
      </c>
      <c r="C1321" s="639" t="s">
        <v>2126</v>
      </c>
      <c r="D1321" s="1831" t="s">
        <v>4641</v>
      </c>
      <c r="E1321" s="2264">
        <v>42859</v>
      </c>
      <c r="F1321" s="1731">
        <v>18700000000000</v>
      </c>
      <c r="G1321" s="2228">
        <v>14600000000</v>
      </c>
      <c r="H1321" s="2262"/>
      <c r="I1321" s="1428"/>
      <c r="J1321" s="1407"/>
      <c r="K1321" s="1431">
        <f t="shared" si="154"/>
        <v>42010958904109.594</v>
      </c>
      <c r="L1321" s="2381">
        <v>42718</v>
      </c>
      <c r="M1321" s="2264">
        <v>42724</v>
      </c>
      <c r="N1321" s="1407"/>
      <c r="O1321" s="1407"/>
      <c r="P1321" s="1407"/>
      <c r="Q1321" s="1407"/>
      <c r="R1321" s="1407"/>
      <c r="S1321" s="1407"/>
      <c r="T1321" s="1407"/>
      <c r="U1321" s="1407"/>
    </row>
    <row r="1322" spans="1:21" ht="12">
      <c r="A1322" s="639" t="s">
        <v>4638</v>
      </c>
      <c r="B1322" s="1483">
        <v>42830</v>
      </c>
      <c r="C1322" s="639" t="s">
        <v>2126</v>
      </c>
      <c r="D1322" s="1831" t="s">
        <v>4642</v>
      </c>
      <c r="E1322" s="2264">
        <v>42859</v>
      </c>
      <c r="F1322" s="1731">
        <v>9290000000000</v>
      </c>
      <c r="G1322" s="2228">
        <v>14600000000</v>
      </c>
      <c r="H1322" s="2262"/>
      <c r="I1322" s="1428"/>
      <c r="J1322" s="1407"/>
      <c r="K1322" s="1431">
        <f t="shared" si="154"/>
        <v>20870684931506.852</v>
      </c>
      <c r="L1322" s="2381">
        <v>42718</v>
      </c>
      <c r="M1322" s="2264">
        <v>42724</v>
      </c>
      <c r="N1322" s="1407"/>
      <c r="O1322" s="1407"/>
      <c r="P1322" s="1407"/>
      <c r="Q1322" s="1407"/>
      <c r="R1322" s="1407"/>
      <c r="S1322" s="1407"/>
      <c r="T1322" s="1407"/>
      <c r="U1322" s="1407"/>
    </row>
    <row r="1323" spans="1:21" ht="12">
      <c r="A1323" s="639" t="s">
        <v>4638</v>
      </c>
      <c r="B1323" s="1483">
        <v>42830</v>
      </c>
      <c r="C1323" s="639" t="s">
        <v>2126</v>
      </c>
      <c r="D1323" s="1831" t="s">
        <v>4643</v>
      </c>
      <c r="E1323" s="2264">
        <v>42859</v>
      </c>
      <c r="F1323" s="1731">
        <v>248000000000000</v>
      </c>
      <c r="G1323" s="2228">
        <v>14600000000</v>
      </c>
      <c r="H1323" s="2262"/>
      <c r="I1323" s="1428"/>
      <c r="J1323" s="1407"/>
      <c r="K1323" s="1431">
        <f t="shared" si="154"/>
        <v>557150684931506.88</v>
      </c>
      <c r="L1323" s="2381">
        <v>42718</v>
      </c>
      <c r="M1323" s="2264">
        <v>42724</v>
      </c>
      <c r="N1323" s="1407"/>
      <c r="O1323" s="1407"/>
      <c r="P1323" s="1407"/>
      <c r="Q1323" s="1407"/>
      <c r="R1323" s="1407"/>
      <c r="S1323" s="1407"/>
      <c r="T1323" s="1407"/>
      <c r="U1323" s="1407"/>
    </row>
    <row r="1324" spans="1:21" ht="12">
      <c r="A1324" s="639" t="s">
        <v>4638</v>
      </c>
      <c r="B1324" s="1483">
        <v>42830</v>
      </c>
      <c r="C1324" s="639" t="s">
        <v>2126</v>
      </c>
      <c r="D1324" s="1831" t="s">
        <v>4644</v>
      </c>
      <c r="E1324" s="2264">
        <v>42859</v>
      </c>
      <c r="F1324" s="2228">
        <v>168000000000000</v>
      </c>
      <c r="G1324" s="2228">
        <v>14600000000</v>
      </c>
      <c r="H1324" s="2262"/>
      <c r="I1324" s="1428"/>
      <c r="J1324" s="1407"/>
      <c r="K1324" s="1431">
        <f t="shared" si="154"/>
        <v>377424657534246.56</v>
      </c>
      <c r="L1324" s="2381">
        <v>42718</v>
      </c>
      <c r="M1324" s="2264">
        <v>42724</v>
      </c>
      <c r="N1324" s="1407"/>
      <c r="O1324" s="1407"/>
      <c r="P1324" s="1407"/>
      <c r="Q1324" s="1407"/>
      <c r="R1324" s="1407"/>
      <c r="S1324" s="1407"/>
      <c r="T1324" s="1407"/>
      <c r="U1324" s="1407"/>
    </row>
    <row r="1325" spans="1:21" ht="12">
      <c r="A1325" s="639" t="s">
        <v>4638</v>
      </c>
      <c r="B1325" s="1483">
        <v>42830</v>
      </c>
      <c r="C1325" s="639" t="s">
        <v>2126</v>
      </c>
      <c r="D1325" s="1831" t="s">
        <v>4645</v>
      </c>
      <c r="E1325" s="2264">
        <v>42859</v>
      </c>
      <c r="F1325" s="1731">
        <v>111000000000000</v>
      </c>
      <c r="G1325" s="2228">
        <v>14600000000</v>
      </c>
      <c r="H1325" s="2262"/>
      <c r="I1325" s="1428"/>
      <c r="J1325" s="1407"/>
      <c r="K1325" s="1431">
        <f t="shared" si="154"/>
        <v>249369863013698.66</v>
      </c>
      <c r="L1325" s="2381">
        <v>42718</v>
      </c>
      <c r="M1325" s="2264">
        <v>42724</v>
      </c>
      <c r="N1325" s="1407"/>
      <c r="O1325" s="1407"/>
      <c r="P1325" s="1407"/>
      <c r="Q1325" s="1407"/>
      <c r="R1325" s="1407"/>
      <c r="S1325" s="1407"/>
      <c r="T1325" s="1407"/>
      <c r="U1325" s="1407"/>
    </row>
    <row r="1326" spans="1:21" ht="12">
      <c r="A1326" s="639" t="s">
        <v>4638</v>
      </c>
      <c r="B1326" s="1483">
        <v>42830</v>
      </c>
      <c r="C1326" s="639" t="s">
        <v>2126</v>
      </c>
      <c r="D1326" s="1831" t="s">
        <v>4646</v>
      </c>
      <c r="E1326" s="2264">
        <v>42859</v>
      </c>
      <c r="F1326" s="2228">
        <v>348000000000000</v>
      </c>
      <c r="G1326" s="2228">
        <v>14600000000</v>
      </c>
      <c r="H1326" s="2262"/>
      <c r="I1326" s="1428"/>
      <c r="J1326" s="1407"/>
      <c r="K1326" s="1431">
        <f t="shared" si="154"/>
        <v>781808219178082.25</v>
      </c>
      <c r="L1326" s="2381">
        <v>42718</v>
      </c>
      <c r="M1326" s="2264">
        <v>42724</v>
      </c>
      <c r="N1326" s="1407"/>
      <c r="O1326" s="1407"/>
      <c r="P1326" s="1407"/>
      <c r="Q1326" s="1407"/>
      <c r="R1326" s="1407"/>
      <c r="S1326" s="1407"/>
      <c r="T1326" s="1407"/>
      <c r="U1326" s="1407"/>
    </row>
    <row r="1327" spans="1:21" ht="12">
      <c r="A1327" s="639"/>
      <c r="B1327" s="1483"/>
      <c r="C1327" s="639"/>
      <c r="D1327" s="1831"/>
      <c r="E1327" s="2264"/>
      <c r="F1327" s="2228"/>
      <c r="G1327" s="2262"/>
      <c r="H1327" s="2262"/>
      <c r="I1327" s="1428"/>
      <c r="J1327" s="1407"/>
      <c r="K1327" s="1431"/>
      <c r="L1327" s="1407"/>
      <c r="M1327" s="1407"/>
      <c r="N1327" s="1407"/>
      <c r="O1327" s="1407"/>
      <c r="P1327" s="1407"/>
      <c r="Q1327" s="1407"/>
      <c r="R1327" s="1407"/>
      <c r="S1327" s="1407"/>
      <c r="T1327" s="1407"/>
      <c r="U1327" s="1407"/>
    </row>
    <row r="1328" spans="1:21" ht="24">
      <c r="A1328" s="639" t="s">
        <v>4647</v>
      </c>
      <c r="B1328" s="1483">
        <v>42837</v>
      </c>
      <c r="C1328" s="639" t="s">
        <v>95</v>
      </c>
      <c r="D1328" s="1831" t="s">
        <v>4648</v>
      </c>
      <c r="E1328" s="639" t="s">
        <v>4649</v>
      </c>
      <c r="F1328" s="2228">
        <v>14100000000000</v>
      </c>
      <c r="G1328" s="2519">
        <v>5920000000</v>
      </c>
      <c r="H1328" s="2262"/>
      <c r="I1328" s="1428"/>
      <c r="J1328" s="5325" t="s">
        <v>4650</v>
      </c>
      <c r="K1328" s="1431">
        <f t="shared" ref="K1328:K1332" si="155">(32800000000/G1328)*F1328</f>
        <v>78121621621621.625</v>
      </c>
      <c r="L1328" s="2381">
        <v>42718</v>
      </c>
      <c r="M1328" s="2264">
        <v>42724</v>
      </c>
      <c r="N1328" s="639" t="s">
        <v>4651</v>
      </c>
      <c r="O1328" s="1407"/>
      <c r="P1328" s="1407"/>
      <c r="Q1328" s="1407"/>
      <c r="R1328" s="1407"/>
      <c r="S1328" s="1407"/>
      <c r="T1328" s="1407"/>
      <c r="U1328" s="1407"/>
    </row>
    <row r="1329" spans="1:21" ht="12">
      <c r="A1329" s="639" t="s">
        <v>4647</v>
      </c>
      <c r="B1329" s="1483">
        <v>42837</v>
      </c>
      <c r="C1329" s="639" t="s">
        <v>95</v>
      </c>
      <c r="D1329" s="1831" t="s">
        <v>4652</v>
      </c>
      <c r="E1329" s="639" t="s">
        <v>4649</v>
      </c>
      <c r="F1329" s="2228">
        <v>7530000000000</v>
      </c>
      <c r="G1329" s="2519">
        <v>5920000000</v>
      </c>
      <c r="H1329" s="2262"/>
      <c r="I1329" s="1428"/>
      <c r="J1329" s="5320"/>
      <c r="K1329" s="1431">
        <f t="shared" si="155"/>
        <v>41720270270270.266</v>
      </c>
      <c r="L1329" s="2381">
        <v>42718</v>
      </c>
      <c r="M1329" s="2264">
        <v>42724</v>
      </c>
      <c r="N1329" s="1407"/>
      <c r="O1329" s="1407"/>
      <c r="P1329" s="1407"/>
      <c r="Q1329" s="1407"/>
      <c r="R1329" s="1407"/>
      <c r="S1329" s="1407"/>
      <c r="T1329" s="1407"/>
      <c r="U1329" s="1407"/>
    </row>
    <row r="1330" spans="1:21" ht="12">
      <c r="A1330" s="639" t="s">
        <v>4647</v>
      </c>
      <c r="B1330" s="1483">
        <v>42837</v>
      </c>
      <c r="C1330" s="639" t="s">
        <v>95</v>
      </c>
      <c r="D1330" s="1831" t="s">
        <v>4653</v>
      </c>
      <c r="E1330" s="639" t="s">
        <v>4649</v>
      </c>
      <c r="F1330" s="2228">
        <v>1070000000000</v>
      </c>
      <c r="G1330" s="2519">
        <v>5920000000</v>
      </c>
      <c r="H1330" s="2262"/>
      <c r="I1330" s="1428"/>
      <c r="J1330" s="5320"/>
      <c r="K1330" s="1431">
        <f t="shared" si="155"/>
        <v>5928378378378.3779</v>
      </c>
      <c r="L1330" s="2381">
        <v>42718</v>
      </c>
      <c r="M1330" s="2264">
        <v>42724</v>
      </c>
      <c r="N1330" s="1407"/>
      <c r="O1330" s="1407"/>
      <c r="P1330" s="1407"/>
      <c r="Q1330" s="1407"/>
      <c r="R1330" s="1407"/>
      <c r="S1330" s="1407"/>
      <c r="T1330" s="1407"/>
      <c r="U1330" s="1407"/>
    </row>
    <row r="1331" spans="1:21" ht="12">
      <c r="A1331" s="639" t="s">
        <v>4647</v>
      </c>
      <c r="B1331" s="1483">
        <v>42837</v>
      </c>
      <c r="C1331" s="639" t="s">
        <v>95</v>
      </c>
      <c r="D1331" s="1831" t="s">
        <v>4654</v>
      </c>
      <c r="E1331" s="639" t="s">
        <v>4649</v>
      </c>
      <c r="F1331" s="2228">
        <v>16700000000000</v>
      </c>
      <c r="G1331" s="2519">
        <v>5920000000</v>
      </c>
      <c r="H1331" s="2262"/>
      <c r="I1331" s="1428"/>
      <c r="J1331" s="5320"/>
      <c r="K1331" s="1431">
        <f t="shared" si="155"/>
        <v>92527027027027.031</v>
      </c>
      <c r="L1331" s="2381">
        <v>42718</v>
      </c>
      <c r="M1331" s="2264">
        <v>42724</v>
      </c>
      <c r="N1331" s="1407"/>
      <c r="O1331" s="1407"/>
      <c r="P1331" s="1407"/>
      <c r="Q1331" s="1407"/>
      <c r="R1331" s="1407"/>
      <c r="S1331" s="1407"/>
      <c r="T1331" s="1407"/>
      <c r="U1331" s="1407"/>
    </row>
    <row r="1332" spans="1:21" ht="12">
      <c r="A1332" s="639" t="s">
        <v>4647</v>
      </c>
      <c r="B1332" s="1483">
        <v>42837</v>
      </c>
      <c r="C1332" s="639" t="s">
        <v>95</v>
      </c>
      <c r="D1332" s="1831" t="s">
        <v>4655</v>
      </c>
      <c r="E1332" s="639" t="s">
        <v>4649</v>
      </c>
      <c r="F1332" s="2228">
        <v>35300000000000</v>
      </c>
      <c r="G1332" s="2519">
        <v>5920000000</v>
      </c>
      <c r="H1332" s="2262"/>
      <c r="I1332" s="1428"/>
      <c r="J1332" s="5320"/>
      <c r="K1332" s="1431">
        <f t="shared" si="155"/>
        <v>195581081081081.06</v>
      </c>
      <c r="L1332" s="2381">
        <v>42718</v>
      </c>
      <c r="M1332" s="2264">
        <v>42724</v>
      </c>
      <c r="N1332" s="1407"/>
      <c r="O1332" s="1407"/>
      <c r="P1332" s="1407"/>
      <c r="Q1332" s="1407"/>
      <c r="R1332" s="1407"/>
      <c r="S1332" s="1407"/>
      <c r="T1332" s="1407"/>
      <c r="U1332" s="1407"/>
    </row>
    <row r="1333" spans="1:21" ht="12">
      <c r="A1333" s="639"/>
      <c r="B1333" s="1483"/>
      <c r="C1333" s="639"/>
      <c r="D1333" s="1831"/>
      <c r="E1333" s="2264"/>
      <c r="F1333" s="2262"/>
      <c r="G1333" s="2262"/>
      <c r="H1333" s="2262"/>
      <c r="I1333" s="1428"/>
      <c r="J1333" s="1407"/>
      <c r="K1333" s="1431"/>
      <c r="L1333" s="1407"/>
      <c r="M1333" s="1407"/>
      <c r="N1333" s="1407"/>
      <c r="O1333" s="1407"/>
      <c r="P1333" s="1407"/>
      <c r="Q1333" s="1407"/>
      <c r="R1333" s="1407"/>
      <c r="S1333" s="1407"/>
      <c r="T1333" s="1407"/>
      <c r="U1333" s="1407"/>
    </row>
    <row r="1334" spans="1:21" ht="12">
      <c r="A1334" s="639" t="s">
        <v>4656</v>
      </c>
      <c r="B1334" s="1483">
        <v>42845</v>
      </c>
      <c r="C1334" s="639" t="s">
        <v>3212</v>
      </c>
      <c r="D1334" s="1831" t="s">
        <v>4657</v>
      </c>
      <c r="E1334" s="2264">
        <v>42845</v>
      </c>
      <c r="F1334" s="2228">
        <v>4490000000000</v>
      </c>
      <c r="G1334" s="2228">
        <v>8150000000</v>
      </c>
      <c r="H1334" s="2262"/>
      <c r="I1334" s="1428"/>
      <c r="J1334" s="1407"/>
      <c r="K1334" s="1431">
        <f t="shared" ref="K1334:K1354" si="156">(32800000000/G1334)*F1334</f>
        <v>18070184049079.754</v>
      </c>
      <c r="L1334" s="2381">
        <v>42718</v>
      </c>
      <c r="M1334" s="2264">
        <v>42724</v>
      </c>
      <c r="N1334" s="1407"/>
      <c r="O1334" s="1407"/>
      <c r="P1334" s="1407"/>
      <c r="Q1334" s="1407"/>
      <c r="R1334" s="1407"/>
      <c r="S1334" s="1407"/>
      <c r="T1334" s="1407"/>
      <c r="U1334" s="1407"/>
    </row>
    <row r="1335" spans="1:21" ht="12">
      <c r="A1335" s="639" t="s">
        <v>4656</v>
      </c>
      <c r="B1335" s="1483">
        <v>42845</v>
      </c>
      <c r="C1335" s="639" t="s">
        <v>3212</v>
      </c>
      <c r="D1335" s="1831" t="s">
        <v>4653</v>
      </c>
      <c r="E1335" s="2264">
        <v>42845</v>
      </c>
      <c r="F1335" s="2228">
        <v>4030000000000</v>
      </c>
      <c r="G1335" s="2228">
        <v>8150000000</v>
      </c>
      <c r="H1335" s="2262"/>
      <c r="I1335" s="1428"/>
      <c r="J1335" s="1407"/>
      <c r="K1335" s="1431">
        <f t="shared" si="156"/>
        <v>16218895705521.473</v>
      </c>
      <c r="L1335" s="2381">
        <v>42718</v>
      </c>
      <c r="M1335" s="2264">
        <v>42724</v>
      </c>
      <c r="N1335" s="1407"/>
      <c r="O1335" s="1407"/>
      <c r="P1335" s="1407"/>
      <c r="Q1335" s="1407"/>
      <c r="R1335" s="1407"/>
      <c r="S1335" s="1407"/>
      <c r="T1335" s="1407"/>
      <c r="U1335" s="1407"/>
    </row>
    <row r="1336" spans="1:21" ht="12">
      <c r="A1336" s="639" t="s">
        <v>4656</v>
      </c>
      <c r="B1336" s="1483">
        <v>42845</v>
      </c>
      <c r="C1336" s="639" t="s">
        <v>3212</v>
      </c>
      <c r="D1336" s="1831" t="s">
        <v>4654</v>
      </c>
      <c r="E1336" s="2264">
        <v>42845</v>
      </c>
      <c r="F1336" s="2228">
        <v>7610000000000</v>
      </c>
      <c r="G1336" s="2228">
        <v>8150000000</v>
      </c>
      <c r="H1336" s="2262"/>
      <c r="I1336" s="1428"/>
      <c r="J1336" s="1407"/>
      <c r="K1336" s="1431">
        <f t="shared" si="156"/>
        <v>30626748466257.668</v>
      </c>
      <c r="L1336" s="2381">
        <v>42718</v>
      </c>
      <c r="M1336" s="2264">
        <v>42724</v>
      </c>
      <c r="N1336" s="1407"/>
      <c r="O1336" s="1407"/>
      <c r="P1336" s="1407"/>
      <c r="Q1336" s="1407"/>
      <c r="R1336" s="1407"/>
      <c r="S1336" s="1407"/>
      <c r="T1336" s="1407"/>
      <c r="U1336" s="1407"/>
    </row>
    <row r="1337" spans="1:21" ht="12">
      <c r="A1337" s="639" t="s">
        <v>4656</v>
      </c>
      <c r="B1337" s="1483">
        <v>42845</v>
      </c>
      <c r="C1337" s="639" t="s">
        <v>3212</v>
      </c>
      <c r="D1337" s="1831" t="s">
        <v>4655</v>
      </c>
      <c r="E1337" s="2264">
        <v>42845</v>
      </c>
      <c r="F1337" s="2228">
        <v>85200000000000</v>
      </c>
      <c r="G1337" s="2228">
        <v>8150000000</v>
      </c>
      <c r="H1337" s="2262"/>
      <c r="I1337" s="1428"/>
      <c r="J1337" s="1407"/>
      <c r="K1337" s="1431">
        <f t="shared" si="156"/>
        <v>342890797546012.25</v>
      </c>
      <c r="L1337" s="2381">
        <v>42718</v>
      </c>
      <c r="M1337" s="2264">
        <v>42724</v>
      </c>
      <c r="N1337" s="1407"/>
      <c r="O1337" s="1407"/>
      <c r="P1337" s="1407"/>
      <c r="Q1337" s="1407"/>
      <c r="R1337" s="1407"/>
      <c r="S1337" s="1407"/>
      <c r="T1337" s="1407"/>
      <c r="U1337" s="1407"/>
    </row>
    <row r="1338" spans="1:21" ht="12">
      <c r="A1338" s="639" t="s">
        <v>4656</v>
      </c>
      <c r="B1338" s="1483">
        <v>42845</v>
      </c>
      <c r="C1338" s="639" t="s">
        <v>3212</v>
      </c>
      <c r="D1338" s="1831" t="s">
        <v>4658</v>
      </c>
      <c r="E1338" s="2264">
        <v>42845</v>
      </c>
      <c r="F1338" s="2228">
        <v>108000000000000</v>
      </c>
      <c r="G1338" s="2228">
        <v>8150000000</v>
      </c>
      <c r="H1338" s="2262"/>
      <c r="I1338" s="1428"/>
      <c r="J1338" s="1407"/>
      <c r="K1338" s="1431">
        <f t="shared" si="156"/>
        <v>434650306748466.25</v>
      </c>
      <c r="L1338" s="2381">
        <v>42718</v>
      </c>
      <c r="M1338" s="2264">
        <v>42724</v>
      </c>
      <c r="N1338" s="1407"/>
      <c r="O1338" s="1407"/>
      <c r="P1338" s="1407"/>
      <c r="Q1338" s="1407"/>
      <c r="R1338" s="1407"/>
      <c r="S1338" s="1407"/>
      <c r="T1338" s="1407"/>
      <c r="U1338" s="1407"/>
    </row>
    <row r="1339" spans="1:21" ht="12">
      <c r="A1339" s="639" t="s">
        <v>4656</v>
      </c>
      <c r="B1339" s="1483">
        <v>42845</v>
      </c>
      <c r="C1339" s="639" t="s">
        <v>3212</v>
      </c>
      <c r="D1339" s="1831" t="s">
        <v>4659</v>
      </c>
      <c r="E1339" s="2264">
        <v>42845</v>
      </c>
      <c r="F1339" s="2228">
        <v>32200000000000</v>
      </c>
      <c r="G1339" s="2228">
        <v>8150000000</v>
      </c>
      <c r="H1339" s="2262"/>
      <c r="I1339" s="1428"/>
      <c r="J1339" s="1407"/>
      <c r="K1339" s="1431">
        <f t="shared" si="156"/>
        <v>129590184049079.75</v>
      </c>
      <c r="L1339" s="2381">
        <v>42718</v>
      </c>
      <c r="M1339" s="2264">
        <v>42724</v>
      </c>
      <c r="N1339" s="1407"/>
      <c r="O1339" s="1407"/>
      <c r="P1339" s="1407"/>
      <c r="Q1339" s="1407"/>
      <c r="R1339" s="1407"/>
      <c r="S1339" s="1407"/>
      <c r="T1339" s="1407"/>
      <c r="U1339" s="1407"/>
    </row>
    <row r="1340" spans="1:21" ht="12">
      <c r="A1340" s="639" t="s">
        <v>4656</v>
      </c>
      <c r="B1340" s="1483">
        <v>42845</v>
      </c>
      <c r="C1340" s="639" t="s">
        <v>3212</v>
      </c>
      <c r="D1340" s="1831" t="s">
        <v>4660</v>
      </c>
      <c r="E1340" s="2264">
        <v>42845</v>
      </c>
      <c r="F1340" s="2228">
        <v>66300000000000</v>
      </c>
      <c r="G1340" s="2228">
        <v>8150000000</v>
      </c>
      <c r="H1340" s="2262"/>
      <c r="I1340" s="1428"/>
      <c r="J1340" s="1407"/>
      <c r="K1340" s="1431">
        <f t="shared" si="156"/>
        <v>266826993865030.66</v>
      </c>
      <c r="L1340" s="2381">
        <v>42718</v>
      </c>
      <c r="M1340" s="2264">
        <v>42724</v>
      </c>
      <c r="N1340" s="1407"/>
      <c r="O1340" s="1407"/>
      <c r="P1340" s="1407"/>
      <c r="Q1340" s="1407"/>
      <c r="R1340" s="1407"/>
      <c r="S1340" s="1407"/>
      <c r="T1340" s="1407"/>
      <c r="U1340" s="1407"/>
    </row>
    <row r="1341" spans="1:21" ht="12">
      <c r="A1341" s="639" t="s">
        <v>4656</v>
      </c>
      <c r="B1341" s="1483">
        <v>42845</v>
      </c>
      <c r="C1341" s="639" t="s">
        <v>3212</v>
      </c>
      <c r="D1341" s="1831" t="s">
        <v>4661</v>
      </c>
      <c r="E1341" s="2264">
        <v>42845</v>
      </c>
      <c r="F1341" s="2228">
        <v>2580000000000</v>
      </c>
      <c r="G1341" s="2228">
        <v>8150000000</v>
      </c>
      <c r="H1341" s="2262"/>
      <c r="I1341" s="1428"/>
      <c r="J1341" s="1407"/>
      <c r="K1341" s="1431">
        <f t="shared" si="156"/>
        <v>10383312883435.582</v>
      </c>
      <c r="L1341" s="2381">
        <v>42718</v>
      </c>
      <c r="M1341" s="2264">
        <v>42724</v>
      </c>
      <c r="N1341" s="1407"/>
      <c r="O1341" s="1407"/>
      <c r="P1341" s="1407"/>
      <c r="Q1341" s="1407"/>
      <c r="R1341" s="1407"/>
      <c r="S1341" s="1407"/>
      <c r="T1341" s="1407"/>
      <c r="U1341" s="1407"/>
    </row>
    <row r="1342" spans="1:21" ht="12">
      <c r="A1342" s="639" t="s">
        <v>4656</v>
      </c>
      <c r="B1342" s="1483">
        <v>42845</v>
      </c>
      <c r="C1342" s="639" t="s">
        <v>3212</v>
      </c>
      <c r="D1342" s="1831" t="s">
        <v>4662</v>
      </c>
      <c r="E1342" s="2264">
        <v>42845</v>
      </c>
      <c r="F1342" s="2228">
        <v>14000000000000</v>
      </c>
      <c r="G1342" s="2228">
        <v>8150000000</v>
      </c>
      <c r="H1342" s="2262"/>
      <c r="I1342" s="1428"/>
      <c r="J1342" s="1407"/>
      <c r="K1342" s="1431">
        <f t="shared" si="156"/>
        <v>56343558282208.586</v>
      </c>
      <c r="L1342" s="2381">
        <v>42718</v>
      </c>
      <c r="M1342" s="2264">
        <v>42724</v>
      </c>
      <c r="N1342" s="1407"/>
      <c r="O1342" s="1407"/>
      <c r="P1342" s="1407"/>
      <c r="Q1342" s="1407"/>
      <c r="R1342" s="1407"/>
      <c r="S1342" s="1407"/>
      <c r="T1342" s="1407"/>
      <c r="U1342" s="1407"/>
    </row>
    <row r="1343" spans="1:21" ht="12">
      <c r="A1343" s="639" t="s">
        <v>4656</v>
      </c>
      <c r="B1343" s="1483">
        <v>42845</v>
      </c>
      <c r="C1343" s="639" t="s">
        <v>3212</v>
      </c>
      <c r="D1343" s="1831" t="s">
        <v>4663</v>
      </c>
      <c r="E1343" s="2264">
        <v>42845</v>
      </c>
      <c r="F1343" s="2228">
        <v>130000000000000</v>
      </c>
      <c r="G1343" s="2228">
        <v>8150000000</v>
      </c>
      <c r="H1343" s="2262"/>
      <c r="I1343" s="1428"/>
      <c r="J1343" s="1407"/>
      <c r="K1343" s="1431">
        <f t="shared" si="156"/>
        <v>523190184049079.75</v>
      </c>
      <c r="L1343" s="2381">
        <v>42718</v>
      </c>
      <c r="M1343" s="2264">
        <v>42724</v>
      </c>
      <c r="N1343" s="1407"/>
      <c r="O1343" s="1407"/>
      <c r="P1343" s="1407"/>
      <c r="Q1343" s="1407"/>
      <c r="R1343" s="1407"/>
      <c r="S1343" s="1407"/>
      <c r="T1343" s="1407"/>
      <c r="U1343" s="1407"/>
    </row>
    <row r="1344" spans="1:21" ht="12">
      <c r="A1344" s="639" t="s">
        <v>4656</v>
      </c>
      <c r="B1344" s="1483">
        <v>42845</v>
      </c>
      <c r="C1344" s="639" t="s">
        <v>3212</v>
      </c>
      <c r="D1344" s="1831" t="s">
        <v>4665</v>
      </c>
      <c r="E1344" s="2264">
        <v>42845</v>
      </c>
      <c r="F1344" s="2228">
        <v>8100000000000</v>
      </c>
      <c r="G1344" s="2228">
        <v>8150000000</v>
      </c>
      <c r="H1344" s="2262"/>
      <c r="I1344" s="1428"/>
      <c r="J1344" s="1407"/>
      <c r="K1344" s="1431">
        <f t="shared" si="156"/>
        <v>32598773006134.969</v>
      </c>
      <c r="L1344" s="2381">
        <v>42718</v>
      </c>
      <c r="M1344" s="2264">
        <v>42724</v>
      </c>
      <c r="N1344" s="1407"/>
      <c r="O1344" s="1407"/>
      <c r="P1344" s="1407"/>
      <c r="Q1344" s="1407"/>
      <c r="R1344" s="1407"/>
      <c r="S1344" s="1407"/>
      <c r="T1344" s="1407"/>
      <c r="U1344" s="1407"/>
    </row>
    <row r="1345" spans="1:21" ht="12">
      <c r="A1345" s="639" t="s">
        <v>4656</v>
      </c>
      <c r="B1345" s="1483">
        <v>42845</v>
      </c>
      <c r="C1345" s="639" t="s">
        <v>3212</v>
      </c>
      <c r="D1345" s="1831" t="s">
        <v>4666</v>
      </c>
      <c r="E1345" s="2264">
        <v>42845</v>
      </c>
      <c r="F1345" s="2228">
        <v>2050000000000</v>
      </c>
      <c r="G1345" s="2228">
        <v>8150000000</v>
      </c>
      <c r="H1345" s="2262"/>
      <c r="I1345" s="1428"/>
      <c r="J1345" s="1407"/>
      <c r="K1345" s="1431">
        <f t="shared" si="156"/>
        <v>8250306748466.2578</v>
      </c>
      <c r="L1345" s="2381">
        <v>42718</v>
      </c>
      <c r="M1345" s="2264">
        <v>42724</v>
      </c>
      <c r="N1345" s="1407"/>
      <c r="O1345" s="1407"/>
      <c r="P1345" s="1407"/>
      <c r="Q1345" s="1407"/>
      <c r="R1345" s="1407"/>
      <c r="S1345" s="1407"/>
      <c r="T1345" s="1407"/>
      <c r="U1345" s="1407"/>
    </row>
    <row r="1346" spans="1:21" ht="12">
      <c r="A1346" s="639" t="s">
        <v>4656</v>
      </c>
      <c r="B1346" s="1483">
        <v>42845</v>
      </c>
      <c r="C1346" s="639" t="s">
        <v>3212</v>
      </c>
      <c r="D1346" s="1831" t="s">
        <v>4667</v>
      </c>
      <c r="E1346" s="2264">
        <v>42845</v>
      </c>
      <c r="F1346" s="2228">
        <v>2000000000000</v>
      </c>
      <c r="G1346" s="2228">
        <v>8150000000</v>
      </c>
      <c r="H1346" s="2262"/>
      <c r="I1346" s="1428"/>
      <c r="J1346" s="1407"/>
      <c r="K1346" s="1431">
        <f t="shared" si="156"/>
        <v>8049079754601.2266</v>
      </c>
      <c r="L1346" s="2381">
        <v>42718</v>
      </c>
      <c r="M1346" s="2264">
        <v>42724</v>
      </c>
      <c r="N1346" s="1407"/>
      <c r="O1346" s="1407"/>
      <c r="P1346" s="1407"/>
      <c r="Q1346" s="1407"/>
      <c r="R1346" s="1407"/>
      <c r="S1346" s="1407"/>
      <c r="T1346" s="1407"/>
      <c r="U1346" s="1407"/>
    </row>
    <row r="1347" spans="1:21" ht="12">
      <c r="A1347" s="639" t="s">
        <v>4656</v>
      </c>
      <c r="B1347" s="1483">
        <v>42845</v>
      </c>
      <c r="C1347" s="639" t="s">
        <v>3212</v>
      </c>
      <c r="D1347" s="1831" t="s">
        <v>4668</v>
      </c>
      <c r="E1347" s="2264">
        <v>42845</v>
      </c>
      <c r="F1347" s="2228">
        <v>49200000000000</v>
      </c>
      <c r="G1347" s="2228">
        <v>8150000000</v>
      </c>
      <c r="H1347" s="2262"/>
      <c r="I1347" s="1428"/>
      <c r="J1347" s="1407"/>
      <c r="K1347" s="1431">
        <f t="shared" si="156"/>
        <v>198007361963190.19</v>
      </c>
      <c r="L1347" s="2381">
        <v>42718</v>
      </c>
      <c r="M1347" s="2264">
        <v>42724</v>
      </c>
      <c r="N1347" s="1407"/>
      <c r="O1347" s="1407"/>
      <c r="P1347" s="1407"/>
      <c r="Q1347" s="1407"/>
      <c r="R1347" s="1407"/>
      <c r="S1347" s="1407"/>
      <c r="T1347" s="1407"/>
      <c r="U1347" s="1407"/>
    </row>
    <row r="1348" spans="1:21" ht="12">
      <c r="A1348" s="639" t="s">
        <v>4656</v>
      </c>
      <c r="B1348" s="1483">
        <v>42845</v>
      </c>
      <c r="C1348" s="639" t="s">
        <v>3212</v>
      </c>
      <c r="D1348" s="1831" t="s">
        <v>4669</v>
      </c>
      <c r="E1348" s="2264">
        <v>42845</v>
      </c>
      <c r="F1348" s="2228">
        <v>7540000000000</v>
      </c>
      <c r="G1348" s="2228">
        <v>8150000000</v>
      </c>
      <c r="H1348" s="2262"/>
      <c r="I1348" s="1428"/>
      <c r="J1348" s="1407"/>
      <c r="K1348" s="1431">
        <f t="shared" si="156"/>
        <v>30345030674846.625</v>
      </c>
      <c r="L1348" s="2381">
        <v>42718</v>
      </c>
      <c r="M1348" s="2264">
        <v>42724</v>
      </c>
      <c r="N1348" s="1407"/>
      <c r="O1348" s="1407"/>
      <c r="P1348" s="1407"/>
      <c r="Q1348" s="1407"/>
      <c r="R1348" s="1407"/>
      <c r="S1348" s="1407"/>
      <c r="T1348" s="1407"/>
      <c r="U1348" s="1407"/>
    </row>
    <row r="1349" spans="1:21" ht="12">
      <c r="A1349" s="639" t="s">
        <v>4656</v>
      </c>
      <c r="B1349" s="1483">
        <v>42845</v>
      </c>
      <c r="C1349" s="639" t="s">
        <v>3212</v>
      </c>
      <c r="D1349" s="639" t="s">
        <v>4670</v>
      </c>
      <c r="E1349" s="2264">
        <v>42845</v>
      </c>
      <c r="F1349" s="1731">
        <v>109000000000000</v>
      </c>
      <c r="G1349" s="2228">
        <v>8150000000</v>
      </c>
      <c r="K1349" s="1431">
        <f t="shared" si="156"/>
        <v>438674846625766.88</v>
      </c>
      <c r="L1349" s="2381">
        <v>42718</v>
      </c>
      <c r="M1349" s="2264">
        <v>42724</v>
      </c>
    </row>
    <row r="1350" spans="1:21" ht="12">
      <c r="A1350" s="639" t="s">
        <v>4656</v>
      </c>
      <c r="B1350" s="1483">
        <v>42845</v>
      </c>
      <c r="C1350" s="639" t="s">
        <v>3212</v>
      </c>
      <c r="D1350" s="639" t="s">
        <v>4671</v>
      </c>
      <c r="E1350" s="2264">
        <v>42845</v>
      </c>
      <c r="F1350" s="1731">
        <v>6000000000000</v>
      </c>
      <c r="G1350" s="2228">
        <v>8150000000</v>
      </c>
      <c r="K1350" s="1431">
        <f t="shared" si="156"/>
        <v>24147239263803.68</v>
      </c>
      <c r="L1350" s="2381">
        <v>42718</v>
      </c>
      <c r="M1350" s="2264">
        <v>42724</v>
      </c>
    </row>
    <row r="1351" spans="1:21" ht="12">
      <c r="A1351" s="639" t="s">
        <v>4656</v>
      </c>
      <c r="B1351" s="1483">
        <v>42845</v>
      </c>
      <c r="C1351" s="639" t="s">
        <v>3212</v>
      </c>
      <c r="D1351" s="639" t="s">
        <v>4672</v>
      </c>
      <c r="E1351" s="2264">
        <v>42845</v>
      </c>
      <c r="F1351" s="1731">
        <v>97700000000000</v>
      </c>
      <c r="G1351" s="2228">
        <v>8150000000</v>
      </c>
      <c r="K1351" s="1431">
        <f t="shared" si="156"/>
        <v>393197546012269.94</v>
      </c>
      <c r="L1351" s="2381">
        <v>42718</v>
      </c>
      <c r="M1351" s="2264">
        <v>42724</v>
      </c>
    </row>
    <row r="1352" spans="1:21" ht="12">
      <c r="A1352" s="639" t="s">
        <v>4656</v>
      </c>
      <c r="B1352" s="1483">
        <v>42845</v>
      </c>
      <c r="C1352" s="639" t="s">
        <v>3212</v>
      </c>
      <c r="D1352" s="639" t="s">
        <v>4673</v>
      </c>
      <c r="E1352" s="2264">
        <v>42845</v>
      </c>
      <c r="F1352" s="1731">
        <v>5090000000000</v>
      </c>
      <c r="G1352" s="2228">
        <v>8150000000</v>
      </c>
      <c r="K1352" s="1431">
        <f t="shared" si="156"/>
        <v>20484907975460.121</v>
      </c>
      <c r="L1352" s="2381">
        <v>42718</v>
      </c>
      <c r="M1352" s="2264">
        <v>42724</v>
      </c>
    </row>
    <row r="1353" spans="1:21" ht="12">
      <c r="A1353" s="639" t="s">
        <v>4656</v>
      </c>
      <c r="B1353" s="1483">
        <v>42845</v>
      </c>
      <c r="C1353" s="639" t="s">
        <v>3212</v>
      </c>
      <c r="D1353" s="639" t="s">
        <v>4674</v>
      </c>
      <c r="E1353" s="2264">
        <v>42845</v>
      </c>
      <c r="F1353" s="1731">
        <v>110000000000</v>
      </c>
      <c r="G1353" s="2228">
        <v>8150000000</v>
      </c>
      <c r="K1353" s="1431">
        <f t="shared" si="156"/>
        <v>442699386503.06744</v>
      </c>
      <c r="L1353" s="2381">
        <v>42718</v>
      </c>
      <c r="M1353" s="2264">
        <v>42724</v>
      </c>
    </row>
    <row r="1354" spans="1:21" ht="12">
      <c r="A1354" s="639" t="s">
        <v>4656</v>
      </c>
      <c r="B1354" s="1483">
        <v>42845</v>
      </c>
      <c r="C1354" s="639" t="s">
        <v>3212</v>
      </c>
      <c r="D1354" s="639" t="s">
        <v>4675</v>
      </c>
      <c r="E1354" s="2264">
        <v>42845</v>
      </c>
      <c r="F1354" s="1731">
        <v>719000000000</v>
      </c>
      <c r="G1354" s="2228">
        <v>8150000000</v>
      </c>
      <c r="K1354" s="1431">
        <f t="shared" si="156"/>
        <v>2893644171779.1411</v>
      </c>
      <c r="L1354" s="2381">
        <v>42718</v>
      </c>
      <c r="M1354" s="2264">
        <v>42724</v>
      </c>
    </row>
    <row r="1355" spans="1:21" ht="12">
      <c r="A1355" s="639"/>
      <c r="B1355" s="1483"/>
      <c r="C1355" s="639"/>
      <c r="D1355" s="1831"/>
      <c r="E1355" s="2264"/>
      <c r="F1355" s="2262"/>
      <c r="G1355" s="2228"/>
      <c r="H1355" s="2262"/>
      <c r="I1355" s="1428"/>
      <c r="J1355" s="1407"/>
      <c r="K1355" s="1431"/>
      <c r="L1355" s="1407"/>
      <c r="M1355" s="1407"/>
      <c r="N1355" s="1407"/>
      <c r="O1355" s="1407"/>
      <c r="P1355" s="1407"/>
      <c r="Q1355" s="1407"/>
      <c r="R1355" s="1407"/>
      <c r="S1355" s="1407"/>
      <c r="T1355" s="1407"/>
      <c r="U1355" s="1407"/>
    </row>
    <row r="1356" spans="1:21" ht="12">
      <c r="A1356" s="639" t="s">
        <v>4676</v>
      </c>
      <c r="B1356" s="1483">
        <v>42851</v>
      </c>
      <c r="C1356" s="639" t="s">
        <v>3212</v>
      </c>
      <c r="D1356" s="1831" t="s">
        <v>4648</v>
      </c>
      <c r="E1356" s="2027">
        <v>42850</v>
      </c>
      <c r="F1356" s="2228">
        <v>5250000000000</v>
      </c>
      <c r="G1356" s="2228">
        <v>16700000000</v>
      </c>
      <c r="H1356" s="2262"/>
      <c r="I1356" s="1428"/>
      <c r="J1356" s="5325" t="s">
        <v>4677</v>
      </c>
      <c r="K1356" s="1431">
        <f t="shared" ref="K1356:K1363" si="157">(32800000000/G1356)*F1356</f>
        <v>10311377245508.982</v>
      </c>
      <c r="L1356" s="2381">
        <v>42718</v>
      </c>
      <c r="M1356" s="2264">
        <v>42724</v>
      </c>
      <c r="N1356" s="1407"/>
      <c r="O1356" s="1407"/>
      <c r="P1356" s="1407"/>
      <c r="Q1356" s="1407"/>
      <c r="R1356" s="1407"/>
      <c r="S1356" s="1407"/>
      <c r="T1356" s="1407"/>
      <c r="U1356" s="1407"/>
    </row>
    <row r="1357" spans="1:21" ht="12">
      <c r="A1357" s="639" t="s">
        <v>4676</v>
      </c>
      <c r="B1357" s="1483">
        <v>42851</v>
      </c>
      <c r="C1357" s="639" t="s">
        <v>3212</v>
      </c>
      <c r="D1357" s="1831" t="s">
        <v>4681</v>
      </c>
      <c r="E1357" s="639" t="s">
        <v>4682</v>
      </c>
      <c r="F1357" s="2228">
        <v>2330000000000</v>
      </c>
      <c r="G1357" s="2228">
        <v>16700000000</v>
      </c>
      <c r="H1357" s="2262"/>
      <c r="I1357" s="1428"/>
      <c r="J1357" s="5320"/>
      <c r="K1357" s="1431">
        <f t="shared" si="157"/>
        <v>4576287425149.7002</v>
      </c>
      <c r="L1357" s="2381">
        <v>42718</v>
      </c>
      <c r="M1357" s="2264">
        <v>42724</v>
      </c>
      <c r="N1357" s="1407"/>
      <c r="O1357" s="1407"/>
      <c r="P1357" s="1407"/>
      <c r="Q1357" s="1407"/>
      <c r="R1357" s="1407"/>
      <c r="S1357" s="1407"/>
      <c r="T1357" s="1407"/>
      <c r="U1357" s="1407"/>
    </row>
    <row r="1358" spans="1:21" ht="12">
      <c r="A1358" s="639" t="s">
        <v>4676</v>
      </c>
      <c r="B1358" s="1483">
        <v>42851</v>
      </c>
      <c r="C1358" s="639" t="s">
        <v>3212</v>
      </c>
      <c r="D1358" s="1831" t="s">
        <v>4652</v>
      </c>
      <c r="E1358" s="2027">
        <v>42850</v>
      </c>
      <c r="F1358" s="2228">
        <v>9350000000000</v>
      </c>
      <c r="G1358" s="2228">
        <v>16700000000</v>
      </c>
      <c r="H1358" s="2262"/>
      <c r="I1358" s="1428"/>
      <c r="J1358" s="5320"/>
      <c r="K1358" s="1431">
        <f t="shared" si="157"/>
        <v>18364071856287.426</v>
      </c>
      <c r="L1358" s="2381">
        <v>42718</v>
      </c>
      <c r="M1358" s="2264">
        <v>42724</v>
      </c>
      <c r="N1358" s="1407"/>
      <c r="O1358" s="1407"/>
      <c r="P1358" s="1407"/>
      <c r="Q1358" s="1407"/>
      <c r="R1358" s="1407"/>
      <c r="S1358" s="1407"/>
      <c r="T1358" s="1407"/>
      <c r="U1358" s="1407"/>
    </row>
    <row r="1359" spans="1:21" ht="12">
      <c r="A1359" s="639" t="s">
        <v>4676</v>
      </c>
      <c r="B1359" s="1483">
        <v>42851</v>
      </c>
      <c r="C1359" s="639" t="s">
        <v>3212</v>
      </c>
      <c r="D1359" s="1831" t="s">
        <v>4683</v>
      </c>
      <c r="E1359" s="639" t="s">
        <v>4682</v>
      </c>
      <c r="F1359" s="2228">
        <v>752000000000</v>
      </c>
      <c r="G1359" s="2228">
        <v>16700000000</v>
      </c>
      <c r="H1359" s="2262"/>
      <c r="I1359" s="1428"/>
      <c r="J1359" s="5320"/>
      <c r="K1359" s="1431">
        <f t="shared" si="157"/>
        <v>1476982035928.1436</v>
      </c>
      <c r="L1359" s="2381">
        <v>42718</v>
      </c>
      <c r="M1359" s="2264">
        <v>42724</v>
      </c>
      <c r="N1359" s="1407"/>
      <c r="O1359" s="1407"/>
      <c r="P1359" s="1407"/>
      <c r="Q1359" s="1407"/>
      <c r="R1359" s="1407"/>
      <c r="S1359" s="1407"/>
      <c r="T1359" s="1407"/>
      <c r="U1359" s="1407"/>
    </row>
    <row r="1360" spans="1:21" ht="12">
      <c r="A1360" s="639" t="s">
        <v>4676</v>
      </c>
      <c r="B1360" s="1483">
        <v>42851</v>
      </c>
      <c r="C1360" s="639" t="s">
        <v>3212</v>
      </c>
      <c r="D1360" s="1831" t="s">
        <v>4684</v>
      </c>
      <c r="E1360" s="2027">
        <v>42850</v>
      </c>
      <c r="F1360" s="2228">
        <v>46300000000000</v>
      </c>
      <c r="G1360" s="2228">
        <v>16700000000</v>
      </c>
      <c r="H1360" s="2262"/>
      <c r="I1360" s="1428"/>
      <c r="J1360" s="1407"/>
      <c r="K1360" s="1431">
        <f t="shared" si="157"/>
        <v>90936526946107.781</v>
      </c>
      <c r="L1360" s="2381">
        <v>42718</v>
      </c>
      <c r="M1360" s="2264">
        <v>42724</v>
      </c>
      <c r="N1360" s="1407"/>
      <c r="O1360" s="1407"/>
      <c r="P1360" s="1407"/>
      <c r="Q1360" s="1407"/>
      <c r="R1360" s="1407"/>
      <c r="S1360" s="1407"/>
      <c r="T1360" s="1407"/>
      <c r="U1360" s="1407"/>
    </row>
    <row r="1361" spans="1:21" ht="12">
      <c r="A1361" s="639" t="s">
        <v>4676</v>
      </c>
      <c r="B1361" s="1483">
        <v>42851</v>
      </c>
      <c r="C1361" s="639" t="s">
        <v>3212</v>
      </c>
      <c r="D1361" s="1831" t="s">
        <v>4685</v>
      </c>
      <c r="E1361" s="2027">
        <v>42850</v>
      </c>
      <c r="F1361" s="2228">
        <v>21000000000000</v>
      </c>
      <c r="G1361" s="2228">
        <v>16700000000</v>
      </c>
      <c r="H1361" s="2262"/>
      <c r="I1361" s="1428"/>
      <c r="J1361" s="1407"/>
      <c r="K1361" s="1431">
        <f t="shared" si="157"/>
        <v>41245508982035.93</v>
      </c>
      <c r="L1361" s="2381">
        <v>42718</v>
      </c>
      <c r="M1361" s="2264">
        <v>42724</v>
      </c>
      <c r="N1361" s="1407"/>
      <c r="O1361" s="1407"/>
      <c r="P1361" s="1407"/>
      <c r="Q1361" s="1407"/>
      <c r="R1361" s="1407"/>
      <c r="S1361" s="1407"/>
      <c r="T1361" s="1407"/>
      <c r="U1361" s="1407"/>
    </row>
    <row r="1362" spans="1:21" ht="12">
      <c r="A1362" s="639" t="s">
        <v>4676</v>
      </c>
      <c r="B1362" s="1483">
        <v>42851</v>
      </c>
      <c r="C1362" s="639" t="s">
        <v>3212</v>
      </c>
      <c r="D1362" s="1831" t="s">
        <v>4686</v>
      </c>
      <c r="E1362" s="2027">
        <v>42850</v>
      </c>
      <c r="F1362" s="2228">
        <v>3800000000000</v>
      </c>
      <c r="G1362" s="2228">
        <v>16700000000</v>
      </c>
      <c r="H1362" s="2262"/>
      <c r="I1362" s="1428"/>
      <c r="J1362" s="1407"/>
      <c r="K1362" s="1431">
        <f t="shared" si="157"/>
        <v>7463473053892.2158</v>
      </c>
      <c r="L1362" s="2381">
        <v>42718</v>
      </c>
      <c r="M1362" s="2264">
        <v>42724</v>
      </c>
      <c r="N1362" s="1407"/>
      <c r="O1362" s="1407"/>
      <c r="P1362" s="1407"/>
      <c r="Q1362" s="1407"/>
      <c r="R1362" s="1407"/>
      <c r="S1362" s="1407"/>
      <c r="T1362" s="1407"/>
      <c r="U1362" s="1407"/>
    </row>
    <row r="1363" spans="1:21" ht="12">
      <c r="A1363" s="639" t="s">
        <v>4676</v>
      </c>
      <c r="B1363" s="1483">
        <v>42851</v>
      </c>
      <c r="C1363" s="639" t="s">
        <v>3212</v>
      </c>
      <c r="D1363" s="1831" t="s">
        <v>4687</v>
      </c>
      <c r="E1363" s="2027">
        <v>42850</v>
      </c>
      <c r="F1363" s="2228">
        <v>2080000000000</v>
      </c>
      <c r="G1363" s="2228">
        <v>16700000000</v>
      </c>
      <c r="H1363" s="2262"/>
      <c r="I1363" s="1428"/>
      <c r="J1363" s="1407"/>
      <c r="K1363" s="1431">
        <f t="shared" si="157"/>
        <v>4085269461077.8442</v>
      </c>
      <c r="L1363" s="2381">
        <v>42718</v>
      </c>
      <c r="M1363" s="2264">
        <v>42724</v>
      </c>
      <c r="N1363" s="1407"/>
      <c r="O1363" s="1407"/>
      <c r="P1363" s="1407"/>
      <c r="Q1363" s="1407"/>
      <c r="R1363" s="1407"/>
      <c r="S1363" s="1407"/>
      <c r="T1363" s="1407"/>
      <c r="U1363" s="1407"/>
    </row>
    <row r="1364" spans="1:21" ht="12">
      <c r="A1364" s="639"/>
      <c r="B1364" s="1483"/>
      <c r="C1364" s="639"/>
      <c r="D1364" s="1831"/>
      <c r="F1364" s="2262"/>
      <c r="G1364" s="2262"/>
      <c r="H1364" s="2262"/>
      <c r="I1364" s="1428"/>
      <c r="J1364" s="1407"/>
      <c r="K1364" s="1431"/>
      <c r="L1364" s="1407"/>
      <c r="M1364" s="1407"/>
      <c r="N1364" s="1407"/>
      <c r="O1364" s="1407"/>
      <c r="P1364" s="1407"/>
      <c r="Q1364" s="1407"/>
      <c r="R1364" s="1407"/>
      <c r="S1364" s="1407"/>
      <c r="T1364" s="1407"/>
      <c r="U1364" s="1407"/>
    </row>
    <row r="1365" spans="1:21" ht="12">
      <c r="A1365" s="639" t="s">
        <v>4688</v>
      </c>
      <c r="B1365" s="1483">
        <v>42852</v>
      </c>
      <c r="C1365" s="639" t="s">
        <v>3212</v>
      </c>
      <c r="D1365" s="1831" t="s">
        <v>4648</v>
      </c>
      <c r="E1365" s="2027">
        <v>42850</v>
      </c>
      <c r="F1365" s="2228">
        <v>5150000000000</v>
      </c>
      <c r="G1365" s="2228">
        <v>9280000000</v>
      </c>
      <c r="H1365" s="2262"/>
      <c r="I1365" s="1428"/>
      <c r="K1365" s="1431">
        <f t="shared" ref="K1365:K1369" si="158">(32800000000/G1365)*F1365</f>
        <v>18202586206896.551</v>
      </c>
      <c r="L1365" s="2381">
        <v>42718</v>
      </c>
      <c r="M1365" s="2264">
        <v>42724</v>
      </c>
      <c r="N1365" s="1407"/>
      <c r="O1365" s="1407"/>
      <c r="P1365" s="1407"/>
      <c r="Q1365" s="1407"/>
      <c r="R1365" s="1407"/>
      <c r="S1365" s="1407"/>
      <c r="T1365" s="1407"/>
      <c r="U1365" s="1407"/>
    </row>
    <row r="1366" spans="1:21" ht="12">
      <c r="A1366" s="639" t="s">
        <v>4688</v>
      </c>
      <c r="B1366" s="1483">
        <v>42852</v>
      </c>
      <c r="C1366" s="639" t="s">
        <v>3212</v>
      </c>
      <c r="D1366" s="1831" t="s">
        <v>4681</v>
      </c>
      <c r="E1366" s="2027">
        <v>42850</v>
      </c>
      <c r="F1366" s="2228">
        <v>1780000000000</v>
      </c>
      <c r="G1366" s="2228">
        <v>9280000000</v>
      </c>
      <c r="H1366" s="2262"/>
      <c r="I1366" s="1428"/>
      <c r="K1366" s="1431">
        <f t="shared" si="158"/>
        <v>6291379310344.8271</v>
      </c>
      <c r="L1366" s="2381">
        <v>42718</v>
      </c>
      <c r="M1366" s="2264">
        <v>42724</v>
      </c>
      <c r="N1366" s="1407"/>
      <c r="O1366" s="1407"/>
      <c r="P1366" s="1407"/>
      <c r="Q1366" s="1407"/>
      <c r="R1366" s="1407"/>
      <c r="S1366" s="1407"/>
      <c r="T1366" s="1407"/>
      <c r="U1366" s="1407"/>
    </row>
    <row r="1367" spans="1:21" ht="12">
      <c r="A1367" s="639" t="s">
        <v>4688</v>
      </c>
      <c r="B1367" s="1483">
        <v>42852</v>
      </c>
      <c r="C1367" s="639" t="s">
        <v>3212</v>
      </c>
      <c r="D1367" s="1831" t="s">
        <v>4652</v>
      </c>
      <c r="E1367" s="2027">
        <v>42850</v>
      </c>
      <c r="F1367" s="2228">
        <v>8360000000000</v>
      </c>
      <c r="G1367" s="2228">
        <v>9280000000</v>
      </c>
      <c r="H1367" s="2262"/>
      <c r="I1367" s="1428"/>
      <c r="K1367" s="1431">
        <f t="shared" si="158"/>
        <v>29548275862068.965</v>
      </c>
      <c r="L1367" s="2381">
        <v>42718</v>
      </c>
      <c r="M1367" s="2264">
        <v>42724</v>
      </c>
      <c r="N1367" s="1407"/>
      <c r="O1367" s="1407"/>
      <c r="P1367" s="1407"/>
      <c r="Q1367" s="1407"/>
      <c r="R1367" s="1407"/>
      <c r="S1367" s="1407"/>
      <c r="T1367" s="1407"/>
      <c r="U1367" s="1407"/>
    </row>
    <row r="1368" spans="1:21" ht="12">
      <c r="A1368" s="639" t="s">
        <v>4688</v>
      </c>
      <c r="B1368" s="1483">
        <v>42852</v>
      </c>
      <c r="C1368" s="639" t="s">
        <v>3212</v>
      </c>
      <c r="D1368" s="1831" t="s">
        <v>4683</v>
      </c>
      <c r="E1368" s="2027">
        <v>42850</v>
      </c>
      <c r="F1368" s="2228">
        <v>1140000000000</v>
      </c>
      <c r="G1368" s="2228">
        <v>9280000000</v>
      </c>
      <c r="H1368" s="2262"/>
      <c r="I1368" s="1428"/>
      <c r="K1368" s="1431">
        <f t="shared" si="158"/>
        <v>4029310344827.5859</v>
      </c>
      <c r="L1368" s="2381">
        <v>42718</v>
      </c>
      <c r="M1368" s="2264">
        <v>42724</v>
      </c>
      <c r="N1368" s="1407"/>
      <c r="O1368" s="1407"/>
      <c r="P1368" s="1407"/>
      <c r="Q1368" s="1407"/>
      <c r="R1368" s="1407"/>
      <c r="S1368" s="1407"/>
      <c r="T1368" s="1407"/>
      <c r="U1368" s="1407"/>
    </row>
    <row r="1369" spans="1:21" ht="12">
      <c r="A1369" s="639" t="s">
        <v>4688</v>
      </c>
      <c r="B1369" s="1483">
        <v>42852</v>
      </c>
      <c r="C1369" s="639" t="s">
        <v>3212</v>
      </c>
      <c r="D1369" s="1831" t="s">
        <v>4599</v>
      </c>
      <c r="E1369" s="2027">
        <v>42852</v>
      </c>
      <c r="F1369" s="2228">
        <v>10000000000000</v>
      </c>
      <c r="G1369" s="2228">
        <v>9280000000</v>
      </c>
      <c r="H1369" s="2262"/>
      <c r="I1369" s="1428"/>
      <c r="J1369" s="639" t="s">
        <v>4689</v>
      </c>
      <c r="K1369" s="1431">
        <f t="shared" si="158"/>
        <v>35344827586206.898</v>
      </c>
      <c r="L1369" s="2381">
        <v>42718</v>
      </c>
      <c r="M1369" s="2264">
        <v>42724</v>
      </c>
      <c r="N1369" s="1407"/>
      <c r="O1369" s="1407"/>
      <c r="P1369" s="1407"/>
      <c r="Q1369" s="1407"/>
      <c r="R1369" s="1407"/>
      <c r="S1369" s="1407"/>
      <c r="T1369" s="1407"/>
      <c r="U1369" s="1407"/>
    </row>
    <row r="1370" spans="1:21" ht="12">
      <c r="A1370" s="639"/>
      <c r="B1370" s="1483"/>
      <c r="C1370" s="639"/>
      <c r="D1370" s="1831"/>
      <c r="F1370" s="2228"/>
      <c r="G1370" s="2262"/>
      <c r="H1370" s="2262"/>
      <c r="I1370" s="1428"/>
      <c r="J1370" s="1407"/>
      <c r="K1370" s="1431"/>
      <c r="L1370" s="1407"/>
      <c r="M1370" s="1407"/>
      <c r="N1370" s="1407"/>
      <c r="O1370" s="1407"/>
      <c r="P1370" s="1407"/>
      <c r="Q1370" s="1407"/>
      <c r="R1370" s="1407"/>
      <c r="S1370" s="1407"/>
      <c r="T1370" s="1407"/>
      <c r="U1370" s="1407"/>
    </row>
    <row r="1371" spans="1:21" ht="12">
      <c r="A1371" s="639" t="s">
        <v>4690</v>
      </c>
      <c r="B1371" s="1483">
        <v>42859</v>
      </c>
      <c r="C1371" s="639" t="s">
        <v>2126</v>
      </c>
      <c r="D1371" s="1831" t="s">
        <v>4691</v>
      </c>
      <c r="E1371" s="2027">
        <v>42828</v>
      </c>
      <c r="F1371" s="1731">
        <v>406000000000000</v>
      </c>
      <c r="G1371" s="2228">
        <v>8500000000</v>
      </c>
      <c r="H1371" s="2262"/>
      <c r="I1371" s="1428"/>
      <c r="J1371" s="1407"/>
      <c r="K1371" s="1431">
        <f t="shared" ref="K1371:K1378" si="159">(32800000000/G1371)*F1371</f>
        <v>1566682352941176.5</v>
      </c>
      <c r="L1371" s="2381">
        <v>42718</v>
      </c>
      <c r="M1371" s="2264">
        <v>42724</v>
      </c>
      <c r="N1371" s="1407"/>
      <c r="O1371" s="1407"/>
      <c r="P1371" s="1407"/>
      <c r="Q1371" s="1407"/>
      <c r="R1371" s="1407"/>
      <c r="S1371" s="1407"/>
      <c r="T1371" s="1407"/>
      <c r="U1371" s="1407"/>
    </row>
    <row r="1372" spans="1:21" ht="12">
      <c r="A1372" s="639" t="s">
        <v>4690</v>
      </c>
      <c r="B1372" s="1483">
        <v>42859</v>
      </c>
      <c r="C1372" s="639" t="s">
        <v>2126</v>
      </c>
      <c r="D1372" s="1831" t="s">
        <v>4693</v>
      </c>
      <c r="E1372" s="2027">
        <v>42828</v>
      </c>
      <c r="F1372" s="1731">
        <v>443000000000</v>
      </c>
      <c r="G1372" s="2228">
        <v>8500000000</v>
      </c>
      <c r="H1372" s="2262"/>
      <c r="I1372" s="1428"/>
      <c r="J1372" s="1407"/>
      <c r="K1372" s="1431">
        <f t="shared" si="159"/>
        <v>1709458823529.4119</v>
      </c>
      <c r="L1372" s="2381">
        <v>42718</v>
      </c>
      <c r="M1372" s="2264">
        <v>42724</v>
      </c>
      <c r="N1372" s="1407"/>
      <c r="O1372" s="1407"/>
      <c r="P1372" s="1407"/>
      <c r="Q1372" s="1407"/>
      <c r="R1372" s="1407"/>
      <c r="S1372" s="1407"/>
      <c r="T1372" s="1407"/>
      <c r="U1372" s="1407"/>
    </row>
    <row r="1373" spans="1:21" ht="12">
      <c r="A1373" s="639" t="s">
        <v>4690</v>
      </c>
      <c r="B1373" s="1483">
        <v>42859</v>
      </c>
      <c r="C1373" s="639" t="s">
        <v>2126</v>
      </c>
      <c r="D1373" s="1831" t="s">
        <v>4694</v>
      </c>
      <c r="E1373" s="2027">
        <v>42828</v>
      </c>
      <c r="F1373" s="1731">
        <v>4150000000000</v>
      </c>
      <c r="G1373" s="2228">
        <v>8500000000</v>
      </c>
      <c r="H1373" s="2262"/>
      <c r="I1373" s="1428"/>
      <c r="J1373" s="1407"/>
      <c r="K1373" s="1431">
        <f t="shared" si="159"/>
        <v>16014117647058.824</v>
      </c>
      <c r="L1373" s="2381">
        <v>42718</v>
      </c>
      <c r="M1373" s="2264">
        <v>42724</v>
      </c>
      <c r="N1373" s="1407"/>
      <c r="O1373" s="1407"/>
      <c r="P1373" s="1407"/>
      <c r="Q1373" s="1407"/>
      <c r="R1373" s="1407"/>
      <c r="S1373" s="1407"/>
      <c r="T1373" s="1407"/>
      <c r="U1373" s="1407"/>
    </row>
    <row r="1374" spans="1:21" ht="12">
      <c r="A1374" s="639" t="s">
        <v>4690</v>
      </c>
      <c r="B1374" s="1483">
        <v>42859</v>
      </c>
      <c r="C1374" s="639" t="s">
        <v>2126</v>
      </c>
      <c r="D1374" s="1831" t="s">
        <v>4695</v>
      </c>
      <c r="E1374" s="2027">
        <v>42828</v>
      </c>
      <c r="F1374" s="1731">
        <v>2420000000000</v>
      </c>
      <c r="G1374" s="2228">
        <v>8500000000</v>
      </c>
      <c r="H1374" s="2262"/>
      <c r="I1374" s="1428"/>
      <c r="J1374" s="1407"/>
      <c r="K1374" s="1431">
        <f t="shared" si="159"/>
        <v>9338352941176.4707</v>
      </c>
      <c r="L1374" s="2381">
        <v>42718</v>
      </c>
      <c r="M1374" s="2264">
        <v>42724</v>
      </c>
      <c r="N1374" s="1407"/>
      <c r="O1374" s="1407"/>
      <c r="P1374" s="1407"/>
      <c r="Q1374" s="1407"/>
      <c r="R1374" s="1407"/>
      <c r="S1374" s="1407"/>
      <c r="T1374" s="1407"/>
      <c r="U1374" s="1407"/>
    </row>
    <row r="1375" spans="1:21" ht="12">
      <c r="A1375" s="639" t="s">
        <v>4690</v>
      </c>
      <c r="B1375" s="1483">
        <v>42859</v>
      </c>
      <c r="C1375" s="639" t="s">
        <v>2126</v>
      </c>
      <c r="D1375" s="1831" t="s">
        <v>4696</v>
      </c>
      <c r="E1375" s="2027">
        <v>42828</v>
      </c>
      <c r="F1375" s="1731">
        <v>13000000000000</v>
      </c>
      <c r="G1375" s="2228">
        <v>8500000000</v>
      </c>
      <c r="H1375" s="2262"/>
      <c r="I1375" s="1428"/>
      <c r="J1375" s="1407"/>
      <c r="K1375" s="1431">
        <f t="shared" si="159"/>
        <v>50164705882352.945</v>
      </c>
      <c r="L1375" s="2381">
        <v>42718</v>
      </c>
      <c r="M1375" s="2264">
        <v>42724</v>
      </c>
      <c r="N1375" s="1407"/>
      <c r="O1375" s="1407"/>
      <c r="P1375" s="1407"/>
      <c r="Q1375" s="1407"/>
      <c r="R1375" s="1407"/>
      <c r="S1375" s="1407"/>
      <c r="T1375" s="1407"/>
      <c r="U1375" s="1407"/>
    </row>
    <row r="1376" spans="1:21" ht="12">
      <c r="A1376" s="639" t="s">
        <v>4690</v>
      </c>
      <c r="B1376" s="1483">
        <v>42859</v>
      </c>
      <c r="C1376" s="639" t="s">
        <v>2126</v>
      </c>
      <c r="D1376" s="1831" t="s">
        <v>4697</v>
      </c>
      <c r="E1376" s="2027">
        <v>42828</v>
      </c>
      <c r="F1376" s="1731">
        <v>8560000000</v>
      </c>
      <c r="G1376" s="2228">
        <v>8500000000</v>
      </c>
      <c r="H1376" s="2262"/>
      <c r="I1376" s="1428"/>
      <c r="J1376" s="1407"/>
      <c r="K1376" s="1431">
        <f t="shared" si="159"/>
        <v>33031529411.764706</v>
      </c>
      <c r="L1376" s="2381">
        <v>42718</v>
      </c>
      <c r="M1376" s="2264">
        <v>42724</v>
      </c>
      <c r="N1376" s="1407"/>
      <c r="O1376" s="1407"/>
      <c r="P1376" s="1407"/>
      <c r="Q1376" s="1407"/>
      <c r="R1376" s="1407"/>
      <c r="S1376" s="1407"/>
      <c r="T1376" s="1407"/>
      <c r="U1376" s="1407"/>
    </row>
    <row r="1377" spans="1:21" ht="12">
      <c r="A1377" s="639" t="s">
        <v>4690</v>
      </c>
      <c r="B1377" s="1483">
        <v>42859</v>
      </c>
      <c r="C1377" s="639" t="s">
        <v>2126</v>
      </c>
      <c r="D1377" s="1831" t="s">
        <v>4698</v>
      </c>
      <c r="E1377" s="2027">
        <v>42828</v>
      </c>
      <c r="F1377" s="1731">
        <v>37100000000000</v>
      </c>
      <c r="G1377" s="2228">
        <v>8500000000</v>
      </c>
      <c r="H1377" s="2262"/>
      <c r="I1377" s="1428"/>
      <c r="J1377" s="1407"/>
      <c r="K1377" s="1431">
        <f t="shared" si="159"/>
        <v>143162352941176.47</v>
      </c>
      <c r="L1377" s="2381">
        <v>42718</v>
      </c>
      <c r="M1377" s="2264">
        <v>42724</v>
      </c>
      <c r="N1377" s="1407"/>
      <c r="O1377" s="1407"/>
      <c r="P1377" s="1407"/>
      <c r="Q1377" s="1407"/>
      <c r="R1377" s="1407"/>
      <c r="S1377" s="1407"/>
      <c r="T1377" s="1407"/>
      <c r="U1377" s="1407"/>
    </row>
    <row r="1378" spans="1:21" ht="12">
      <c r="A1378" s="639" t="s">
        <v>4690</v>
      </c>
      <c r="B1378" s="1483">
        <v>42859</v>
      </c>
      <c r="C1378" s="639" t="s">
        <v>2126</v>
      </c>
      <c r="D1378" s="1831" t="s">
        <v>4699</v>
      </c>
      <c r="E1378" s="2027">
        <v>42828</v>
      </c>
      <c r="F1378" s="1731">
        <v>11500000000000</v>
      </c>
      <c r="G1378" s="2228">
        <v>8500000000</v>
      </c>
      <c r="H1378" s="2262"/>
      <c r="I1378" s="1428"/>
      <c r="J1378" s="1407"/>
      <c r="K1378" s="1431">
        <f t="shared" si="159"/>
        <v>44376470588235.297</v>
      </c>
      <c r="L1378" s="2381">
        <v>42718</v>
      </c>
      <c r="M1378" s="2264">
        <v>42724</v>
      </c>
      <c r="N1378" s="1407"/>
      <c r="O1378" s="1407"/>
      <c r="P1378" s="1407"/>
      <c r="Q1378" s="1407"/>
      <c r="R1378" s="1407"/>
      <c r="S1378" s="1407"/>
      <c r="T1378" s="1407"/>
      <c r="U1378" s="1407"/>
    </row>
    <row r="1379" spans="1:21" ht="12">
      <c r="A1379" s="639"/>
      <c r="B1379" s="1483"/>
      <c r="C1379" s="639"/>
      <c r="D1379" s="1831"/>
      <c r="F1379" s="1407"/>
      <c r="G1379" s="2262"/>
      <c r="H1379" s="2262"/>
      <c r="I1379" s="1428"/>
      <c r="J1379" s="1407"/>
      <c r="K1379" s="1431"/>
      <c r="L1379" s="1407"/>
      <c r="M1379" s="1407"/>
      <c r="N1379" s="1407"/>
      <c r="O1379" s="1407"/>
      <c r="P1379" s="1407"/>
      <c r="Q1379" s="1407"/>
      <c r="R1379" s="1407"/>
      <c r="S1379" s="1407"/>
      <c r="T1379" s="1407"/>
      <c r="U1379" s="1407"/>
    </row>
    <row r="1380" spans="1:21" ht="12">
      <c r="A1380" s="639" t="s">
        <v>4700</v>
      </c>
      <c r="B1380" s="1483">
        <v>42872</v>
      </c>
      <c r="C1380" s="639" t="s">
        <v>3212</v>
      </c>
      <c r="D1380" s="1831" t="s">
        <v>4701</v>
      </c>
      <c r="E1380" s="2027">
        <v>42871</v>
      </c>
      <c r="F1380" s="2228">
        <v>156000000000000</v>
      </c>
      <c r="G1380" s="2228">
        <v>16500000000</v>
      </c>
      <c r="H1380" s="2262"/>
      <c r="I1380" s="1428"/>
      <c r="J1380" s="1407"/>
      <c r="K1380" s="1431">
        <f t="shared" ref="K1380:K1388" si="160">(32800000000/G1380)*F1380</f>
        <v>310109090909090.88</v>
      </c>
      <c r="L1380" s="2381">
        <v>42718</v>
      </c>
      <c r="M1380" s="2264">
        <v>42724</v>
      </c>
      <c r="N1380" s="1407"/>
      <c r="O1380" s="1407"/>
      <c r="P1380" s="1407"/>
      <c r="Q1380" s="1407"/>
      <c r="R1380" s="1407"/>
      <c r="S1380" s="1407"/>
      <c r="T1380" s="1407"/>
      <c r="U1380" s="1407"/>
    </row>
    <row r="1381" spans="1:21" ht="12">
      <c r="A1381" s="639" t="s">
        <v>4700</v>
      </c>
      <c r="B1381" s="1483">
        <v>42872</v>
      </c>
      <c r="C1381" s="639" t="s">
        <v>3212</v>
      </c>
      <c r="D1381" s="1831" t="s">
        <v>4702</v>
      </c>
      <c r="E1381" s="2027">
        <v>42871</v>
      </c>
      <c r="F1381" s="2228">
        <v>85900000000</v>
      </c>
      <c r="G1381" s="2228">
        <v>16500000000</v>
      </c>
      <c r="H1381" s="2262"/>
      <c r="I1381" s="1428"/>
      <c r="J1381" s="1407"/>
      <c r="K1381" s="1431">
        <f t="shared" si="160"/>
        <v>170758787878.78787</v>
      </c>
      <c r="L1381" s="2381">
        <v>42718</v>
      </c>
      <c r="M1381" s="2264">
        <v>42724</v>
      </c>
      <c r="N1381" s="1407"/>
      <c r="O1381" s="1407"/>
      <c r="P1381" s="1407"/>
      <c r="Q1381" s="1407"/>
      <c r="R1381" s="1407"/>
      <c r="S1381" s="1407"/>
      <c r="T1381" s="1407"/>
      <c r="U1381" s="1407"/>
    </row>
    <row r="1382" spans="1:21" ht="12">
      <c r="A1382" s="639" t="s">
        <v>4700</v>
      </c>
      <c r="B1382" s="1483">
        <v>42872</v>
      </c>
      <c r="C1382" s="639" t="s">
        <v>3212</v>
      </c>
      <c r="D1382" s="1831" t="s">
        <v>4703</v>
      </c>
      <c r="E1382" s="2027">
        <v>42871</v>
      </c>
      <c r="F1382" s="2228">
        <v>12700000000000</v>
      </c>
      <c r="G1382" s="2228">
        <v>16500000000</v>
      </c>
      <c r="H1382" s="2262"/>
      <c r="I1382" s="1428"/>
      <c r="J1382" s="1407"/>
      <c r="K1382" s="1431">
        <f t="shared" si="160"/>
        <v>25246060606060.605</v>
      </c>
      <c r="L1382" s="2381">
        <v>42718</v>
      </c>
      <c r="M1382" s="2264">
        <v>42724</v>
      </c>
      <c r="N1382" s="1407"/>
      <c r="O1382" s="1407"/>
      <c r="P1382" s="1407"/>
      <c r="Q1382" s="1407"/>
      <c r="R1382" s="1407"/>
      <c r="S1382" s="1407"/>
      <c r="T1382" s="1407"/>
      <c r="U1382" s="1407"/>
    </row>
    <row r="1383" spans="1:21" ht="12">
      <c r="A1383" s="639" t="s">
        <v>4700</v>
      </c>
      <c r="B1383" s="1483">
        <v>42872</v>
      </c>
      <c r="C1383" s="639" t="s">
        <v>3212</v>
      </c>
      <c r="D1383" s="641" t="s">
        <v>4704</v>
      </c>
      <c r="E1383" s="2027">
        <v>42871</v>
      </c>
      <c r="F1383" s="2228">
        <v>2770000000000</v>
      </c>
      <c r="G1383" s="2228">
        <v>16500000000</v>
      </c>
      <c r="H1383" s="2262"/>
      <c r="I1383" s="1428"/>
      <c r="J1383" s="1407"/>
      <c r="K1383" s="1431">
        <f t="shared" si="160"/>
        <v>5506424242424.2422</v>
      </c>
      <c r="L1383" s="2381">
        <v>42718</v>
      </c>
      <c r="M1383" s="2264">
        <v>42724</v>
      </c>
      <c r="N1383" s="1407"/>
      <c r="O1383" s="1407"/>
      <c r="P1383" s="1407"/>
      <c r="Q1383" s="1407"/>
      <c r="R1383" s="1407"/>
      <c r="S1383" s="1407"/>
      <c r="T1383" s="1407"/>
      <c r="U1383" s="1407"/>
    </row>
    <row r="1384" spans="1:21" ht="12">
      <c r="A1384" s="639" t="s">
        <v>4700</v>
      </c>
      <c r="B1384" s="1483">
        <v>42872</v>
      </c>
      <c r="C1384" s="639" t="s">
        <v>3212</v>
      </c>
      <c r="D1384" s="1831" t="s">
        <v>4705</v>
      </c>
      <c r="E1384" s="2027">
        <v>42871</v>
      </c>
      <c r="F1384" s="2228">
        <v>123000000000000</v>
      </c>
      <c r="G1384" s="2228">
        <v>16500000000</v>
      </c>
      <c r="H1384" s="2262"/>
      <c r="I1384" s="1428"/>
      <c r="J1384" s="1407"/>
      <c r="K1384" s="1431">
        <f t="shared" si="160"/>
        <v>244509090909090.91</v>
      </c>
      <c r="L1384" s="2381">
        <v>42718</v>
      </c>
      <c r="M1384" s="2264">
        <v>42724</v>
      </c>
      <c r="N1384" s="1407"/>
      <c r="O1384" s="1407"/>
      <c r="P1384" s="1407"/>
      <c r="Q1384" s="1407"/>
      <c r="R1384" s="1407"/>
      <c r="S1384" s="1407"/>
      <c r="T1384" s="1407"/>
      <c r="U1384" s="1407"/>
    </row>
    <row r="1385" spans="1:21" ht="12">
      <c r="A1385" s="639" t="s">
        <v>4700</v>
      </c>
      <c r="B1385" s="1483">
        <v>42872</v>
      </c>
      <c r="C1385" s="639" t="s">
        <v>3212</v>
      </c>
      <c r="D1385" s="641" t="s">
        <v>4706</v>
      </c>
      <c r="E1385" s="2027">
        <v>42871</v>
      </c>
      <c r="F1385" s="2228">
        <v>10500000000000</v>
      </c>
      <c r="G1385" s="2228">
        <v>16500000000</v>
      </c>
      <c r="H1385" s="2262"/>
      <c r="I1385" s="1428"/>
      <c r="J1385" s="1407"/>
      <c r="K1385" s="1431">
        <f t="shared" si="160"/>
        <v>20872727272727.273</v>
      </c>
      <c r="L1385" s="2381">
        <v>42718</v>
      </c>
      <c r="M1385" s="2264">
        <v>42724</v>
      </c>
      <c r="N1385" s="1407"/>
      <c r="O1385" s="1407"/>
      <c r="P1385" s="1407"/>
      <c r="Q1385" s="1407"/>
      <c r="R1385" s="1407"/>
      <c r="S1385" s="1407"/>
      <c r="T1385" s="1407"/>
      <c r="U1385" s="1407"/>
    </row>
    <row r="1386" spans="1:21" ht="12">
      <c r="A1386" s="639" t="s">
        <v>4700</v>
      </c>
      <c r="B1386" s="1483">
        <v>42872</v>
      </c>
      <c r="C1386" s="639" t="s">
        <v>3212</v>
      </c>
      <c r="D1386" s="1831" t="s">
        <v>4707</v>
      </c>
      <c r="E1386" s="2027">
        <v>42871</v>
      </c>
      <c r="F1386" s="2228">
        <v>141000000000</v>
      </c>
      <c r="G1386" s="2228">
        <v>16500000000</v>
      </c>
      <c r="H1386" s="2262"/>
      <c r="I1386" s="1428"/>
      <c r="J1386" s="1407"/>
      <c r="K1386" s="1431">
        <f t="shared" si="160"/>
        <v>280290909090.90906</v>
      </c>
      <c r="L1386" s="2381">
        <v>42718</v>
      </c>
      <c r="M1386" s="2264">
        <v>42724</v>
      </c>
      <c r="N1386" s="1407"/>
      <c r="O1386" s="1407"/>
      <c r="P1386" s="1407"/>
      <c r="Q1386" s="1407"/>
      <c r="R1386" s="1407"/>
      <c r="S1386" s="1407"/>
      <c r="T1386" s="1407"/>
      <c r="U1386" s="1407"/>
    </row>
    <row r="1387" spans="1:21" ht="12">
      <c r="A1387" s="639" t="s">
        <v>4700</v>
      </c>
      <c r="B1387" s="1483">
        <v>42872</v>
      </c>
      <c r="C1387" s="639" t="s">
        <v>3212</v>
      </c>
      <c r="D1387" s="1831" t="s">
        <v>4708</v>
      </c>
      <c r="E1387" s="2027">
        <v>42871</v>
      </c>
      <c r="F1387" s="2228">
        <v>22000000000</v>
      </c>
      <c r="G1387" s="2228">
        <v>16500000000</v>
      </c>
      <c r="H1387" s="2262"/>
      <c r="I1387" s="1428"/>
      <c r="J1387" s="1407"/>
      <c r="K1387" s="1431">
        <f t="shared" si="160"/>
        <v>43733333333.333328</v>
      </c>
      <c r="L1387" s="2381">
        <v>42718</v>
      </c>
      <c r="M1387" s="2264">
        <v>42724</v>
      </c>
      <c r="N1387" s="1407"/>
      <c r="O1387" s="1407"/>
      <c r="P1387" s="1407"/>
      <c r="Q1387" s="1407"/>
      <c r="R1387" s="1407"/>
      <c r="S1387" s="1407"/>
      <c r="T1387" s="1407"/>
      <c r="U1387" s="1407"/>
    </row>
    <row r="1388" spans="1:21" ht="12">
      <c r="A1388" s="639" t="s">
        <v>4700</v>
      </c>
      <c r="B1388" s="1483">
        <v>42872</v>
      </c>
      <c r="C1388" s="639" t="s">
        <v>3212</v>
      </c>
      <c r="D1388" s="1831" t="s">
        <v>4709</v>
      </c>
      <c r="E1388" s="2027">
        <v>42871</v>
      </c>
      <c r="F1388" s="2228">
        <v>81700000000</v>
      </c>
      <c r="G1388" s="2228">
        <v>16500000000</v>
      </c>
      <c r="H1388" s="2262"/>
      <c r="I1388" s="1428"/>
      <c r="J1388" s="1407"/>
      <c r="K1388" s="1431">
        <f t="shared" si="160"/>
        <v>162409696969.69696</v>
      </c>
      <c r="L1388" s="2381">
        <v>42718</v>
      </c>
      <c r="M1388" s="2264">
        <v>42724</v>
      </c>
      <c r="N1388" s="1407"/>
      <c r="O1388" s="1407"/>
      <c r="P1388" s="1407"/>
      <c r="Q1388" s="1407"/>
      <c r="R1388" s="1407"/>
      <c r="S1388" s="1407"/>
      <c r="T1388" s="1407"/>
      <c r="U1388" s="1407"/>
    </row>
    <row r="1389" spans="1:21" ht="12">
      <c r="A1389" s="639"/>
      <c r="B1389" s="1483"/>
      <c r="C1389" s="639"/>
      <c r="D1389" s="1831"/>
      <c r="F1389" s="1407"/>
      <c r="G1389" s="2262"/>
      <c r="H1389" s="2262"/>
      <c r="I1389" s="1428"/>
      <c r="J1389" s="1407"/>
      <c r="K1389" s="1431"/>
      <c r="L1389" s="1407"/>
      <c r="M1389" s="1407"/>
      <c r="N1389" s="1407"/>
      <c r="O1389" s="1407"/>
      <c r="P1389" s="1407"/>
      <c r="Q1389" s="1407"/>
      <c r="R1389" s="1407"/>
      <c r="S1389" s="1407"/>
      <c r="T1389" s="1407"/>
      <c r="U1389" s="1407"/>
    </row>
    <row r="1390" spans="1:21" ht="12">
      <c r="A1390" s="639" t="s">
        <v>4710</v>
      </c>
      <c r="B1390" s="1483">
        <v>42879</v>
      </c>
      <c r="C1390" s="639" t="s">
        <v>2126</v>
      </c>
      <c r="D1390" s="1831" t="s">
        <v>4711</v>
      </c>
      <c r="E1390" s="2567">
        <v>42879</v>
      </c>
      <c r="F1390" s="1731">
        <v>3880000000000</v>
      </c>
      <c r="G1390" s="2228">
        <v>9690000000</v>
      </c>
      <c r="H1390" s="2262"/>
      <c r="I1390" s="1428"/>
      <c r="J1390" s="1407"/>
      <c r="K1390" s="1431">
        <f t="shared" ref="K1390:K1398" si="161">(32800000000/G1390)*F1390</f>
        <v>13133539731682.146</v>
      </c>
      <c r="L1390" s="2381">
        <v>42718</v>
      </c>
      <c r="M1390" s="2264">
        <v>42724</v>
      </c>
      <c r="N1390" s="1407"/>
      <c r="O1390" s="1407"/>
      <c r="P1390" s="1407"/>
      <c r="Q1390" s="1407"/>
      <c r="R1390" s="1407"/>
      <c r="S1390" s="1407"/>
      <c r="T1390" s="1407"/>
      <c r="U1390" s="1407"/>
    </row>
    <row r="1391" spans="1:21" ht="12">
      <c r="A1391" s="639" t="s">
        <v>4710</v>
      </c>
      <c r="B1391" s="1483">
        <v>42879</v>
      </c>
      <c r="C1391" s="639" t="s">
        <v>2126</v>
      </c>
      <c r="D1391" s="1831" t="s">
        <v>4712</v>
      </c>
      <c r="E1391" s="2567">
        <v>42879</v>
      </c>
      <c r="F1391" s="1731">
        <v>2760000000000</v>
      </c>
      <c r="G1391" s="2228">
        <v>9690000000</v>
      </c>
      <c r="H1391" s="2262"/>
      <c r="I1391" s="1428"/>
      <c r="J1391" s="1407"/>
      <c r="K1391" s="1431">
        <f t="shared" si="161"/>
        <v>9342414860681.1152</v>
      </c>
      <c r="L1391" s="2381">
        <v>42718</v>
      </c>
      <c r="M1391" s="2264">
        <v>42724</v>
      </c>
      <c r="N1391" s="1407"/>
      <c r="O1391" s="1407"/>
      <c r="P1391" s="1407"/>
      <c r="Q1391" s="1407"/>
      <c r="R1391" s="1407"/>
      <c r="S1391" s="1407"/>
      <c r="T1391" s="1407"/>
      <c r="U1391" s="1407"/>
    </row>
    <row r="1392" spans="1:21" ht="12">
      <c r="A1392" s="639" t="s">
        <v>4710</v>
      </c>
      <c r="B1392" s="1483">
        <v>42879</v>
      </c>
      <c r="C1392" s="639" t="s">
        <v>2126</v>
      </c>
      <c r="D1392" s="1831" t="s">
        <v>4713</v>
      </c>
      <c r="E1392" s="2567">
        <v>42879</v>
      </c>
      <c r="F1392" s="1731">
        <v>4120000000000</v>
      </c>
      <c r="G1392" s="2228">
        <v>9690000000</v>
      </c>
      <c r="H1392" s="2262"/>
      <c r="I1392" s="1428"/>
      <c r="J1392" s="1407"/>
      <c r="K1392" s="1431">
        <f t="shared" si="161"/>
        <v>13945923632610.939</v>
      </c>
      <c r="L1392" s="2381">
        <v>42718</v>
      </c>
      <c r="M1392" s="2264">
        <v>42724</v>
      </c>
      <c r="N1392" s="1407"/>
      <c r="O1392" s="1407"/>
      <c r="P1392" s="1407"/>
      <c r="Q1392" s="1407"/>
      <c r="R1392" s="1407"/>
      <c r="S1392" s="1407"/>
      <c r="T1392" s="1407"/>
      <c r="U1392" s="1407"/>
    </row>
    <row r="1393" spans="1:21" ht="12">
      <c r="A1393" s="639" t="s">
        <v>4710</v>
      </c>
      <c r="B1393" s="1483">
        <v>42879</v>
      </c>
      <c r="C1393" s="639" t="s">
        <v>2126</v>
      </c>
      <c r="D1393" s="1831" t="s">
        <v>4714</v>
      </c>
      <c r="E1393" s="2567">
        <v>42879</v>
      </c>
      <c r="F1393" s="1731">
        <v>624000000000</v>
      </c>
      <c r="G1393" s="2228">
        <v>9690000000</v>
      </c>
      <c r="H1393" s="2262"/>
      <c r="I1393" s="1428"/>
      <c r="J1393" s="1407"/>
      <c r="K1393" s="1431">
        <f t="shared" si="161"/>
        <v>2112198142414.8608</v>
      </c>
      <c r="L1393" s="2381">
        <v>42718</v>
      </c>
      <c r="M1393" s="2264">
        <v>42724</v>
      </c>
      <c r="N1393" s="1407"/>
      <c r="O1393" s="1407"/>
      <c r="P1393" s="1407"/>
      <c r="Q1393" s="1407"/>
      <c r="R1393" s="1407"/>
      <c r="S1393" s="1407"/>
      <c r="T1393" s="1407"/>
      <c r="U1393" s="1407"/>
    </row>
    <row r="1394" spans="1:21" ht="12">
      <c r="A1394" s="639" t="s">
        <v>4710</v>
      </c>
      <c r="B1394" s="1483">
        <v>42879</v>
      </c>
      <c r="C1394" s="639" t="s">
        <v>2126</v>
      </c>
      <c r="D1394" s="1831" t="s">
        <v>4715</v>
      </c>
      <c r="E1394" s="2567">
        <v>42879</v>
      </c>
      <c r="F1394" s="1731">
        <v>2490000000000</v>
      </c>
      <c r="G1394" s="2228">
        <v>9690000000</v>
      </c>
      <c r="H1394" s="2262"/>
      <c r="I1394" s="1428"/>
      <c r="J1394" s="1407"/>
      <c r="K1394" s="1431">
        <f t="shared" si="161"/>
        <v>8428482972136.2236</v>
      </c>
      <c r="L1394" s="2381">
        <v>42718</v>
      </c>
      <c r="M1394" s="2264">
        <v>42724</v>
      </c>
      <c r="N1394" s="1407"/>
      <c r="O1394" s="1407"/>
      <c r="P1394" s="1407"/>
      <c r="Q1394" s="1407"/>
      <c r="R1394" s="1407"/>
      <c r="S1394" s="1407"/>
      <c r="T1394" s="1407"/>
      <c r="U1394" s="1407"/>
    </row>
    <row r="1395" spans="1:21" ht="12">
      <c r="A1395" s="639" t="s">
        <v>4710</v>
      </c>
      <c r="B1395" s="1483">
        <v>42879</v>
      </c>
      <c r="C1395" s="639" t="s">
        <v>2126</v>
      </c>
      <c r="D1395" s="1831" t="s">
        <v>4716</v>
      </c>
      <c r="E1395" s="2567">
        <v>42879</v>
      </c>
      <c r="F1395" s="1731">
        <v>3070000000000</v>
      </c>
      <c r="G1395" s="2228">
        <v>9690000000</v>
      </c>
      <c r="H1395" s="2262"/>
      <c r="I1395" s="1428"/>
      <c r="J1395" s="1407"/>
      <c r="K1395" s="1431">
        <f t="shared" si="161"/>
        <v>10391744066047.473</v>
      </c>
      <c r="L1395" s="2381">
        <v>42718</v>
      </c>
      <c r="M1395" s="2264">
        <v>42724</v>
      </c>
      <c r="N1395" s="1407"/>
      <c r="O1395" s="1407"/>
      <c r="P1395" s="1407"/>
      <c r="Q1395" s="1407"/>
      <c r="R1395" s="1407"/>
      <c r="S1395" s="1407"/>
      <c r="T1395" s="1407"/>
      <c r="U1395" s="1407"/>
    </row>
    <row r="1396" spans="1:21" ht="12">
      <c r="A1396" s="639" t="s">
        <v>4710</v>
      </c>
      <c r="B1396" s="1483">
        <v>42879</v>
      </c>
      <c r="C1396" s="639" t="s">
        <v>2126</v>
      </c>
      <c r="D1396" s="1831" t="s">
        <v>4717</v>
      </c>
      <c r="E1396" s="2567">
        <v>42879</v>
      </c>
      <c r="F1396" s="1731">
        <v>193000000000</v>
      </c>
      <c r="G1396" s="2228">
        <v>9690000000</v>
      </c>
      <c r="H1396" s="2262"/>
      <c r="I1396" s="1428"/>
      <c r="J1396" s="1407"/>
      <c r="K1396" s="1431">
        <f t="shared" si="161"/>
        <v>653292053663.57068</v>
      </c>
      <c r="L1396" s="2381">
        <v>42718</v>
      </c>
      <c r="M1396" s="2264">
        <v>42724</v>
      </c>
      <c r="N1396" s="1407"/>
      <c r="O1396" s="1407"/>
      <c r="P1396" s="1407"/>
      <c r="Q1396" s="1407"/>
      <c r="R1396" s="1407"/>
      <c r="S1396" s="1407"/>
      <c r="T1396" s="1407"/>
      <c r="U1396" s="1407"/>
    </row>
    <row r="1397" spans="1:21" ht="12">
      <c r="A1397" s="639" t="s">
        <v>4710</v>
      </c>
      <c r="B1397" s="1483">
        <v>42879</v>
      </c>
      <c r="C1397" s="639" t="s">
        <v>2126</v>
      </c>
      <c r="D1397" s="1831" t="s">
        <v>4718</v>
      </c>
      <c r="E1397" s="2567">
        <v>42879</v>
      </c>
      <c r="F1397" s="1731">
        <v>139000000000000</v>
      </c>
      <c r="G1397" s="2228">
        <v>9690000000</v>
      </c>
      <c r="H1397" s="2262"/>
      <c r="I1397" s="1428"/>
      <c r="J1397" s="1407"/>
      <c r="K1397" s="1431">
        <f t="shared" si="161"/>
        <v>470505675954592.38</v>
      </c>
      <c r="L1397" s="2381">
        <v>42718</v>
      </c>
      <c r="M1397" s="2264">
        <v>42724</v>
      </c>
      <c r="N1397" s="1407"/>
      <c r="O1397" s="1407"/>
      <c r="P1397" s="1407"/>
      <c r="Q1397" s="1407"/>
      <c r="R1397" s="1407"/>
      <c r="S1397" s="1407"/>
      <c r="T1397" s="1407"/>
      <c r="U1397" s="1407"/>
    </row>
    <row r="1398" spans="1:21" ht="12">
      <c r="A1398" s="639" t="s">
        <v>4710</v>
      </c>
      <c r="B1398" s="1483">
        <v>42879</v>
      </c>
      <c r="C1398" s="639" t="s">
        <v>2126</v>
      </c>
      <c r="D1398" s="1831" t="s">
        <v>3818</v>
      </c>
      <c r="E1398" s="2567">
        <v>42879</v>
      </c>
      <c r="F1398" s="1731">
        <v>10200000000000</v>
      </c>
      <c r="G1398" s="2228">
        <v>9690000000</v>
      </c>
      <c r="H1398" s="2262"/>
      <c r="I1398" s="1428"/>
      <c r="J1398" s="1407"/>
      <c r="K1398" s="1431">
        <f t="shared" si="161"/>
        <v>34526315789473.688</v>
      </c>
      <c r="L1398" s="2381">
        <v>42718</v>
      </c>
      <c r="M1398" s="2264">
        <v>42724</v>
      </c>
      <c r="N1398" s="1407"/>
      <c r="O1398" s="1407"/>
      <c r="P1398" s="1407"/>
      <c r="Q1398" s="1407"/>
      <c r="R1398" s="1407"/>
      <c r="S1398" s="1407"/>
      <c r="T1398" s="1407"/>
      <c r="U1398" s="1407"/>
    </row>
    <row r="1399" spans="1:21" ht="12">
      <c r="A1399" s="639"/>
      <c r="B1399" s="1483"/>
      <c r="C1399" s="639" t="s">
        <v>4719</v>
      </c>
      <c r="D1399" s="1831"/>
      <c r="E1399" s="2264"/>
      <c r="F1399" s="1407"/>
      <c r="G1399" s="2262"/>
      <c r="H1399" s="2262"/>
      <c r="I1399" s="1428"/>
      <c r="J1399" s="1407"/>
      <c r="K1399" s="1431"/>
      <c r="L1399" s="1407"/>
      <c r="M1399" s="1407"/>
      <c r="N1399" s="1407"/>
      <c r="O1399" s="1407"/>
      <c r="P1399" s="1407"/>
      <c r="Q1399" s="1407"/>
      <c r="R1399" s="1407"/>
      <c r="S1399" s="1407"/>
      <c r="T1399" s="1407"/>
      <c r="U1399" s="1407"/>
    </row>
    <row r="1400" spans="1:21" ht="12">
      <c r="A1400" s="639" t="s">
        <v>4720</v>
      </c>
      <c r="B1400" s="1483">
        <v>42922</v>
      </c>
      <c r="C1400" s="639" t="s">
        <v>2126</v>
      </c>
      <c r="D1400" s="1831" t="s">
        <v>4721</v>
      </c>
      <c r="E1400" s="1483">
        <v>42922</v>
      </c>
      <c r="F1400" s="1731">
        <v>1300000000000</v>
      </c>
      <c r="G1400" s="2228">
        <v>11700000000</v>
      </c>
      <c r="H1400" s="2262"/>
      <c r="I1400" s="1428"/>
      <c r="J1400" s="1407"/>
      <c r="K1400" s="1431">
        <f t="shared" ref="K1400:K1403" si="162">(32800000000/G1400)*F1400</f>
        <v>3644444444444.4443</v>
      </c>
      <c r="L1400" s="2381">
        <v>42718</v>
      </c>
      <c r="M1400" s="2264">
        <v>42724</v>
      </c>
      <c r="N1400" s="1407"/>
      <c r="O1400" s="1407"/>
      <c r="P1400" s="1407"/>
      <c r="Q1400" s="1407"/>
      <c r="R1400" s="1407"/>
      <c r="S1400" s="1407"/>
      <c r="T1400" s="1407"/>
      <c r="U1400" s="1407"/>
    </row>
    <row r="1401" spans="1:21" ht="12">
      <c r="A1401" s="639" t="s">
        <v>4720</v>
      </c>
      <c r="B1401" s="1483">
        <v>42922</v>
      </c>
      <c r="C1401" s="639" t="s">
        <v>2126</v>
      </c>
      <c r="D1401" s="1831" t="s">
        <v>4723</v>
      </c>
      <c r="E1401" s="1483">
        <v>42922</v>
      </c>
      <c r="F1401" s="1731">
        <v>2460000000000</v>
      </c>
      <c r="G1401" s="2228">
        <v>11700000000</v>
      </c>
      <c r="H1401" s="2262"/>
      <c r="I1401" s="1428"/>
      <c r="J1401" s="1407"/>
      <c r="K1401" s="1431">
        <f t="shared" si="162"/>
        <v>6896410256410.2559</v>
      </c>
      <c r="L1401" s="2381">
        <v>42718</v>
      </c>
      <c r="M1401" s="2264">
        <v>42724</v>
      </c>
      <c r="N1401" s="1407"/>
      <c r="O1401" s="1407"/>
      <c r="P1401" s="1407"/>
      <c r="Q1401" s="1407"/>
      <c r="R1401" s="1407"/>
      <c r="S1401" s="1407"/>
      <c r="T1401" s="1407"/>
      <c r="U1401" s="1407"/>
    </row>
    <row r="1402" spans="1:21" ht="12">
      <c r="A1402" s="639" t="s">
        <v>4720</v>
      </c>
      <c r="B1402" s="1483">
        <v>42922</v>
      </c>
      <c r="C1402" s="639" t="s">
        <v>2126</v>
      </c>
      <c r="D1402" s="1831" t="s">
        <v>4724</v>
      </c>
      <c r="E1402" s="1483">
        <v>42922</v>
      </c>
      <c r="F1402" s="1731">
        <v>201000000000</v>
      </c>
      <c r="G1402" s="2228">
        <v>11700000000</v>
      </c>
      <c r="H1402" s="2262"/>
      <c r="I1402" s="1428"/>
      <c r="J1402" s="1407"/>
      <c r="K1402" s="1431">
        <f t="shared" si="162"/>
        <v>563487179487.17944</v>
      </c>
      <c r="L1402" s="2381">
        <v>42718</v>
      </c>
      <c r="M1402" s="2264">
        <v>42724</v>
      </c>
      <c r="N1402" s="1407"/>
      <c r="O1402" s="1407"/>
      <c r="P1402" s="1407"/>
      <c r="Q1402" s="1407"/>
      <c r="R1402" s="1407"/>
      <c r="S1402" s="1407"/>
      <c r="T1402" s="1407"/>
      <c r="U1402" s="1407"/>
    </row>
    <row r="1403" spans="1:21" ht="12">
      <c r="A1403" s="639" t="s">
        <v>4720</v>
      </c>
      <c r="B1403" s="1483">
        <v>42922</v>
      </c>
      <c r="C1403" s="639" t="s">
        <v>2126</v>
      </c>
      <c r="D1403" s="1831" t="s">
        <v>4725</v>
      </c>
      <c r="E1403" s="1483">
        <v>42922</v>
      </c>
      <c r="F1403" s="1731">
        <v>1970000000000</v>
      </c>
      <c r="G1403" s="2228">
        <v>11700000000</v>
      </c>
      <c r="H1403" s="2262"/>
      <c r="I1403" s="1428"/>
      <c r="J1403" s="1407"/>
      <c r="K1403" s="1431">
        <f t="shared" si="162"/>
        <v>5522735042735.042</v>
      </c>
      <c r="L1403" s="2381">
        <v>42718</v>
      </c>
      <c r="M1403" s="2264">
        <v>42724</v>
      </c>
      <c r="N1403" s="1407"/>
      <c r="O1403" s="1407"/>
      <c r="P1403" s="1407"/>
      <c r="Q1403" s="1407"/>
      <c r="R1403" s="1407"/>
      <c r="S1403" s="1407"/>
      <c r="T1403" s="1407"/>
      <c r="U1403" s="1407"/>
    </row>
    <row r="1404" spans="1:21" ht="12">
      <c r="A1404" s="639"/>
      <c r="B1404" s="1483"/>
      <c r="C1404" s="639"/>
      <c r="D1404" s="1831"/>
      <c r="E1404" s="2264"/>
      <c r="F1404" s="1407"/>
      <c r="G1404" s="2262"/>
      <c r="H1404" s="2262"/>
      <c r="I1404" s="1428"/>
      <c r="J1404" s="1407"/>
      <c r="K1404" s="1431"/>
      <c r="L1404" s="1407"/>
      <c r="M1404" s="1407"/>
      <c r="N1404" s="1407"/>
      <c r="O1404" s="1407"/>
      <c r="P1404" s="1407"/>
      <c r="Q1404" s="1407"/>
      <c r="R1404" s="1407"/>
      <c r="S1404" s="1407"/>
      <c r="T1404" s="1407"/>
      <c r="U1404" s="1407"/>
    </row>
    <row r="1405" spans="1:21" ht="12">
      <c r="A1405" s="639" t="s">
        <v>4727</v>
      </c>
      <c r="B1405" s="1483">
        <v>42901</v>
      </c>
      <c r="C1405" s="639" t="s">
        <v>3212</v>
      </c>
      <c r="D1405" s="1831" t="s">
        <v>4728</v>
      </c>
      <c r="E1405" s="2264">
        <v>42900</v>
      </c>
      <c r="F1405" s="2228">
        <v>42100000000000</v>
      </c>
      <c r="G1405" s="2228">
        <v>7770000000</v>
      </c>
      <c r="H1405" s="2262"/>
      <c r="I1405" s="1428"/>
      <c r="J1405" s="1407"/>
      <c r="K1405" s="1431">
        <f t="shared" ref="K1405:K1408" si="163">(32800000000/G1405)*F1405</f>
        <v>177719433719433.72</v>
      </c>
      <c r="L1405" s="2381">
        <v>42718</v>
      </c>
      <c r="M1405" s="2264">
        <v>42724</v>
      </c>
      <c r="N1405" s="1407"/>
      <c r="O1405" s="1407"/>
      <c r="P1405" s="1407"/>
      <c r="Q1405" s="1407"/>
      <c r="R1405" s="1407"/>
      <c r="S1405" s="1407"/>
      <c r="T1405" s="1407"/>
      <c r="U1405" s="1407"/>
    </row>
    <row r="1406" spans="1:21" ht="12">
      <c r="A1406" s="639" t="s">
        <v>4727</v>
      </c>
      <c r="B1406" s="1483">
        <v>42901</v>
      </c>
      <c r="C1406" s="639" t="s">
        <v>3212</v>
      </c>
      <c r="D1406" s="1831" t="s">
        <v>4729</v>
      </c>
      <c r="E1406" s="2264">
        <v>42900</v>
      </c>
      <c r="F1406" s="2228">
        <v>37000000000000</v>
      </c>
      <c r="G1406" s="2228">
        <v>7770000000</v>
      </c>
      <c r="H1406" s="2262"/>
      <c r="I1406" s="1428"/>
      <c r="J1406" s="1407"/>
      <c r="K1406" s="1431">
        <f t="shared" si="163"/>
        <v>156190476190476.19</v>
      </c>
      <c r="L1406" s="2381">
        <v>42718</v>
      </c>
      <c r="M1406" s="2264">
        <v>42724</v>
      </c>
      <c r="N1406" s="1407"/>
      <c r="O1406" s="1407"/>
      <c r="P1406" s="1407"/>
      <c r="Q1406" s="1407"/>
      <c r="R1406" s="1407"/>
      <c r="S1406" s="1407"/>
      <c r="T1406" s="1407"/>
      <c r="U1406" s="1407"/>
    </row>
    <row r="1407" spans="1:21" ht="12">
      <c r="A1407" s="639" t="s">
        <v>4727</v>
      </c>
      <c r="B1407" s="1483">
        <v>42901</v>
      </c>
      <c r="C1407" s="639" t="s">
        <v>3212</v>
      </c>
      <c r="D1407" s="1831" t="s">
        <v>4730</v>
      </c>
      <c r="E1407" s="2264">
        <v>42900</v>
      </c>
      <c r="F1407" s="2228">
        <v>478000000000</v>
      </c>
      <c r="G1407" s="2228">
        <v>7770000000</v>
      </c>
      <c r="H1407" s="2262"/>
      <c r="I1407" s="1428"/>
      <c r="J1407" s="1407"/>
      <c r="K1407" s="1431">
        <f t="shared" si="163"/>
        <v>2017812097812.0979</v>
      </c>
      <c r="L1407" s="2381">
        <v>42718</v>
      </c>
      <c r="M1407" s="2264">
        <v>42724</v>
      </c>
      <c r="N1407" s="1407"/>
      <c r="O1407" s="1407"/>
      <c r="P1407" s="1407"/>
      <c r="Q1407" s="1407"/>
      <c r="R1407" s="1407"/>
      <c r="S1407" s="1407"/>
      <c r="T1407" s="1407"/>
      <c r="U1407" s="1407"/>
    </row>
    <row r="1408" spans="1:21" ht="12">
      <c r="A1408" s="639" t="s">
        <v>4727</v>
      </c>
      <c r="B1408" s="1483">
        <v>42901</v>
      </c>
      <c r="C1408" s="639" t="s">
        <v>3212</v>
      </c>
      <c r="D1408" s="1831" t="s">
        <v>4731</v>
      </c>
      <c r="E1408" s="2264">
        <v>42900</v>
      </c>
      <c r="F1408" s="2228">
        <v>3060000000000</v>
      </c>
      <c r="G1408" s="2228">
        <v>7770000000</v>
      </c>
      <c r="H1408" s="2262"/>
      <c r="I1408" s="1428"/>
      <c r="J1408" s="1407"/>
      <c r="K1408" s="1431">
        <f t="shared" si="163"/>
        <v>12917374517374.518</v>
      </c>
      <c r="L1408" s="2381">
        <v>42718</v>
      </c>
      <c r="M1408" s="2264">
        <v>42724</v>
      </c>
      <c r="N1408" s="1407"/>
      <c r="O1408" s="1407"/>
      <c r="P1408" s="1407"/>
      <c r="Q1408" s="1407"/>
      <c r="R1408" s="1407"/>
      <c r="S1408" s="1407"/>
      <c r="T1408" s="1407"/>
      <c r="U1408" s="1407"/>
    </row>
    <row r="1409" spans="1:21" ht="12">
      <c r="A1409" s="639"/>
      <c r="B1409" s="1483"/>
      <c r="C1409" s="639"/>
      <c r="D1409" s="1831"/>
      <c r="E1409" s="2264"/>
      <c r="F1409" s="2228"/>
      <c r="G1409" s="2262"/>
      <c r="H1409" s="2262"/>
      <c r="I1409" s="1428"/>
      <c r="J1409" s="1407"/>
      <c r="K1409" s="1431"/>
      <c r="L1409" s="1407"/>
      <c r="M1409" s="1407"/>
      <c r="N1409" s="1407"/>
      <c r="O1409" s="1407"/>
      <c r="P1409" s="1407"/>
      <c r="Q1409" s="1407"/>
      <c r="R1409" s="1407"/>
      <c r="S1409" s="1407"/>
      <c r="T1409" s="1407"/>
      <c r="U1409" s="1407"/>
    </row>
    <row r="1410" spans="1:21" ht="12">
      <c r="A1410" s="639" t="s">
        <v>4732</v>
      </c>
      <c r="B1410" s="1483">
        <v>42902</v>
      </c>
      <c r="C1410" s="639" t="s">
        <v>3212</v>
      </c>
      <c r="D1410" s="1831" t="s">
        <v>4728</v>
      </c>
      <c r="E1410" s="2264">
        <v>42900</v>
      </c>
      <c r="F1410" s="2228">
        <v>45700000000000</v>
      </c>
      <c r="G1410" s="2228">
        <v>30100000000</v>
      </c>
      <c r="H1410" s="2262"/>
      <c r="I1410" s="1428"/>
      <c r="J1410" s="1407"/>
      <c r="K1410" s="1431">
        <f t="shared" ref="K1410:K1413" si="164">(32800000000/G1410)*F1410</f>
        <v>49799335548172.758</v>
      </c>
      <c r="L1410" s="2381">
        <v>42718</v>
      </c>
      <c r="M1410" s="2264">
        <v>42724</v>
      </c>
      <c r="N1410" s="1407"/>
      <c r="O1410" s="1407"/>
      <c r="P1410" s="1407"/>
      <c r="Q1410" s="1407"/>
      <c r="R1410" s="1407"/>
      <c r="S1410" s="1407"/>
      <c r="T1410" s="1407"/>
      <c r="U1410" s="1407"/>
    </row>
    <row r="1411" spans="1:21" ht="12">
      <c r="A1411" s="639" t="s">
        <v>4732</v>
      </c>
      <c r="B1411" s="1483">
        <v>42902</v>
      </c>
      <c r="C1411" s="639" t="s">
        <v>3212</v>
      </c>
      <c r="D1411" s="1831" t="s">
        <v>4729</v>
      </c>
      <c r="E1411" s="2264">
        <v>42900</v>
      </c>
      <c r="F1411" s="2228">
        <v>78800000000000</v>
      </c>
      <c r="G1411" s="2228">
        <v>30100000000</v>
      </c>
      <c r="H1411" s="2262"/>
      <c r="I1411" s="1428"/>
      <c r="J1411" s="1407"/>
      <c r="K1411" s="1431">
        <f t="shared" si="164"/>
        <v>85868438538205.984</v>
      </c>
      <c r="L1411" s="2381">
        <v>42718</v>
      </c>
      <c r="M1411" s="2264">
        <v>42724</v>
      </c>
      <c r="N1411" s="1407"/>
      <c r="O1411" s="1407"/>
      <c r="P1411" s="1407"/>
      <c r="Q1411" s="1407"/>
      <c r="R1411" s="1407"/>
      <c r="S1411" s="1407"/>
      <c r="T1411" s="1407"/>
      <c r="U1411" s="1407"/>
    </row>
    <row r="1412" spans="1:21" ht="12">
      <c r="A1412" s="639" t="s">
        <v>4732</v>
      </c>
      <c r="B1412" s="1483">
        <v>42902</v>
      </c>
      <c r="C1412" s="639" t="s">
        <v>3212</v>
      </c>
      <c r="D1412" s="1831" t="s">
        <v>4730</v>
      </c>
      <c r="E1412" s="2264">
        <v>42900</v>
      </c>
      <c r="F1412" s="2228">
        <v>1450000000000</v>
      </c>
      <c r="G1412" s="2228">
        <v>30100000000</v>
      </c>
      <c r="H1412" s="2262"/>
      <c r="I1412" s="1428"/>
      <c r="J1412" s="1407"/>
      <c r="K1412" s="1431">
        <f t="shared" si="164"/>
        <v>1580066445182.7244</v>
      </c>
      <c r="L1412" s="2381">
        <v>42718</v>
      </c>
      <c r="M1412" s="2264">
        <v>42724</v>
      </c>
      <c r="N1412" s="1407"/>
      <c r="O1412" s="1407"/>
      <c r="P1412" s="1407"/>
      <c r="Q1412" s="1407"/>
      <c r="R1412" s="1407"/>
      <c r="S1412" s="1407"/>
      <c r="T1412" s="1407"/>
      <c r="U1412" s="1407"/>
    </row>
    <row r="1413" spans="1:21" ht="12">
      <c r="A1413" s="639" t="s">
        <v>4732</v>
      </c>
      <c r="B1413" s="1483">
        <v>42902</v>
      </c>
      <c r="C1413" s="639" t="s">
        <v>3212</v>
      </c>
      <c r="D1413" s="1831" t="s">
        <v>4731</v>
      </c>
      <c r="E1413" s="2264">
        <v>42900</v>
      </c>
      <c r="F1413" s="2228">
        <v>7670000000000</v>
      </c>
      <c r="G1413" s="2228">
        <v>30100000000</v>
      </c>
      <c r="H1413" s="2262"/>
      <c r="I1413" s="1428"/>
      <c r="J1413" s="1407"/>
      <c r="K1413" s="1431">
        <f t="shared" si="164"/>
        <v>8358006644518.2725</v>
      </c>
      <c r="L1413" s="2381">
        <v>42718</v>
      </c>
      <c r="M1413" s="2264">
        <v>42724</v>
      </c>
      <c r="N1413" s="1407"/>
      <c r="O1413" s="1407"/>
      <c r="P1413" s="1407"/>
      <c r="Q1413" s="1407"/>
      <c r="R1413" s="1407"/>
      <c r="S1413" s="1407"/>
      <c r="T1413" s="1407"/>
      <c r="U1413" s="1407"/>
    </row>
    <row r="1414" spans="1:21" ht="12">
      <c r="A1414" s="639"/>
      <c r="B1414" s="1483"/>
      <c r="C1414" s="639"/>
      <c r="D1414" s="1831"/>
      <c r="E1414" s="2264"/>
      <c r="F1414" s="2228"/>
      <c r="G1414" s="2262"/>
      <c r="H1414" s="2262"/>
      <c r="I1414" s="1428"/>
      <c r="J1414" s="1407"/>
      <c r="K1414" s="1431"/>
      <c r="L1414" s="1407"/>
      <c r="M1414" s="1407"/>
      <c r="N1414" s="1407"/>
      <c r="O1414" s="1407"/>
      <c r="P1414" s="1407"/>
      <c r="Q1414" s="1407"/>
      <c r="R1414" s="1407"/>
      <c r="S1414" s="1407"/>
      <c r="T1414" s="1407"/>
      <c r="U1414" s="1407"/>
    </row>
    <row r="1415" spans="1:21" ht="12">
      <c r="A1415" s="639" t="s">
        <v>4735</v>
      </c>
      <c r="B1415" s="1483">
        <v>42907</v>
      </c>
      <c r="C1415" s="639" t="s">
        <v>3212</v>
      </c>
      <c r="D1415" s="1831" t="s">
        <v>4736</v>
      </c>
      <c r="E1415" s="2264">
        <v>42906</v>
      </c>
      <c r="F1415" s="2228">
        <v>4290000000000</v>
      </c>
      <c r="G1415" s="2228">
        <v>16400000000</v>
      </c>
      <c r="H1415" s="2262"/>
      <c r="I1415" s="1428"/>
      <c r="J1415" s="1407"/>
      <c r="K1415" s="1431">
        <f t="shared" ref="K1415:K1422" si="165">(32800000000/G1415)*F1415</f>
        <v>8580000000000</v>
      </c>
      <c r="L1415" s="2381">
        <v>42718</v>
      </c>
      <c r="M1415" s="2264">
        <v>42724</v>
      </c>
      <c r="N1415" s="1407"/>
      <c r="O1415" s="1407"/>
      <c r="P1415" s="1407"/>
      <c r="Q1415" s="1407"/>
      <c r="R1415" s="1407"/>
      <c r="S1415" s="1407"/>
      <c r="T1415" s="1407"/>
      <c r="U1415" s="1407"/>
    </row>
    <row r="1416" spans="1:21" ht="12">
      <c r="A1416" s="639" t="s">
        <v>4735</v>
      </c>
      <c r="B1416" s="1483">
        <v>42907</v>
      </c>
      <c r="C1416" s="639" t="s">
        <v>3212</v>
      </c>
      <c r="D1416" s="1831" t="s">
        <v>4737</v>
      </c>
      <c r="E1416" s="2264">
        <v>42906</v>
      </c>
      <c r="F1416" s="2228">
        <v>6950000000000</v>
      </c>
      <c r="G1416" s="2228">
        <v>16400000000</v>
      </c>
      <c r="H1416" s="2262"/>
      <c r="I1416" s="1428"/>
      <c r="J1416" s="1407"/>
      <c r="K1416" s="1431">
        <f t="shared" si="165"/>
        <v>13900000000000</v>
      </c>
      <c r="L1416" s="2381">
        <v>42718</v>
      </c>
      <c r="M1416" s="2264">
        <v>42724</v>
      </c>
      <c r="N1416" s="1407"/>
      <c r="O1416" s="1407"/>
      <c r="P1416" s="1407"/>
      <c r="Q1416" s="1407"/>
      <c r="R1416" s="1407"/>
      <c r="S1416" s="1407"/>
      <c r="T1416" s="1407"/>
      <c r="U1416" s="1407"/>
    </row>
    <row r="1417" spans="1:21" ht="12">
      <c r="A1417" s="639" t="s">
        <v>4735</v>
      </c>
      <c r="B1417" s="1483">
        <v>42907</v>
      </c>
      <c r="C1417" s="639" t="s">
        <v>3212</v>
      </c>
      <c r="D1417" s="1831" t="s">
        <v>4738</v>
      </c>
      <c r="E1417" s="2264">
        <v>42906</v>
      </c>
      <c r="F1417" s="2228">
        <v>29800000000000</v>
      </c>
      <c r="G1417" s="2228">
        <v>16400000000</v>
      </c>
      <c r="H1417" s="2262"/>
      <c r="I1417" s="1428"/>
      <c r="J1417" s="1407"/>
      <c r="K1417" s="1431">
        <f t="shared" si="165"/>
        <v>59600000000000</v>
      </c>
      <c r="L1417" s="2381">
        <v>42718</v>
      </c>
      <c r="M1417" s="2264">
        <v>42724</v>
      </c>
      <c r="N1417" s="1407"/>
      <c r="O1417" s="1407"/>
      <c r="P1417" s="1407"/>
      <c r="Q1417" s="1407"/>
      <c r="R1417" s="1407"/>
      <c r="S1417" s="1407"/>
      <c r="T1417" s="1407"/>
      <c r="U1417" s="1407"/>
    </row>
    <row r="1418" spans="1:21" ht="12">
      <c r="A1418" s="639" t="s">
        <v>4735</v>
      </c>
      <c r="B1418" s="1483">
        <v>42907</v>
      </c>
      <c r="C1418" s="639" t="s">
        <v>3212</v>
      </c>
      <c r="D1418" s="1831" t="s">
        <v>4739</v>
      </c>
      <c r="E1418" s="2264">
        <v>42906</v>
      </c>
      <c r="F1418" s="2228">
        <v>17000000000000</v>
      </c>
      <c r="G1418" s="2228">
        <v>16400000000</v>
      </c>
      <c r="H1418" s="2262"/>
      <c r="I1418" s="1428"/>
      <c r="J1418" s="1407"/>
      <c r="K1418" s="1431">
        <f t="shared" si="165"/>
        <v>34000000000000</v>
      </c>
      <c r="L1418" s="2381">
        <v>42718</v>
      </c>
      <c r="M1418" s="2264">
        <v>42724</v>
      </c>
      <c r="N1418" s="1407"/>
      <c r="O1418" s="1407"/>
      <c r="P1418" s="1407"/>
      <c r="Q1418" s="1407"/>
      <c r="R1418" s="1407"/>
      <c r="S1418" s="1407"/>
      <c r="T1418" s="1407"/>
      <c r="U1418" s="1407"/>
    </row>
    <row r="1419" spans="1:21" ht="12">
      <c r="A1419" s="639" t="s">
        <v>4735</v>
      </c>
      <c r="B1419" s="1483">
        <v>42907</v>
      </c>
      <c r="C1419" s="639" t="s">
        <v>3212</v>
      </c>
      <c r="D1419" s="1831" t="s">
        <v>4740</v>
      </c>
      <c r="E1419" s="2264">
        <v>42906</v>
      </c>
      <c r="F1419" s="2228">
        <v>40300000000</v>
      </c>
      <c r="G1419" s="2228">
        <v>16400000000</v>
      </c>
      <c r="H1419" s="2262"/>
      <c r="I1419" s="1428"/>
      <c r="J1419" s="1407"/>
      <c r="K1419" s="1431">
        <f t="shared" si="165"/>
        <v>80600000000</v>
      </c>
      <c r="L1419" s="2381">
        <v>42718</v>
      </c>
      <c r="M1419" s="2264">
        <v>42724</v>
      </c>
      <c r="N1419" s="1407"/>
      <c r="O1419" s="1407"/>
      <c r="P1419" s="1407"/>
      <c r="Q1419" s="1407"/>
      <c r="R1419" s="1407"/>
      <c r="S1419" s="1407"/>
      <c r="T1419" s="1407"/>
      <c r="U1419" s="1407"/>
    </row>
    <row r="1420" spans="1:21" ht="12">
      <c r="A1420" s="639" t="s">
        <v>4735</v>
      </c>
      <c r="B1420" s="1483">
        <v>42907</v>
      </c>
      <c r="C1420" s="639" t="s">
        <v>3212</v>
      </c>
      <c r="D1420" s="1831" t="s">
        <v>4741</v>
      </c>
      <c r="E1420" s="2264">
        <v>42906</v>
      </c>
      <c r="F1420" s="2228">
        <v>315000000000</v>
      </c>
      <c r="G1420" s="2228">
        <v>16400000000</v>
      </c>
      <c r="H1420" s="2262"/>
      <c r="I1420" s="1428"/>
      <c r="J1420" s="1407"/>
      <c r="K1420" s="1431">
        <f t="shared" si="165"/>
        <v>630000000000</v>
      </c>
      <c r="L1420" s="2381">
        <v>42718</v>
      </c>
      <c r="M1420" s="2264">
        <v>42724</v>
      </c>
      <c r="N1420" s="1407"/>
      <c r="O1420" s="1407"/>
      <c r="P1420" s="1407"/>
      <c r="Q1420" s="1407"/>
      <c r="R1420" s="1407"/>
      <c r="S1420" s="1407"/>
      <c r="T1420" s="1407"/>
      <c r="U1420" s="1407"/>
    </row>
    <row r="1421" spans="1:21" ht="12">
      <c r="A1421" s="639" t="s">
        <v>4735</v>
      </c>
      <c r="B1421" s="1483">
        <v>42907</v>
      </c>
      <c r="C1421" s="639" t="s">
        <v>3212</v>
      </c>
      <c r="D1421" s="1831" t="s">
        <v>4742</v>
      </c>
      <c r="E1421" s="2264">
        <v>42906</v>
      </c>
      <c r="F1421" s="2228">
        <v>58000000000000</v>
      </c>
      <c r="G1421" s="2228">
        <v>16400000000</v>
      </c>
      <c r="H1421" s="2262"/>
      <c r="I1421" s="1428"/>
      <c r="J1421" s="1407"/>
      <c r="K1421" s="1431">
        <f t="shared" si="165"/>
        <v>116000000000000</v>
      </c>
      <c r="L1421" s="2381">
        <v>42718</v>
      </c>
      <c r="M1421" s="2264">
        <v>42724</v>
      </c>
      <c r="N1421" s="1407"/>
      <c r="O1421" s="1407"/>
      <c r="P1421" s="1407"/>
      <c r="Q1421" s="1407"/>
      <c r="R1421" s="1407"/>
      <c r="S1421" s="1407"/>
      <c r="T1421" s="1407"/>
      <c r="U1421" s="1407"/>
    </row>
    <row r="1422" spans="1:21" ht="24">
      <c r="A1422" s="639" t="s">
        <v>4735</v>
      </c>
      <c r="B1422" s="1483">
        <v>42907</v>
      </c>
      <c r="C1422" s="639" t="s">
        <v>3212</v>
      </c>
      <c r="D1422" s="1831" t="s">
        <v>4744</v>
      </c>
      <c r="E1422" s="2264">
        <v>42906</v>
      </c>
      <c r="F1422" s="2228">
        <v>3950000000</v>
      </c>
      <c r="G1422" s="2228">
        <v>16400000000</v>
      </c>
      <c r="H1422" s="2262"/>
      <c r="I1422" s="1428"/>
      <c r="J1422" s="1407"/>
      <c r="K1422" s="1431">
        <f t="shared" si="165"/>
        <v>7900000000</v>
      </c>
      <c r="L1422" s="2381">
        <v>42718</v>
      </c>
      <c r="M1422" s="2264">
        <v>42724</v>
      </c>
      <c r="N1422" s="639" t="s">
        <v>4746</v>
      </c>
      <c r="O1422" s="1407"/>
      <c r="P1422" s="1407"/>
      <c r="Q1422" s="1407"/>
      <c r="R1422" s="1407"/>
      <c r="S1422" s="1407"/>
      <c r="T1422" s="1407"/>
      <c r="U1422" s="1407"/>
    </row>
    <row r="1423" spans="1:21" ht="12">
      <c r="A1423" s="639"/>
      <c r="B1423" s="1483"/>
      <c r="C1423" s="639"/>
      <c r="D1423" s="1831"/>
      <c r="E1423" s="2264"/>
      <c r="F1423" s="1407"/>
      <c r="G1423" s="2262"/>
      <c r="H1423" s="2262"/>
      <c r="I1423" s="1428"/>
      <c r="J1423" s="1407"/>
      <c r="K1423" s="1431"/>
      <c r="L1423" s="1407"/>
      <c r="M1423" s="1407"/>
      <c r="N1423" s="1407"/>
      <c r="O1423" s="1407"/>
      <c r="P1423" s="1407"/>
      <c r="Q1423" s="1407"/>
      <c r="R1423" s="1407"/>
      <c r="S1423" s="1407"/>
      <c r="T1423" s="1407"/>
      <c r="U1423" s="1407"/>
    </row>
    <row r="1424" spans="1:21" ht="12">
      <c r="A1424" s="639" t="s">
        <v>4749</v>
      </c>
      <c r="B1424" s="1483">
        <v>42913</v>
      </c>
      <c r="C1424" s="639" t="s">
        <v>3212</v>
      </c>
      <c r="D1424" s="1831" t="s">
        <v>4750</v>
      </c>
      <c r="E1424" s="2264">
        <v>42913</v>
      </c>
      <c r="F1424" s="2228">
        <v>781000000000</v>
      </c>
      <c r="G1424" s="2228">
        <v>16500000000</v>
      </c>
      <c r="H1424" s="2262"/>
      <c r="I1424" s="1428"/>
      <c r="J1424" s="1407"/>
      <c r="K1424" s="1431">
        <f t="shared" ref="K1424:K1432" si="166">(32800000000/G1424)*F1424</f>
        <v>1552533333333.3333</v>
      </c>
      <c r="L1424" s="2381">
        <v>42718</v>
      </c>
      <c r="M1424" s="2264">
        <v>42724</v>
      </c>
      <c r="N1424" s="1407"/>
      <c r="O1424" s="1407"/>
      <c r="P1424" s="1407"/>
      <c r="Q1424" s="1407"/>
      <c r="R1424" s="1407"/>
      <c r="S1424" s="1407"/>
      <c r="T1424" s="1407"/>
      <c r="U1424" s="1407"/>
    </row>
    <row r="1425" spans="1:21" ht="12">
      <c r="A1425" s="639" t="s">
        <v>4749</v>
      </c>
      <c r="B1425" s="1483">
        <v>42913</v>
      </c>
      <c r="C1425" s="639" t="s">
        <v>3212</v>
      </c>
      <c r="D1425" s="1831" t="s">
        <v>4751</v>
      </c>
      <c r="E1425" s="2264">
        <v>42913</v>
      </c>
      <c r="F1425" s="2228">
        <v>1690000000000</v>
      </c>
      <c r="G1425" s="2228">
        <v>16500000000</v>
      </c>
      <c r="H1425" s="2262"/>
      <c r="I1425" s="1428"/>
      <c r="J1425" s="1407"/>
      <c r="K1425" s="1431">
        <f t="shared" si="166"/>
        <v>3359515151515.1514</v>
      </c>
      <c r="L1425" s="2381">
        <v>42718</v>
      </c>
      <c r="M1425" s="2264">
        <v>42724</v>
      </c>
      <c r="N1425" s="1407"/>
      <c r="O1425" s="1407"/>
      <c r="P1425" s="1407"/>
      <c r="Q1425" s="1407"/>
      <c r="R1425" s="1407"/>
      <c r="S1425" s="1407"/>
      <c r="T1425" s="1407"/>
      <c r="U1425" s="1407"/>
    </row>
    <row r="1426" spans="1:21" ht="12">
      <c r="A1426" s="639" t="s">
        <v>4749</v>
      </c>
      <c r="B1426" s="1483">
        <v>42913</v>
      </c>
      <c r="C1426" s="639" t="s">
        <v>3212</v>
      </c>
      <c r="D1426" s="1831" t="s">
        <v>4752</v>
      </c>
      <c r="E1426" s="2264">
        <v>42913</v>
      </c>
      <c r="F1426" s="2228">
        <v>43900000000000</v>
      </c>
      <c r="G1426" s="2228">
        <v>16500000000</v>
      </c>
      <c r="H1426" s="2262"/>
      <c r="I1426" s="1428"/>
      <c r="J1426" s="1407"/>
      <c r="K1426" s="1431">
        <f t="shared" si="166"/>
        <v>87267878787878.781</v>
      </c>
      <c r="L1426" s="2381">
        <v>42718</v>
      </c>
      <c r="M1426" s="2264">
        <v>42724</v>
      </c>
      <c r="N1426" s="1407"/>
      <c r="O1426" s="1407"/>
      <c r="P1426" s="1407"/>
      <c r="Q1426" s="1407"/>
      <c r="R1426" s="1407"/>
      <c r="S1426" s="1407"/>
      <c r="T1426" s="1407"/>
      <c r="U1426" s="1407"/>
    </row>
    <row r="1427" spans="1:21" ht="12">
      <c r="A1427" s="639" t="s">
        <v>4749</v>
      </c>
      <c r="B1427" s="1483">
        <v>42913</v>
      </c>
      <c r="C1427" s="639" t="s">
        <v>3212</v>
      </c>
      <c r="D1427" s="1831" t="s">
        <v>4753</v>
      </c>
      <c r="E1427" s="2264">
        <v>42913</v>
      </c>
      <c r="F1427" s="2228">
        <v>85700000000000</v>
      </c>
      <c r="G1427" s="2228">
        <v>16500000000</v>
      </c>
      <c r="H1427" s="2262"/>
      <c r="I1427" s="1428"/>
      <c r="J1427" s="1407"/>
      <c r="K1427" s="1431">
        <f t="shared" si="166"/>
        <v>170361212121212.12</v>
      </c>
      <c r="L1427" s="2381">
        <v>42718</v>
      </c>
      <c r="M1427" s="2264">
        <v>42724</v>
      </c>
      <c r="N1427" s="1407"/>
      <c r="O1427" s="1407"/>
      <c r="P1427" s="1407"/>
      <c r="Q1427" s="1407"/>
      <c r="R1427" s="1407"/>
      <c r="S1427" s="1407"/>
      <c r="T1427" s="1407"/>
      <c r="U1427" s="1407"/>
    </row>
    <row r="1428" spans="1:21" ht="12">
      <c r="A1428" s="639" t="s">
        <v>4749</v>
      </c>
      <c r="B1428" s="1483">
        <v>42913</v>
      </c>
      <c r="C1428" s="639" t="s">
        <v>3212</v>
      </c>
      <c r="D1428" s="1831" t="s">
        <v>4755</v>
      </c>
      <c r="E1428" s="2264">
        <v>42913</v>
      </c>
      <c r="F1428" s="2228">
        <v>9710000000000</v>
      </c>
      <c r="G1428" s="2228">
        <v>16500000000</v>
      </c>
      <c r="H1428" s="2262"/>
      <c r="I1428" s="1428"/>
      <c r="J1428" s="1407"/>
      <c r="K1428" s="1431">
        <f t="shared" si="166"/>
        <v>19302303030303.031</v>
      </c>
      <c r="L1428" s="2381">
        <v>42718</v>
      </c>
      <c r="M1428" s="2264">
        <v>42724</v>
      </c>
      <c r="N1428" s="1407"/>
      <c r="O1428" s="1407"/>
      <c r="P1428" s="1407"/>
      <c r="Q1428" s="1407"/>
      <c r="R1428" s="1407"/>
      <c r="S1428" s="1407"/>
      <c r="T1428" s="1407"/>
      <c r="U1428" s="1407"/>
    </row>
    <row r="1429" spans="1:21" ht="12">
      <c r="A1429" s="639" t="s">
        <v>4749</v>
      </c>
      <c r="B1429" s="1483">
        <v>42913</v>
      </c>
      <c r="C1429" s="639" t="s">
        <v>3212</v>
      </c>
      <c r="D1429" s="1831" t="s">
        <v>4757</v>
      </c>
      <c r="E1429" s="2264">
        <v>42913</v>
      </c>
      <c r="F1429" s="2228">
        <v>4700000000000</v>
      </c>
      <c r="G1429" s="2228">
        <v>16500000000</v>
      </c>
      <c r="H1429" s="2262"/>
      <c r="I1429" s="1428"/>
      <c r="J1429" s="1407"/>
      <c r="K1429" s="1431">
        <f t="shared" si="166"/>
        <v>9343030303030.3027</v>
      </c>
      <c r="L1429" s="2381">
        <v>42718</v>
      </c>
      <c r="M1429" s="2264">
        <v>42724</v>
      </c>
      <c r="N1429" s="1407"/>
      <c r="O1429" s="1407"/>
      <c r="P1429" s="1407"/>
      <c r="Q1429" s="1407"/>
      <c r="R1429" s="1407"/>
      <c r="S1429" s="1407"/>
      <c r="T1429" s="1407"/>
      <c r="U1429" s="1407"/>
    </row>
    <row r="1430" spans="1:21" ht="12">
      <c r="A1430" s="639" t="s">
        <v>4749</v>
      </c>
      <c r="B1430" s="1483">
        <v>42913</v>
      </c>
      <c r="C1430" s="639" t="s">
        <v>3212</v>
      </c>
      <c r="D1430" s="1831" t="s">
        <v>4758</v>
      </c>
      <c r="E1430" s="2264">
        <v>42913</v>
      </c>
      <c r="F1430" s="2228">
        <v>6440000000000</v>
      </c>
      <c r="G1430" s="2228">
        <v>16500000000</v>
      </c>
      <c r="H1430" s="2262"/>
      <c r="I1430" s="1428"/>
      <c r="J1430" s="1407"/>
      <c r="K1430" s="1431">
        <f t="shared" si="166"/>
        <v>12801939393939.393</v>
      </c>
      <c r="L1430" s="2381">
        <v>42718</v>
      </c>
      <c r="M1430" s="2264">
        <v>42724</v>
      </c>
      <c r="N1430" s="1407"/>
      <c r="O1430" s="1407"/>
      <c r="P1430" s="1407"/>
      <c r="Q1430" s="1407"/>
      <c r="R1430" s="1407"/>
      <c r="S1430" s="1407"/>
      <c r="T1430" s="1407"/>
      <c r="U1430" s="1407"/>
    </row>
    <row r="1431" spans="1:21" ht="12">
      <c r="A1431" s="639" t="s">
        <v>4749</v>
      </c>
      <c r="B1431" s="1483">
        <v>42913</v>
      </c>
      <c r="C1431" s="639" t="s">
        <v>3212</v>
      </c>
      <c r="D1431" s="1831" t="s">
        <v>4759</v>
      </c>
      <c r="E1431" s="2264">
        <v>42913</v>
      </c>
      <c r="F1431" s="2228">
        <v>90700000000000</v>
      </c>
      <c r="G1431" s="2228">
        <v>16500000000</v>
      </c>
      <c r="H1431" s="2262"/>
      <c r="I1431" s="1428"/>
      <c r="J1431" s="1407"/>
      <c r="K1431" s="1431">
        <f t="shared" si="166"/>
        <v>180300606060606.06</v>
      </c>
      <c r="L1431" s="2381">
        <v>42718</v>
      </c>
      <c r="M1431" s="2264">
        <v>42724</v>
      </c>
      <c r="N1431" s="1407"/>
      <c r="O1431" s="1407"/>
      <c r="P1431" s="1407"/>
      <c r="Q1431" s="1407"/>
      <c r="R1431" s="1407"/>
      <c r="S1431" s="1407"/>
      <c r="T1431" s="1407"/>
      <c r="U1431" s="1407"/>
    </row>
    <row r="1432" spans="1:21" ht="12">
      <c r="A1432" s="639" t="s">
        <v>4749</v>
      </c>
      <c r="B1432" s="1483">
        <v>42913</v>
      </c>
      <c r="C1432" s="639" t="s">
        <v>3212</v>
      </c>
      <c r="D1432" s="1831" t="s">
        <v>4744</v>
      </c>
      <c r="E1432" s="2264">
        <v>42913</v>
      </c>
      <c r="F1432" s="2228">
        <v>11200000000000</v>
      </c>
      <c r="G1432" s="2228">
        <v>16500000000</v>
      </c>
      <c r="H1432" s="2262"/>
      <c r="I1432" s="1428"/>
      <c r="J1432" s="1407"/>
      <c r="K1432" s="1431">
        <f t="shared" si="166"/>
        <v>22264242424242.422</v>
      </c>
      <c r="L1432" s="2381">
        <v>42718</v>
      </c>
      <c r="M1432" s="2264">
        <v>42724</v>
      </c>
      <c r="N1432" s="639" t="s">
        <v>4760</v>
      </c>
      <c r="O1432" s="1407"/>
      <c r="P1432" s="1407"/>
      <c r="Q1432" s="1407"/>
      <c r="R1432" s="1407"/>
      <c r="S1432" s="1407"/>
      <c r="T1432" s="1407"/>
      <c r="U1432" s="1407"/>
    </row>
    <row r="1433" spans="1:21" ht="12">
      <c r="A1433" s="639"/>
      <c r="B1433" s="1483"/>
      <c r="C1433" s="639"/>
      <c r="D1433" s="1831"/>
      <c r="E1433" s="2264"/>
      <c r="F1433" s="1407"/>
      <c r="G1433" s="2262"/>
      <c r="H1433" s="2262"/>
      <c r="I1433" s="1428"/>
      <c r="J1433" s="1407"/>
      <c r="K1433" s="1431"/>
      <c r="L1433" s="1407"/>
      <c r="M1433" s="1407"/>
      <c r="N1433" s="1407"/>
      <c r="O1433" s="1407"/>
      <c r="P1433" s="1407"/>
      <c r="Q1433" s="1407"/>
      <c r="R1433" s="1407"/>
      <c r="S1433" s="1407"/>
      <c r="T1433" s="1407"/>
      <c r="U1433" s="1407"/>
    </row>
    <row r="1434" spans="1:21" ht="12">
      <c r="A1434" s="639" t="s">
        <v>4761</v>
      </c>
      <c r="B1434" s="1483">
        <v>42921</v>
      </c>
      <c r="C1434" s="639" t="s">
        <v>3212</v>
      </c>
      <c r="D1434" s="1831" t="s">
        <v>4762</v>
      </c>
      <c r="E1434" s="2264">
        <v>42920</v>
      </c>
      <c r="F1434" s="2228">
        <v>14500000000000</v>
      </c>
      <c r="G1434" s="2228">
        <v>26900000000</v>
      </c>
      <c r="H1434" s="2262"/>
      <c r="I1434" s="1428"/>
      <c r="J1434" s="1407"/>
      <c r="K1434" s="1431">
        <f t="shared" ref="K1434:K1437" si="167">(32800000000/G1434)*F1434</f>
        <v>17680297397769.516</v>
      </c>
      <c r="L1434" s="2381">
        <v>42718</v>
      </c>
      <c r="M1434" s="2264">
        <v>42724</v>
      </c>
      <c r="N1434" s="1407"/>
      <c r="O1434" s="1407"/>
      <c r="P1434" s="1407"/>
      <c r="Q1434" s="1407"/>
      <c r="R1434" s="1407"/>
      <c r="S1434" s="1407"/>
      <c r="T1434" s="1407"/>
      <c r="U1434" s="1407"/>
    </row>
    <row r="1435" spans="1:21" ht="12">
      <c r="A1435" s="639" t="s">
        <v>4761</v>
      </c>
      <c r="B1435" s="1483">
        <v>42921</v>
      </c>
      <c r="C1435" s="639" t="s">
        <v>3212</v>
      </c>
      <c r="D1435" s="1831" t="s">
        <v>4764</v>
      </c>
      <c r="E1435" s="2264">
        <v>42920</v>
      </c>
      <c r="F1435" s="2228">
        <v>8150000000000</v>
      </c>
      <c r="G1435" s="2228">
        <v>26900000000</v>
      </c>
      <c r="H1435" s="2262"/>
      <c r="I1435" s="1428"/>
      <c r="J1435" s="1407"/>
      <c r="K1435" s="1431">
        <f t="shared" si="167"/>
        <v>9937546468401.4863</v>
      </c>
      <c r="L1435" s="2381">
        <v>42718</v>
      </c>
      <c r="M1435" s="2264">
        <v>42724</v>
      </c>
      <c r="N1435" s="1407"/>
      <c r="O1435" s="1407"/>
      <c r="P1435" s="1407"/>
      <c r="Q1435" s="1407"/>
      <c r="R1435" s="1407"/>
      <c r="S1435" s="1407"/>
      <c r="T1435" s="1407"/>
      <c r="U1435" s="1407"/>
    </row>
    <row r="1436" spans="1:21" ht="12">
      <c r="A1436" s="639" t="s">
        <v>4761</v>
      </c>
      <c r="B1436" s="1483">
        <v>42921</v>
      </c>
      <c r="C1436" s="639" t="s">
        <v>3212</v>
      </c>
      <c r="D1436" s="1831" t="s">
        <v>4765</v>
      </c>
      <c r="E1436" s="2264">
        <v>42920</v>
      </c>
      <c r="F1436" s="2228">
        <v>439000000000</v>
      </c>
      <c r="G1436" s="2228">
        <v>26900000000</v>
      </c>
      <c r="H1436" s="2262"/>
      <c r="I1436" s="1428"/>
      <c r="J1436" s="1407"/>
      <c r="K1436" s="1431">
        <f t="shared" si="167"/>
        <v>535286245353.15979</v>
      </c>
      <c r="L1436" s="2381">
        <v>42718</v>
      </c>
      <c r="M1436" s="2264">
        <v>42724</v>
      </c>
      <c r="N1436" s="1407"/>
      <c r="O1436" s="1407"/>
      <c r="P1436" s="1407"/>
      <c r="Q1436" s="1407"/>
      <c r="R1436" s="1407"/>
      <c r="S1436" s="1407"/>
      <c r="T1436" s="1407"/>
      <c r="U1436" s="1407"/>
    </row>
    <row r="1437" spans="1:21" ht="12">
      <c r="A1437" s="639" t="s">
        <v>4761</v>
      </c>
      <c r="B1437" s="1483">
        <v>42921</v>
      </c>
      <c r="C1437" s="639" t="s">
        <v>3212</v>
      </c>
      <c r="D1437" s="1831" t="s">
        <v>4766</v>
      </c>
      <c r="E1437" s="2264">
        <v>42920</v>
      </c>
      <c r="F1437" s="2228">
        <v>65800000000</v>
      </c>
      <c r="G1437" s="2228">
        <v>26900000000</v>
      </c>
      <c r="H1437" s="2262"/>
      <c r="I1437" s="1428"/>
      <c r="J1437" s="1407"/>
      <c r="K1437" s="1431">
        <f t="shared" si="167"/>
        <v>80231970260.223038</v>
      </c>
      <c r="L1437" s="2381">
        <v>42718</v>
      </c>
      <c r="M1437" s="2264">
        <v>42724</v>
      </c>
      <c r="N1437" s="1407"/>
      <c r="O1437" s="1407"/>
      <c r="P1437" s="1407"/>
      <c r="Q1437" s="1407"/>
      <c r="R1437" s="1407"/>
      <c r="S1437" s="1407"/>
      <c r="T1437" s="1407"/>
      <c r="U1437" s="1407"/>
    </row>
    <row r="1438" spans="1:21" ht="12">
      <c r="A1438" s="639"/>
      <c r="B1438" s="1483"/>
      <c r="C1438" s="639"/>
      <c r="D1438" s="1831"/>
      <c r="E1438" s="2264"/>
      <c r="F1438" s="2228"/>
      <c r="G1438" s="2262"/>
      <c r="H1438" s="2262"/>
      <c r="I1438" s="1428"/>
      <c r="J1438" s="1407"/>
      <c r="K1438" s="1431"/>
      <c r="L1438" s="1407"/>
      <c r="M1438" s="1407"/>
      <c r="N1438" s="1407"/>
      <c r="O1438" s="1407"/>
      <c r="P1438" s="1407"/>
      <c r="Q1438" s="1407"/>
      <c r="R1438" s="1407"/>
      <c r="S1438" s="1407"/>
      <c r="T1438" s="1407"/>
      <c r="U1438" s="1407"/>
    </row>
    <row r="1439" spans="1:21" ht="12">
      <c r="A1439" s="639" t="s">
        <v>4768</v>
      </c>
      <c r="B1439" s="1483">
        <v>42928</v>
      </c>
      <c r="C1439" s="639" t="s">
        <v>3212</v>
      </c>
      <c r="D1439" s="1831" t="s">
        <v>4769</v>
      </c>
      <c r="E1439" s="1483">
        <v>42927</v>
      </c>
      <c r="F1439" s="2228">
        <v>6280000000000</v>
      </c>
      <c r="G1439" s="2228">
        <v>18500000000</v>
      </c>
      <c r="H1439" s="2262"/>
      <c r="I1439" s="1428"/>
      <c r="J1439" s="1407"/>
      <c r="K1439" s="1431">
        <f t="shared" ref="K1439:K1448" si="168">(32800000000/G1439)*F1439</f>
        <v>11134270270270.271</v>
      </c>
      <c r="L1439" s="2381">
        <v>42718</v>
      </c>
      <c r="M1439" s="2264">
        <v>42724</v>
      </c>
      <c r="N1439" s="1407"/>
      <c r="O1439" s="1407"/>
      <c r="P1439" s="1407"/>
      <c r="Q1439" s="1407"/>
      <c r="R1439" s="1407"/>
      <c r="S1439" s="1407"/>
      <c r="T1439" s="1407"/>
      <c r="U1439" s="1407"/>
    </row>
    <row r="1440" spans="1:21" ht="12">
      <c r="A1440" s="639" t="s">
        <v>4768</v>
      </c>
      <c r="B1440" s="1483">
        <v>42928</v>
      </c>
      <c r="C1440" s="639" t="s">
        <v>3212</v>
      </c>
      <c r="D1440" s="1831" t="s">
        <v>4771</v>
      </c>
      <c r="E1440" s="1483">
        <v>42927</v>
      </c>
      <c r="F1440" s="2228">
        <v>22300000000000</v>
      </c>
      <c r="G1440" s="2228">
        <v>18500000000</v>
      </c>
      <c r="H1440" s="2262"/>
      <c r="I1440" s="1428"/>
      <c r="J1440" s="1407"/>
      <c r="K1440" s="1431">
        <f t="shared" si="168"/>
        <v>39537297297297.297</v>
      </c>
      <c r="L1440" s="2381">
        <v>42718</v>
      </c>
      <c r="M1440" s="2264">
        <v>42724</v>
      </c>
      <c r="N1440" s="1407"/>
      <c r="O1440" s="1407"/>
      <c r="P1440" s="1407"/>
      <c r="Q1440" s="1407"/>
      <c r="R1440" s="1407"/>
      <c r="S1440" s="1407"/>
      <c r="T1440" s="1407"/>
      <c r="U1440" s="1407"/>
    </row>
    <row r="1441" spans="1:21" ht="12">
      <c r="A1441" s="639" t="s">
        <v>4768</v>
      </c>
      <c r="B1441" s="1483">
        <v>42928</v>
      </c>
      <c r="C1441" s="639" t="s">
        <v>3212</v>
      </c>
      <c r="D1441" s="1831" t="s">
        <v>4772</v>
      </c>
      <c r="E1441" s="1483">
        <v>42927</v>
      </c>
      <c r="F1441" s="2228">
        <v>41200000000000</v>
      </c>
      <c r="G1441" s="2228">
        <v>18500000000</v>
      </c>
      <c r="H1441" s="2262"/>
      <c r="I1441" s="1428"/>
      <c r="J1441" s="1407"/>
      <c r="K1441" s="1431">
        <f t="shared" si="168"/>
        <v>73046486486486.484</v>
      </c>
      <c r="L1441" s="2381">
        <v>42718</v>
      </c>
      <c r="M1441" s="2264">
        <v>42724</v>
      </c>
      <c r="N1441" s="1407"/>
      <c r="O1441" s="1407"/>
      <c r="P1441" s="1407"/>
      <c r="Q1441" s="1407"/>
      <c r="R1441" s="1407"/>
      <c r="S1441" s="1407"/>
      <c r="T1441" s="1407"/>
      <c r="U1441" s="1407"/>
    </row>
    <row r="1442" spans="1:21" ht="12">
      <c r="A1442" s="639" t="s">
        <v>4768</v>
      </c>
      <c r="B1442" s="1483">
        <v>42928</v>
      </c>
      <c r="C1442" s="639" t="s">
        <v>3212</v>
      </c>
      <c r="D1442" s="1831" t="s">
        <v>4773</v>
      </c>
      <c r="E1442" s="1483">
        <v>42927</v>
      </c>
      <c r="F1442" s="2228">
        <v>39300000000000</v>
      </c>
      <c r="G1442" s="2228">
        <v>18500000000</v>
      </c>
      <c r="H1442" s="2262"/>
      <c r="I1442" s="1428"/>
      <c r="J1442" s="1407"/>
      <c r="K1442" s="1431">
        <f t="shared" si="168"/>
        <v>69677837837837.844</v>
      </c>
      <c r="L1442" s="2381">
        <v>42718</v>
      </c>
      <c r="M1442" s="2264">
        <v>42724</v>
      </c>
      <c r="N1442" s="1407"/>
      <c r="O1442" s="1407"/>
      <c r="P1442" s="1407"/>
      <c r="Q1442" s="1407"/>
      <c r="R1442" s="1407"/>
      <c r="S1442" s="1407"/>
      <c r="T1442" s="1407"/>
      <c r="U1442" s="1407"/>
    </row>
    <row r="1443" spans="1:21" ht="12">
      <c r="A1443" s="639" t="s">
        <v>4768</v>
      </c>
      <c r="B1443" s="1483">
        <v>42928</v>
      </c>
      <c r="C1443" s="639" t="s">
        <v>3212</v>
      </c>
      <c r="D1443" s="1831" t="s">
        <v>4774</v>
      </c>
      <c r="E1443" s="1483">
        <v>42927</v>
      </c>
      <c r="F1443" s="2228">
        <v>5120000000000</v>
      </c>
      <c r="G1443" s="2228">
        <v>18500000000</v>
      </c>
      <c r="H1443" s="2262"/>
      <c r="I1443" s="1428"/>
      <c r="J1443" s="1407"/>
      <c r="K1443" s="1431">
        <f t="shared" si="168"/>
        <v>9077621621621.623</v>
      </c>
      <c r="L1443" s="2381">
        <v>42718</v>
      </c>
      <c r="M1443" s="2264">
        <v>42724</v>
      </c>
      <c r="N1443" s="1407"/>
      <c r="O1443" s="1407"/>
      <c r="P1443" s="1407"/>
      <c r="Q1443" s="1407"/>
      <c r="R1443" s="1407"/>
      <c r="S1443" s="1407"/>
      <c r="T1443" s="1407"/>
      <c r="U1443" s="1407"/>
    </row>
    <row r="1444" spans="1:21" ht="12">
      <c r="A1444" s="639" t="s">
        <v>4768</v>
      </c>
      <c r="B1444" s="1483">
        <v>42928</v>
      </c>
      <c r="C1444" s="639" t="s">
        <v>3212</v>
      </c>
      <c r="D1444" s="1831" t="s">
        <v>4776</v>
      </c>
      <c r="E1444" s="1483">
        <v>42927</v>
      </c>
      <c r="F1444" s="2228">
        <v>5830000000000</v>
      </c>
      <c r="G1444" s="2228">
        <v>18500000000</v>
      </c>
      <c r="H1444" s="2262"/>
      <c r="I1444" s="1428"/>
      <c r="J1444" s="1407"/>
      <c r="K1444" s="1431">
        <f t="shared" si="168"/>
        <v>10336432432432.434</v>
      </c>
      <c r="L1444" s="2381">
        <v>42718</v>
      </c>
      <c r="M1444" s="2264">
        <v>42724</v>
      </c>
      <c r="N1444" s="1407"/>
      <c r="O1444" s="1407"/>
      <c r="P1444" s="1407"/>
      <c r="Q1444" s="1407"/>
      <c r="R1444" s="1407"/>
      <c r="S1444" s="1407"/>
      <c r="T1444" s="1407"/>
      <c r="U1444" s="1407"/>
    </row>
    <row r="1445" spans="1:21" ht="12">
      <c r="A1445" s="639" t="s">
        <v>4768</v>
      </c>
      <c r="B1445" s="1483">
        <v>42928</v>
      </c>
      <c r="C1445" s="639" t="s">
        <v>3212</v>
      </c>
      <c r="D1445" s="1831" t="s">
        <v>4777</v>
      </c>
      <c r="E1445" s="1483">
        <v>42927</v>
      </c>
      <c r="F1445" s="2228">
        <v>20800000000000</v>
      </c>
      <c r="G1445" s="2228">
        <v>18500000000</v>
      </c>
      <c r="H1445" s="2262"/>
      <c r="I1445" s="1428"/>
      <c r="J1445" s="1407"/>
      <c r="K1445" s="1431">
        <f t="shared" si="168"/>
        <v>36877837837837.844</v>
      </c>
      <c r="L1445" s="2381">
        <v>42718</v>
      </c>
      <c r="M1445" s="2264">
        <v>42724</v>
      </c>
      <c r="N1445" s="1407"/>
      <c r="O1445" s="1407"/>
      <c r="P1445" s="1407"/>
      <c r="Q1445" s="1407"/>
      <c r="R1445" s="1407"/>
      <c r="S1445" s="1407"/>
      <c r="T1445" s="1407"/>
      <c r="U1445" s="1407"/>
    </row>
    <row r="1446" spans="1:21" ht="12">
      <c r="A1446" s="639" t="s">
        <v>4768</v>
      </c>
      <c r="B1446" s="1483">
        <v>42928</v>
      </c>
      <c r="C1446" s="639" t="s">
        <v>3212</v>
      </c>
      <c r="D1446" s="1831" t="s">
        <v>4778</v>
      </c>
      <c r="E1446" s="1483">
        <v>42927</v>
      </c>
      <c r="F1446" s="2228">
        <v>417000000000</v>
      </c>
      <c r="G1446" s="2228">
        <v>18500000000</v>
      </c>
      <c r="H1446" s="2262"/>
      <c r="I1446" s="1428"/>
      <c r="J1446" s="1407"/>
      <c r="K1446" s="1431">
        <f t="shared" si="168"/>
        <v>739329729729.72974</v>
      </c>
      <c r="L1446" s="2381">
        <v>42718</v>
      </c>
      <c r="M1446" s="2264">
        <v>42724</v>
      </c>
      <c r="N1446" s="1407"/>
      <c r="O1446" s="1407"/>
      <c r="P1446" s="1407"/>
      <c r="Q1446" s="1407"/>
      <c r="R1446" s="1407"/>
      <c r="S1446" s="1407"/>
      <c r="T1446" s="1407"/>
      <c r="U1446" s="1407"/>
    </row>
    <row r="1447" spans="1:21" ht="12">
      <c r="A1447" s="639" t="s">
        <v>4768</v>
      </c>
      <c r="B1447" s="1483">
        <v>42928</v>
      </c>
      <c r="C1447" s="639" t="s">
        <v>3212</v>
      </c>
      <c r="D1447" s="1831" t="s">
        <v>4779</v>
      </c>
      <c r="E1447" s="1483">
        <v>42927</v>
      </c>
      <c r="F1447" s="2228">
        <v>22900000000000</v>
      </c>
      <c r="G1447" s="2228">
        <v>18500000000</v>
      </c>
      <c r="H1447" s="2262"/>
      <c r="I1447" s="1428"/>
      <c r="J1447" s="1407"/>
      <c r="K1447" s="1431">
        <f t="shared" si="168"/>
        <v>40601081081081.086</v>
      </c>
      <c r="L1447" s="2381">
        <v>42718</v>
      </c>
      <c r="M1447" s="2264">
        <v>42724</v>
      </c>
      <c r="N1447" s="1407"/>
      <c r="O1447" s="1407"/>
      <c r="P1447" s="1407"/>
      <c r="Q1447" s="1407"/>
      <c r="R1447" s="1407"/>
      <c r="S1447" s="1407"/>
      <c r="T1447" s="1407"/>
      <c r="U1447" s="1407"/>
    </row>
    <row r="1448" spans="1:21" ht="12">
      <c r="A1448" s="639" t="s">
        <v>4768</v>
      </c>
      <c r="B1448" s="1483">
        <v>42928</v>
      </c>
      <c r="C1448" s="639" t="s">
        <v>3212</v>
      </c>
      <c r="D1448" s="1831" t="s">
        <v>4780</v>
      </c>
      <c r="E1448" s="1483">
        <v>42927</v>
      </c>
      <c r="F1448" s="2228">
        <v>120000000000000</v>
      </c>
      <c r="G1448" s="2228">
        <v>18500000000</v>
      </c>
      <c r="H1448" s="2262"/>
      <c r="I1448" s="1428"/>
      <c r="J1448" s="1407"/>
      <c r="K1448" s="1431">
        <f t="shared" si="168"/>
        <v>212756756756756.78</v>
      </c>
      <c r="L1448" s="2381">
        <v>42718</v>
      </c>
      <c r="M1448" s="2264">
        <v>42724</v>
      </c>
      <c r="N1448" s="1407"/>
      <c r="O1448" s="1407"/>
      <c r="P1448" s="1407"/>
      <c r="Q1448" s="1407"/>
      <c r="R1448" s="1407"/>
      <c r="S1448" s="1407"/>
      <c r="T1448" s="1407"/>
      <c r="U1448" s="1407"/>
    </row>
    <row r="1449" spans="1:21" ht="12">
      <c r="A1449" s="639"/>
      <c r="B1449" s="1483"/>
      <c r="C1449" s="639"/>
      <c r="D1449" s="1831"/>
      <c r="E1449" s="2264"/>
      <c r="F1449" s="1407"/>
      <c r="G1449" s="2262"/>
      <c r="H1449" s="2262"/>
      <c r="I1449" s="1428"/>
      <c r="J1449" s="1407"/>
      <c r="K1449" s="1431"/>
      <c r="L1449" s="1407"/>
      <c r="M1449" s="1407"/>
      <c r="N1449" s="1407"/>
      <c r="O1449" s="1407"/>
      <c r="P1449" s="1407"/>
      <c r="Q1449" s="1407"/>
      <c r="R1449" s="1407"/>
      <c r="S1449" s="1407"/>
      <c r="T1449" s="1407"/>
      <c r="U1449" s="1407"/>
    </row>
    <row r="1450" spans="1:21" ht="12">
      <c r="A1450" s="639" t="s">
        <v>4781</v>
      </c>
      <c r="B1450" s="1483">
        <v>42942</v>
      </c>
      <c r="C1450" s="639" t="s">
        <v>3212</v>
      </c>
      <c r="D1450" s="1831" t="s">
        <v>4782</v>
      </c>
      <c r="E1450" s="2264">
        <v>42941</v>
      </c>
      <c r="F1450" s="2228">
        <v>1620000000</v>
      </c>
      <c r="G1450" s="2228">
        <v>806000000</v>
      </c>
      <c r="H1450" s="2262"/>
      <c r="I1450" s="1428"/>
      <c r="J1450" s="1407"/>
      <c r="K1450" s="1431">
        <f t="shared" ref="K1450:K1460" si="169">(32800000000/G1450)*F1450</f>
        <v>65925558312.65509</v>
      </c>
      <c r="L1450" s="2381">
        <v>42718</v>
      </c>
      <c r="M1450" s="2264">
        <v>42724</v>
      </c>
      <c r="N1450" s="1407"/>
      <c r="O1450" s="1407"/>
      <c r="P1450" s="1407"/>
      <c r="Q1450" s="1407"/>
      <c r="R1450" s="1407"/>
      <c r="S1450" s="1407"/>
      <c r="T1450" s="1407"/>
      <c r="U1450" s="1407"/>
    </row>
    <row r="1451" spans="1:21" ht="12">
      <c r="A1451" s="639" t="s">
        <v>4781</v>
      </c>
      <c r="B1451" s="1483">
        <v>42942</v>
      </c>
      <c r="C1451" s="639" t="s">
        <v>3212</v>
      </c>
      <c r="D1451" s="1831" t="s">
        <v>4783</v>
      </c>
      <c r="E1451" s="2264">
        <v>42941</v>
      </c>
      <c r="F1451" s="2228">
        <v>2110000000</v>
      </c>
      <c r="G1451" s="2228">
        <v>806000000</v>
      </c>
      <c r="H1451" s="2262"/>
      <c r="I1451" s="1428"/>
      <c r="J1451" s="1407"/>
      <c r="K1451" s="1431">
        <f t="shared" si="169"/>
        <v>85866004962.77916</v>
      </c>
      <c r="L1451" s="2381">
        <v>42718</v>
      </c>
      <c r="M1451" s="2264">
        <v>42724</v>
      </c>
      <c r="N1451" s="1407"/>
      <c r="O1451" s="1407"/>
      <c r="P1451" s="1407"/>
      <c r="Q1451" s="1407"/>
      <c r="R1451" s="1407"/>
      <c r="S1451" s="1407"/>
      <c r="T1451" s="1407"/>
      <c r="U1451" s="1407"/>
    </row>
    <row r="1452" spans="1:21" ht="12">
      <c r="A1452" s="639" t="s">
        <v>4781</v>
      </c>
      <c r="B1452" s="1483">
        <v>42942</v>
      </c>
      <c r="C1452" s="639" t="s">
        <v>3212</v>
      </c>
      <c r="D1452" s="1831" t="s">
        <v>4784</v>
      </c>
      <c r="E1452" s="2264">
        <v>42941</v>
      </c>
      <c r="F1452" s="2228">
        <v>279000000000</v>
      </c>
      <c r="G1452" s="2228">
        <v>806000000</v>
      </c>
      <c r="H1452" s="2262"/>
      <c r="I1452" s="1428"/>
      <c r="J1452" s="1407"/>
      <c r="K1452" s="1431">
        <f t="shared" si="169"/>
        <v>11353846153846.154</v>
      </c>
      <c r="L1452" s="2381">
        <v>42718</v>
      </c>
      <c r="M1452" s="2264">
        <v>42724</v>
      </c>
      <c r="N1452" s="1407"/>
      <c r="O1452" s="1407"/>
      <c r="P1452" s="1407"/>
      <c r="Q1452" s="1407"/>
      <c r="R1452" s="1407"/>
      <c r="S1452" s="1407"/>
      <c r="T1452" s="1407"/>
      <c r="U1452" s="1407"/>
    </row>
    <row r="1453" spans="1:21" ht="12">
      <c r="A1453" s="639" t="s">
        <v>4781</v>
      </c>
      <c r="B1453" s="1483">
        <v>42942</v>
      </c>
      <c r="C1453" s="639" t="s">
        <v>3212</v>
      </c>
      <c r="D1453" s="1831" t="s">
        <v>4785</v>
      </c>
      <c r="E1453" s="2264">
        <v>42941</v>
      </c>
      <c r="F1453" s="2228">
        <v>26500000000</v>
      </c>
      <c r="G1453" s="2228">
        <v>806000000</v>
      </c>
      <c r="H1453" s="2262"/>
      <c r="I1453" s="1428"/>
      <c r="J1453" s="1407"/>
      <c r="K1453" s="1431">
        <f t="shared" si="169"/>
        <v>1078411910669.9752</v>
      </c>
      <c r="L1453" s="2381">
        <v>42718</v>
      </c>
      <c r="M1453" s="2264">
        <v>42724</v>
      </c>
      <c r="N1453" s="1407"/>
      <c r="O1453" s="1407"/>
      <c r="P1453" s="1407"/>
      <c r="Q1453" s="1407"/>
      <c r="R1453" s="1407"/>
      <c r="S1453" s="1407"/>
      <c r="T1453" s="1407"/>
      <c r="U1453" s="1407"/>
    </row>
    <row r="1454" spans="1:21" ht="12">
      <c r="A1454" s="639" t="s">
        <v>4781</v>
      </c>
      <c r="B1454" s="1483">
        <v>42942</v>
      </c>
      <c r="C1454" s="639" t="s">
        <v>3212</v>
      </c>
      <c r="D1454" s="1831" t="s">
        <v>4786</v>
      </c>
      <c r="E1454" s="2264">
        <v>42941</v>
      </c>
      <c r="F1454" s="2228">
        <v>373000000000</v>
      </c>
      <c r="G1454" s="2228">
        <v>806000000</v>
      </c>
      <c r="H1454" s="2262"/>
      <c r="I1454" s="1428"/>
      <c r="J1454" s="1407"/>
      <c r="K1454" s="1431">
        <f t="shared" si="169"/>
        <v>15179156327543.426</v>
      </c>
      <c r="L1454" s="2381">
        <v>42718</v>
      </c>
      <c r="M1454" s="2264">
        <v>42724</v>
      </c>
      <c r="N1454" s="1407"/>
      <c r="O1454" s="1407"/>
      <c r="P1454" s="1407"/>
      <c r="Q1454" s="1407"/>
      <c r="R1454" s="1407"/>
      <c r="S1454" s="1407"/>
      <c r="T1454" s="1407"/>
      <c r="U1454" s="1407"/>
    </row>
    <row r="1455" spans="1:21" ht="12">
      <c r="A1455" s="639" t="s">
        <v>4781</v>
      </c>
      <c r="B1455" s="1483">
        <v>42942</v>
      </c>
      <c r="C1455" s="639" t="s">
        <v>3212</v>
      </c>
      <c r="D1455" s="1831" t="s">
        <v>4787</v>
      </c>
      <c r="E1455" s="2264">
        <v>42941</v>
      </c>
      <c r="F1455" s="2228">
        <v>193000000000</v>
      </c>
      <c r="G1455" s="2228">
        <v>806000000</v>
      </c>
      <c r="H1455" s="2262"/>
      <c r="I1455" s="1428"/>
      <c r="J1455" s="1407"/>
      <c r="K1455" s="1431">
        <f t="shared" si="169"/>
        <v>7854094292803.9707</v>
      </c>
      <c r="L1455" s="2381">
        <v>42718</v>
      </c>
      <c r="M1455" s="2264">
        <v>42724</v>
      </c>
      <c r="N1455" s="1407"/>
      <c r="O1455" s="1407"/>
      <c r="P1455" s="1407"/>
      <c r="Q1455" s="1407"/>
      <c r="R1455" s="1407"/>
      <c r="S1455" s="1407"/>
      <c r="T1455" s="1407"/>
      <c r="U1455" s="1407"/>
    </row>
    <row r="1456" spans="1:21" ht="12">
      <c r="A1456" s="639" t="s">
        <v>4781</v>
      </c>
      <c r="B1456" s="1483">
        <v>42942</v>
      </c>
      <c r="C1456" s="639" t="s">
        <v>3212</v>
      </c>
      <c r="D1456" s="1831" t="s">
        <v>4788</v>
      </c>
      <c r="E1456" s="2264">
        <v>42941</v>
      </c>
      <c r="F1456" s="2228">
        <v>2860000000</v>
      </c>
      <c r="G1456" s="2228">
        <v>806000000</v>
      </c>
      <c r="H1456" s="2262"/>
      <c r="I1456" s="1428"/>
      <c r="J1456" s="1407"/>
      <c r="K1456" s="1431">
        <f t="shared" si="169"/>
        <v>116387096774.19356</v>
      </c>
      <c r="L1456" s="2381">
        <v>42718</v>
      </c>
      <c r="M1456" s="2264">
        <v>42724</v>
      </c>
      <c r="N1456" s="1407"/>
      <c r="O1456" s="1407"/>
      <c r="P1456" s="1407"/>
      <c r="Q1456" s="1407"/>
      <c r="R1456" s="1407"/>
      <c r="S1456" s="1407"/>
      <c r="T1456" s="1407"/>
      <c r="U1456" s="1407"/>
    </row>
    <row r="1457" spans="1:21" ht="12">
      <c r="A1457" s="639" t="s">
        <v>4781</v>
      </c>
      <c r="B1457" s="1483">
        <v>42942</v>
      </c>
      <c r="C1457" s="639" t="s">
        <v>3212</v>
      </c>
      <c r="D1457" s="1831" t="s">
        <v>4789</v>
      </c>
      <c r="E1457" s="2264">
        <v>42941</v>
      </c>
      <c r="F1457" s="2228">
        <v>264000000000</v>
      </c>
      <c r="G1457" s="2228">
        <v>806000000</v>
      </c>
      <c r="H1457" s="2262"/>
      <c r="I1457" s="1428"/>
      <c r="J1457" s="1407"/>
      <c r="K1457" s="1431">
        <f t="shared" si="169"/>
        <v>10743424317617.867</v>
      </c>
      <c r="L1457" s="2381">
        <v>42718</v>
      </c>
      <c r="M1457" s="2264">
        <v>42724</v>
      </c>
      <c r="N1457" s="1407"/>
      <c r="O1457" s="1407"/>
      <c r="P1457" s="1407"/>
      <c r="Q1457" s="1407"/>
      <c r="R1457" s="1407"/>
      <c r="S1457" s="1407"/>
      <c r="T1457" s="1407"/>
      <c r="U1457" s="1407"/>
    </row>
    <row r="1458" spans="1:21" ht="12">
      <c r="A1458" s="639" t="s">
        <v>4781</v>
      </c>
      <c r="B1458" s="1483">
        <v>42942</v>
      </c>
      <c r="C1458" s="639" t="s">
        <v>3212</v>
      </c>
      <c r="D1458" s="1831" t="s">
        <v>4790</v>
      </c>
      <c r="E1458" s="2264">
        <v>42941</v>
      </c>
      <c r="F1458" s="2228">
        <v>356000000000</v>
      </c>
      <c r="G1458" s="2228">
        <v>806000000</v>
      </c>
      <c r="H1458" s="2262"/>
      <c r="I1458" s="1428"/>
      <c r="J1458" s="1407"/>
      <c r="K1458" s="1431">
        <f t="shared" si="169"/>
        <v>14487344913151.365</v>
      </c>
      <c r="L1458" s="2381">
        <v>42718</v>
      </c>
      <c r="M1458" s="2264">
        <v>42724</v>
      </c>
      <c r="N1458" s="1407"/>
      <c r="O1458" s="1407"/>
      <c r="P1458" s="1407"/>
      <c r="Q1458" s="1407"/>
      <c r="R1458" s="1407"/>
      <c r="S1458" s="1407"/>
      <c r="T1458" s="1407"/>
      <c r="U1458" s="1407"/>
    </row>
    <row r="1459" spans="1:21" ht="12">
      <c r="A1459" s="639" t="s">
        <v>4781</v>
      </c>
      <c r="B1459" s="1483">
        <v>42942</v>
      </c>
      <c r="C1459" s="639" t="s">
        <v>3212</v>
      </c>
      <c r="D1459" s="1831" t="s">
        <v>4791</v>
      </c>
      <c r="E1459" s="2264">
        <v>42941</v>
      </c>
      <c r="F1459" s="2228">
        <v>4100000000000</v>
      </c>
      <c r="G1459" s="2228">
        <v>806000000</v>
      </c>
      <c r="H1459" s="2262"/>
      <c r="I1459" s="1428"/>
      <c r="J1459" s="1407"/>
      <c r="K1459" s="1431">
        <f t="shared" si="169"/>
        <v>166848635235732.03</v>
      </c>
      <c r="L1459" s="2381">
        <v>42718</v>
      </c>
      <c r="M1459" s="2264">
        <v>42724</v>
      </c>
      <c r="N1459" s="1407"/>
      <c r="O1459" s="1407"/>
      <c r="P1459" s="1407"/>
      <c r="Q1459" s="1407"/>
      <c r="R1459" s="1407"/>
      <c r="S1459" s="1407"/>
      <c r="T1459" s="1407"/>
      <c r="U1459" s="1407"/>
    </row>
    <row r="1460" spans="1:21" ht="12">
      <c r="A1460" s="639" t="s">
        <v>4781</v>
      </c>
      <c r="B1460" s="1483">
        <v>42942</v>
      </c>
      <c r="C1460" s="639" t="s">
        <v>3212</v>
      </c>
      <c r="D1460" s="1831" t="s">
        <v>4148</v>
      </c>
      <c r="E1460" s="2264">
        <v>42941</v>
      </c>
      <c r="F1460" s="2228">
        <v>8980000000000</v>
      </c>
      <c r="G1460" s="2228">
        <v>806000000</v>
      </c>
      <c r="H1460" s="2262"/>
      <c r="I1460" s="1428"/>
      <c r="J1460" s="1407"/>
      <c r="K1460" s="1431">
        <f t="shared" si="169"/>
        <v>365439205955335</v>
      </c>
      <c r="L1460" s="2381">
        <v>42718</v>
      </c>
      <c r="M1460" s="2264">
        <v>42724</v>
      </c>
      <c r="N1460" s="1407"/>
      <c r="O1460" s="1407"/>
      <c r="P1460" s="1407"/>
      <c r="Q1460" s="1407"/>
      <c r="R1460" s="1407"/>
      <c r="S1460" s="1407"/>
      <c r="T1460" s="1407"/>
      <c r="U1460" s="1407"/>
    </row>
    <row r="1461" spans="1:21" ht="12">
      <c r="A1461" s="639"/>
      <c r="B1461" s="1483"/>
      <c r="C1461" s="639"/>
      <c r="D1461" s="1831"/>
      <c r="E1461" s="2264"/>
      <c r="F1461" s="1407"/>
      <c r="G1461" s="2262"/>
      <c r="H1461" s="2262"/>
      <c r="I1461" s="1428"/>
      <c r="J1461" s="1407"/>
      <c r="K1461" s="1431"/>
      <c r="L1461" s="1407"/>
      <c r="M1461" s="1407"/>
      <c r="N1461" s="1407"/>
      <c r="O1461" s="1407"/>
      <c r="P1461" s="1407"/>
      <c r="Q1461" s="1407"/>
      <c r="R1461" s="1407"/>
      <c r="S1461" s="1407"/>
      <c r="T1461" s="1407"/>
      <c r="U1461" s="1407"/>
    </row>
    <row r="1462" spans="1:21" ht="12">
      <c r="A1462" s="639" t="s">
        <v>4792</v>
      </c>
      <c r="B1462" s="1483">
        <v>42943</v>
      </c>
      <c r="C1462" s="639" t="s">
        <v>3212</v>
      </c>
      <c r="D1462" s="1831" t="s">
        <v>4782</v>
      </c>
      <c r="E1462" s="2264">
        <v>42941</v>
      </c>
      <c r="F1462" s="2228">
        <v>12700000000</v>
      </c>
      <c r="G1462" s="2228">
        <v>17200000000</v>
      </c>
      <c r="H1462" s="2262"/>
      <c r="I1462" s="1428"/>
      <c r="J1462" s="1407"/>
      <c r="K1462" s="1431">
        <f t="shared" ref="K1462:K1472" si="170">(32800000000/G1462)*F1462</f>
        <v>24218604651.162792</v>
      </c>
      <c r="L1462" s="2381">
        <v>42718</v>
      </c>
      <c r="M1462" s="2264">
        <v>42724</v>
      </c>
      <c r="N1462" s="1407"/>
      <c r="O1462" s="1407"/>
      <c r="P1462" s="1407"/>
      <c r="Q1462" s="1407"/>
      <c r="R1462" s="1407"/>
      <c r="S1462" s="1407"/>
      <c r="T1462" s="1407"/>
      <c r="U1462" s="1407"/>
    </row>
    <row r="1463" spans="1:21" ht="12">
      <c r="A1463" s="639" t="s">
        <v>4792</v>
      </c>
      <c r="B1463" s="1483">
        <v>42943</v>
      </c>
      <c r="C1463" s="639" t="s">
        <v>3212</v>
      </c>
      <c r="D1463" s="1831" t="s">
        <v>4783</v>
      </c>
      <c r="E1463" s="2264">
        <v>42941</v>
      </c>
      <c r="F1463" s="2228">
        <v>7490000000</v>
      </c>
      <c r="G1463" s="2228">
        <v>17200000000</v>
      </c>
      <c r="H1463" s="2262"/>
      <c r="I1463" s="1428"/>
      <c r="J1463" s="1407"/>
      <c r="K1463" s="1431">
        <f t="shared" si="170"/>
        <v>14283255813.953489</v>
      </c>
      <c r="L1463" s="2381">
        <v>42718</v>
      </c>
      <c r="M1463" s="2264">
        <v>42724</v>
      </c>
      <c r="N1463" s="1407"/>
      <c r="O1463" s="1407"/>
      <c r="P1463" s="1407"/>
      <c r="Q1463" s="1407"/>
      <c r="R1463" s="1407"/>
      <c r="S1463" s="1407"/>
      <c r="T1463" s="1407"/>
      <c r="U1463" s="1407"/>
    </row>
    <row r="1464" spans="1:21" ht="12">
      <c r="A1464" s="639" t="s">
        <v>4792</v>
      </c>
      <c r="B1464" s="1483">
        <v>42943</v>
      </c>
      <c r="C1464" s="639" t="s">
        <v>3212</v>
      </c>
      <c r="D1464" s="1831" t="s">
        <v>4784</v>
      </c>
      <c r="E1464" s="2264">
        <v>42941</v>
      </c>
      <c r="F1464" s="2228">
        <v>1400000000000</v>
      </c>
      <c r="G1464" s="2228">
        <v>17200000000</v>
      </c>
      <c r="H1464" s="2262"/>
      <c r="I1464" s="1428"/>
      <c r="J1464" s="1407"/>
      <c r="K1464" s="1431">
        <f t="shared" si="170"/>
        <v>2669767441860.4653</v>
      </c>
      <c r="L1464" s="2381">
        <v>42718</v>
      </c>
      <c r="M1464" s="2264">
        <v>42724</v>
      </c>
      <c r="N1464" s="1407"/>
      <c r="O1464" s="1407"/>
      <c r="P1464" s="1407"/>
      <c r="Q1464" s="1407"/>
      <c r="R1464" s="1407"/>
      <c r="S1464" s="1407"/>
      <c r="T1464" s="1407"/>
      <c r="U1464" s="1407"/>
    </row>
    <row r="1465" spans="1:21" ht="12">
      <c r="A1465" s="639" t="s">
        <v>4792</v>
      </c>
      <c r="B1465" s="1483">
        <v>42943</v>
      </c>
      <c r="C1465" s="639" t="s">
        <v>3212</v>
      </c>
      <c r="D1465" s="1831" t="s">
        <v>4785</v>
      </c>
      <c r="E1465" s="2264">
        <v>42941</v>
      </c>
      <c r="F1465" s="2228">
        <v>1110000000000</v>
      </c>
      <c r="G1465" s="2228">
        <v>17200000000</v>
      </c>
      <c r="H1465" s="2262"/>
      <c r="I1465" s="1428"/>
      <c r="J1465" s="1407"/>
      <c r="K1465" s="1431">
        <f t="shared" si="170"/>
        <v>2116744186046.5117</v>
      </c>
      <c r="L1465" s="2381">
        <v>42718</v>
      </c>
      <c r="M1465" s="2264">
        <v>42724</v>
      </c>
      <c r="N1465" s="1407"/>
      <c r="O1465" s="1407"/>
      <c r="P1465" s="1407"/>
      <c r="Q1465" s="1407"/>
      <c r="R1465" s="1407"/>
      <c r="S1465" s="1407"/>
      <c r="T1465" s="1407"/>
      <c r="U1465" s="1407"/>
    </row>
    <row r="1466" spans="1:21" ht="12">
      <c r="A1466" s="639" t="s">
        <v>4792</v>
      </c>
      <c r="B1466" s="1483">
        <v>42943</v>
      </c>
      <c r="C1466" s="639" t="s">
        <v>3212</v>
      </c>
      <c r="D1466" s="1831" t="s">
        <v>4786</v>
      </c>
      <c r="E1466" s="2264">
        <v>42941</v>
      </c>
      <c r="F1466" s="2228">
        <v>4600000000000</v>
      </c>
      <c r="G1466" s="2228">
        <v>17200000000</v>
      </c>
      <c r="H1466" s="2262"/>
      <c r="I1466" s="1428"/>
      <c r="J1466" s="1407"/>
      <c r="K1466" s="1431">
        <f t="shared" si="170"/>
        <v>8772093023255.8145</v>
      </c>
      <c r="L1466" s="2381">
        <v>42718</v>
      </c>
      <c r="M1466" s="2264">
        <v>42724</v>
      </c>
      <c r="N1466" s="1407"/>
      <c r="O1466" s="1407"/>
      <c r="P1466" s="1407"/>
      <c r="Q1466" s="1407"/>
      <c r="R1466" s="1407"/>
      <c r="S1466" s="1407"/>
      <c r="T1466" s="1407"/>
      <c r="U1466" s="1407"/>
    </row>
    <row r="1467" spans="1:21" ht="12">
      <c r="A1467" s="639" t="s">
        <v>4792</v>
      </c>
      <c r="B1467" s="1483">
        <v>42943</v>
      </c>
      <c r="C1467" s="639" t="s">
        <v>3212</v>
      </c>
      <c r="D1467" s="1831" t="s">
        <v>4787</v>
      </c>
      <c r="E1467" s="2264">
        <v>42941</v>
      </c>
      <c r="F1467" s="2228">
        <v>2800000000000</v>
      </c>
      <c r="G1467" s="2228">
        <v>17200000000</v>
      </c>
      <c r="H1467" s="2262"/>
      <c r="I1467" s="1428"/>
      <c r="J1467" s="1407"/>
      <c r="K1467" s="1431">
        <f t="shared" si="170"/>
        <v>5339534883720.9307</v>
      </c>
      <c r="L1467" s="2381">
        <v>42718</v>
      </c>
      <c r="M1467" s="2264">
        <v>42724</v>
      </c>
      <c r="N1467" s="1407"/>
      <c r="O1467" s="1407"/>
      <c r="P1467" s="1407"/>
      <c r="Q1467" s="1407"/>
      <c r="R1467" s="1407"/>
      <c r="S1467" s="1407"/>
      <c r="T1467" s="1407"/>
      <c r="U1467" s="1407"/>
    </row>
    <row r="1468" spans="1:21" ht="12">
      <c r="A1468" s="639" t="s">
        <v>4792</v>
      </c>
      <c r="B1468" s="1483">
        <v>42943</v>
      </c>
      <c r="C1468" s="639" t="s">
        <v>3212</v>
      </c>
      <c r="D1468" s="1831" t="s">
        <v>4788</v>
      </c>
      <c r="E1468" s="2264">
        <v>42941</v>
      </c>
      <c r="F1468" s="2228">
        <v>5810000000000</v>
      </c>
      <c r="G1468" s="2228">
        <v>17200000000</v>
      </c>
      <c r="H1468" s="2262"/>
      <c r="I1468" s="1428"/>
      <c r="J1468" s="1407"/>
      <c r="K1468" s="1431">
        <f t="shared" si="170"/>
        <v>11079534883720.93</v>
      </c>
      <c r="L1468" s="2381">
        <v>42718</v>
      </c>
      <c r="M1468" s="2264">
        <v>42724</v>
      </c>
      <c r="N1468" s="1407"/>
      <c r="O1468" s="1407"/>
      <c r="P1468" s="1407"/>
      <c r="Q1468" s="1407"/>
      <c r="R1468" s="1407"/>
      <c r="S1468" s="1407"/>
      <c r="T1468" s="1407"/>
      <c r="U1468" s="1407"/>
    </row>
    <row r="1469" spans="1:21" ht="12">
      <c r="A1469" s="639" t="s">
        <v>4792</v>
      </c>
      <c r="B1469" s="1483">
        <v>42943</v>
      </c>
      <c r="C1469" s="639" t="s">
        <v>3212</v>
      </c>
      <c r="D1469" s="1831" t="s">
        <v>4789</v>
      </c>
      <c r="E1469" s="2264">
        <v>42941</v>
      </c>
      <c r="F1469" s="2228">
        <v>3670000000000</v>
      </c>
      <c r="G1469" s="2228">
        <v>17200000000</v>
      </c>
      <c r="H1469" s="2262"/>
      <c r="I1469" s="1428"/>
      <c r="J1469" s="1407"/>
      <c r="K1469" s="1431">
        <f t="shared" si="170"/>
        <v>6998604651162.791</v>
      </c>
      <c r="L1469" s="2381">
        <v>42718</v>
      </c>
      <c r="M1469" s="2264">
        <v>42724</v>
      </c>
      <c r="N1469" s="1407"/>
      <c r="O1469" s="1407"/>
      <c r="P1469" s="1407"/>
      <c r="Q1469" s="1407"/>
      <c r="R1469" s="1407"/>
      <c r="S1469" s="1407"/>
      <c r="T1469" s="1407"/>
      <c r="U1469" s="1407"/>
    </row>
    <row r="1470" spans="1:21" ht="12">
      <c r="A1470" s="639" t="s">
        <v>4792</v>
      </c>
      <c r="B1470" s="1483">
        <v>42943</v>
      </c>
      <c r="C1470" s="639" t="s">
        <v>3212</v>
      </c>
      <c r="D1470" s="1831" t="s">
        <v>4790</v>
      </c>
      <c r="E1470" s="2264">
        <v>42941</v>
      </c>
      <c r="F1470" s="2228">
        <v>7130000000000</v>
      </c>
      <c r="G1470" s="2228">
        <v>17200000000</v>
      </c>
      <c r="H1470" s="2262"/>
      <c r="I1470" s="1428"/>
      <c r="J1470" s="1407"/>
      <c r="K1470" s="1431">
        <f t="shared" si="170"/>
        <v>13596744186046.512</v>
      </c>
      <c r="L1470" s="2381">
        <v>42718</v>
      </c>
      <c r="M1470" s="2264">
        <v>42724</v>
      </c>
      <c r="N1470" s="1407"/>
      <c r="O1470" s="1407"/>
      <c r="P1470" s="1407"/>
      <c r="Q1470" s="1407"/>
      <c r="R1470" s="1407"/>
      <c r="S1470" s="1407"/>
      <c r="T1470" s="1407"/>
      <c r="U1470" s="1407"/>
    </row>
    <row r="1471" spans="1:21" ht="12">
      <c r="A1471" s="639" t="s">
        <v>4792</v>
      </c>
      <c r="B1471" s="1483">
        <v>42943</v>
      </c>
      <c r="C1471" s="639" t="s">
        <v>3212</v>
      </c>
      <c r="D1471" s="1831" t="s">
        <v>4791</v>
      </c>
      <c r="E1471" s="2264">
        <v>42941</v>
      </c>
      <c r="F1471" s="2228">
        <v>17400000000000</v>
      </c>
      <c r="G1471" s="2228">
        <v>17200000000</v>
      </c>
      <c r="H1471" s="2262"/>
      <c r="I1471" s="1428"/>
      <c r="J1471" s="1407"/>
      <c r="K1471" s="1431">
        <f t="shared" si="170"/>
        <v>33181395348837.211</v>
      </c>
      <c r="L1471" s="2381">
        <v>42718</v>
      </c>
      <c r="M1471" s="2264">
        <v>42724</v>
      </c>
      <c r="N1471" s="1407"/>
      <c r="O1471" s="1407"/>
      <c r="P1471" s="1407"/>
      <c r="Q1471" s="1407"/>
      <c r="R1471" s="1407"/>
      <c r="S1471" s="1407"/>
      <c r="T1471" s="1407"/>
      <c r="U1471" s="1407"/>
    </row>
    <row r="1472" spans="1:21" ht="12">
      <c r="A1472" s="639" t="s">
        <v>4792</v>
      </c>
      <c r="B1472" s="1483">
        <v>42943</v>
      </c>
      <c r="C1472" s="639" t="s">
        <v>3212</v>
      </c>
      <c r="D1472" s="1831" t="s">
        <v>4148</v>
      </c>
      <c r="E1472" s="2264">
        <v>42941</v>
      </c>
      <c r="F1472" s="2228">
        <v>317000000000000</v>
      </c>
      <c r="G1472" s="2228">
        <v>17200000000</v>
      </c>
      <c r="H1472" s="2262"/>
      <c r="I1472" s="1428"/>
      <c r="J1472" s="1407"/>
      <c r="K1472" s="1431">
        <f t="shared" si="170"/>
        <v>604511627906976.75</v>
      </c>
      <c r="L1472" s="2381">
        <v>42718</v>
      </c>
      <c r="M1472" s="2264">
        <v>42724</v>
      </c>
      <c r="N1472" s="1407"/>
      <c r="O1472" s="1407"/>
      <c r="P1472" s="1407"/>
      <c r="Q1472" s="1407"/>
      <c r="R1472" s="1407"/>
      <c r="S1472" s="1407"/>
      <c r="T1472" s="1407"/>
      <c r="U1472" s="1407"/>
    </row>
    <row r="1473" spans="1:21" ht="12">
      <c r="A1473" s="639"/>
      <c r="B1473" s="1483"/>
      <c r="C1473" s="639"/>
      <c r="D1473" s="1831"/>
      <c r="E1473" s="2264"/>
      <c r="F1473" s="1407"/>
      <c r="G1473" s="2262"/>
      <c r="H1473" s="2262"/>
      <c r="I1473" s="1428"/>
      <c r="J1473" s="1407"/>
      <c r="K1473" s="1431"/>
      <c r="L1473" s="1407"/>
      <c r="M1473" s="1407"/>
      <c r="N1473" s="1407"/>
      <c r="O1473" s="1407"/>
      <c r="P1473" s="1407"/>
      <c r="Q1473" s="1407"/>
      <c r="R1473" s="1407"/>
      <c r="S1473" s="1407"/>
      <c r="T1473" s="1407"/>
      <c r="U1473" s="1407"/>
    </row>
    <row r="1474" spans="1:21" ht="12">
      <c r="A1474" s="639" t="s">
        <v>4793</v>
      </c>
      <c r="B1474" s="1483">
        <v>42949</v>
      </c>
      <c r="C1474" s="639" t="s">
        <v>3212</v>
      </c>
      <c r="D1474" s="1831" t="s">
        <v>4794</v>
      </c>
      <c r="E1474" s="2264">
        <v>42948</v>
      </c>
      <c r="F1474" s="2228">
        <v>3800000000000</v>
      </c>
      <c r="G1474" s="2228">
        <v>1940000000</v>
      </c>
      <c r="H1474" s="2262"/>
      <c r="I1474" s="1428"/>
      <c r="J1474" s="1407"/>
      <c r="K1474" s="1431">
        <f t="shared" ref="K1474:K1481" si="171">(32800000000/G1474)*F1474</f>
        <v>64247422680412.375</v>
      </c>
      <c r="L1474" s="2381">
        <v>42718</v>
      </c>
      <c r="M1474" s="2264">
        <v>42724</v>
      </c>
      <c r="N1474" s="1407"/>
      <c r="O1474" s="1407"/>
      <c r="P1474" s="1407"/>
      <c r="Q1474" s="1407"/>
      <c r="R1474" s="1407"/>
      <c r="S1474" s="1407"/>
      <c r="T1474" s="1407"/>
      <c r="U1474" s="1407"/>
    </row>
    <row r="1475" spans="1:21" ht="12">
      <c r="A1475" s="639" t="s">
        <v>4793</v>
      </c>
      <c r="B1475" s="1483">
        <v>42949</v>
      </c>
      <c r="C1475" s="639" t="s">
        <v>3212</v>
      </c>
      <c r="D1475" s="1831" t="s">
        <v>4795</v>
      </c>
      <c r="E1475" s="2264">
        <v>42948</v>
      </c>
      <c r="F1475" s="2228">
        <v>5640000000000</v>
      </c>
      <c r="G1475" s="2228">
        <v>1940000000</v>
      </c>
      <c r="H1475" s="2262"/>
      <c r="I1475" s="1428"/>
      <c r="J1475" s="1407"/>
      <c r="K1475" s="1431">
        <f t="shared" si="171"/>
        <v>95356701030927.844</v>
      </c>
      <c r="L1475" s="2381">
        <v>42718</v>
      </c>
      <c r="M1475" s="2264">
        <v>42724</v>
      </c>
      <c r="N1475" s="1407"/>
      <c r="O1475" s="1407"/>
      <c r="P1475" s="1407"/>
      <c r="Q1475" s="1407"/>
      <c r="R1475" s="1407"/>
      <c r="S1475" s="1407"/>
      <c r="T1475" s="1407"/>
      <c r="U1475" s="1407"/>
    </row>
    <row r="1476" spans="1:21" ht="12">
      <c r="A1476" s="639" t="s">
        <v>4793</v>
      </c>
      <c r="B1476" s="1483">
        <v>42949</v>
      </c>
      <c r="C1476" s="639" t="s">
        <v>3212</v>
      </c>
      <c r="D1476" s="1831" t="s">
        <v>4796</v>
      </c>
      <c r="E1476" s="2264">
        <v>42948</v>
      </c>
      <c r="F1476" s="2228">
        <v>6940000000000</v>
      </c>
      <c r="G1476" s="2228">
        <v>1940000000</v>
      </c>
      <c r="H1476" s="2262"/>
      <c r="I1476" s="1428"/>
      <c r="J1476" s="1407"/>
      <c r="K1476" s="1431">
        <f t="shared" si="171"/>
        <v>117336082474226.81</v>
      </c>
      <c r="L1476" s="2381">
        <v>42718</v>
      </c>
      <c r="M1476" s="2264">
        <v>42724</v>
      </c>
      <c r="N1476" s="1407"/>
      <c r="O1476" s="1407"/>
      <c r="P1476" s="1407"/>
      <c r="Q1476" s="1407"/>
      <c r="R1476" s="1407"/>
      <c r="S1476" s="1407"/>
      <c r="T1476" s="1407"/>
      <c r="U1476" s="1407"/>
    </row>
    <row r="1477" spans="1:21" ht="12">
      <c r="A1477" s="639" t="s">
        <v>4793</v>
      </c>
      <c r="B1477" s="1483">
        <v>42949</v>
      </c>
      <c r="C1477" s="639" t="s">
        <v>3212</v>
      </c>
      <c r="D1477" s="1831" t="s">
        <v>4797</v>
      </c>
      <c r="E1477" s="2264">
        <v>42948</v>
      </c>
      <c r="F1477" s="2228">
        <v>8100000000000</v>
      </c>
      <c r="G1477" s="2228">
        <v>1940000000</v>
      </c>
      <c r="H1477" s="2262"/>
      <c r="I1477" s="1428"/>
      <c r="J1477" s="1407"/>
      <c r="K1477" s="1431">
        <f t="shared" si="171"/>
        <v>136948453608247.42</v>
      </c>
      <c r="L1477" s="2381">
        <v>42718</v>
      </c>
      <c r="M1477" s="2264">
        <v>42724</v>
      </c>
      <c r="N1477" s="1407"/>
      <c r="O1477" s="1407"/>
      <c r="P1477" s="1407"/>
      <c r="Q1477" s="1407"/>
      <c r="R1477" s="1407"/>
      <c r="S1477" s="1407"/>
      <c r="T1477" s="1407"/>
      <c r="U1477" s="1407"/>
    </row>
    <row r="1478" spans="1:21" ht="12">
      <c r="A1478" s="639" t="s">
        <v>4793</v>
      </c>
      <c r="B1478" s="1483">
        <v>42949</v>
      </c>
      <c r="C1478" s="639" t="s">
        <v>3212</v>
      </c>
      <c r="D1478" s="1831" t="s">
        <v>4798</v>
      </c>
      <c r="E1478" s="2264">
        <v>42948</v>
      </c>
      <c r="F1478" s="2228">
        <v>563000000000</v>
      </c>
      <c r="G1478" s="2228">
        <v>1940000000</v>
      </c>
      <c r="H1478" s="2262"/>
      <c r="I1478" s="1428"/>
      <c r="J1478" s="1407"/>
      <c r="K1478" s="1431">
        <f t="shared" si="171"/>
        <v>9518762886597.9375</v>
      </c>
      <c r="L1478" s="2381">
        <v>42718</v>
      </c>
      <c r="M1478" s="2264">
        <v>42724</v>
      </c>
      <c r="N1478" s="1407"/>
      <c r="O1478" s="1407"/>
      <c r="P1478" s="1407"/>
      <c r="Q1478" s="1407"/>
      <c r="R1478" s="1407"/>
      <c r="S1478" s="1407"/>
      <c r="T1478" s="1407"/>
      <c r="U1478" s="1407"/>
    </row>
    <row r="1479" spans="1:21" ht="12">
      <c r="A1479" s="639" t="s">
        <v>4793</v>
      </c>
      <c r="B1479" s="1483">
        <v>42949</v>
      </c>
      <c r="C1479" s="639" t="s">
        <v>3212</v>
      </c>
      <c r="D1479" s="1831" t="s">
        <v>4799</v>
      </c>
      <c r="E1479" s="2264">
        <v>42948</v>
      </c>
      <c r="F1479" s="2228">
        <v>2550000000000</v>
      </c>
      <c r="G1479" s="2228">
        <v>1940000000</v>
      </c>
      <c r="H1479" s="2262"/>
      <c r="I1479" s="1428"/>
      <c r="J1479" s="1407"/>
      <c r="K1479" s="1431">
        <f t="shared" si="171"/>
        <v>43113402061855.672</v>
      </c>
      <c r="L1479" s="2381">
        <v>42718</v>
      </c>
      <c r="M1479" s="2264">
        <v>42724</v>
      </c>
      <c r="N1479" s="1407"/>
      <c r="O1479" s="1407"/>
      <c r="P1479" s="1407"/>
      <c r="Q1479" s="1407"/>
      <c r="R1479" s="1407"/>
      <c r="S1479" s="1407"/>
      <c r="T1479" s="1407"/>
      <c r="U1479" s="1407"/>
    </row>
    <row r="1480" spans="1:21" ht="12">
      <c r="A1480" s="639" t="s">
        <v>4793</v>
      </c>
      <c r="B1480" s="1483">
        <v>42949</v>
      </c>
      <c r="C1480" s="639" t="s">
        <v>3212</v>
      </c>
      <c r="D1480" s="1831" t="s">
        <v>4800</v>
      </c>
      <c r="E1480" s="2264">
        <v>42948</v>
      </c>
      <c r="F1480" s="2228">
        <v>38500000000000</v>
      </c>
      <c r="G1480" s="2228">
        <v>1940000000</v>
      </c>
      <c r="H1480" s="2262"/>
      <c r="I1480" s="1428"/>
      <c r="J1480" s="1407"/>
      <c r="K1480" s="1431">
        <f t="shared" si="171"/>
        <v>650927835051546.38</v>
      </c>
      <c r="L1480" s="2381">
        <v>42718</v>
      </c>
      <c r="M1480" s="2264">
        <v>42724</v>
      </c>
      <c r="N1480" s="1407"/>
      <c r="O1480" s="1407"/>
      <c r="P1480" s="1407"/>
      <c r="Q1480" s="1407"/>
      <c r="R1480" s="1407"/>
      <c r="S1480" s="1407"/>
      <c r="T1480" s="1407"/>
      <c r="U1480" s="1407"/>
    </row>
    <row r="1481" spans="1:21" ht="12">
      <c r="A1481" s="639" t="s">
        <v>4793</v>
      </c>
      <c r="B1481" s="1483">
        <v>42949</v>
      </c>
      <c r="C1481" s="639" t="s">
        <v>3212</v>
      </c>
      <c r="D1481" s="1831" t="s">
        <v>4801</v>
      </c>
      <c r="E1481" s="2264">
        <v>42948</v>
      </c>
      <c r="F1481" s="2228">
        <v>43400000000</v>
      </c>
      <c r="G1481" s="2228">
        <v>1940000000</v>
      </c>
      <c r="H1481" s="2262"/>
      <c r="I1481" s="1428"/>
      <c r="J1481" s="1407"/>
      <c r="K1481" s="1431">
        <f t="shared" si="171"/>
        <v>733773195876.2887</v>
      </c>
      <c r="L1481" s="2381">
        <v>42718</v>
      </c>
      <c r="M1481" s="2264">
        <v>42724</v>
      </c>
      <c r="N1481" s="1407"/>
      <c r="O1481" s="1407"/>
      <c r="P1481" s="1407"/>
      <c r="Q1481" s="1407"/>
      <c r="R1481" s="1407"/>
      <c r="S1481" s="1407"/>
      <c r="T1481" s="1407"/>
      <c r="U1481" s="1407"/>
    </row>
    <row r="1482" spans="1:21" ht="12">
      <c r="A1482" s="639"/>
      <c r="B1482" s="1483"/>
      <c r="C1482" s="639"/>
      <c r="D1482" s="1831"/>
      <c r="E1482" s="2264"/>
      <c r="F1482" s="1407"/>
      <c r="G1482" s="2262"/>
      <c r="H1482" s="2262"/>
      <c r="I1482" s="1428"/>
      <c r="J1482" s="1407"/>
      <c r="K1482" s="1431"/>
      <c r="L1482" s="1407"/>
      <c r="M1482" s="1407"/>
      <c r="N1482" s="1407"/>
      <c r="O1482" s="1407"/>
      <c r="P1482" s="1407"/>
      <c r="Q1482" s="1407"/>
      <c r="R1482" s="1407"/>
      <c r="S1482" s="1407"/>
      <c r="T1482" s="1407"/>
      <c r="U1482" s="1407"/>
    </row>
    <row r="1483" spans="1:21" ht="12">
      <c r="A1483" s="639" t="s">
        <v>4802</v>
      </c>
      <c r="B1483" s="1483">
        <v>42950</v>
      </c>
      <c r="C1483" s="639" t="s">
        <v>95</v>
      </c>
      <c r="D1483" s="1831" t="s">
        <v>4794</v>
      </c>
      <c r="E1483" s="2264">
        <v>42948</v>
      </c>
      <c r="F1483" s="2228">
        <v>7160000000000</v>
      </c>
      <c r="G1483" s="2228">
        <v>14800000000</v>
      </c>
      <c r="H1483" s="2262"/>
      <c r="I1483" s="1428"/>
      <c r="J1483" s="1407"/>
      <c r="K1483" s="1431">
        <f t="shared" ref="K1483:K1490" si="172">(32800000000/G1483)*F1483</f>
        <v>15868108108108.107</v>
      </c>
      <c r="L1483" s="2381">
        <v>42718</v>
      </c>
      <c r="M1483" s="2264">
        <v>42724</v>
      </c>
      <c r="N1483" s="1407"/>
      <c r="O1483" s="1407"/>
      <c r="P1483" s="1407"/>
      <c r="Q1483" s="1407"/>
      <c r="R1483" s="1407"/>
      <c r="S1483" s="1407"/>
      <c r="T1483" s="1407"/>
      <c r="U1483" s="1407"/>
    </row>
    <row r="1484" spans="1:21" ht="12">
      <c r="A1484" s="639" t="s">
        <v>4802</v>
      </c>
      <c r="B1484" s="1483">
        <v>42950</v>
      </c>
      <c r="C1484" s="639" t="s">
        <v>95</v>
      </c>
      <c r="D1484" s="1831" t="s">
        <v>4795</v>
      </c>
      <c r="E1484" s="2264">
        <v>42948</v>
      </c>
      <c r="F1484" s="2228">
        <v>7680000000000</v>
      </c>
      <c r="G1484" s="2228">
        <v>14800000000</v>
      </c>
      <c r="H1484" s="2262"/>
      <c r="I1484" s="1428"/>
      <c r="J1484" s="1407"/>
      <c r="K1484" s="1431">
        <f t="shared" si="172"/>
        <v>17020540540540.541</v>
      </c>
      <c r="L1484" s="2381">
        <v>42718</v>
      </c>
      <c r="M1484" s="2264">
        <v>42724</v>
      </c>
      <c r="N1484" s="1407"/>
      <c r="O1484" s="1407"/>
      <c r="P1484" s="1407"/>
      <c r="Q1484" s="1407"/>
      <c r="R1484" s="1407"/>
      <c r="S1484" s="1407"/>
      <c r="T1484" s="1407"/>
      <c r="U1484" s="1407"/>
    </row>
    <row r="1485" spans="1:21" ht="12">
      <c r="A1485" s="639" t="s">
        <v>4802</v>
      </c>
      <c r="B1485" s="1483">
        <v>42950</v>
      </c>
      <c r="C1485" s="639" t="s">
        <v>95</v>
      </c>
      <c r="D1485" s="1831" t="s">
        <v>4796</v>
      </c>
      <c r="E1485" s="2264">
        <v>42948</v>
      </c>
      <c r="F1485" s="2228">
        <v>11900000000000</v>
      </c>
      <c r="G1485" s="2228">
        <v>14800000000</v>
      </c>
      <c r="H1485" s="2262"/>
      <c r="I1485" s="1428"/>
      <c r="J1485" s="1407"/>
      <c r="K1485" s="1431">
        <f t="shared" si="172"/>
        <v>26372972972972.973</v>
      </c>
      <c r="L1485" s="2381">
        <v>42718</v>
      </c>
      <c r="M1485" s="2264">
        <v>42724</v>
      </c>
      <c r="N1485" s="1407"/>
      <c r="O1485" s="1407"/>
      <c r="P1485" s="1407"/>
      <c r="Q1485" s="1407"/>
      <c r="R1485" s="1407"/>
      <c r="S1485" s="1407"/>
      <c r="T1485" s="1407"/>
      <c r="U1485" s="1407"/>
    </row>
    <row r="1486" spans="1:21" ht="12">
      <c r="A1486" s="639" t="s">
        <v>4802</v>
      </c>
      <c r="B1486" s="1483">
        <v>42950</v>
      </c>
      <c r="C1486" s="639" t="s">
        <v>95</v>
      </c>
      <c r="D1486" s="1831" t="s">
        <v>4797</v>
      </c>
      <c r="E1486" s="2264">
        <v>42948</v>
      </c>
      <c r="F1486" s="2228">
        <v>11200000000000</v>
      </c>
      <c r="G1486" s="2228">
        <v>14800000000</v>
      </c>
      <c r="H1486" s="2262"/>
      <c r="I1486" s="1428"/>
      <c r="J1486" s="1407"/>
      <c r="K1486" s="1431">
        <f t="shared" si="172"/>
        <v>24821621621621.621</v>
      </c>
      <c r="L1486" s="2381">
        <v>42718</v>
      </c>
      <c r="M1486" s="2264">
        <v>42724</v>
      </c>
      <c r="N1486" s="1407"/>
      <c r="O1486" s="1407"/>
      <c r="P1486" s="1407"/>
      <c r="Q1486" s="1407"/>
      <c r="R1486" s="1407"/>
      <c r="S1486" s="1407"/>
      <c r="T1486" s="1407"/>
      <c r="U1486" s="1407"/>
    </row>
    <row r="1487" spans="1:21" ht="12">
      <c r="A1487" s="639" t="s">
        <v>4802</v>
      </c>
      <c r="B1487" s="1483">
        <v>42950</v>
      </c>
      <c r="C1487" s="639" t="s">
        <v>95</v>
      </c>
      <c r="D1487" s="1831" t="s">
        <v>4798</v>
      </c>
      <c r="E1487" s="2264">
        <v>42948</v>
      </c>
      <c r="F1487" s="2228">
        <v>917000000000</v>
      </c>
      <c r="G1487" s="2228">
        <v>14800000000</v>
      </c>
      <c r="H1487" s="2262"/>
      <c r="I1487" s="1428"/>
      <c r="J1487" s="1407"/>
      <c r="K1487" s="1431">
        <f t="shared" si="172"/>
        <v>2032270270270.2703</v>
      </c>
      <c r="L1487" s="2381">
        <v>42718</v>
      </c>
      <c r="M1487" s="2264">
        <v>42724</v>
      </c>
      <c r="N1487" s="1407"/>
      <c r="O1487" s="1407"/>
      <c r="P1487" s="1407"/>
      <c r="Q1487" s="1407"/>
      <c r="R1487" s="1407"/>
      <c r="S1487" s="1407"/>
      <c r="T1487" s="1407"/>
      <c r="U1487" s="1407"/>
    </row>
    <row r="1488" spans="1:21" ht="12">
      <c r="A1488" s="639" t="s">
        <v>4802</v>
      </c>
      <c r="B1488" s="1483">
        <v>42950</v>
      </c>
      <c r="C1488" s="639" t="s">
        <v>95</v>
      </c>
      <c r="D1488" s="1831" t="s">
        <v>4799</v>
      </c>
      <c r="E1488" s="2264">
        <v>42948</v>
      </c>
      <c r="F1488" s="2228">
        <v>4460000000000</v>
      </c>
      <c r="G1488" s="2228">
        <v>14800000000</v>
      </c>
      <c r="H1488" s="2262"/>
      <c r="I1488" s="1428"/>
      <c r="J1488" s="1407"/>
      <c r="K1488" s="1431">
        <f t="shared" si="172"/>
        <v>9884324324324.3242</v>
      </c>
      <c r="L1488" s="2381">
        <v>42718</v>
      </c>
      <c r="M1488" s="2264">
        <v>42724</v>
      </c>
      <c r="N1488" s="1407"/>
      <c r="O1488" s="1407"/>
      <c r="P1488" s="1407"/>
      <c r="Q1488" s="1407"/>
      <c r="R1488" s="1407"/>
      <c r="S1488" s="1407"/>
      <c r="T1488" s="1407"/>
      <c r="U1488" s="1407"/>
    </row>
    <row r="1489" spans="1:21" ht="12">
      <c r="A1489" s="639" t="s">
        <v>4802</v>
      </c>
      <c r="B1489" s="1483">
        <v>42950</v>
      </c>
      <c r="C1489" s="639" t="s">
        <v>95</v>
      </c>
      <c r="D1489" s="1831" t="s">
        <v>4800</v>
      </c>
      <c r="E1489" s="2264">
        <v>42948</v>
      </c>
      <c r="F1489" s="2228">
        <v>58700000000000</v>
      </c>
      <c r="G1489" s="2228">
        <v>14800000000</v>
      </c>
      <c r="H1489" s="2262"/>
      <c r="I1489" s="1428"/>
      <c r="J1489" s="1407"/>
      <c r="K1489" s="1431">
        <f t="shared" si="172"/>
        <v>130091891891891.89</v>
      </c>
      <c r="L1489" s="2381">
        <v>42718</v>
      </c>
      <c r="M1489" s="2264">
        <v>42724</v>
      </c>
      <c r="N1489" s="1407"/>
      <c r="O1489" s="1407"/>
      <c r="P1489" s="1407"/>
      <c r="Q1489" s="1407"/>
      <c r="R1489" s="1407"/>
      <c r="S1489" s="1407"/>
      <c r="T1489" s="1407"/>
      <c r="U1489" s="1407"/>
    </row>
    <row r="1490" spans="1:21" ht="12">
      <c r="A1490" s="639" t="s">
        <v>4802</v>
      </c>
      <c r="B1490" s="1483">
        <v>42950</v>
      </c>
      <c r="C1490" s="639" t="s">
        <v>95</v>
      </c>
      <c r="D1490" s="1831" t="s">
        <v>4801</v>
      </c>
      <c r="E1490" s="2264">
        <v>42948</v>
      </c>
      <c r="F1490" s="2228">
        <v>79900000000</v>
      </c>
      <c r="G1490" s="2228">
        <v>14800000000</v>
      </c>
      <c r="H1490" s="2262"/>
      <c r="I1490" s="1428"/>
      <c r="J1490" s="1407"/>
      <c r="K1490" s="1431">
        <f t="shared" si="172"/>
        <v>177075675675.67569</v>
      </c>
      <c r="L1490" s="2381">
        <v>42718</v>
      </c>
      <c r="M1490" s="2264">
        <v>42724</v>
      </c>
      <c r="N1490" s="1407"/>
      <c r="O1490" s="1407"/>
      <c r="P1490" s="1407"/>
      <c r="Q1490" s="1407"/>
      <c r="R1490" s="1407"/>
      <c r="S1490" s="1407"/>
      <c r="T1490" s="1407"/>
      <c r="U1490" s="1407"/>
    </row>
    <row r="1491" spans="1:21" ht="12">
      <c r="A1491" s="639"/>
      <c r="B1491" s="1483"/>
      <c r="C1491" s="639"/>
      <c r="D1491" s="1831"/>
      <c r="E1491" s="2264"/>
      <c r="F1491" s="1407"/>
      <c r="G1491" s="2262"/>
      <c r="H1491" s="2262"/>
      <c r="I1491" s="1428"/>
      <c r="J1491" s="1407"/>
      <c r="K1491" s="1431"/>
      <c r="L1491" s="2381"/>
      <c r="M1491" s="2264"/>
      <c r="N1491" s="1407"/>
      <c r="O1491" s="1407"/>
      <c r="P1491" s="1407"/>
      <c r="Q1491" s="1407"/>
      <c r="R1491" s="1407"/>
      <c r="S1491" s="1407"/>
      <c r="T1491" s="1407"/>
      <c r="U1491" s="1407"/>
    </row>
    <row r="1492" spans="1:21" ht="12">
      <c r="A1492" s="639" t="s">
        <v>4803</v>
      </c>
      <c r="B1492" s="1483">
        <v>42956</v>
      </c>
      <c r="C1492" s="639" t="s">
        <v>4804</v>
      </c>
      <c r="D1492" s="1831" t="s">
        <v>4805</v>
      </c>
      <c r="E1492" s="2264">
        <v>42956</v>
      </c>
      <c r="F1492" s="2228">
        <v>71600000000000</v>
      </c>
      <c r="G1492" s="2228">
        <v>15400000000</v>
      </c>
      <c r="H1492" s="2262"/>
      <c r="I1492" s="1428"/>
      <c r="J1492" s="1407"/>
      <c r="K1492" s="1431">
        <f t="shared" ref="K1492:K1496" si="173">(32800000000/G1492)*F1492</f>
        <v>152498701298701.28</v>
      </c>
      <c r="L1492" s="2381">
        <v>42718</v>
      </c>
      <c r="M1492" s="2264">
        <v>42724</v>
      </c>
      <c r="N1492" s="1407"/>
      <c r="O1492" s="1407"/>
      <c r="P1492" s="1407"/>
      <c r="Q1492" s="1407"/>
      <c r="R1492" s="1407"/>
      <c r="S1492" s="1407"/>
      <c r="T1492" s="1407"/>
      <c r="U1492" s="1407"/>
    </row>
    <row r="1493" spans="1:21" ht="12">
      <c r="A1493" s="639" t="s">
        <v>4803</v>
      </c>
      <c r="B1493" s="1483">
        <v>42956</v>
      </c>
      <c r="C1493" s="639" t="s">
        <v>4804</v>
      </c>
      <c r="D1493" s="1831" t="s">
        <v>4807</v>
      </c>
      <c r="E1493" s="2264">
        <v>42956</v>
      </c>
      <c r="F1493" s="2228">
        <v>39100000000000</v>
      </c>
      <c r="G1493" s="2228">
        <v>15400000000</v>
      </c>
      <c r="H1493" s="2262"/>
      <c r="I1493" s="1428"/>
      <c r="J1493" s="1407"/>
      <c r="K1493" s="1431">
        <f t="shared" si="173"/>
        <v>83277922077922.078</v>
      </c>
      <c r="L1493" s="2381">
        <v>42718</v>
      </c>
      <c r="M1493" s="2264">
        <v>42724</v>
      </c>
      <c r="N1493" s="1407"/>
      <c r="O1493" s="1407"/>
      <c r="P1493" s="1407"/>
      <c r="Q1493" s="1407"/>
      <c r="R1493" s="1407"/>
      <c r="S1493" s="1407"/>
      <c r="T1493" s="1407"/>
      <c r="U1493" s="1407"/>
    </row>
    <row r="1494" spans="1:21" ht="12">
      <c r="A1494" s="639" t="s">
        <v>4803</v>
      </c>
      <c r="B1494" s="1483">
        <v>42956</v>
      </c>
      <c r="C1494" s="639" t="s">
        <v>4804</v>
      </c>
      <c r="D1494" s="1831" t="s">
        <v>4810</v>
      </c>
      <c r="E1494" s="2264">
        <v>42956</v>
      </c>
      <c r="F1494" s="2228">
        <v>6790000000000</v>
      </c>
      <c r="G1494" s="2228">
        <v>15400000000</v>
      </c>
      <c r="H1494" s="2262"/>
      <c r="I1494" s="1428"/>
      <c r="J1494" s="1407"/>
      <c r="K1494" s="1431">
        <f t="shared" si="173"/>
        <v>14461818181818.18</v>
      </c>
      <c r="L1494" s="2381">
        <v>42718</v>
      </c>
      <c r="M1494" s="2264">
        <v>42724</v>
      </c>
      <c r="N1494" s="1407"/>
      <c r="O1494" s="1407"/>
      <c r="P1494" s="1407"/>
      <c r="Q1494" s="1407"/>
      <c r="R1494" s="1407"/>
      <c r="S1494" s="1407"/>
      <c r="T1494" s="1407"/>
      <c r="U1494" s="1407"/>
    </row>
    <row r="1495" spans="1:21" ht="12">
      <c r="A1495" s="639" t="s">
        <v>4803</v>
      </c>
      <c r="B1495" s="1483">
        <v>42956</v>
      </c>
      <c r="C1495" s="639" t="s">
        <v>4804</v>
      </c>
      <c r="D1495" s="1831" t="s">
        <v>4811</v>
      </c>
      <c r="E1495" s="2264">
        <v>42956</v>
      </c>
      <c r="F1495" s="2228">
        <v>63300000000000</v>
      </c>
      <c r="G1495" s="2228">
        <v>15400000000</v>
      </c>
      <c r="H1495" s="2262"/>
      <c r="I1495" s="1428"/>
      <c r="J1495" s="1407"/>
      <c r="K1495" s="1431">
        <f t="shared" si="173"/>
        <v>134820779220779.2</v>
      </c>
      <c r="L1495" s="2381">
        <v>42718</v>
      </c>
      <c r="M1495" s="2264">
        <v>42724</v>
      </c>
      <c r="N1495" s="1407"/>
      <c r="O1495" s="1407"/>
      <c r="P1495" s="1407"/>
      <c r="Q1495" s="1407"/>
      <c r="R1495" s="1407"/>
      <c r="S1495" s="1407"/>
      <c r="T1495" s="1407"/>
      <c r="U1495" s="1407"/>
    </row>
    <row r="1496" spans="1:21" ht="24">
      <c r="A1496" s="639" t="s">
        <v>4803</v>
      </c>
      <c r="B1496" s="1483">
        <v>42956</v>
      </c>
      <c r="C1496" s="639" t="s">
        <v>4804</v>
      </c>
      <c r="D1496" s="1831" t="s">
        <v>4812</v>
      </c>
      <c r="E1496" s="2264">
        <v>42956</v>
      </c>
      <c r="F1496" s="2228">
        <v>1270000000000</v>
      </c>
      <c r="G1496" s="2228">
        <v>15400000000</v>
      </c>
      <c r="H1496" s="2262"/>
      <c r="I1496" s="1428"/>
      <c r="J1496" s="1407"/>
      <c r="K1496" s="1431">
        <f t="shared" si="173"/>
        <v>2704935064935.0649</v>
      </c>
      <c r="L1496" s="2381">
        <v>42718</v>
      </c>
      <c r="M1496" s="2264">
        <v>42724</v>
      </c>
      <c r="N1496" s="1407"/>
      <c r="O1496" s="1407"/>
      <c r="P1496" s="1407"/>
      <c r="Q1496" s="1407"/>
      <c r="R1496" s="1407"/>
      <c r="S1496" s="1407"/>
      <c r="T1496" s="1407"/>
      <c r="U1496" s="1407"/>
    </row>
    <row r="1497" spans="1:21" ht="12">
      <c r="A1497" s="639"/>
      <c r="B1497" s="1483"/>
      <c r="C1497" s="639"/>
      <c r="D1497" s="1831"/>
      <c r="E1497" s="2264"/>
      <c r="F1497" s="1407"/>
      <c r="G1497" s="2262"/>
      <c r="H1497" s="2262"/>
      <c r="I1497" s="1428"/>
      <c r="J1497" s="1407"/>
      <c r="K1497" s="1431"/>
      <c r="L1497" s="1407"/>
      <c r="M1497" s="1407"/>
      <c r="N1497" s="1407"/>
      <c r="O1497" s="1407"/>
      <c r="P1497" s="1407"/>
      <c r="Q1497" s="1407"/>
      <c r="R1497" s="1407"/>
      <c r="S1497" s="1407"/>
      <c r="T1497" s="1407"/>
      <c r="U1497" s="1407"/>
    </row>
    <row r="1498" spans="1:21" ht="12">
      <c r="A1498" s="639" t="s">
        <v>4813</v>
      </c>
      <c r="B1498" s="1483">
        <v>42964</v>
      </c>
      <c r="C1498" s="639" t="s">
        <v>3212</v>
      </c>
      <c r="D1498" s="1831" t="s">
        <v>4814</v>
      </c>
      <c r="E1498" s="2264">
        <v>42964</v>
      </c>
      <c r="F1498" s="2228">
        <v>61100000000000</v>
      </c>
      <c r="G1498" s="2228">
        <v>17900000000</v>
      </c>
      <c r="H1498" s="2262"/>
      <c r="I1498" s="1428"/>
      <c r="J1498" s="1407"/>
      <c r="K1498" s="1431">
        <f t="shared" ref="K1498:K1505" si="174">(32800000000/G1498)*F1498</f>
        <v>111959776536312.86</v>
      </c>
      <c r="L1498" s="2381">
        <v>42718</v>
      </c>
      <c r="M1498" s="2264">
        <v>42724</v>
      </c>
      <c r="N1498" s="1407"/>
      <c r="O1498" s="1407"/>
      <c r="P1498" s="1407"/>
      <c r="Q1498" s="1407"/>
      <c r="R1498" s="1407"/>
      <c r="S1498" s="1407"/>
      <c r="T1498" s="1407"/>
      <c r="U1498" s="1407"/>
    </row>
    <row r="1499" spans="1:21" ht="12">
      <c r="A1499" s="639" t="s">
        <v>4813</v>
      </c>
      <c r="B1499" s="1483">
        <v>42964</v>
      </c>
      <c r="C1499" s="639" t="s">
        <v>3212</v>
      </c>
      <c r="D1499" s="1831" t="s">
        <v>4815</v>
      </c>
      <c r="E1499" s="2264">
        <v>42964</v>
      </c>
      <c r="F1499" s="2228">
        <v>527000000000</v>
      </c>
      <c r="G1499" s="2228">
        <v>17900000000</v>
      </c>
      <c r="H1499" s="2262"/>
      <c r="I1499" s="1428"/>
      <c r="J1499" s="1407"/>
      <c r="K1499" s="1431">
        <f t="shared" si="174"/>
        <v>965675977653.63135</v>
      </c>
      <c r="L1499" s="2381">
        <v>42718</v>
      </c>
      <c r="M1499" s="2264">
        <v>42724</v>
      </c>
      <c r="N1499" s="1407"/>
      <c r="O1499" s="1407"/>
      <c r="P1499" s="1407"/>
      <c r="Q1499" s="1407"/>
      <c r="R1499" s="1407"/>
      <c r="S1499" s="1407"/>
      <c r="T1499" s="1407"/>
      <c r="U1499" s="1407"/>
    </row>
    <row r="1500" spans="1:21" ht="12">
      <c r="A1500" s="639" t="s">
        <v>4813</v>
      </c>
      <c r="B1500" s="1483">
        <v>42964</v>
      </c>
      <c r="C1500" s="639" t="s">
        <v>3212</v>
      </c>
      <c r="D1500" s="1831" t="s">
        <v>4816</v>
      </c>
      <c r="E1500" s="2264">
        <v>42964</v>
      </c>
      <c r="F1500" s="2228">
        <v>110000000000</v>
      </c>
      <c r="G1500" s="2228">
        <v>17900000000</v>
      </c>
      <c r="H1500" s="2262"/>
      <c r="I1500" s="1428"/>
      <c r="J1500" s="1407"/>
      <c r="K1500" s="1431">
        <f t="shared" si="174"/>
        <v>201564245810.05588</v>
      </c>
      <c r="L1500" s="2381">
        <v>42718</v>
      </c>
      <c r="M1500" s="2264">
        <v>42724</v>
      </c>
      <c r="N1500" s="1407"/>
      <c r="O1500" s="1407"/>
      <c r="P1500" s="1407"/>
      <c r="Q1500" s="1407"/>
      <c r="R1500" s="1407"/>
      <c r="S1500" s="1407"/>
      <c r="T1500" s="1407"/>
      <c r="U1500" s="1407"/>
    </row>
    <row r="1501" spans="1:21" ht="12">
      <c r="A1501" s="639" t="s">
        <v>4813</v>
      </c>
      <c r="B1501" s="1483">
        <v>42964</v>
      </c>
      <c r="C1501" s="639" t="s">
        <v>3212</v>
      </c>
      <c r="D1501" s="1831" t="s">
        <v>4817</v>
      </c>
      <c r="E1501" s="2264">
        <v>42964</v>
      </c>
      <c r="F1501" s="2228">
        <v>1950000000000</v>
      </c>
      <c r="G1501" s="2228">
        <v>17900000000</v>
      </c>
      <c r="H1501" s="2262"/>
      <c r="I1501" s="1428"/>
      <c r="J1501" s="1407"/>
      <c r="K1501" s="1431">
        <f t="shared" si="174"/>
        <v>3573184357541.8994</v>
      </c>
      <c r="L1501" s="2381">
        <v>42718</v>
      </c>
      <c r="M1501" s="2264">
        <v>42724</v>
      </c>
      <c r="N1501" s="1407"/>
      <c r="O1501" s="1407"/>
      <c r="P1501" s="1407"/>
      <c r="Q1501" s="1407"/>
      <c r="R1501" s="1407"/>
      <c r="S1501" s="1407"/>
      <c r="T1501" s="1407"/>
      <c r="U1501" s="1407"/>
    </row>
    <row r="1502" spans="1:21" ht="12">
      <c r="A1502" s="639" t="s">
        <v>4813</v>
      </c>
      <c r="B1502" s="1483">
        <v>42964</v>
      </c>
      <c r="C1502" s="639" t="s">
        <v>3212</v>
      </c>
      <c r="D1502" s="1831" t="s">
        <v>4818</v>
      </c>
      <c r="E1502" s="2264">
        <v>42964</v>
      </c>
      <c r="F1502" s="2228">
        <v>67300000000000</v>
      </c>
      <c r="G1502" s="2228">
        <v>17900000000</v>
      </c>
      <c r="H1502" s="2262"/>
      <c r="I1502" s="1428"/>
      <c r="J1502" s="1407"/>
      <c r="K1502" s="1431">
        <f t="shared" si="174"/>
        <v>123320670391061.45</v>
      </c>
      <c r="L1502" s="2381">
        <v>42718</v>
      </c>
      <c r="M1502" s="2264">
        <v>42724</v>
      </c>
      <c r="N1502" s="1407"/>
      <c r="O1502" s="1407"/>
      <c r="P1502" s="1407"/>
      <c r="Q1502" s="1407"/>
      <c r="R1502" s="1407"/>
      <c r="S1502" s="1407"/>
      <c r="T1502" s="1407"/>
      <c r="U1502" s="1407"/>
    </row>
    <row r="1503" spans="1:21" ht="12">
      <c r="A1503" s="639" t="s">
        <v>4813</v>
      </c>
      <c r="B1503" s="1483">
        <v>42964</v>
      </c>
      <c r="C1503" s="639" t="s">
        <v>3212</v>
      </c>
      <c r="D1503" s="1831" t="s">
        <v>4819</v>
      </c>
      <c r="E1503" s="2264">
        <v>42964</v>
      </c>
      <c r="F1503" s="2228">
        <v>67100000000000</v>
      </c>
      <c r="G1503" s="2228">
        <v>17900000000</v>
      </c>
      <c r="H1503" s="2262"/>
      <c r="I1503" s="1428"/>
      <c r="J1503" s="1407"/>
      <c r="K1503" s="1431">
        <f t="shared" si="174"/>
        <v>122954189944134.08</v>
      </c>
      <c r="L1503" s="2381">
        <v>42718</v>
      </c>
      <c r="M1503" s="2264">
        <v>42724</v>
      </c>
      <c r="N1503" s="1407"/>
      <c r="O1503" s="1407"/>
      <c r="P1503" s="1407"/>
      <c r="Q1503" s="1407"/>
      <c r="R1503" s="1407"/>
      <c r="S1503" s="1407"/>
      <c r="T1503" s="1407"/>
      <c r="U1503" s="1407"/>
    </row>
    <row r="1504" spans="1:21" ht="12">
      <c r="A1504" s="639" t="s">
        <v>4813</v>
      </c>
      <c r="B1504" s="1483">
        <v>42964</v>
      </c>
      <c r="C1504" s="639" t="s">
        <v>3212</v>
      </c>
      <c r="D1504" s="1831" t="s">
        <v>4821</v>
      </c>
      <c r="E1504" s="2264">
        <v>42964</v>
      </c>
      <c r="F1504" s="2228">
        <v>55300000000</v>
      </c>
      <c r="G1504" s="2228">
        <v>17900000000</v>
      </c>
      <c r="H1504" s="2262"/>
      <c r="I1504" s="1428"/>
      <c r="J1504" s="1407"/>
      <c r="K1504" s="1431">
        <f t="shared" si="174"/>
        <v>101331843575.41899</v>
      </c>
      <c r="L1504" s="2381">
        <v>42718</v>
      </c>
      <c r="M1504" s="2264">
        <v>42724</v>
      </c>
      <c r="N1504" s="1407"/>
      <c r="O1504" s="1407"/>
      <c r="P1504" s="1407"/>
      <c r="Q1504" s="1407"/>
      <c r="R1504" s="1407"/>
      <c r="S1504" s="1407"/>
      <c r="T1504" s="1407"/>
      <c r="U1504" s="1407"/>
    </row>
    <row r="1505" spans="1:21" ht="12">
      <c r="A1505" s="639" t="s">
        <v>4813</v>
      </c>
      <c r="B1505" s="1483">
        <v>42964</v>
      </c>
      <c r="C1505" s="639" t="s">
        <v>3212</v>
      </c>
      <c r="D1505" s="1831" t="s">
        <v>4822</v>
      </c>
      <c r="E1505" s="2264">
        <v>42964</v>
      </c>
      <c r="F1505" s="2228">
        <v>40800000000</v>
      </c>
      <c r="G1505" s="2228">
        <v>17900000000</v>
      </c>
      <c r="H1505" s="2262"/>
      <c r="I1505" s="1428"/>
      <c r="J1505" s="1407"/>
      <c r="K1505" s="1431">
        <f t="shared" si="174"/>
        <v>74762011173.184357</v>
      </c>
      <c r="L1505" s="2381">
        <v>42718</v>
      </c>
      <c r="M1505" s="2264">
        <v>42724</v>
      </c>
      <c r="N1505" s="1407"/>
      <c r="O1505" s="1407"/>
      <c r="P1505" s="1407"/>
      <c r="Q1505" s="1407"/>
      <c r="R1505" s="1407"/>
      <c r="S1505" s="1407"/>
      <c r="T1505" s="1407"/>
      <c r="U1505" s="1407"/>
    </row>
    <row r="1506" spans="1:21" ht="12">
      <c r="A1506" s="639"/>
      <c r="B1506" s="1483"/>
      <c r="C1506" s="639"/>
      <c r="D1506" s="1831"/>
      <c r="E1506" s="2264"/>
      <c r="F1506" s="1407"/>
      <c r="G1506" s="2262"/>
      <c r="H1506" s="2262"/>
      <c r="I1506" s="1428"/>
      <c r="J1506" s="1407"/>
      <c r="K1506" s="1431"/>
      <c r="L1506" s="1407"/>
      <c r="M1506" s="1407"/>
      <c r="N1506" s="1407"/>
      <c r="O1506" s="1407"/>
      <c r="P1506" s="1407"/>
      <c r="Q1506" s="1407"/>
      <c r="R1506" s="1407"/>
      <c r="S1506" s="1407"/>
      <c r="T1506" s="1407"/>
      <c r="U1506" s="1407"/>
    </row>
    <row r="1507" spans="1:21" ht="12">
      <c r="A1507" s="639" t="s">
        <v>4823</v>
      </c>
      <c r="B1507" s="1483">
        <v>42970</v>
      </c>
      <c r="C1507" s="639" t="s">
        <v>3212</v>
      </c>
      <c r="D1507" s="1831" t="s">
        <v>4824</v>
      </c>
      <c r="E1507" s="2264">
        <v>42969</v>
      </c>
      <c r="F1507" s="2228">
        <v>2740000000000</v>
      </c>
      <c r="G1507" s="2228">
        <v>16600000000</v>
      </c>
      <c r="H1507" s="2262"/>
      <c r="I1507" s="1428"/>
      <c r="J1507" s="1407"/>
      <c r="K1507" s="1431">
        <f t="shared" ref="K1507:K1510" si="175">(32800000000/G1507)*F1507</f>
        <v>5413975903614.458</v>
      </c>
      <c r="L1507" s="2381">
        <v>42718</v>
      </c>
      <c r="M1507" s="2264">
        <v>42724</v>
      </c>
      <c r="N1507" s="1407"/>
      <c r="O1507" s="1407"/>
      <c r="P1507" s="1407"/>
      <c r="Q1507" s="1407"/>
      <c r="R1507" s="1407"/>
      <c r="S1507" s="1407"/>
      <c r="T1507" s="1407"/>
      <c r="U1507" s="1407"/>
    </row>
    <row r="1508" spans="1:21" ht="12">
      <c r="A1508" s="639" t="s">
        <v>4823</v>
      </c>
      <c r="B1508" s="1483">
        <v>42970</v>
      </c>
      <c r="C1508" s="639" t="s">
        <v>3212</v>
      </c>
      <c r="D1508" s="1831" t="s">
        <v>4825</v>
      </c>
      <c r="E1508" s="2264">
        <v>42969</v>
      </c>
      <c r="F1508" s="2228">
        <v>151000000000000</v>
      </c>
      <c r="G1508" s="2228">
        <v>16600000000</v>
      </c>
      <c r="H1508" s="2262"/>
      <c r="I1508" s="1428"/>
      <c r="J1508" s="1407"/>
      <c r="K1508" s="1431">
        <f t="shared" si="175"/>
        <v>298361445783132.5</v>
      </c>
      <c r="L1508" s="2381">
        <v>42718</v>
      </c>
      <c r="M1508" s="2264">
        <v>42724</v>
      </c>
      <c r="N1508" s="1407"/>
      <c r="O1508" s="1407"/>
      <c r="P1508" s="1407"/>
      <c r="Q1508" s="1407"/>
      <c r="R1508" s="1407"/>
      <c r="S1508" s="1407"/>
      <c r="T1508" s="1407"/>
      <c r="U1508" s="1407"/>
    </row>
    <row r="1509" spans="1:21" ht="12">
      <c r="A1509" s="639" t="s">
        <v>4823</v>
      </c>
      <c r="B1509" s="1483">
        <v>42970</v>
      </c>
      <c r="C1509" s="639" t="s">
        <v>3212</v>
      </c>
      <c r="D1509" s="1831" t="s">
        <v>4826</v>
      </c>
      <c r="E1509" s="2264">
        <v>42969</v>
      </c>
      <c r="F1509" s="2228">
        <v>80900000000000</v>
      </c>
      <c r="G1509" s="2228">
        <v>16600000000</v>
      </c>
      <c r="H1509" s="2262"/>
      <c r="I1509" s="1428"/>
      <c r="J1509" s="1407"/>
      <c r="K1509" s="1431">
        <f t="shared" si="175"/>
        <v>159850602409638.56</v>
      </c>
      <c r="L1509" s="2381">
        <v>42718</v>
      </c>
      <c r="M1509" s="2264">
        <v>42724</v>
      </c>
      <c r="N1509" s="1407"/>
      <c r="O1509" s="1407"/>
      <c r="P1509" s="1407"/>
      <c r="Q1509" s="1407"/>
      <c r="R1509" s="1407"/>
      <c r="S1509" s="1407"/>
      <c r="T1509" s="1407"/>
      <c r="U1509" s="1407"/>
    </row>
    <row r="1510" spans="1:21" ht="12">
      <c r="A1510" s="639" t="s">
        <v>4823</v>
      </c>
      <c r="B1510" s="1483">
        <v>42970</v>
      </c>
      <c r="C1510" s="639" t="s">
        <v>3212</v>
      </c>
      <c r="D1510" s="1831" t="s">
        <v>4827</v>
      </c>
      <c r="E1510" s="2264">
        <v>42969</v>
      </c>
      <c r="F1510" s="2228">
        <v>25600000000000</v>
      </c>
      <c r="G1510" s="2228">
        <v>16600000000</v>
      </c>
      <c r="H1510" s="2262"/>
      <c r="I1510" s="1428"/>
      <c r="J1510" s="1407"/>
      <c r="K1510" s="1431">
        <f t="shared" si="175"/>
        <v>50583132530120.477</v>
      </c>
      <c r="L1510" s="2381">
        <v>42718</v>
      </c>
      <c r="M1510" s="2264">
        <v>42724</v>
      </c>
      <c r="N1510" s="1407"/>
      <c r="O1510" s="1407"/>
      <c r="P1510" s="1407"/>
      <c r="Q1510" s="1407"/>
      <c r="R1510" s="1407"/>
      <c r="S1510" s="1407"/>
      <c r="T1510" s="1407"/>
      <c r="U1510" s="1407"/>
    </row>
    <row r="1511" spans="1:21" ht="12">
      <c r="A1511" s="639"/>
      <c r="B1511" s="1483"/>
      <c r="C1511" s="639"/>
      <c r="D1511" s="1831"/>
      <c r="E1511" s="2264"/>
      <c r="F1511" s="2228"/>
      <c r="G1511" s="2262"/>
      <c r="H1511" s="2262"/>
      <c r="I1511" s="1428"/>
      <c r="J1511" s="1407"/>
      <c r="K1511" s="1431"/>
      <c r="L1511" s="1407"/>
      <c r="M1511" s="1407"/>
      <c r="N1511" s="1407"/>
      <c r="O1511" s="1407"/>
      <c r="P1511" s="1407"/>
      <c r="Q1511" s="1407"/>
      <c r="R1511" s="1407"/>
      <c r="S1511" s="1407"/>
      <c r="T1511" s="1407"/>
      <c r="U1511" s="1407"/>
    </row>
    <row r="1512" spans="1:21" ht="12">
      <c r="A1512" s="639"/>
      <c r="B1512" s="1483"/>
      <c r="C1512" s="639"/>
      <c r="D1512" s="1831"/>
      <c r="E1512" s="2264"/>
      <c r="F1512" s="2228"/>
      <c r="G1512" s="2262"/>
      <c r="H1512" s="2262"/>
      <c r="I1512" s="1428"/>
      <c r="J1512" s="1407"/>
      <c r="K1512" s="1431"/>
      <c r="L1512" s="1407"/>
      <c r="M1512" s="1407"/>
      <c r="N1512" s="1407"/>
      <c r="O1512" s="1407"/>
      <c r="P1512" s="1407"/>
      <c r="Q1512" s="1407"/>
      <c r="R1512" s="1407"/>
      <c r="S1512" s="1407"/>
      <c r="T1512" s="1407"/>
      <c r="U1512" s="1407"/>
    </row>
    <row r="1513" spans="1:21" ht="12">
      <c r="A1513" s="639"/>
      <c r="B1513" s="1483"/>
      <c r="C1513" s="639"/>
      <c r="D1513" s="1831"/>
      <c r="E1513" s="2264"/>
      <c r="F1513" s="1407"/>
      <c r="G1513" s="2262"/>
      <c r="H1513" s="2262"/>
      <c r="I1513" s="1428"/>
      <c r="J1513" s="1407"/>
      <c r="K1513" s="1431"/>
      <c r="L1513" s="1407"/>
      <c r="M1513" s="1407"/>
      <c r="N1513" s="1407"/>
      <c r="O1513" s="1407"/>
      <c r="P1513" s="1407"/>
      <c r="Q1513" s="1407"/>
      <c r="R1513" s="1407"/>
      <c r="S1513" s="1407"/>
      <c r="T1513" s="1407"/>
      <c r="U1513" s="1407"/>
    </row>
    <row r="1514" spans="1:21" ht="12">
      <c r="A1514" s="639"/>
      <c r="B1514" s="1483"/>
      <c r="C1514" s="639"/>
      <c r="D1514" s="1831"/>
      <c r="E1514" s="2264"/>
      <c r="F1514" s="1407"/>
      <c r="G1514" s="2262"/>
      <c r="H1514" s="2262"/>
      <c r="I1514" s="1428"/>
      <c r="J1514" s="1407"/>
      <c r="K1514" s="1431"/>
      <c r="L1514" s="1407"/>
      <c r="M1514" s="1407"/>
      <c r="N1514" s="1407"/>
      <c r="O1514" s="1407"/>
      <c r="P1514" s="1407"/>
      <c r="Q1514" s="1407"/>
      <c r="R1514" s="1407"/>
      <c r="S1514" s="1407"/>
      <c r="T1514" s="1407"/>
      <c r="U1514" s="1407"/>
    </row>
    <row r="1515" spans="1:21" ht="12">
      <c r="A1515" s="639"/>
      <c r="B1515" s="1483"/>
      <c r="C1515" s="639"/>
      <c r="D1515" s="1831"/>
      <c r="E1515" s="2264"/>
      <c r="F1515" s="1407"/>
      <c r="G1515" s="2262"/>
      <c r="H1515" s="2262"/>
      <c r="I1515" s="1428"/>
      <c r="J1515" s="1407"/>
      <c r="K1515" s="1431"/>
      <c r="L1515" s="1407"/>
      <c r="M1515" s="1407"/>
      <c r="N1515" s="1407"/>
      <c r="O1515" s="1407"/>
      <c r="P1515" s="1407"/>
      <c r="Q1515" s="1407"/>
      <c r="R1515" s="1407"/>
      <c r="S1515" s="1407"/>
      <c r="T1515" s="1407"/>
      <c r="U1515" s="1407"/>
    </row>
    <row r="1516" spans="1:21" ht="12">
      <c r="A1516" s="639"/>
      <c r="B1516" s="1483"/>
      <c r="C1516" s="639"/>
      <c r="D1516" s="1831"/>
      <c r="E1516" s="2264"/>
      <c r="F1516" s="1407"/>
      <c r="G1516" s="2262"/>
      <c r="H1516" s="2262"/>
      <c r="I1516" s="1428"/>
      <c r="J1516" s="1407"/>
      <c r="K1516" s="1431"/>
      <c r="L1516" s="1407"/>
      <c r="M1516" s="1407"/>
      <c r="N1516" s="1407"/>
      <c r="O1516" s="1407"/>
      <c r="P1516" s="1407"/>
      <c r="Q1516" s="1407"/>
      <c r="R1516" s="1407"/>
      <c r="S1516" s="1407"/>
      <c r="T1516" s="1407"/>
      <c r="U1516" s="1407"/>
    </row>
    <row r="1517" spans="1:21" ht="12">
      <c r="A1517" s="639"/>
      <c r="B1517" s="1483"/>
      <c r="C1517" s="639"/>
      <c r="D1517" s="1831"/>
      <c r="E1517" s="2264"/>
      <c r="F1517" s="1407"/>
      <c r="G1517" s="2262"/>
      <c r="H1517" s="2262"/>
      <c r="I1517" s="1428"/>
      <c r="J1517" s="1407"/>
      <c r="K1517" s="1431"/>
      <c r="L1517" s="1407"/>
      <c r="M1517" s="1407"/>
      <c r="N1517" s="1407"/>
      <c r="O1517" s="1407"/>
      <c r="P1517" s="1407"/>
      <c r="Q1517" s="1407"/>
      <c r="R1517" s="1407"/>
      <c r="S1517" s="1407"/>
      <c r="T1517" s="1407"/>
      <c r="U1517" s="1407"/>
    </row>
    <row r="1518" spans="1:21" ht="12">
      <c r="A1518" s="639"/>
      <c r="B1518" s="1483"/>
      <c r="C1518" s="639"/>
      <c r="D1518" s="1831"/>
      <c r="E1518" s="2264"/>
      <c r="F1518" s="1407"/>
      <c r="G1518" s="2262"/>
      <c r="H1518" s="2262"/>
      <c r="I1518" s="1428"/>
      <c r="J1518" s="1407"/>
      <c r="K1518" s="1431"/>
      <c r="L1518" s="1407"/>
      <c r="M1518" s="1407"/>
      <c r="N1518" s="1407"/>
      <c r="O1518" s="1407"/>
      <c r="P1518" s="1407"/>
      <c r="Q1518" s="1407"/>
      <c r="R1518" s="1407"/>
      <c r="S1518" s="1407"/>
      <c r="T1518" s="1407"/>
      <c r="U1518" s="1407"/>
    </row>
    <row r="1519" spans="1:21" ht="12">
      <c r="A1519" s="639"/>
      <c r="B1519" s="1483"/>
      <c r="C1519" s="639"/>
      <c r="D1519" s="1831"/>
      <c r="E1519" s="2264"/>
      <c r="F1519" s="1407"/>
      <c r="G1519" s="2262"/>
      <c r="H1519" s="2262"/>
      <c r="I1519" s="1428"/>
      <c r="J1519" s="1407"/>
      <c r="K1519" s="1431"/>
      <c r="L1519" s="1407"/>
      <c r="M1519" s="1407"/>
      <c r="N1519" s="1407"/>
      <c r="O1519" s="1407"/>
      <c r="P1519" s="1407"/>
      <c r="Q1519" s="1407"/>
      <c r="R1519" s="1407"/>
      <c r="S1519" s="1407"/>
      <c r="T1519" s="1407"/>
      <c r="U1519" s="1407"/>
    </row>
    <row r="1520" spans="1:21" ht="12">
      <c r="A1520" s="639"/>
      <c r="B1520" s="1483"/>
      <c r="C1520" s="639"/>
      <c r="D1520" s="1831"/>
      <c r="E1520" s="2264"/>
      <c r="F1520" s="1407"/>
      <c r="G1520" s="2262"/>
      <c r="H1520" s="2262"/>
      <c r="I1520" s="1428"/>
      <c r="J1520" s="1407"/>
      <c r="K1520" s="1431"/>
      <c r="L1520" s="1407"/>
      <c r="M1520" s="1407"/>
      <c r="N1520" s="1407"/>
      <c r="O1520" s="1407"/>
      <c r="P1520" s="1407"/>
      <c r="Q1520" s="1407"/>
      <c r="R1520" s="1407"/>
      <c r="S1520" s="1407"/>
      <c r="T1520" s="1407"/>
      <c r="U1520" s="1407"/>
    </row>
    <row r="1521" spans="1:21" ht="12">
      <c r="A1521" s="639"/>
      <c r="B1521" s="1483"/>
      <c r="C1521" s="639"/>
      <c r="D1521" s="1831"/>
      <c r="E1521" s="2264"/>
      <c r="F1521" s="2228"/>
      <c r="G1521" s="2262"/>
      <c r="H1521" s="2262"/>
      <c r="I1521" s="1428"/>
      <c r="J1521" s="1407"/>
      <c r="K1521" s="1431"/>
      <c r="L1521" s="1407"/>
      <c r="M1521" s="1407"/>
      <c r="N1521" s="1407"/>
      <c r="O1521" s="1407"/>
      <c r="P1521" s="1407"/>
      <c r="Q1521" s="1407"/>
      <c r="R1521" s="1407"/>
      <c r="S1521" s="1407"/>
      <c r="T1521" s="1407"/>
      <c r="U1521" s="1407"/>
    </row>
    <row r="1522" spans="1:21" ht="12">
      <c r="A1522" s="639"/>
      <c r="B1522" s="1483"/>
      <c r="C1522" s="639"/>
      <c r="D1522" s="1831"/>
      <c r="E1522" s="2264"/>
      <c r="F1522" s="1407"/>
      <c r="G1522" s="2262"/>
      <c r="H1522" s="2262"/>
      <c r="I1522" s="1428"/>
      <c r="J1522" s="1407"/>
      <c r="K1522" s="1431"/>
      <c r="L1522" s="1407"/>
      <c r="M1522" s="1407"/>
      <c r="N1522" s="1407"/>
      <c r="O1522" s="1407"/>
      <c r="P1522" s="1407"/>
      <c r="Q1522" s="1407"/>
      <c r="R1522" s="1407"/>
      <c r="S1522" s="1407"/>
      <c r="T1522" s="1407"/>
      <c r="U1522" s="1407"/>
    </row>
    <row r="1523" spans="1:21" ht="12">
      <c r="A1523" s="639"/>
      <c r="B1523" s="1483"/>
      <c r="C1523" s="639"/>
      <c r="D1523" s="1831"/>
      <c r="E1523" s="2264"/>
      <c r="F1523" s="2228"/>
      <c r="G1523" s="2262"/>
      <c r="H1523" s="2262"/>
      <c r="I1523" s="1428"/>
      <c r="J1523" s="1407"/>
      <c r="K1523" s="1431"/>
      <c r="L1523" s="1407"/>
      <c r="M1523" s="1407"/>
      <c r="N1523" s="1407"/>
      <c r="O1523" s="1407"/>
      <c r="P1523" s="1407"/>
      <c r="Q1523" s="1407"/>
      <c r="R1523" s="1407"/>
      <c r="S1523" s="1407"/>
      <c r="T1523" s="1407"/>
      <c r="U1523" s="1407"/>
    </row>
    <row r="1524" spans="1:21" ht="12">
      <c r="A1524" s="639"/>
      <c r="B1524" s="1483"/>
      <c r="C1524" s="639"/>
      <c r="D1524" s="1831"/>
      <c r="E1524" s="2264"/>
      <c r="F1524" s="2228"/>
      <c r="G1524" s="2262"/>
      <c r="H1524" s="2262"/>
      <c r="I1524" s="1428"/>
      <c r="J1524" s="1407"/>
      <c r="K1524" s="1431"/>
      <c r="L1524" s="1407"/>
      <c r="M1524" s="1407"/>
      <c r="N1524" s="1407"/>
      <c r="O1524" s="1407"/>
      <c r="P1524" s="1407"/>
      <c r="Q1524" s="1407"/>
      <c r="R1524" s="1407"/>
      <c r="S1524" s="1407"/>
      <c r="T1524" s="1407"/>
      <c r="U1524" s="1407"/>
    </row>
    <row r="1525" spans="1:21" ht="12">
      <c r="A1525" s="639"/>
      <c r="B1525" s="1483"/>
      <c r="C1525" s="639"/>
      <c r="D1525" s="1831"/>
      <c r="E1525" s="2264"/>
      <c r="F1525" s="1407"/>
      <c r="G1525" s="2262"/>
      <c r="H1525" s="2262"/>
      <c r="I1525" s="1428"/>
      <c r="J1525" s="1407"/>
      <c r="K1525" s="1431"/>
      <c r="L1525" s="1407"/>
      <c r="M1525" s="1407"/>
      <c r="N1525" s="1407"/>
      <c r="O1525" s="1407"/>
      <c r="P1525" s="1407"/>
      <c r="Q1525" s="1407"/>
      <c r="R1525" s="1407"/>
      <c r="S1525" s="1407"/>
      <c r="T1525" s="1407"/>
      <c r="U1525" s="1407"/>
    </row>
    <row r="1526" spans="1:21" ht="12">
      <c r="A1526" s="639"/>
      <c r="B1526" s="1483"/>
      <c r="C1526" s="639"/>
      <c r="D1526" s="1831"/>
      <c r="E1526" s="2264"/>
      <c r="F1526" s="2228"/>
      <c r="G1526" s="2262"/>
      <c r="H1526" s="2262"/>
      <c r="I1526" s="1428"/>
      <c r="J1526" s="1407"/>
      <c r="K1526" s="1431"/>
      <c r="L1526" s="1407"/>
      <c r="M1526" s="1407"/>
      <c r="N1526" s="1407"/>
      <c r="O1526" s="1407"/>
      <c r="P1526" s="1407"/>
      <c r="Q1526" s="1407"/>
      <c r="R1526" s="1407"/>
      <c r="S1526" s="1407"/>
      <c r="T1526" s="1407"/>
      <c r="U1526" s="1407"/>
    </row>
    <row r="1527" spans="1:21" ht="12">
      <c r="A1527" s="639"/>
      <c r="B1527" s="1483"/>
      <c r="C1527" s="639"/>
      <c r="D1527" s="1831"/>
      <c r="E1527" s="2264"/>
      <c r="F1527" s="2228"/>
      <c r="G1527" s="2262"/>
      <c r="H1527" s="2262"/>
      <c r="I1527" s="1428"/>
      <c r="J1527" s="1407"/>
      <c r="K1527" s="1431"/>
      <c r="L1527" s="1407"/>
      <c r="M1527" s="1407"/>
      <c r="N1527" s="1407"/>
      <c r="O1527" s="1407"/>
      <c r="P1527" s="1407"/>
      <c r="Q1527" s="1407"/>
      <c r="R1527" s="1407"/>
      <c r="S1527" s="1407"/>
      <c r="T1527" s="1407"/>
      <c r="U1527" s="1407"/>
    </row>
    <row r="1528" spans="1:21" ht="12">
      <c r="A1528" s="639"/>
      <c r="B1528" s="1483"/>
      <c r="C1528" s="639"/>
      <c r="D1528" s="1831"/>
      <c r="E1528" s="2264"/>
      <c r="F1528" s="2262"/>
      <c r="G1528" s="2262"/>
      <c r="H1528" s="2262"/>
      <c r="I1528" s="1428"/>
      <c r="J1528" s="1407"/>
      <c r="K1528" s="1431"/>
      <c r="L1528" s="1407"/>
      <c r="M1528" s="1407"/>
      <c r="N1528" s="1407"/>
      <c r="O1528" s="1407"/>
      <c r="P1528" s="1407"/>
      <c r="Q1528" s="1407"/>
      <c r="R1528" s="1407"/>
      <c r="S1528" s="1407"/>
      <c r="T1528" s="1407"/>
      <c r="U1528" s="1407"/>
    </row>
    <row r="1529" spans="1:21" ht="12">
      <c r="A1529" s="639"/>
      <c r="B1529" s="1483"/>
      <c r="C1529" s="639"/>
      <c r="D1529" s="1831"/>
      <c r="E1529" s="2264"/>
      <c r="F1529" s="2262"/>
      <c r="G1529" s="2262"/>
      <c r="H1529" s="2262"/>
      <c r="I1529" s="1428"/>
      <c r="J1529" s="1407"/>
      <c r="K1529" s="1431"/>
      <c r="L1529" s="1407"/>
      <c r="M1529" s="1407"/>
      <c r="N1529" s="1407"/>
      <c r="O1529" s="1407"/>
      <c r="P1529" s="1407"/>
      <c r="Q1529" s="1407"/>
      <c r="R1529" s="1407"/>
      <c r="S1529" s="1407"/>
      <c r="T1529" s="1407"/>
      <c r="U1529" s="1407"/>
    </row>
    <row r="1530" spans="1:21" ht="12">
      <c r="A1530" s="639"/>
      <c r="B1530" s="1483"/>
      <c r="C1530" s="639"/>
      <c r="D1530" s="1831"/>
      <c r="E1530" s="2264"/>
      <c r="F1530" s="2262"/>
      <c r="G1530" s="2262"/>
      <c r="H1530" s="2262"/>
      <c r="I1530" s="1428"/>
      <c r="J1530" s="1407"/>
      <c r="K1530" s="1431"/>
      <c r="L1530" s="1407"/>
      <c r="M1530" s="1407"/>
      <c r="N1530" s="1407"/>
      <c r="O1530" s="1407"/>
      <c r="P1530" s="1407"/>
      <c r="Q1530" s="1407"/>
      <c r="R1530" s="1407"/>
      <c r="S1530" s="1407"/>
      <c r="T1530" s="1407"/>
      <c r="U1530" s="1407"/>
    </row>
    <row r="1531" spans="1:21" ht="12">
      <c r="A1531" s="639"/>
      <c r="B1531" s="1483"/>
      <c r="C1531" s="639"/>
      <c r="D1531" s="1831"/>
      <c r="E1531" s="2264"/>
      <c r="F1531" s="2262"/>
      <c r="G1531" s="2262"/>
      <c r="H1531" s="2262"/>
      <c r="I1531" s="1428"/>
      <c r="J1531" s="1407"/>
      <c r="K1531" s="1431"/>
      <c r="L1531" s="1407"/>
      <c r="M1531" s="1407"/>
      <c r="N1531" s="1407"/>
      <c r="O1531" s="1407"/>
      <c r="P1531" s="1407"/>
      <c r="Q1531" s="1407"/>
      <c r="R1531" s="1407"/>
      <c r="S1531" s="1407"/>
      <c r="T1531" s="1407"/>
      <c r="U1531" s="1407"/>
    </row>
    <row r="1532" spans="1:21" ht="12">
      <c r="A1532" s="639"/>
      <c r="B1532" s="1483"/>
      <c r="C1532" s="639"/>
      <c r="D1532" s="1831"/>
      <c r="E1532" s="2264"/>
      <c r="F1532" s="2262"/>
      <c r="G1532" s="2262"/>
      <c r="H1532" s="2262"/>
      <c r="I1532" s="1428"/>
      <c r="J1532" s="1407"/>
      <c r="K1532" s="1431"/>
      <c r="L1532" s="1407"/>
      <c r="M1532" s="1407"/>
      <c r="N1532" s="1407"/>
      <c r="O1532" s="1407"/>
      <c r="P1532" s="1407"/>
      <c r="Q1532" s="1407"/>
      <c r="R1532" s="1407"/>
      <c r="S1532" s="1407"/>
      <c r="T1532" s="1407"/>
      <c r="U1532" s="1407"/>
    </row>
    <row r="1533" spans="1:21" ht="12">
      <c r="A1533" s="639"/>
      <c r="B1533" s="1483"/>
      <c r="C1533" s="639"/>
      <c r="D1533" s="1831"/>
      <c r="E1533" s="2264"/>
      <c r="F1533" s="2262"/>
      <c r="G1533" s="2262"/>
      <c r="H1533" s="2262"/>
      <c r="I1533" s="1428"/>
      <c r="J1533" s="1407"/>
      <c r="K1533" s="1431"/>
      <c r="L1533" s="1407"/>
      <c r="M1533" s="1407"/>
      <c r="N1533" s="1407"/>
      <c r="O1533" s="1407"/>
      <c r="P1533" s="1407"/>
      <c r="Q1533" s="1407"/>
      <c r="R1533" s="1407"/>
      <c r="S1533" s="1407"/>
      <c r="T1533" s="1407"/>
      <c r="U1533" s="1407"/>
    </row>
    <row r="1534" spans="1:21" ht="12">
      <c r="A1534" s="639"/>
      <c r="B1534" s="1483"/>
      <c r="C1534" s="639"/>
      <c r="D1534" s="1831"/>
      <c r="E1534" s="2264"/>
      <c r="F1534" s="2262"/>
      <c r="G1534" s="2262"/>
      <c r="H1534" s="2262"/>
      <c r="I1534" s="1428"/>
      <c r="J1534" s="1407"/>
      <c r="K1534" s="1431"/>
      <c r="L1534" s="1407"/>
      <c r="M1534" s="1407"/>
      <c r="N1534" s="1407"/>
      <c r="O1534" s="1407"/>
      <c r="P1534" s="1407"/>
      <c r="Q1534" s="1407"/>
      <c r="R1534" s="1407"/>
      <c r="S1534" s="1407"/>
      <c r="T1534" s="1407"/>
      <c r="U1534" s="1407"/>
    </row>
    <row r="1535" spans="1:21" ht="12">
      <c r="A1535" s="639"/>
      <c r="B1535" s="1483"/>
      <c r="C1535" s="639"/>
      <c r="D1535" s="1831"/>
      <c r="E1535" s="2264"/>
      <c r="F1535" s="2262"/>
      <c r="G1535" s="2262"/>
      <c r="H1535" s="2262"/>
      <c r="I1535" s="1428"/>
      <c r="J1535" s="1407"/>
      <c r="K1535" s="1431"/>
      <c r="L1535" s="1407"/>
      <c r="M1535" s="1407"/>
      <c r="N1535" s="1407"/>
      <c r="O1535" s="1407"/>
      <c r="P1535" s="1407"/>
      <c r="Q1535" s="1407"/>
      <c r="R1535" s="1407"/>
      <c r="S1535" s="1407"/>
      <c r="T1535" s="1407"/>
      <c r="U1535" s="1407"/>
    </row>
    <row r="1536" spans="1:21" ht="12">
      <c r="A1536" s="639"/>
      <c r="B1536" s="1483"/>
      <c r="C1536" s="639"/>
      <c r="D1536" s="1831"/>
      <c r="E1536" s="2264"/>
      <c r="F1536" s="2262"/>
      <c r="G1536" s="2262"/>
      <c r="H1536" s="2262"/>
      <c r="I1536" s="1428"/>
      <c r="J1536" s="1407"/>
      <c r="K1536" s="1431"/>
      <c r="L1536" s="1407"/>
      <c r="M1536" s="1407"/>
      <c r="N1536" s="1407"/>
      <c r="O1536" s="1407"/>
      <c r="P1536" s="1407"/>
      <c r="Q1536" s="1407"/>
      <c r="R1536" s="1407"/>
      <c r="S1536" s="1407"/>
      <c r="T1536" s="1407"/>
      <c r="U1536" s="1407"/>
    </row>
    <row r="1537" spans="1:21" ht="12">
      <c r="A1537" s="639"/>
      <c r="B1537" s="1483"/>
      <c r="C1537" s="639"/>
      <c r="D1537" s="1831"/>
      <c r="E1537" s="2264"/>
      <c r="F1537" s="2262"/>
      <c r="G1537" s="2262"/>
      <c r="H1537" s="2262"/>
      <c r="I1537" s="1428"/>
      <c r="J1537" s="1407"/>
      <c r="K1537" s="1431"/>
      <c r="L1537" s="1407"/>
      <c r="M1537" s="1407"/>
      <c r="N1537" s="1407"/>
      <c r="O1537" s="1407"/>
      <c r="P1537" s="1407"/>
      <c r="Q1537" s="1407"/>
      <c r="R1537" s="1407"/>
      <c r="S1537" s="1407"/>
      <c r="T1537" s="1407"/>
      <c r="U1537" s="1407"/>
    </row>
    <row r="1538" spans="1:21" ht="12">
      <c r="A1538" s="639"/>
      <c r="B1538" s="1483"/>
      <c r="C1538" s="639"/>
      <c r="D1538" s="1831"/>
      <c r="E1538" s="2264"/>
      <c r="F1538" s="2262"/>
      <c r="G1538" s="2262"/>
      <c r="H1538" s="2262"/>
      <c r="I1538" s="1428"/>
      <c r="J1538" s="1407"/>
      <c r="K1538" s="1431"/>
      <c r="L1538" s="1407"/>
      <c r="M1538" s="1407"/>
      <c r="N1538" s="1407"/>
      <c r="O1538" s="1407"/>
      <c r="P1538" s="1407"/>
      <c r="Q1538" s="1407"/>
      <c r="R1538" s="1407"/>
      <c r="S1538" s="1407"/>
      <c r="T1538" s="1407"/>
      <c r="U1538" s="1407"/>
    </row>
    <row r="1539" spans="1:21" ht="12">
      <c r="A1539" s="639"/>
      <c r="B1539" s="1483"/>
      <c r="C1539" s="639"/>
      <c r="D1539" s="1831"/>
      <c r="E1539" s="2264"/>
      <c r="F1539" s="2262"/>
      <c r="G1539" s="2262"/>
      <c r="H1539" s="2262"/>
      <c r="I1539" s="1428"/>
      <c r="J1539" s="1407"/>
      <c r="K1539" s="1431"/>
      <c r="L1539" s="1407"/>
      <c r="M1539" s="1407"/>
      <c r="N1539" s="1407"/>
      <c r="O1539" s="1407"/>
      <c r="P1539" s="1407"/>
      <c r="Q1539" s="1407"/>
      <c r="R1539" s="1407"/>
      <c r="S1539" s="1407"/>
      <c r="T1539" s="1407"/>
      <c r="U1539" s="1407"/>
    </row>
    <row r="1540" spans="1:21" ht="12">
      <c r="A1540" s="639"/>
      <c r="B1540" s="1483"/>
      <c r="C1540" s="639"/>
      <c r="D1540" s="1831"/>
      <c r="E1540" s="2264"/>
      <c r="F1540" s="2262"/>
      <c r="G1540" s="2262"/>
      <c r="H1540" s="2262"/>
      <c r="I1540" s="1428"/>
      <c r="J1540" s="1407"/>
      <c r="K1540" s="1431"/>
      <c r="L1540" s="1407"/>
      <c r="M1540" s="1407"/>
      <c r="N1540" s="1407"/>
      <c r="O1540" s="1407"/>
      <c r="P1540" s="1407"/>
      <c r="Q1540" s="1407"/>
      <c r="R1540" s="1407"/>
      <c r="S1540" s="1407"/>
      <c r="T1540" s="1407"/>
      <c r="U1540" s="1407"/>
    </row>
    <row r="1541" spans="1:21" ht="12">
      <c r="A1541" s="639"/>
      <c r="B1541" s="1483"/>
      <c r="C1541" s="639"/>
      <c r="D1541" s="1831"/>
      <c r="E1541" s="2264"/>
      <c r="F1541" s="2262"/>
      <c r="G1541" s="2262"/>
      <c r="H1541" s="2262"/>
      <c r="I1541" s="1428"/>
      <c r="J1541" s="1407"/>
      <c r="K1541" s="1431"/>
      <c r="L1541" s="1407"/>
      <c r="M1541" s="1407"/>
      <c r="N1541" s="1407"/>
      <c r="O1541" s="1407"/>
      <c r="P1541" s="1407"/>
      <c r="Q1541" s="1407"/>
      <c r="R1541" s="1407"/>
      <c r="S1541" s="1407"/>
      <c r="T1541" s="1407"/>
      <c r="U1541" s="1407"/>
    </row>
    <row r="1542" spans="1:21" ht="12">
      <c r="A1542" s="639"/>
      <c r="B1542" s="1483"/>
      <c r="C1542" s="639"/>
      <c r="D1542" s="1831"/>
      <c r="E1542" s="2264"/>
      <c r="F1542" s="2262"/>
      <c r="G1542" s="2262"/>
      <c r="H1542" s="2262"/>
      <c r="I1542" s="1428"/>
      <c r="J1542" s="1407"/>
      <c r="K1542" s="1431"/>
      <c r="L1542" s="1407"/>
      <c r="M1542" s="1407"/>
      <c r="N1542" s="1407"/>
      <c r="O1542" s="1407"/>
      <c r="P1542" s="1407"/>
      <c r="Q1542" s="1407"/>
      <c r="R1542" s="1407"/>
      <c r="S1542" s="1407"/>
      <c r="T1542" s="1407"/>
      <c r="U1542" s="1407"/>
    </row>
    <row r="1543" spans="1:21" ht="12">
      <c r="A1543" s="639"/>
      <c r="B1543" s="1483"/>
      <c r="C1543" s="639"/>
      <c r="D1543" s="1831"/>
      <c r="E1543" s="2264"/>
      <c r="F1543" s="2262"/>
      <c r="G1543" s="2262"/>
      <c r="H1543" s="2262"/>
      <c r="I1543" s="1428"/>
      <c r="J1543" s="1407"/>
      <c r="K1543" s="1431"/>
      <c r="L1543" s="1407"/>
      <c r="M1543" s="1407"/>
      <c r="N1543" s="1407"/>
      <c r="O1543" s="1407"/>
      <c r="P1543" s="1407"/>
      <c r="Q1543" s="1407"/>
      <c r="R1543" s="1407"/>
      <c r="S1543" s="1407"/>
      <c r="T1543" s="1407"/>
      <c r="U1543" s="1407"/>
    </row>
    <row r="1544" spans="1:21" ht="12">
      <c r="A1544" s="639"/>
      <c r="B1544" s="1483"/>
      <c r="C1544" s="639"/>
      <c r="D1544" s="1831"/>
      <c r="E1544" s="2264"/>
      <c r="F1544" s="2262"/>
      <c r="G1544" s="2262"/>
      <c r="H1544" s="2262"/>
      <c r="I1544" s="1428"/>
      <c r="J1544" s="1407"/>
      <c r="K1544" s="1431"/>
      <c r="L1544" s="1407"/>
      <c r="M1544" s="1407"/>
      <c r="N1544" s="1407"/>
      <c r="O1544" s="1407"/>
      <c r="P1544" s="1407"/>
      <c r="Q1544" s="1407"/>
      <c r="R1544" s="1407"/>
      <c r="S1544" s="1407"/>
      <c r="T1544" s="1407"/>
      <c r="U1544" s="1407"/>
    </row>
    <row r="1545" spans="1:21" ht="12">
      <c r="A1545" s="639"/>
      <c r="B1545" s="1483"/>
      <c r="C1545" s="639"/>
      <c r="D1545" s="1831"/>
      <c r="E1545" s="2264"/>
      <c r="F1545" s="2262"/>
      <c r="G1545" s="2262"/>
      <c r="H1545" s="2262"/>
      <c r="I1545" s="1428"/>
      <c r="J1545" s="1407"/>
      <c r="K1545" s="1431"/>
      <c r="L1545" s="1407"/>
      <c r="M1545" s="1407"/>
      <c r="N1545" s="1407"/>
      <c r="O1545" s="1407"/>
      <c r="P1545" s="1407"/>
      <c r="Q1545" s="1407"/>
      <c r="R1545" s="1407"/>
      <c r="S1545" s="1407"/>
      <c r="T1545" s="1407"/>
      <c r="U1545" s="1407"/>
    </row>
    <row r="1546" spans="1:21" ht="12">
      <c r="A1546" s="639"/>
      <c r="B1546" s="1483"/>
      <c r="C1546" s="639"/>
      <c r="D1546" s="1831"/>
      <c r="E1546" s="2264"/>
      <c r="F1546" s="2262"/>
      <c r="G1546" s="2262"/>
      <c r="H1546" s="2262"/>
      <c r="I1546" s="1428"/>
      <c r="J1546" s="1407"/>
      <c r="K1546" s="1431"/>
      <c r="L1546" s="1407"/>
      <c r="M1546" s="1407"/>
      <c r="N1546" s="1407"/>
      <c r="O1546" s="1407"/>
      <c r="P1546" s="1407"/>
      <c r="Q1546" s="1407"/>
      <c r="R1546" s="1407"/>
      <c r="S1546" s="1407"/>
      <c r="T1546" s="1407"/>
      <c r="U1546" s="1407"/>
    </row>
    <row r="1547" spans="1:21" ht="12">
      <c r="A1547" s="639"/>
      <c r="B1547" s="1483"/>
      <c r="C1547" s="639"/>
      <c r="D1547" s="1831"/>
      <c r="E1547" s="2264"/>
      <c r="F1547" s="2262"/>
      <c r="G1547" s="2262"/>
      <c r="H1547" s="2262"/>
      <c r="I1547" s="1428"/>
      <c r="J1547" s="1407"/>
      <c r="K1547" s="1431"/>
      <c r="L1547" s="1407"/>
      <c r="M1547" s="1407"/>
      <c r="N1547" s="1407"/>
      <c r="O1547" s="1407"/>
      <c r="P1547" s="1407"/>
      <c r="Q1547" s="1407"/>
      <c r="R1547" s="1407"/>
      <c r="S1547" s="1407"/>
      <c r="T1547" s="1407"/>
      <c r="U1547" s="1407"/>
    </row>
    <row r="1548" spans="1:21" ht="12">
      <c r="A1548" s="639"/>
      <c r="B1548" s="1483"/>
      <c r="C1548" s="639"/>
      <c r="D1548" s="1831"/>
      <c r="E1548" s="2264"/>
      <c r="F1548" s="2262"/>
      <c r="G1548" s="2262"/>
      <c r="H1548" s="2262"/>
      <c r="I1548" s="1428"/>
      <c r="J1548" s="1407"/>
      <c r="K1548" s="1431"/>
      <c r="L1548" s="1407"/>
      <c r="M1548" s="1407"/>
      <c r="N1548" s="1407"/>
      <c r="O1548" s="1407"/>
      <c r="P1548" s="1407"/>
      <c r="Q1548" s="1407"/>
      <c r="R1548" s="1407"/>
      <c r="S1548" s="1407"/>
      <c r="T1548" s="1407"/>
      <c r="U1548" s="1407"/>
    </row>
    <row r="1549" spans="1:21" ht="12">
      <c r="A1549" s="639"/>
      <c r="B1549" s="1483"/>
      <c r="C1549" s="639"/>
      <c r="D1549" s="1831"/>
      <c r="E1549" s="2264"/>
      <c r="F1549" s="2262"/>
      <c r="G1549" s="2262"/>
      <c r="H1549" s="2262"/>
      <c r="I1549" s="1428"/>
      <c r="J1549" s="1407"/>
      <c r="K1549" s="1431"/>
      <c r="L1549" s="1407"/>
      <c r="M1549" s="1407"/>
      <c r="N1549" s="1407"/>
      <c r="O1549" s="1407"/>
      <c r="P1549" s="1407"/>
      <c r="Q1549" s="1407"/>
      <c r="R1549" s="1407"/>
      <c r="S1549" s="1407"/>
      <c r="T1549" s="1407"/>
      <c r="U1549" s="1407"/>
    </row>
    <row r="1550" spans="1:21" ht="12">
      <c r="A1550" s="639"/>
      <c r="B1550" s="1483"/>
      <c r="C1550" s="639"/>
      <c r="D1550" s="1831"/>
      <c r="E1550" s="2264"/>
      <c r="F1550" s="2262"/>
      <c r="G1550" s="2262"/>
      <c r="H1550" s="2262"/>
      <c r="I1550" s="1428"/>
      <c r="J1550" s="1407"/>
      <c r="K1550" s="1431"/>
      <c r="L1550" s="1407"/>
      <c r="M1550" s="1407"/>
      <c r="N1550" s="1407"/>
      <c r="O1550" s="1407"/>
      <c r="P1550" s="1407"/>
      <c r="Q1550" s="1407"/>
      <c r="R1550" s="1407"/>
      <c r="S1550" s="1407"/>
      <c r="T1550" s="1407"/>
      <c r="U1550" s="1407"/>
    </row>
    <row r="1551" spans="1:21" ht="12">
      <c r="A1551" s="639"/>
      <c r="B1551" s="1483"/>
      <c r="C1551" s="639"/>
      <c r="D1551" s="1831"/>
      <c r="E1551" s="2264"/>
      <c r="F1551" s="2262"/>
      <c r="G1551" s="2262"/>
      <c r="H1551" s="2262"/>
      <c r="I1551" s="1428"/>
      <c r="J1551" s="1407"/>
      <c r="K1551" s="1431"/>
      <c r="L1551" s="1407"/>
      <c r="M1551" s="1407"/>
      <c r="N1551" s="1407"/>
      <c r="O1551" s="1407"/>
      <c r="P1551" s="1407"/>
      <c r="Q1551" s="1407"/>
      <c r="R1551" s="1407"/>
      <c r="S1551" s="1407"/>
      <c r="T1551" s="1407"/>
      <c r="U1551" s="1407"/>
    </row>
    <row r="1552" spans="1:21" ht="12">
      <c r="A1552" s="639"/>
      <c r="B1552" s="1483"/>
      <c r="C1552" s="639"/>
      <c r="D1552" s="1831"/>
      <c r="E1552" s="2264"/>
      <c r="F1552" s="2262"/>
      <c r="G1552" s="2262"/>
      <c r="H1552" s="2262"/>
      <c r="I1552" s="1428"/>
      <c r="J1552" s="1407"/>
      <c r="K1552" s="1431"/>
      <c r="L1552" s="1407"/>
      <c r="M1552" s="1407"/>
      <c r="N1552" s="1407"/>
      <c r="O1552" s="1407"/>
      <c r="P1552" s="1407"/>
      <c r="Q1552" s="1407"/>
      <c r="R1552" s="1407"/>
      <c r="S1552" s="1407"/>
      <c r="T1552" s="1407"/>
      <c r="U1552" s="1407"/>
    </row>
    <row r="1553" spans="1:21" ht="12">
      <c r="A1553" s="639"/>
      <c r="B1553" s="1483"/>
      <c r="C1553" s="639"/>
      <c r="D1553" s="1831"/>
      <c r="E1553" s="2264"/>
      <c r="F1553" s="2262"/>
      <c r="G1553" s="2262"/>
      <c r="H1553" s="2262"/>
      <c r="I1553" s="1428"/>
      <c r="J1553" s="1407"/>
      <c r="K1553" s="1431"/>
      <c r="L1553" s="1407"/>
      <c r="M1553" s="1407"/>
      <c r="N1553" s="1407"/>
      <c r="O1553" s="1407"/>
      <c r="P1553" s="1407"/>
      <c r="Q1553" s="1407"/>
      <c r="R1553" s="1407"/>
      <c r="S1553" s="1407"/>
      <c r="T1553" s="1407"/>
      <c r="U1553" s="1407"/>
    </row>
    <row r="1554" spans="1:21" ht="12">
      <c r="A1554" s="639"/>
      <c r="B1554" s="1483"/>
      <c r="C1554" s="639"/>
      <c r="D1554" s="1831"/>
      <c r="E1554" s="2264"/>
      <c r="F1554" s="2262"/>
      <c r="G1554" s="2262"/>
      <c r="H1554" s="2262"/>
      <c r="I1554" s="1428"/>
      <c r="J1554" s="1407"/>
      <c r="K1554" s="1431"/>
      <c r="L1554" s="1407"/>
      <c r="M1554" s="1407"/>
      <c r="N1554" s="1407"/>
      <c r="O1554" s="1407"/>
      <c r="P1554" s="1407"/>
      <c r="Q1554" s="1407"/>
      <c r="R1554" s="1407"/>
      <c r="S1554" s="1407"/>
      <c r="T1554" s="1407"/>
      <c r="U1554" s="1407"/>
    </row>
    <row r="1555" spans="1:21" ht="12">
      <c r="A1555" s="639"/>
      <c r="B1555" s="1483"/>
      <c r="C1555" s="639"/>
      <c r="D1555" s="1831"/>
      <c r="E1555" s="2264"/>
      <c r="F1555" s="2262"/>
      <c r="G1555" s="2262"/>
      <c r="H1555" s="2262"/>
      <c r="I1555" s="1428"/>
      <c r="J1555" s="1407"/>
      <c r="K1555" s="1431"/>
      <c r="L1555" s="1407"/>
      <c r="M1555" s="1407"/>
      <c r="N1555" s="1407"/>
      <c r="O1555" s="1407"/>
      <c r="P1555" s="1407"/>
      <c r="Q1555" s="1407"/>
      <c r="R1555" s="1407"/>
      <c r="S1555" s="1407"/>
      <c r="T1555" s="1407"/>
      <c r="U1555" s="1407"/>
    </row>
    <row r="1556" spans="1:21" ht="12">
      <c r="A1556" s="639"/>
      <c r="B1556" s="1483"/>
      <c r="C1556" s="639"/>
      <c r="D1556" s="1831"/>
      <c r="E1556" s="2264"/>
      <c r="F1556" s="2262"/>
      <c r="G1556" s="2262"/>
      <c r="H1556" s="2262"/>
      <c r="I1556" s="1428"/>
      <c r="J1556" s="1407"/>
      <c r="K1556" s="1431"/>
      <c r="L1556" s="1407"/>
      <c r="M1556" s="1407"/>
      <c r="N1556" s="1407"/>
      <c r="O1556" s="1407"/>
      <c r="P1556" s="1407"/>
      <c r="Q1556" s="1407"/>
      <c r="R1556" s="1407"/>
      <c r="S1556" s="1407"/>
      <c r="T1556" s="1407"/>
      <c r="U1556" s="1407"/>
    </row>
    <row r="1557" spans="1:21" ht="12">
      <c r="A1557" s="639"/>
      <c r="B1557" s="1483"/>
      <c r="C1557" s="639"/>
      <c r="D1557" s="1831"/>
      <c r="E1557" s="2264"/>
      <c r="F1557" s="2262"/>
      <c r="G1557" s="2262"/>
      <c r="H1557" s="2262"/>
      <c r="I1557" s="1428"/>
      <c r="J1557" s="1407"/>
      <c r="K1557" s="1431"/>
      <c r="L1557" s="1407"/>
      <c r="M1557" s="1407"/>
      <c r="N1557" s="1407"/>
      <c r="O1557" s="1407"/>
      <c r="P1557" s="1407"/>
      <c r="Q1557" s="1407"/>
      <c r="R1557" s="1407"/>
      <c r="S1557" s="1407"/>
      <c r="T1557" s="1407"/>
      <c r="U1557" s="1407"/>
    </row>
    <row r="1558" spans="1:21" ht="12">
      <c r="A1558" s="639"/>
      <c r="B1558" s="1483"/>
      <c r="C1558" s="639"/>
      <c r="D1558" s="1831"/>
      <c r="E1558" s="2264"/>
      <c r="F1558" s="2262"/>
      <c r="G1558" s="2262"/>
      <c r="H1558" s="2262"/>
      <c r="I1558" s="1428"/>
      <c r="J1558" s="1407"/>
      <c r="K1558" s="1431"/>
      <c r="L1558" s="1407"/>
      <c r="M1558" s="1407"/>
      <c r="N1558" s="1407"/>
      <c r="O1558" s="1407"/>
      <c r="P1558" s="1407"/>
      <c r="Q1558" s="1407"/>
      <c r="R1558" s="1407"/>
      <c r="S1558" s="1407"/>
      <c r="T1558" s="1407"/>
      <c r="U1558" s="1407"/>
    </row>
    <row r="1559" spans="1:21" ht="12">
      <c r="A1559" s="639"/>
      <c r="B1559" s="1483"/>
      <c r="C1559" s="639"/>
      <c r="D1559" s="1831"/>
      <c r="E1559" s="2264"/>
      <c r="F1559" s="2262"/>
      <c r="G1559" s="2262"/>
      <c r="H1559" s="2262"/>
      <c r="I1559" s="1428"/>
      <c r="J1559" s="1407"/>
      <c r="K1559" s="1431"/>
      <c r="L1559" s="1407"/>
      <c r="M1559" s="1407"/>
      <c r="N1559" s="1407"/>
      <c r="O1559" s="1407"/>
      <c r="P1559" s="1407"/>
      <c r="Q1559" s="1407"/>
      <c r="R1559" s="1407"/>
      <c r="S1559" s="1407"/>
      <c r="T1559" s="1407"/>
      <c r="U1559" s="1407"/>
    </row>
    <row r="1560" spans="1:21" ht="12">
      <c r="A1560" s="639"/>
      <c r="B1560" s="1483"/>
      <c r="C1560" s="639"/>
      <c r="D1560" s="1831"/>
      <c r="E1560" s="2264"/>
      <c r="F1560" s="2262"/>
      <c r="G1560" s="2262"/>
      <c r="H1560" s="2262"/>
      <c r="I1560" s="1428"/>
      <c r="J1560" s="1407"/>
      <c r="K1560" s="1431"/>
      <c r="L1560" s="1407"/>
      <c r="M1560" s="1407"/>
      <c r="N1560" s="1407"/>
      <c r="O1560" s="1407"/>
      <c r="P1560" s="1407"/>
      <c r="Q1560" s="1407"/>
      <c r="R1560" s="1407"/>
      <c r="S1560" s="1407"/>
      <c r="T1560" s="1407"/>
      <c r="U1560" s="1407"/>
    </row>
    <row r="1561" spans="1:21" ht="12">
      <c r="A1561" s="639"/>
      <c r="B1561" s="1483"/>
      <c r="C1561" s="639"/>
      <c r="D1561" s="1831"/>
      <c r="E1561" s="2264"/>
      <c r="F1561" s="2262"/>
      <c r="G1561" s="2262"/>
      <c r="H1561" s="2262"/>
      <c r="I1561" s="1428"/>
      <c r="J1561" s="1407"/>
      <c r="K1561" s="1431"/>
      <c r="L1561" s="1407"/>
      <c r="M1561" s="1407"/>
      <c r="N1561" s="1407"/>
      <c r="O1561" s="1407"/>
      <c r="P1561" s="1407"/>
      <c r="Q1561" s="1407"/>
      <c r="R1561" s="1407"/>
      <c r="S1561" s="1407"/>
      <c r="T1561" s="1407"/>
      <c r="U1561" s="1407"/>
    </row>
    <row r="1562" spans="1:21" ht="12">
      <c r="A1562" s="639"/>
      <c r="B1562" s="1483"/>
      <c r="C1562" s="639"/>
      <c r="D1562" s="1831"/>
      <c r="E1562" s="2264"/>
      <c r="F1562" s="2262"/>
      <c r="G1562" s="2262"/>
      <c r="H1562" s="2262"/>
      <c r="I1562" s="1428"/>
      <c r="J1562" s="1407"/>
      <c r="K1562" s="1431"/>
      <c r="L1562" s="1407"/>
      <c r="M1562" s="1407"/>
      <c r="N1562" s="1407"/>
      <c r="O1562" s="1407"/>
      <c r="P1562" s="1407"/>
      <c r="Q1562" s="1407"/>
      <c r="R1562" s="1407"/>
      <c r="S1562" s="1407"/>
      <c r="T1562" s="1407"/>
      <c r="U1562" s="1407"/>
    </row>
    <row r="1563" spans="1:21" ht="12">
      <c r="A1563" s="639"/>
      <c r="B1563" s="1483"/>
      <c r="C1563" s="639"/>
      <c r="D1563" s="1831"/>
      <c r="E1563" s="2264"/>
      <c r="F1563" s="2262"/>
      <c r="G1563" s="2262"/>
      <c r="H1563" s="2262"/>
      <c r="I1563" s="1428"/>
      <c r="J1563" s="1407"/>
      <c r="K1563" s="1431"/>
      <c r="L1563" s="1407"/>
      <c r="M1563" s="1407"/>
      <c r="N1563" s="1407"/>
      <c r="O1563" s="1407"/>
      <c r="P1563" s="1407"/>
      <c r="Q1563" s="1407"/>
      <c r="R1563" s="1407"/>
      <c r="S1563" s="1407"/>
      <c r="T1563" s="1407"/>
      <c r="U1563" s="1407"/>
    </row>
    <row r="1564" spans="1:21" ht="12">
      <c r="A1564" s="639"/>
      <c r="B1564" s="1483"/>
      <c r="C1564" s="639"/>
      <c r="D1564" s="1831"/>
      <c r="E1564" s="2264"/>
      <c r="F1564" s="2262"/>
      <c r="G1564" s="2262"/>
      <c r="H1564" s="2262"/>
      <c r="I1564" s="1428"/>
      <c r="J1564" s="1407"/>
      <c r="K1564" s="1431"/>
      <c r="L1564" s="1407"/>
      <c r="M1564" s="1407"/>
      <c r="N1564" s="1407"/>
      <c r="O1564" s="1407"/>
      <c r="P1564" s="1407"/>
      <c r="Q1564" s="1407"/>
      <c r="R1564" s="1407"/>
      <c r="S1564" s="1407"/>
      <c r="T1564" s="1407"/>
      <c r="U1564" s="1407"/>
    </row>
    <row r="1565" spans="1:21" ht="12">
      <c r="A1565" s="639"/>
      <c r="B1565" s="1483"/>
      <c r="C1565" s="639"/>
      <c r="D1565" s="1831"/>
      <c r="E1565" s="2264"/>
      <c r="F1565" s="2262"/>
      <c r="G1565" s="2262"/>
      <c r="H1565" s="2262"/>
      <c r="I1565" s="1428"/>
      <c r="J1565" s="1407"/>
      <c r="K1565" s="1431"/>
      <c r="L1565" s="1407"/>
      <c r="M1565" s="1407"/>
      <c r="N1565" s="1407"/>
      <c r="O1565" s="1407"/>
      <c r="P1565" s="1407"/>
      <c r="Q1565" s="1407"/>
      <c r="R1565" s="1407"/>
      <c r="S1565" s="1407"/>
      <c r="T1565" s="1407"/>
      <c r="U1565" s="1407"/>
    </row>
    <row r="1566" spans="1:21" ht="12">
      <c r="A1566" s="639"/>
      <c r="B1566" s="1483"/>
      <c r="C1566" s="639"/>
      <c r="D1566" s="1831"/>
      <c r="E1566" s="2264"/>
      <c r="F1566" s="2262"/>
      <c r="G1566" s="2262"/>
      <c r="H1566" s="2262"/>
      <c r="I1566" s="1428"/>
      <c r="J1566" s="1407"/>
      <c r="K1566" s="1431"/>
      <c r="L1566" s="1407"/>
      <c r="M1566" s="1407"/>
      <c r="N1566" s="1407"/>
      <c r="O1566" s="1407"/>
      <c r="P1566" s="1407"/>
      <c r="Q1566" s="1407"/>
      <c r="R1566" s="1407"/>
      <c r="S1566" s="1407"/>
      <c r="T1566" s="1407"/>
      <c r="U1566" s="1407"/>
    </row>
    <row r="1567" spans="1:21" ht="12">
      <c r="A1567" s="639"/>
      <c r="B1567" s="1483"/>
      <c r="C1567" s="639"/>
      <c r="D1567" s="1831"/>
      <c r="E1567" s="2264"/>
      <c r="F1567" s="2262"/>
      <c r="G1567" s="2262"/>
      <c r="H1567" s="2262"/>
      <c r="I1567" s="1428"/>
      <c r="J1567" s="1407"/>
      <c r="K1567" s="1431"/>
      <c r="L1567" s="1407"/>
      <c r="M1567" s="1407"/>
      <c r="N1567" s="1407"/>
      <c r="O1567" s="1407"/>
      <c r="P1567" s="1407"/>
      <c r="Q1567" s="1407"/>
      <c r="R1567" s="1407"/>
      <c r="S1567" s="1407"/>
      <c r="T1567" s="1407"/>
      <c r="U1567" s="1407"/>
    </row>
    <row r="1568" spans="1:21" ht="12">
      <c r="A1568" s="639"/>
      <c r="B1568" s="1483"/>
      <c r="C1568" s="639"/>
      <c r="D1568" s="1831"/>
      <c r="E1568" s="2264"/>
      <c r="F1568" s="2262"/>
      <c r="G1568" s="2262"/>
      <c r="H1568" s="2262"/>
      <c r="I1568" s="1428"/>
      <c r="J1568" s="1407"/>
      <c r="K1568" s="1431"/>
      <c r="L1568" s="1407"/>
      <c r="M1568" s="1407"/>
      <c r="N1568" s="1407"/>
      <c r="O1568" s="1407"/>
      <c r="P1568" s="1407"/>
      <c r="Q1568" s="1407"/>
      <c r="R1568" s="1407"/>
      <c r="S1568" s="1407"/>
      <c r="T1568" s="1407"/>
      <c r="U1568" s="1407"/>
    </row>
    <row r="1569" spans="1:21" ht="12">
      <c r="A1569" s="639"/>
      <c r="B1569" s="1483"/>
      <c r="C1569" s="639"/>
      <c r="D1569" s="1831"/>
      <c r="E1569" s="2264"/>
      <c r="F1569" s="2262"/>
      <c r="G1569" s="2262"/>
      <c r="H1569" s="2262"/>
      <c r="I1569" s="1428"/>
      <c r="J1569" s="1407"/>
      <c r="K1569" s="1431"/>
      <c r="L1569" s="1407"/>
      <c r="M1569" s="1407"/>
      <c r="N1569" s="1407"/>
      <c r="O1569" s="1407"/>
      <c r="P1569" s="1407"/>
      <c r="Q1569" s="1407"/>
      <c r="R1569" s="1407"/>
      <c r="S1569" s="1407"/>
      <c r="T1569" s="1407"/>
      <c r="U1569" s="1407"/>
    </row>
    <row r="1570" spans="1:21" ht="12">
      <c r="A1570" s="639"/>
      <c r="B1570" s="1483"/>
      <c r="C1570" s="639"/>
      <c r="D1570" s="1831"/>
      <c r="E1570" s="2264"/>
      <c r="F1570" s="2262"/>
      <c r="G1570" s="2262"/>
      <c r="H1570" s="2262"/>
      <c r="I1570" s="1428"/>
      <c r="J1570" s="1407"/>
      <c r="K1570" s="1431"/>
      <c r="L1570" s="1407"/>
      <c r="M1570" s="1407"/>
      <c r="N1570" s="1407"/>
      <c r="O1570" s="1407"/>
      <c r="P1570" s="1407"/>
      <c r="Q1570" s="1407"/>
      <c r="R1570" s="1407"/>
      <c r="S1570" s="1407"/>
      <c r="T1570" s="1407"/>
      <c r="U1570" s="1407"/>
    </row>
    <row r="1571" spans="1:21" ht="12">
      <c r="A1571" s="639"/>
      <c r="B1571" s="1483"/>
      <c r="C1571" s="639"/>
      <c r="D1571" s="1831"/>
      <c r="E1571" s="2264"/>
      <c r="F1571" s="2262"/>
      <c r="G1571" s="2262"/>
      <c r="H1571" s="2262"/>
      <c r="I1571" s="1428"/>
      <c r="J1571" s="1407"/>
      <c r="K1571" s="1431"/>
      <c r="L1571" s="1407"/>
      <c r="M1571" s="1407"/>
      <c r="N1571" s="1407"/>
      <c r="O1571" s="1407"/>
      <c r="P1571" s="1407"/>
      <c r="Q1571" s="1407"/>
      <c r="R1571" s="1407"/>
      <c r="S1571" s="1407"/>
      <c r="T1571" s="1407"/>
      <c r="U1571" s="1407"/>
    </row>
    <row r="1572" spans="1:21" ht="12">
      <c r="A1572" s="639"/>
      <c r="B1572" s="1483"/>
      <c r="C1572" s="639"/>
      <c r="D1572" s="1831"/>
      <c r="E1572" s="2264"/>
      <c r="F1572" s="2262"/>
      <c r="G1572" s="2262"/>
      <c r="H1572" s="2262"/>
      <c r="I1572" s="1428"/>
      <c r="J1572" s="1407"/>
      <c r="K1572" s="1431"/>
      <c r="L1572" s="1407"/>
      <c r="M1572" s="1407"/>
      <c r="N1572" s="1407"/>
      <c r="O1572" s="1407"/>
      <c r="P1572" s="1407"/>
      <c r="Q1572" s="1407"/>
      <c r="R1572" s="1407"/>
      <c r="S1572" s="1407"/>
      <c r="T1572" s="1407"/>
      <c r="U1572" s="1407"/>
    </row>
    <row r="1573" spans="1:21" ht="12">
      <c r="A1573" s="639"/>
      <c r="B1573" s="1483"/>
      <c r="C1573" s="639"/>
      <c r="D1573" s="1831"/>
      <c r="E1573" s="2264"/>
      <c r="F1573" s="2262"/>
      <c r="G1573" s="2262"/>
      <c r="H1573" s="2262"/>
      <c r="I1573" s="1428"/>
      <c r="J1573" s="1407"/>
      <c r="K1573" s="1431"/>
      <c r="L1573" s="1407"/>
      <c r="M1573" s="1407"/>
      <c r="N1573" s="1407"/>
      <c r="O1573" s="1407"/>
      <c r="P1573" s="1407"/>
      <c r="Q1573" s="1407"/>
      <c r="R1573" s="1407"/>
      <c r="S1573" s="1407"/>
      <c r="T1573" s="1407"/>
      <c r="U1573" s="1407"/>
    </row>
    <row r="1574" spans="1:21" ht="12">
      <c r="A1574" s="639"/>
      <c r="B1574" s="1483"/>
      <c r="C1574" s="639"/>
      <c r="D1574" s="1831"/>
      <c r="E1574" s="2264"/>
      <c r="F1574" s="2262"/>
      <c r="G1574" s="2262"/>
      <c r="H1574" s="2262"/>
      <c r="I1574" s="1428"/>
      <c r="J1574" s="1407"/>
      <c r="K1574" s="1431"/>
      <c r="L1574" s="1407"/>
      <c r="M1574" s="1407"/>
      <c r="N1574" s="1407"/>
      <c r="O1574" s="1407"/>
      <c r="P1574" s="1407"/>
      <c r="Q1574" s="1407"/>
      <c r="R1574" s="1407"/>
      <c r="S1574" s="1407"/>
      <c r="T1574" s="1407"/>
      <c r="U1574" s="1407"/>
    </row>
    <row r="1575" spans="1:21" ht="12">
      <c r="A1575" s="639"/>
      <c r="B1575" s="1483"/>
      <c r="C1575" s="639"/>
      <c r="D1575" s="1831"/>
      <c r="E1575" s="2264"/>
      <c r="F1575" s="2262"/>
      <c r="G1575" s="2262"/>
      <c r="H1575" s="2262"/>
      <c r="I1575" s="1428"/>
      <c r="J1575" s="1407"/>
      <c r="K1575" s="1431"/>
      <c r="L1575" s="1407"/>
      <c r="M1575" s="1407"/>
      <c r="N1575" s="1407"/>
      <c r="O1575" s="1407"/>
      <c r="P1575" s="1407"/>
      <c r="Q1575" s="1407"/>
      <c r="R1575" s="1407"/>
      <c r="S1575" s="1407"/>
      <c r="T1575" s="1407"/>
      <c r="U1575" s="1407"/>
    </row>
    <row r="1576" spans="1:21" ht="12">
      <c r="A1576" s="639"/>
      <c r="B1576" s="1483"/>
      <c r="C1576" s="639"/>
      <c r="D1576" s="1831"/>
      <c r="E1576" s="2264"/>
      <c r="F1576" s="2262"/>
      <c r="G1576" s="2262"/>
      <c r="H1576" s="2262"/>
      <c r="I1576" s="1428"/>
      <c r="J1576" s="1407"/>
      <c r="K1576" s="1431"/>
      <c r="L1576" s="1407"/>
      <c r="M1576" s="1407"/>
      <c r="N1576" s="1407"/>
      <c r="O1576" s="1407"/>
      <c r="P1576" s="1407"/>
      <c r="Q1576" s="1407"/>
      <c r="R1576" s="1407"/>
      <c r="S1576" s="1407"/>
      <c r="T1576" s="1407"/>
      <c r="U1576" s="1407"/>
    </row>
    <row r="1577" spans="1:21" ht="12">
      <c r="A1577" s="639"/>
      <c r="B1577" s="1483"/>
      <c r="C1577" s="639"/>
      <c r="D1577" s="1831"/>
      <c r="E1577" s="2264"/>
      <c r="F1577" s="2262"/>
      <c r="G1577" s="2262"/>
      <c r="H1577" s="2262"/>
      <c r="I1577" s="1428"/>
      <c r="J1577" s="1407"/>
      <c r="K1577" s="1431"/>
      <c r="L1577" s="1407"/>
      <c r="M1577" s="1407"/>
      <c r="N1577" s="1407"/>
      <c r="O1577" s="1407"/>
      <c r="P1577" s="1407"/>
      <c r="Q1577" s="1407"/>
      <c r="R1577" s="1407"/>
      <c r="S1577" s="1407"/>
      <c r="T1577" s="1407"/>
      <c r="U1577" s="1407"/>
    </row>
    <row r="1578" spans="1:21" ht="12">
      <c r="A1578" s="639"/>
      <c r="B1578" s="1483"/>
      <c r="C1578" s="639"/>
      <c r="D1578" s="1831"/>
      <c r="E1578" s="2264"/>
      <c r="F1578" s="2262"/>
      <c r="G1578" s="2262"/>
      <c r="H1578" s="2262"/>
      <c r="I1578" s="1428"/>
      <c r="J1578" s="1407"/>
      <c r="K1578" s="1431"/>
      <c r="L1578" s="1407"/>
      <c r="M1578" s="1407"/>
      <c r="N1578" s="1407"/>
      <c r="O1578" s="1407"/>
      <c r="P1578" s="1407"/>
      <c r="Q1578" s="1407"/>
      <c r="R1578" s="1407"/>
      <c r="S1578" s="1407"/>
      <c r="T1578" s="1407"/>
      <c r="U1578" s="1407"/>
    </row>
    <row r="1579" spans="1:21" ht="12">
      <c r="A1579" s="639"/>
      <c r="B1579" s="1483"/>
      <c r="C1579" s="639"/>
      <c r="D1579" s="1831"/>
      <c r="E1579" s="2264"/>
      <c r="F1579" s="2262"/>
      <c r="G1579" s="2262"/>
      <c r="H1579" s="2262"/>
      <c r="I1579" s="1428"/>
      <c r="J1579" s="1407"/>
      <c r="K1579" s="1431"/>
      <c r="L1579" s="1407"/>
      <c r="M1579" s="1407"/>
      <c r="N1579" s="1407"/>
      <c r="O1579" s="1407"/>
      <c r="P1579" s="1407"/>
      <c r="Q1579" s="1407"/>
      <c r="R1579" s="1407"/>
      <c r="S1579" s="1407"/>
      <c r="T1579" s="1407"/>
      <c r="U1579" s="1407"/>
    </row>
    <row r="1580" spans="1:21" ht="12">
      <c r="A1580" s="639"/>
      <c r="B1580" s="1483"/>
      <c r="C1580" s="639"/>
      <c r="D1580" s="1831"/>
      <c r="E1580" s="2264"/>
      <c r="F1580" s="2262"/>
      <c r="G1580" s="2262"/>
      <c r="H1580" s="2262"/>
      <c r="I1580" s="1428"/>
      <c r="J1580" s="1407"/>
      <c r="K1580" s="1431"/>
      <c r="L1580" s="1407"/>
      <c r="M1580" s="1407"/>
      <c r="N1580" s="1407"/>
      <c r="O1580" s="1407"/>
      <c r="P1580" s="1407"/>
      <c r="Q1580" s="1407"/>
      <c r="R1580" s="1407"/>
      <c r="S1580" s="1407"/>
      <c r="T1580" s="1407"/>
      <c r="U1580" s="1407"/>
    </row>
    <row r="1581" spans="1:21" ht="12">
      <c r="A1581" s="639"/>
      <c r="B1581" s="1483"/>
      <c r="C1581" s="639"/>
      <c r="D1581" s="1831"/>
      <c r="E1581" s="2264"/>
      <c r="F1581" s="2262"/>
      <c r="G1581" s="2262"/>
      <c r="H1581" s="2262"/>
      <c r="I1581" s="1428"/>
      <c r="J1581" s="1407"/>
      <c r="K1581" s="1431"/>
      <c r="L1581" s="1407"/>
      <c r="M1581" s="1407"/>
      <c r="N1581" s="1407"/>
      <c r="O1581" s="1407"/>
      <c r="P1581" s="1407"/>
      <c r="Q1581" s="1407"/>
      <c r="R1581" s="1407"/>
      <c r="S1581" s="1407"/>
      <c r="T1581" s="1407"/>
      <c r="U1581" s="1407"/>
    </row>
    <row r="1582" spans="1:21" ht="12">
      <c r="A1582" s="639"/>
      <c r="B1582" s="1483"/>
      <c r="C1582" s="639"/>
      <c r="D1582" s="1831"/>
      <c r="E1582" s="2264"/>
      <c r="F1582" s="2262"/>
      <c r="G1582" s="2262"/>
      <c r="H1582" s="2262"/>
      <c r="I1582" s="1428"/>
      <c r="J1582" s="1407"/>
      <c r="K1582" s="1431"/>
      <c r="L1582" s="1407"/>
      <c r="M1582" s="1407"/>
      <c r="N1582" s="1407"/>
      <c r="O1582" s="1407"/>
      <c r="P1582" s="1407"/>
      <c r="Q1582" s="1407"/>
      <c r="R1582" s="1407"/>
      <c r="S1582" s="1407"/>
      <c r="T1582" s="1407"/>
      <c r="U1582" s="1407"/>
    </row>
    <row r="1583" spans="1:21" ht="12">
      <c r="A1583" s="639"/>
      <c r="B1583" s="1483"/>
      <c r="C1583" s="639"/>
      <c r="D1583" s="1831"/>
      <c r="E1583" s="2264"/>
      <c r="F1583" s="2262"/>
      <c r="G1583" s="2262"/>
      <c r="H1583" s="2262"/>
      <c r="I1583" s="1428"/>
      <c r="J1583" s="1407"/>
      <c r="K1583" s="1431"/>
      <c r="L1583" s="1407"/>
      <c r="M1583" s="1407"/>
      <c r="N1583" s="1407"/>
      <c r="O1583" s="1407"/>
      <c r="P1583" s="1407"/>
      <c r="Q1583" s="1407"/>
      <c r="R1583" s="1407"/>
      <c r="S1583" s="1407"/>
      <c r="T1583" s="1407"/>
      <c r="U1583" s="1407"/>
    </row>
    <row r="1584" spans="1:21" ht="12">
      <c r="A1584" s="639"/>
      <c r="B1584" s="1483"/>
      <c r="C1584" s="639"/>
      <c r="D1584" s="1831"/>
      <c r="E1584" s="2264"/>
      <c r="F1584" s="2262"/>
      <c r="G1584" s="2262"/>
      <c r="H1584" s="2262"/>
      <c r="I1584" s="1428"/>
      <c r="J1584" s="1407"/>
      <c r="K1584" s="1431"/>
      <c r="L1584" s="1407"/>
      <c r="M1584" s="1407"/>
      <c r="N1584" s="1407"/>
      <c r="O1584" s="1407"/>
      <c r="P1584" s="1407"/>
      <c r="Q1584" s="1407"/>
      <c r="R1584" s="1407"/>
      <c r="S1584" s="1407"/>
      <c r="T1584" s="1407"/>
      <c r="U1584" s="1407"/>
    </row>
    <row r="1585" spans="1:21" ht="12">
      <c r="A1585" s="639"/>
      <c r="B1585" s="1483"/>
      <c r="C1585" s="639"/>
      <c r="D1585" s="1831"/>
      <c r="E1585" s="2264"/>
      <c r="F1585" s="2262"/>
      <c r="G1585" s="2262"/>
      <c r="H1585" s="2262"/>
      <c r="I1585" s="1428"/>
      <c r="J1585" s="1407"/>
      <c r="K1585" s="1431"/>
      <c r="L1585" s="1407"/>
      <c r="M1585" s="1407"/>
      <c r="N1585" s="1407"/>
      <c r="O1585" s="1407"/>
      <c r="P1585" s="1407"/>
      <c r="Q1585" s="1407"/>
      <c r="R1585" s="1407"/>
      <c r="S1585" s="1407"/>
      <c r="T1585" s="1407"/>
      <c r="U1585" s="1407"/>
    </row>
    <row r="1586" spans="1:21" ht="12">
      <c r="A1586" s="639"/>
      <c r="B1586" s="1483"/>
      <c r="C1586" s="639"/>
      <c r="D1586" s="1831"/>
      <c r="E1586" s="2264"/>
      <c r="F1586" s="2262"/>
      <c r="G1586" s="2262"/>
      <c r="H1586" s="2262"/>
      <c r="I1586" s="1428"/>
      <c r="J1586" s="1407"/>
      <c r="K1586" s="1431"/>
      <c r="L1586" s="1407"/>
      <c r="M1586" s="1407"/>
      <c r="N1586" s="1407"/>
      <c r="O1586" s="1407"/>
      <c r="P1586" s="1407"/>
      <c r="Q1586" s="1407"/>
      <c r="R1586" s="1407"/>
      <c r="S1586" s="1407"/>
      <c r="T1586" s="1407"/>
      <c r="U1586" s="1407"/>
    </row>
    <row r="1587" spans="1:21" ht="12">
      <c r="A1587" s="639"/>
      <c r="B1587" s="1483"/>
      <c r="C1587" s="639"/>
      <c r="D1587" s="1831"/>
      <c r="E1587" s="2264"/>
      <c r="F1587" s="2262"/>
      <c r="G1587" s="2262"/>
      <c r="H1587" s="2262"/>
      <c r="I1587" s="1428"/>
      <c r="J1587" s="1407"/>
      <c r="K1587" s="1431"/>
      <c r="L1587" s="1407"/>
      <c r="M1587" s="1407"/>
      <c r="N1587" s="1407"/>
      <c r="O1587" s="1407"/>
      <c r="P1587" s="1407"/>
      <c r="Q1587" s="1407"/>
      <c r="R1587" s="1407"/>
      <c r="S1587" s="1407"/>
      <c r="T1587" s="1407"/>
      <c r="U1587" s="1407"/>
    </row>
    <row r="1588" spans="1:21" ht="12">
      <c r="A1588" s="639"/>
      <c r="B1588" s="1483"/>
      <c r="C1588" s="639"/>
      <c r="D1588" s="1831"/>
      <c r="E1588" s="2264"/>
      <c r="F1588" s="2262"/>
      <c r="G1588" s="2262"/>
      <c r="H1588" s="2262"/>
      <c r="I1588" s="1428"/>
      <c r="J1588" s="1407"/>
      <c r="K1588" s="1431"/>
      <c r="L1588" s="1407"/>
      <c r="M1588" s="1407"/>
      <c r="N1588" s="1407"/>
      <c r="O1588" s="1407"/>
      <c r="P1588" s="1407"/>
      <c r="Q1588" s="1407"/>
      <c r="R1588" s="1407"/>
      <c r="S1588" s="1407"/>
      <c r="T1588" s="1407"/>
      <c r="U1588" s="1407"/>
    </row>
    <row r="1589" spans="1:21" ht="12">
      <c r="A1589" s="639"/>
      <c r="B1589" s="1483"/>
      <c r="C1589" s="639"/>
      <c r="D1589" s="1831"/>
      <c r="E1589" s="2264"/>
      <c r="F1589" s="2262"/>
      <c r="G1589" s="2262"/>
      <c r="H1589" s="2262"/>
      <c r="I1589" s="1428"/>
      <c r="J1589" s="1407"/>
      <c r="K1589" s="1431"/>
      <c r="L1589" s="1407"/>
      <c r="M1589" s="1407"/>
      <c r="N1589" s="1407"/>
      <c r="O1589" s="1407"/>
      <c r="P1589" s="1407"/>
      <c r="Q1589" s="1407"/>
      <c r="R1589" s="1407"/>
      <c r="S1589" s="1407"/>
      <c r="T1589" s="1407"/>
      <c r="U1589" s="1407"/>
    </row>
    <row r="1590" spans="1:21" ht="12">
      <c r="A1590" s="639"/>
      <c r="B1590" s="1483"/>
      <c r="C1590" s="639"/>
      <c r="D1590" s="1831"/>
      <c r="E1590" s="2264"/>
      <c r="F1590" s="2262"/>
      <c r="G1590" s="2262"/>
      <c r="H1590" s="2262"/>
      <c r="I1590" s="1428"/>
      <c r="J1590" s="1407"/>
      <c r="K1590" s="1431"/>
      <c r="L1590" s="1407"/>
      <c r="M1590" s="1407"/>
      <c r="N1590" s="1407"/>
      <c r="O1590" s="1407"/>
      <c r="P1590" s="1407"/>
      <c r="Q1590" s="1407"/>
      <c r="R1590" s="1407"/>
      <c r="S1590" s="1407"/>
      <c r="T1590" s="1407"/>
      <c r="U1590" s="1407"/>
    </row>
    <row r="1591" spans="1:21" ht="12">
      <c r="A1591" s="639"/>
      <c r="B1591" s="1483"/>
      <c r="C1591" s="639"/>
      <c r="D1591" s="1831"/>
      <c r="E1591" s="2264"/>
      <c r="F1591" s="2262"/>
      <c r="G1591" s="2262"/>
      <c r="H1591" s="2262"/>
      <c r="I1591" s="1428"/>
      <c r="J1591" s="1407"/>
      <c r="K1591" s="1431"/>
      <c r="L1591" s="1407"/>
      <c r="M1591" s="1407"/>
      <c r="N1591" s="1407"/>
      <c r="O1591" s="1407"/>
      <c r="P1591" s="1407"/>
      <c r="Q1591" s="1407"/>
      <c r="R1591" s="1407"/>
      <c r="S1591" s="1407"/>
      <c r="T1591" s="1407"/>
      <c r="U1591" s="1407"/>
    </row>
    <row r="1592" spans="1:21" ht="12">
      <c r="A1592" s="639"/>
      <c r="B1592" s="1483"/>
      <c r="C1592" s="639"/>
      <c r="D1592" s="1831"/>
      <c r="E1592" s="2264"/>
      <c r="F1592" s="2262"/>
      <c r="G1592" s="2262"/>
      <c r="H1592" s="2262"/>
      <c r="I1592" s="1428"/>
      <c r="J1592" s="1407"/>
      <c r="K1592" s="1431"/>
      <c r="L1592" s="1407"/>
      <c r="M1592" s="1407"/>
      <c r="N1592" s="1407"/>
      <c r="O1592" s="1407"/>
      <c r="P1592" s="1407"/>
      <c r="Q1592" s="1407"/>
      <c r="R1592" s="1407"/>
      <c r="S1592" s="1407"/>
      <c r="T1592" s="1407"/>
      <c r="U1592" s="1407"/>
    </row>
    <row r="1593" spans="1:21" ht="12">
      <c r="A1593" s="639"/>
      <c r="B1593" s="1483"/>
      <c r="C1593" s="639"/>
      <c r="D1593" s="1831"/>
      <c r="E1593" s="2264"/>
      <c r="F1593" s="2262"/>
      <c r="G1593" s="2262"/>
      <c r="H1593" s="2262"/>
      <c r="I1593" s="1428"/>
      <c r="J1593" s="1407"/>
      <c r="K1593" s="1431"/>
      <c r="L1593" s="1407"/>
      <c r="M1593" s="1407"/>
      <c r="N1593" s="1407"/>
      <c r="O1593" s="1407"/>
      <c r="P1593" s="1407"/>
      <c r="Q1593" s="1407"/>
      <c r="R1593" s="1407"/>
      <c r="S1593" s="1407"/>
      <c r="T1593" s="1407"/>
      <c r="U1593" s="1407"/>
    </row>
    <row r="1594" spans="1:21" ht="12">
      <c r="A1594" s="639"/>
      <c r="B1594" s="1483"/>
      <c r="C1594" s="639"/>
      <c r="D1594" s="1831"/>
      <c r="E1594" s="2264"/>
      <c r="F1594" s="2262"/>
      <c r="G1594" s="2262"/>
      <c r="H1594" s="2262"/>
      <c r="I1594" s="1428"/>
      <c r="J1594" s="1407"/>
      <c r="K1594" s="1431"/>
      <c r="L1594" s="1407"/>
      <c r="M1594" s="1407"/>
      <c r="N1594" s="1407"/>
      <c r="O1594" s="1407"/>
      <c r="P1594" s="1407"/>
      <c r="Q1594" s="1407"/>
      <c r="R1594" s="1407"/>
      <c r="S1594" s="1407"/>
      <c r="T1594" s="1407"/>
      <c r="U1594" s="1407"/>
    </row>
    <row r="1595" spans="1:21" ht="12">
      <c r="A1595" s="639"/>
      <c r="B1595" s="1483"/>
      <c r="C1595" s="639"/>
      <c r="D1595" s="1831"/>
      <c r="E1595" s="2264"/>
      <c r="F1595" s="2262"/>
      <c r="G1595" s="2262"/>
      <c r="H1595" s="2262"/>
      <c r="I1595" s="1428"/>
      <c r="J1595" s="1407"/>
      <c r="K1595" s="1431"/>
      <c r="L1595" s="1407"/>
      <c r="M1595" s="1407"/>
      <c r="N1595" s="1407"/>
      <c r="O1595" s="1407"/>
      <c r="P1595" s="1407"/>
      <c r="Q1595" s="1407"/>
      <c r="R1595" s="1407"/>
      <c r="S1595" s="1407"/>
      <c r="T1595" s="1407"/>
      <c r="U1595" s="1407"/>
    </row>
    <row r="1596" spans="1:21" ht="12">
      <c r="A1596" s="639"/>
      <c r="B1596" s="1483"/>
      <c r="C1596" s="639"/>
      <c r="D1596" s="1831"/>
      <c r="E1596" s="2264"/>
      <c r="F1596" s="2262"/>
      <c r="G1596" s="2262"/>
      <c r="H1596" s="2262"/>
      <c r="I1596" s="1428"/>
      <c r="J1596" s="1407"/>
      <c r="K1596" s="1431"/>
      <c r="L1596" s="1407"/>
      <c r="M1596" s="1407"/>
      <c r="N1596" s="1407"/>
      <c r="O1596" s="1407"/>
      <c r="P1596" s="1407"/>
      <c r="Q1596" s="1407"/>
      <c r="R1596" s="1407"/>
      <c r="S1596" s="1407"/>
      <c r="T1596" s="1407"/>
      <c r="U1596" s="1407"/>
    </row>
    <row r="1597" spans="1:21" ht="12">
      <c r="A1597" s="639"/>
      <c r="B1597" s="1483"/>
      <c r="C1597" s="639"/>
      <c r="D1597" s="1831"/>
      <c r="E1597" s="2264"/>
      <c r="F1597" s="2262"/>
      <c r="G1597" s="2262"/>
      <c r="H1597" s="2262"/>
      <c r="I1597" s="1428"/>
      <c r="J1597" s="1407"/>
      <c r="K1597" s="1431"/>
      <c r="L1597" s="1407"/>
      <c r="M1597" s="1407"/>
      <c r="N1597" s="1407"/>
      <c r="O1597" s="1407"/>
      <c r="P1597" s="1407"/>
      <c r="Q1597" s="1407"/>
      <c r="R1597" s="1407"/>
      <c r="S1597" s="1407"/>
      <c r="T1597" s="1407"/>
      <c r="U1597" s="1407"/>
    </row>
    <row r="1598" spans="1:21" ht="12">
      <c r="A1598" s="639"/>
      <c r="B1598" s="1483"/>
      <c r="C1598" s="639"/>
      <c r="D1598" s="1831"/>
      <c r="E1598" s="2264"/>
      <c r="F1598" s="2262"/>
      <c r="G1598" s="2262"/>
      <c r="H1598" s="2262"/>
      <c r="I1598" s="1428"/>
      <c r="J1598" s="1407"/>
      <c r="K1598" s="1431"/>
      <c r="L1598" s="1407"/>
      <c r="M1598" s="1407"/>
      <c r="N1598" s="1407"/>
      <c r="O1598" s="1407"/>
      <c r="P1598" s="1407"/>
      <c r="Q1598" s="1407"/>
      <c r="R1598" s="1407"/>
      <c r="S1598" s="1407"/>
      <c r="T1598" s="1407"/>
      <c r="U1598" s="1407"/>
    </row>
    <row r="1599" spans="1:21" ht="12">
      <c r="A1599" s="639"/>
      <c r="B1599" s="1483"/>
      <c r="C1599" s="639"/>
      <c r="D1599" s="1831"/>
      <c r="E1599" s="2264"/>
      <c r="F1599" s="2262"/>
      <c r="G1599" s="2262"/>
      <c r="H1599" s="2262"/>
      <c r="I1599" s="1428"/>
      <c r="J1599" s="1407"/>
      <c r="K1599" s="1431"/>
      <c r="L1599" s="1407"/>
      <c r="M1599" s="1407"/>
      <c r="N1599" s="1407"/>
      <c r="O1599" s="1407"/>
      <c r="P1599" s="1407"/>
      <c r="Q1599" s="1407"/>
      <c r="R1599" s="1407"/>
      <c r="S1599" s="1407"/>
      <c r="T1599" s="1407"/>
      <c r="U1599" s="1407"/>
    </row>
    <row r="1600" spans="1:21" ht="12">
      <c r="A1600" s="639"/>
      <c r="B1600" s="1483"/>
      <c r="C1600" s="639"/>
      <c r="D1600" s="1831"/>
      <c r="E1600" s="2264"/>
      <c r="F1600" s="2262"/>
      <c r="G1600" s="2262"/>
      <c r="H1600" s="2262"/>
      <c r="I1600" s="1428"/>
      <c r="J1600" s="1407"/>
      <c r="K1600" s="1431"/>
      <c r="L1600" s="1407"/>
      <c r="M1600" s="1407"/>
      <c r="N1600" s="1407"/>
      <c r="O1600" s="1407"/>
      <c r="P1600" s="1407"/>
      <c r="Q1600" s="1407"/>
      <c r="R1600" s="1407"/>
      <c r="S1600" s="1407"/>
      <c r="T1600" s="1407"/>
      <c r="U1600" s="1407"/>
    </row>
    <row r="1601" spans="1:21" ht="12">
      <c r="A1601" s="639"/>
      <c r="B1601" s="1483"/>
      <c r="C1601" s="639"/>
      <c r="D1601" s="1831"/>
      <c r="E1601" s="2264"/>
      <c r="F1601" s="2262"/>
      <c r="G1601" s="2262"/>
      <c r="H1601" s="2262"/>
      <c r="I1601" s="1428"/>
      <c r="J1601" s="1407"/>
      <c r="K1601" s="1431"/>
      <c r="L1601" s="1407"/>
      <c r="M1601" s="1407"/>
      <c r="N1601" s="1407"/>
      <c r="O1601" s="1407"/>
      <c r="P1601" s="1407"/>
      <c r="Q1601" s="1407"/>
      <c r="R1601" s="1407"/>
      <c r="S1601" s="1407"/>
      <c r="T1601" s="1407"/>
      <c r="U1601" s="1407"/>
    </row>
    <row r="1602" spans="1:21" ht="12">
      <c r="A1602" s="639"/>
      <c r="B1602" s="1483"/>
      <c r="C1602" s="639"/>
      <c r="D1602" s="1831"/>
      <c r="E1602" s="2264"/>
      <c r="F1602" s="2262"/>
      <c r="G1602" s="2262"/>
      <c r="H1602" s="2262"/>
      <c r="I1602" s="1428"/>
      <c r="J1602" s="1407"/>
      <c r="K1602" s="1431"/>
      <c r="L1602" s="1407"/>
      <c r="M1602" s="1407"/>
      <c r="N1602" s="1407"/>
      <c r="O1602" s="1407"/>
      <c r="P1602" s="1407"/>
      <c r="Q1602" s="1407"/>
      <c r="R1602" s="1407"/>
      <c r="S1602" s="1407"/>
      <c r="T1602" s="1407"/>
      <c r="U1602" s="1407"/>
    </row>
    <row r="1603" spans="1:21" ht="12">
      <c r="A1603" s="639"/>
      <c r="B1603" s="1483"/>
      <c r="C1603" s="639"/>
      <c r="D1603" s="1831"/>
      <c r="E1603" s="2264"/>
      <c r="F1603" s="2262"/>
      <c r="G1603" s="2262"/>
      <c r="H1603" s="2262"/>
      <c r="I1603" s="1428"/>
      <c r="J1603" s="1407"/>
      <c r="K1603" s="1431"/>
      <c r="L1603" s="1407"/>
      <c r="M1603" s="1407"/>
      <c r="N1603" s="1407"/>
      <c r="O1603" s="1407"/>
      <c r="P1603" s="1407"/>
      <c r="Q1603" s="1407"/>
      <c r="R1603" s="1407"/>
      <c r="S1603" s="1407"/>
      <c r="T1603" s="1407"/>
      <c r="U1603" s="1407"/>
    </row>
    <row r="1604" spans="1:21" ht="12">
      <c r="A1604" s="639"/>
      <c r="B1604" s="1483"/>
      <c r="C1604" s="639"/>
      <c r="D1604" s="1831"/>
      <c r="E1604" s="2264"/>
      <c r="F1604" s="2262"/>
      <c r="G1604" s="2262"/>
      <c r="H1604" s="2262"/>
      <c r="I1604" s="1428"/>
      <c r="J1604" s="1407"/>
      <c r="K1604" s="1431"/>
      <c r="L1604" s="1407"/>
      <c r="M1604" s="1407"/>
      <c r="N1604" s="1407"/>
      <c r="O1604" s="1407"/>
      <c r="P1604" s="1407"/>
      <c r="Q1604" s="1407"/>
      <c r="R1604" s="1407"/>
      <c r="S1604" s="1407"/>
      <c r="T1604" s="1407"/>
      <c r="U1604" s="1407"/>
    </row>
    <row r="1605" spans="1:21" ht="12">
      <c r="A1605" s="639"/>
      <c r="B1605" s="1483"/>
      <c r="C1605" s="639"/>
      <c r="D1605" s="1831"/>
      <c r="E1605" s="2264"/>
      <c r="F1605" s="2262"/>
      <c r="G1605" s="2262"/>
      <c r="H1605" s="2262"/>
      <c r="I1605" s="1428"/>
      <c r="J1605" s="1407"/>
      <c r="K1605" s="1431"/>
      <c r="L1605" s="1407"/>
      <c r="M1605" s="1407"/>
      <c r="N1605" s="1407"/>
      <c r="O1605" s="1407"/>
      <c r="P1605" s="1407"/>
      <c r="Q1605" s="1407"/>
      <c r="R1605" s="1407"/>
      <c r="S1605" s="1407"/>
      <c r="T1605" s="1407"/>
      <c r="U1605" s="1407"/>
    </row>
    <row r="1606" spans="1:21" ht="12">
      <c r="A1606" s="639"/>
      <c r="B1606" s="1483"/>
      <c r="C1606" s="639"/>
      <c r="D1606" s="1831"/>
      <c r="E1606" s="2264"/>
      <c r="F1606" s="2262"/>
      <c r="G1606" s="2262"/>
      <c r="H1606" s="2262"/>
      <c r="I1606" s="1428"/>
      <c r="J1606" s="1407"/>
      <c r="K1606" s="1431"/>
      <c r="L1606" s="1407"/>
      <c r="M1606" s="1407"/>
      <c r="N1606" s="1407"/>
      <c r="O1606" s="1407"/>
      <c r="P1606" s="1407"/>
      <c r="Q1606" s="1407"/>
      <c r="R1606" s="1407"/>
      <c r="S1606" s="1407"/>
      <c r="T1606" s="1407"/>
      <c r="U1606" s="1407"/>
    </row>
    <row r="1607" spans="1:21" ht="12">
      <c r="A1607" s="639"/>
      <c r="B1607" s="1483"/>
      <c r="C1607" s="639"/>
      <c r="D1607" s="1831"/>
      <c r="E1607" s="2264"/>
      <c r="F1607" s="2262"/>
      <c r="G1607" s="2262"/>
      <c r="H1607" s="2262"/>
      <c r="I1607" s="1428"/>
      <c r="J1607" s="1407"/>
      <c r="K1607" s="1431"/>
      <c r="L1607" s="1407"/>
      <c r="M1607" s="1407"/>
      <c r="N1607" s="1407"/>
      <c r="O1607" s="1407"/>
      <c r="P1607" s="1407"/>
      <c r="Q1607" s="1407"/>
      <c r="R1607" s="1407"/>
      <c r="S1607" s="1407"/>
      <c r="T1607" s="1407"/>
      <c r="U1607" s="1407"/>
    </row>
    <row r="1608" spans="1:21" ht="12">
      <c r="A1608" s="639"/>
      <c r="B1608" s="1483"/>
      <c r="C1608" s="639"/>
      <c r="D1608" s="1831"/>
      <c r="E1608" s="2264"/>
      <c r="F1608" s="2262"/>
      <c r="G1608" s="2262"/>
      <c r="H1608" s="2262"/>
      <c r="I1608" s="1428"/>
      <c r="J1608" s="1407"/>
      <c r="K1608" s="1431"/>
      <c r="L1608" s="1407"/>
      <c r="M1608" s="1407"/>
      <c r="N1608" s="1407"/>
      <c r="O1608" s="1407"/>
      <c r="P1608" s="1407"/>
      <c r="Q1608" s="1407"/>
      <c r="R1608" s="1407"/>
      <c r="S1608" s="1407"/>
      <c r="T1608" s="1407"/>
      <c r="U1608" s="1407"/>
    </row>
    <row r="1609" spans="1:21" ht="12">
      <c r="A1609" s="639"/>
      <c r="B1609" s="1483"/>
      <c r="C1609" s="639"/>
      <c r="D1609" s="1831"/>
      <c r="E1609" s="2264"/>
      <c r="F1609" s="2262"/>
      <c r="G1609" s="2262"/>
      <c r="H1609" s="2262"/>
      <c r="I1609" s="1428"/>
      <c r="J1609" s="1407"/>
      <c r="K1609" s="1431"/>
      <c r="L1609" s="1407"/>
      <c r="M1609" s="1407"/>
      <c r="N1609" s="1407"/>
      <c r="O1609" s="1407"/>
      <c r="P1609" s="1407"/>
      <c r="Q1609" s="1407"/>
      <c r="R1609" s="1407"/>
      <c r="S1609" s="1407"/>
      <c r="T1609" s="1407"/>
      <c r="U1609" s="1407"/>
    </row>
    <row r="1610" spans="1:21" ht="12">
      <c r="A1610" s="639"/>
      <c r="B1610" s="1483"/>
      <c r="C1610" s="639"/>
      <c r="D1610" s="1831"/>
      <c r="E1610" s="2264"/>
      <c r="F1610" s="2262"/>
      <c r="G1610" s="2262"/>
      <c r="H1610" s="2262"/>
      <c r="I1610" s="1428"/>
      <c r="J1610" s="1407"/>
      <c r="K1610" s="1431"/>
      <c r="L1610" s="1407"/>
      <c r="M1610" s="1407"/>
      <c r="N1610" s="1407"/>
      <c r="O1610" s="1407"/>
      <c r="P1610" s="1407"/>
      <c r="Q1610" s="1407"/>
      <c r="R1610" s="1407"/>
      <c r="S1610" s="1407"/>
      <c r="T1610" s="1407"/>
      <c r="U1610" s="1407"/>
    </row>
    <row r="1611" spans="1:21" ht="12">
      <c r="A1611" s="639"/>
      <c r="B1611" s="1483"/>
      <c r="C1611" s="639"/>
      <c r="D1611" s="1831"/>
      <c r="E1611" s="2264"/>
      <c r="F1611" s="2262"/>
      <c r="G1611" s="2262"/>
      <c r="H1611" s="2262"/>
      <c r="I1611" s="1428"/>
      <c r="J1611" s="1407"/>
      <c r="K1611" s="1431"/>
      <c r="L1611" s="1407"/>
      <c r="M1611" s="1407"/>
      <c r="N1611" s="1407"/>
      <c r="O1611" s="1407"/>
      <c r="P1611" s="1407"/>
      <c r="Q1611" s="1407"/>
      <c r="R1611" s="1407"/>
      <c r="S1611" s="1407"/>
      <c r="T1611" s="1407"/>
      <c r="U1611" s="1407"/>
    </row>
    <row r="1612" spans="1:21" ht="12">
      <c r="A1612" s="639"/>
      <c r="B1612" s="1483"/>
      <c r="C1612" s="639"/>
      <c r="D1612" s="1831"/>
      <c r="E1612" s="2264"/>
      <c r="F1612" s="2262"/>
      <c r="G1612" s="2262"/>
      <c r="H1612" s="2262"/>
      <c r="I1612" s="1428"/>
      <c r="J1612" s="1407"/>
      <c r="K1612" s="1431"/>
      <c r="L1612" s="1407"/>
      <c r="M1612" s="1407"/>
      <c r="N1612" s="1407"/>
      <c r="O1612" s="1407"/>
      <c r="P1612" s="1407"/>
      <c r="Q1612" s="1407"/>
      <c r="R1612" s="1407"/>
      <c r="S1612" s="1407"/>
      <c r="T1612" s="1407"/>
      <c r="U1612" s="1407"/>
    </row>
    <row r="1613" spans="1:21" ht="12">
      <c r="A1613" s="639"/>
      <c r="B1613" s="1483"/>
      <c r="C1613" s="639"/>
      <c r="D1613" s="1831"/>
      <c r="E1613" s="2264"/>
      <c r="F1613" s="2262"/>
      <c r="G1613" s="2262"/>
      <c r="H1613" s="2262"/>
      <c r="I1613" s="1428"/>
      <c r="J1613" s="1407"/>
      <c r="K1613" s="1431"/>
      <c r="L1613" s="1407"/>
      <c r="M1613" s="1407"/>
      <c r="N1613" s="1407"/>
      <c r="O1613" s="1407"/>
      <c r="P1613" s="1407"/>
      <c r="Q1613" s="1407"/>
      <c r="R1613" s="1407"/>
      <c r="S1613" s="1407"/>
      <c r="T1613" s="1407"/>
      <c r="U1613" s="1407"/>
    </row>
    <row r="1614" spans="1:21" ht="12">
      <c r="A1614" s="639"/>
      <c r="B1614" s="1483"/>
      <c r="C1614" s="639"/>
      <c r="D1614" s="1831"/>
      <c r="E1614" s="2264"/>
      <c r="F1614" s="2262"/>
      <c r="G1614" s="2262"/>
      <c r="H1614" s="2262"/>
      <c r="I1614" s="1428"/>
      <c r="J1614" s="1407"/>
      <c r="K1614" s="1431"/>
      <c r="L1614" s="1407"/>
      <c r="M1614" s="1407"/>
      <c r="N1614" s="1407"/>
      <c r="O1614" s="1407"/>
      <c r="P1614" s="1407"/>
      <c r="Q1614" s="1407"/>
      <c r="R1614" s="1407"/>
      <c r="S1614" s="1407"/>
      <c r="T1614" s="1407"/>
      <c r="U1614" s="1407"/>
    </row>
    <row r="1615" spans="1:21" ht="12">
      <c r="A1615" s="639"/>
      <c r="B1615" s="1483"/>
      <c r="C1615" s="639"/>
      <c r="D1615" s="1831"/>
      <c r="E1615" s="2264"/>
      <c r="F1615" s="2262"/>
      <c r="G1615" s="2262"/>
      <c r="H1615" s="2262"/>
      <c r="I1615" s="1428"/>
      <c r="J1615" s="1407"/>
      <c r="K1615" s="1431"/>
      <c r="L1615" s="1407"/>
      <c r="M1615" s="1407"/>
      <c r="N1615" s="1407"/>
      <c r="O1615" s="1407"/>
      <c r="P1615" s="1407"/>
      <c r="Q1615" s="1407"/>
      <c r="R1615" s="1407"/>
      <c r="S1615" s="1407"/>
      <c r="T1615" s="1407"/>
      <c r="U1615" s="1407"/>
    </row>
    <row r="1616" spans="1:21" ht="12">
      <c r="A1616" s="639"/>
      <c r="B1616" s="1483"/>
      <c r="C1616" s="639"/>
      <c r="D1616" s="1831"/>
      <c r="E1616" s="2264"/>
      <c r="F1616" s="2262"/>
      <c r="G1616" s="2262"/>
      <c r="H1616" s="2262"/>
      <c r="I1616" s="1428"/>
      <c r="J1616" s="1407"/>
      <c r="K1616" s="1431"/>
      <c r="L1616" s="1407"/>
      <c r="M1616" s="1407"/>
      <c r="N1616" s="1407"/>
      <c r="O1616" s="1407"/>
      <c r="P1616" s="1407"/>
      <c r="Q1616" s="1407"/>
      <c r="R1616" s="1407"/>
      <c r="S1616" s="1407"/>
      <c r="T1616" s="1407"/>
      <c r="U1616" s="1407"/>
    </row>
    <row r="1617" spans="1:21" ht="12">
      <c r="A1617" s="639"/>
      <c r="B1617" s="1483"/>
      <c r="C1617" s="639"/>
      <c r="D1617" s="1831"/>
      <c r="E1617" s="2264"/>
      <c r="F1617" s="2262"/>
      <c r="G1617" s="2262"/>
      <c r="H1617" s="2262"/>
      <c r="I1617" s="1428"/>
      <c r="J1617" s="1407"/>
      <c r="K1617" s="1431"/>
      <c r="L1617" s="1407"/>
      <c r="M1617" s="1407"/>
      <c r="N1617" s="1407"/>
      <c r="O1617" s="1407"/>
      <c r="P1617" s="1407"/>
      <c r="Q1617" s="1407"/>
      <c r="R1617" s="1407"/>
      <c r="S1617" s="1407"/>
      <c r="T1617" s="1407"/>
      <c r="U1617" s="1407"/>
    </row>
    <row r="1618" spans="1:21" ht="12">
      <c r="A1618" s="639"/>
      <c r="B1618" s="1483"/>
      <c r="C1618" s="639"/>
      <c r="D1618" s="1831"/>
      <c r="E1618" s="2264"/>
      <c r="F1618" s="2262"/>
      <c r="G1618" s="2262"/>
      <c r="H1618" s="2262"/>
      <c r="I1618" s="1428"/>
      <c r="J1618" s="1407"/>
      <c r="K1618" s="1431"/>
      <c r="L1618" s="1407"/>
      <c r="M1618" s="1407"/>
      <c r="N1618" s="1407"/>
      <c r="O1618" s="1407"/>
      <c r="P1618" s="1407"/>
      <c r="Q1618" s="1407"/>
      <c r="R1618" s="1407"/>
      <c r="S1618" s="1407"/>
      <c r="T1618" s="1407"/>
      <c r="U1618" s="1407"/>
    </row>
    <row r="1619" spans="1:21" ht="12">
      <c r="A1619" s="639"/>
      <c r="B1619" s="1483"/>
      <c r="C1619" s="639"/>
      <c r="D1619" s="1831"/>
      <c r="E1619" s="2264"/>
      <c r="F1619" s="2262"/>
      <c r="G1619" s="2262"/>
      <c r="H1619" s="2262"/>
      <c r="I1619" s="1428"/>
      <c r="J1619" s="1407"/>
      <c r="K1619" s="1431"/>
      <c r="L1619" s="1407"/>
      <c r="M1619" s="1407"/>
      <c r="N1619" s="1407"/>
      <c r="O1619" s="1407"/>
      <c r="P1619" s="1407"/>
      <c r="Q1619" s="1407"/>
      <c r="R1619" s="1407"/>
      <c r="S1619" s="1407"/>
      <c r="T1619" s="1407"/>
      <c r="U1619" s="1407"/>
    </row>
    <row r="1620" spans="1:21" ht="12">
      <c r="A1620" s="639"/>
      <c r="B1620" s="1483"/>
      <c r="C1620" s="639"/>
      <c r="D1620" s="1831"/>
      <c r="E1620" s="2264"/>
      <c r="F1620" s="2262"/>
      <c r="G1620" s="2262"/>
      <c r="H1620" s="2262"/>
      <c r="I1620" s="1428"/>
      <c r="J1620" s="1407"/>
      <c r="K1620" s="1431"/>
      <c r="L1620" s="1407"/>
      <c r="M1620" s="1407"/>
      <c r="N1620" s="1407"/>
      <c r="O1620" s="1407"/>
      <c r="P1620" s="1407"/>
      <c r="Q1620" s="1407"/>
      <c r="R1620" s="1407"/>
      <c r="S1620" s="1407"/>
      <c r="T1620" s="1407"/>
      <c r="U1620" s="1407"/>
    </row>
    <row r="1621" spans="1:21" ht="12">
      <c r="A1621" s="639"/>
      <c r="B1621" s="1483"/>
      <c r="C1621" s="639"/>
      <c r="D1621" s="1831"/>
      <c r="E1621" s="2264"/>
      <c r="F1621" s="2262"/>
      <c r="G1621" s="2262"/>
      <c r="H1621" s="2262"/>
      <c r="I1621" s="1428"/>
      <c r="J1621" s="1407"/>
      <c r="K1621" s="1431"/>
      <c r="L1621" s="1407"/>
      <c r="M1621" s="1407"/>
      <c r="N1621" s="1407"/>
      <c r="O1621" s="1407"/>
      <c r="P1621" s="1407"/>
      <c r="Q1621" s="1407"/>
      <c r="R1621" s="1407"/>
      <c r="S1621" s="1407"/>
      <c r="T1621" s="1407"/>
      <c r="U1621" s="1407"/>
    </row>
    <row r="1622" spans="1:21" ht="12">
      <c r="A1622" s="639"/>
      <c r="B1622" s="1483"/>
      <c r="C1622" s="639"/>
      <c r="D1622" s="1831"/>
      <c r="E1622" s="2264"/>
      <c r="F1622" s="2262"/>
      <c r="G1622" s="2262"/>
      <c r="H1622" s="2262"/>
      <c r="I1622" s="1428"/>
      <c r="J1622" s="1407"/>
      <c r="K1622" s="1431"/>
      <c r="L1622" s="1407"/>
      <c r="M1622" s="1407"/>
      <c r="N1622" s="1407"/>
      <c r="O1622" s="1407"/>
      <c r="P1622" s="1407"/>
      <c r="Q1622" s="1407"/>
      <c r="R1622" s="1407"/>
      <c r="S1622" s="1407"/>
      <c r="T1622" s="1407"/>
      <c r="U1622" s="1407"/>
    </row>
    <row r="1623" spans="1:21" ht="12">
      <c r="A1623" s="639"/>
      <c r="B1623" s="1483"/>
      <c r="C1623" s="639"/>
      <c r="D1623" s="1831"/>
      <c r="E1623" s="2264"/>
      <c r="F1623" s="2262"/>
      <c r="G1623" s="2262"/>
      <c r="H1623" s="2262"/>
      <c r="I1623" s="1428"/>
      <c r="J1623" s="1407"/>
      <c r="K1623" s="1431"/>
      <c r="L1623" s="1407"/>
      <c r="M1623" s="1407"/>
      <c r="N1623" s="1407"/>
      <c r="O1623" s="1407"/>
      <c r="P1623" s="1407"/>
      <c r="Q1623" s="1407"/>
      <c r="R1623" s="1407"/>
      <c r="S1623" s="1407"/>
      <c r="T1623" s="1407"/>
      <c r="U1623" s="1407"/>
    </row>
    <row r="1624" spans="1:21" ht="12">
      <c r="A1624" s="639"/>
      <c r="B1624" s="1483"/>
      <c r="C1624" s="639"/>
      <c r="D1624" s="1831"/>
      <c r="E1624" s="2264"/>
      <c r="F1624" s="2262"/>
      <c r="G1624" s="2262"/>
      <c r="H1624" s="2262"/>
      <c r="I1624" s="1428"/>
      <c r="J1624" s="1407"/>
      <c r="K1624" s="1431"/>
      <c r="L1624" s="1407"/>
      <c r="M1624" s="1407"/>
      <c r="N1624" s="1407"/>
      <c r="O1624" s="1407"/>
      <c r="P1624" s="1407"/>
      <c r="Q1624" s="1407"/>
      <c r="R1624" s="1407"/>
      <c r="S1624" s="1407"/>
      <c r="T1624" s="1407"/>
      <c r="U1624" s="1407"/>
    </row>
    <row r="1625" spans="1:21" ht="12">
      <c r="A1625" s="639"/>
      <c r="B1625" s="1483"/>
      <c r="C1625" s="639"/>
      <c r="D1625" s="1831"/>
      <c r="E1625" s="2264"/>
      <c r="F1625" s="2262"/>
      <c r="G1625" s="2262"/>
      <c r="H1625" s="2262"/>
      <c r="I1625" s="1428"/>
      <c r="J1625" s="1407"/>
      <c r="K1625" s="1431"/>
      <c r="L1625" s="1407"/>
      <c r="M1625" s="1407"/>
      <c r="N1625" s="1407"/>
      <c r="O1625" s="1407"/>
      <c r="P1625" s="1407"/>
      <c r="Q1625" s="1407"/>
      <c r="R1625" s="1407"/>
      <c r="S1625" s="1407"/>
      <c r="T1625" s="1407"/>
      <c r="U1625" s="1407"/>
    </row>
    <row r="1626" spans="1:21" ht="12">
      <c r="A1626" s="639"/>
      <c r="B1626" s="1483"/>
      <c r="C1626" s="639"/>
      <c r="D1626" s="1831"/>
      <c r="E1626" s="2264"/>
      <c r="F1626" s="2262"/>
      <c r="G1626" s="2262"/>
      <c r="H1626" s="2262"/>
      <c r="I1626" s="1428"/>
      <c r="J1626" s="1407"/>
      <c r="K1626" s="1431"/>
      <c r="L1626" s="1407"/>
      <c r="M1626" s="1407"/>
      <c r="N1626" s="1407"/>
      <c r="O1626" s="1407"/>
      <c r="P1626" s="1407"/>
      <c r="Q1626" s="1407"/>
      <c r="R1626" s="1407"/>
      <c r="S1626" s="1407"/>
      <c r="T1626" s="1407"/>
      <c r="U1626" s="1407"/>
    </row>
    <row r="1627" spans="1:21" ht="12">
      <c r="A1627" s="639"/>
      <c r="B1627" s="1483"/>
      <c r="C1627" s="639"/>
      <c r="D1627" s="1831"/>
      <c r="E1627" s="2264"/>
      <c r="F1627" s="2262"/>
      <c r="G1627" s="2262"/>
      <c r="H1627" s="2262"/>
      <c r="I1627" s="1428"/>
      <c r="J1627" s="1407"/>
      <c r="K1627" s="1431"/>
      <c r="L1627" s="1407"/>
      <c r="M1627" s="1407"/>
      <c r="N1627" s="1407"/>
      <c r="O1627" s="1407"/>
      <c r="P1627" s="1407"/>
      <c r="Q1627" s="1407"/>
      <c r="R1627" s="1407"/>
      <c r="S1627" s="1407"/>
      <c r="T1627" s="1407"/>
      <c r="U1627" s="1407"/>
    </row>
    <row r="1628" spans="1:21" ht="12">
      <c r="A1628" s="639"/>
      <c r="B1628" s="1483"/>
      <c r="C1628" s="639"/>
      <c r="D1628" s="1831"/>
      <c r="E1628" s="2264"/>
      <c r="F1628" s="2262"/>
      <c r="G1628" s="2262"/>
      <c r="H1628" s="2262"/>
      <c r="I1628" s="1428"/>
      <c r="J1628" s="1407"/>
      <c r="K1628" s="1431"/>
      <c r="L1628" s="1407"/>
      <c r="M1628" s="1407"/>
      <c r="N1628" s="1407"/>
      <c r="O1628" s="1407"/>
      <c r="P1628" s="1407"/>
      <c r="Q1628" s="1407"/>
      <c r="R1628" s="1407"/>
      <c r="S1628" s="1407"/>
      <c r="T1628" s="1407"/>
      <c r="U1628" s="1407"/>
    </row>
    <row r="1629" spans="1:21" ht="12">
      <c r="A1629" s="639"/>
      <c r="B1629" s="1483"/>
      <c r="C1629" s="639"/>
      <c r="D1629" s="1831"/>
      <c r="E1629" s="2264"/>
      <c r="F1629" s="2262"/>
      <c r="G1629" s="2262"/>
      <c r="H1629" s="2262"/>
      <c r="I1629" s="1428"/>
      <c r="J1629" s="1407"/>
      <c r="K1629" s="1431"/>
      <c r="L1629" s="1407"/>
      <c r="M1629" s="1407"/>
      <c r="N1629" s="1407"/>
      <c r="O1629" s="1407"/>
      <c r="P1629" s="1407"/>
      <c r="Q1629" s="1407"/>
      <c r="R1629" s="1407"/>
      <c r="S1629" s="1407"/>
      <c r="T1629" s="1407"/>
      <c r="U1629" s="1407"/>
    </row>
    <row r="1630" spans="1:21" ht="12">
      <c r="A1630" s="639"/>
      <c r="B1630" s="1483"/>
      <c r="C1630" s="639"/>
      <c r="D1630" s="1831"/>
      <c r="E1630" s="2264"/>
      <c r="F1630" s="2262"/>
      <c r="G1630" s="2262"/>
      <c r="H1630" s="2262"/>
      <c r="I1630" s="1428"/>
      <c r="J1630" s="1407"/>
      <c r="K1630" s="1431"/>
      <c r="L1630" s="1407"/>
      <c r="M1630" s="1407"/>
      <c r="N1630" s="1407"/>
      <c r="O1630" s="1407"/>
      <c r="P1630" s="1407"/>
      <c r="Q1630" s="1407"/>
      <c r="R1630" s="1407"/>
      <c r="S1630" s="1407"/>
      <c r="T1630" s="1407"/>
      <c r="U1630" s="1407"/>
    </row>
    <row r="1631" spans="1:21" ht="12">
      <c r="A1631" s="639"/>
      <c r="B1631" s="1483"/>
      <c r="C1631" s="639"/>
      <c r="D1631" s="1831"/>
      <c r="E1631" s="2264"/>
      <c r="F1631" s="2262"/>
      <c r="G1631" s="2262"/>
      <c r="H1631" s="2262"/>
      <c r="I1631" s="1428"/>
      <c r="J1631" s="1407"/>
      <c r="K1631" s="1431"/>
      <c r="L1631" s="1407"/>
      <c r="M1631" s="1407"/>
      <c r="N1631" s="1407"/>
      <c r="O1631" s="1407"/>
      <c r="P1631" s="1407"/>
      <c r="Q1631" s="1407"/>
      <c r="R1631" s="1407"/>
      <c r="S1631" s="1407"/>
      <c r="T1631" s="1407"/>
      <c r="U1631" s="1407"/>
    </row>
    <row r="1632" spans="1:21" ht="12">
      <c r="A1632" s="639"/>
      <c r="B1632" s="1483"/>
      <c r="C1632" s="639"/>
      <c r="D1632" s="1831"/>
      <c r="E1632" s="2264"/>
      <c r="F1632" s="2262"/>
      <c r="G1632" s="2262"/>
      <c r="H1632" s="2262"/>
      <c r="I1632" s="1428"/>
      <c r="J1632" s="1407"/>
      <c r="K1632" s="1431"/>
      <c r="L1632" s="1407"/>
      <c r="M1632" s="1407"/>
      <c r="N1632" s="1407"/>
      <c r="O1632" s="1407"/>
      <c r="P1632" s="1407"/>
      <c r="Q1632" s="1407"/>
      <c r="R1632" s="1407"/>
      <c r="S1632" s="1407"/>
      <c r="T1632" s="1407"/>
      <c r="U1632" s="1407"/>
    </row>
    <row r="1633" spans="1:21" ht="12">
      <c r="A1633" s="639"/>
      <c r="B1633" s="1483"/>
      <c r="C1633" s="639"/>
      <c r="D1633" s="1831"/>
      <c r="E1633" s="2264"/>
      <c r="F1633" s="2262"/>
      <c r="G1633" s="2262"/>
      <c r="H1633" s="2262"/>
      <c r="I1633" s="1428"/>
      <c r="J1633" s="1407"/>
      <c r="K1633" s="1431"/>
      <c r="L1633" s="1407"/>
      <c r="M1633" s="1407"/>
      <c r="N1633" s="1407"/>
      <c r="O1633" s="1407"/>
      <c r="P1633" s="1407"/>
      <c r="Q1633" s="1407"/>
      <c r="R1633" s="1407"/>
      <c r="S1633" s="1407"/>
      <c r="T1633" s="1407"/>
      <c r="U1633" s="1407"/>
    </row>
    <row r="1634" spans="1:21" ht="12">
      <c r="A1634" s="639"/>
      <c r="B1634" s="1483"/>
      <c r="C1634" s="639"/>
      <c r="D1634" s="1831"/>
      <c r="E1634" s="2264"/>
      <c r="F1634" s="2262"/>
      <c r="G1634" s="2262"/>
      <c r="H1634" s="2262"/>
      <c r="I1634" s="1428"/>
      <c r="J1634" s="1407"/>
      <c r="K1634" s="1431"/>
      <c r="L1634" s="1407"/>
      <c r="M1634" s="1407"/>
      <c r="N1634" s="1407"/>
      <c r="O1634" s="1407"/>
      <c r="P1634" s="1407"/>
      <c r="Q1634" s="1407"/>
      <c r="R1634" s="1407"/>
      <c r="S1634" s="1407"/>
      <c r="T1634" s="1407"/>
      <c r="U1634" s="1407"/>
    </row>
    <row r="1635" spans="1:21" ht="12">
      <c r="A1635" s="639"/>
      <c r="B1635" s="1483"/>
      <c r="C1635" s="639"/>
      <c r="D1635" s="1831"/>
      <c r="E1635" s="2264"/>
      <c r="F1635" s="2262"/>
      <c r="G1635" s="2262"/>
      <c r="H1635" s="2262"/>
      <c r="I1635" s="1428"/>
      <c r="J1635" s="1407"/>
      <c r="K1635" s="1431"/>
      <c r="L1635" s="1407"/>
      <c r="M1635" s="1407"/>
      <c r="N1635" s="1407"/>
      <c r="O1635" s="1407"/>
      <c r="P1635" s="1407"/>
      <c r="Q1635" s="1407"/>
      <c r="R1635" s="1407"/>
      <c r="S1635" s="1407"/>
      <c r="T1635" s="1407"/>
      <c r="U1635" s="1407"/>
    </row>
    <row r="1636" spans="1:21" ht="12">
      <c r="A1636" s="639"/>
      <c r="B1636" s="1483"/>
      <c r="C1636" s="639"/>
      <c r="D1636" s="1831"/>
      <c r="E1636" s="2264"/>
      <c r="F1636" s="2262"/>
      <c r="G1636" s="2262"/>
      <c r="H1636" s="2262"/>
      <c r="I1636" s="1428"/>
      <c r="J1636" s="1407"/>
      <c r="K1636" s="1431"/>
      <c r="L1636" s="1407"/>
      <c r="M1636" s="1407"/>
      <c r="N1636" s="1407"/>
      <c r="O1636" s="1407"/>
      <c r="P1636" s="1407"/>
      <c r="Q1636" s="1407"/>
      <c r="R1636" s="1407"/>
      <c r="S1636" s="1407"/>
      <c r="T1636" s="1407"/>
      <c r="U1636" s="1407"/>
    </row>
    <row r="1637" spans="1:21" ht="12">
      <c r="A1637" s="639"/>
      <c r="B1637" s="1483"/>
      <c r="C1637" s="639"/>
      <c r="D1637" s="1831"/>
      <c r="E1637" s="2264"/>
      <c r="F1637" s="2262"/>
      <c r="G1637" s="2262"/>
      <c r="H1637" s="2262"/>
      <c r="I1637" s="1428"/>
      <c r="J1637" s="1407"/>
      <c r="K1637" s="1431"/>
      <c r="L1637" s="1407"/>
      <c r="M1637" s="1407"/>
      <c r="N1637" s="1407"/>
      <c r="O1637" s="1407"/>
      <c r="P1637" s="1407"/>
      <c r="Q1637" s="1407"/>
      <c r="R1637" s="1407"/>
      <c r="S1637" s="1407"/>
      <c r="T1637" s="1407"/>
      <c r="U1637" s="1407"/>
    </row>
    <row r="1638" spans="1:21" ht="12">
      <c r="A1638" s="639"/>
      <c r="B1638" s="1483"/>
      <c r="C1638" s="639"/>
      <c r="D1638" s="1831"/>
      <c r="E1638" s="2264"/>
      <c r="F1638" s="2262"/>
      <c r="G1638" s="2262"/>
      <c r="H1638" s="2262"/>
      <c r="I1638" s="1428"/>
      <c r="J1638" s="1407"/>
      <c r="K1638" s="1431"/>
      <c r="L1638" s="1407"/>
      <c r="M1638" s="1407"/>
      <c r="N1638" s="1407"/>
      <c r="O1638" s="1407"/>
      <c r="P1638" s="1407"/>
      <c r="Q1638" s="1407"/>
      <c r="R1638" s="1407"/>
      <c r="S1638" s="1407"/>
      <c r="T1638" s="1407"/>
      <c r="U1638" s="1407"/>
    </row>
    <row r="1639" spans="1:21" ht="12">
      <c r="A1639" s="639"/>
      <c r="B1639" s="1483"/>
      <c r="C1639" s="639"/>
      <c r="D1639" s="1831"/>
      <c r="E1639" s="2264"/>
      <c r="F1639" s="2262"/>
      <c r="G1639" s="2262"/>
      <c r="H1639" s="2262"/>
      <c r="I1639" s="1428"/>
      <c r="J1639" s="1407"/>
      <c r="K1639" s="1431"/>
      <c r="L1639" s="1407"/>
      <c r="M1639" s="1407"/>
      <c r="N1639" s="1407"/>
      <c r="O1639" s="1407"/>
      <c r="P1639" s="1407"/>
      <c r="Q1639" s="1407"/>
      <c r="R1639" s="1407"/>
      <c r="S1639" s="1407"/>
      <c r="T1639" s="1407"/>
      <c r="U1639" s="1407"/>
    </row>
    <row r="1640" spans="1:21" ht="12">
      <c r="A1640" s="639"/>
      <c r="B1640" s="1483"/>
      <c r="C1640" s="639"/>
      <c r="D1640" s="1831"/>
      <c r="E1640" s="2264"/>
      <c r="F1640" s="2262"/>
      <c r="G1640" s="2262"/>
      <c r="H1640" s="2262"/>
      <c r="I1640" s="1428"/>
      <c r="J1640" s="1407"/>
      <c r="K1640" s="1431"/>
      <c r="L1640" s="1407"/>
      <c r="M1640" s="1407"/>
      <c r="N1640" s="1407"/>
      <c r="O1640" s="1407"/>
      <c r="P1640" s="1407"/>
      <c r="Q1640" s="1407"/>
      <c r="R1640" s="1407"/>
      <c r="S1640" s="1407"/>
      <c r="T1640" s="1407"/>
      <c r="U1640" s="1407"/>
    </row>
    <row r="1641" spans="1:21" ht="12">
      <c r="A1641" s="639"/>
      <c r="B1641" s="1483"/>
      <c r="C1641" s="639"/>
      <c r="D1641" s="1831"/>
      <c r="E1641" s="2264"/>
      <c r="F1641" s="2262"/>
      <c r="G1641" s="2262"/>
      <c r="H1641" s="2262"/>
      <c r="I1641" s="1428"/>
      <c r="J1641" s="1407"/>
      <c r="K1641" s="1431"/>
      <c r="L1641" s="1407"/>
      <c r="M1641" s="1407"/>
      <c r="N1641" s="1407"/>
      <c r="O1641" s="1407"/>
      <c r="P1641" s="1407"/>
      <c r="Q1641" s="1407"/>
      <c r="R1641" s="1407"/>
      <c r="S1641" s="1407"/>
      <c r="T1641" s="1407"/>
      <c r="U1641" s="1407"/>
    </row>
    <row r="1642" spans="1:21" ht="12">
      <c r="A1642" s="639"/>
      <c r="B1642" s="1483"/>
      <c r="C1642" s="639"/>
      <c r="D1642" s="1831"/>
      <c r="E1642" s="2264"/>
      <c r="F1642" s="2262"/>
      <c r="G1642" s="2262"/>
      <c r="H1642" s="2262"/>
      <c r="I1642" s="1428"/>
      <c r="J1642" s="1407"/>
      <c r="K1642" s="1431"/>
      <c r="L1642" s="1407"/>
      <c r="M1642" s="1407"/>
      <c r="N1642" s="1407"/>
      <c r="O1642" s="1407"/>
      <c r="P1642" s="1407"/>
      <c r="Q1642" s="1407"/>
      <c r="R1642" s="1407"/>
      <c r="S1642" s="1407"/>
      <c r="T1642" s="1407"/>
      <c r="U1642" s="1407"/>
    </row>
    <row r="1643" spans="1:21" ht="12">
      <c r="A1643" s="639"/>
      <c r="B1643" s="1483"/>
      <c r="C1643" s="639"/>
      <c r="D1643" s="1831"/>
      <c r="E1643" s="2264"/>
      <c r="F1643" s="2262"/>
      <c r="G1643" s="2262"/>
      <c r="H1643" s="2262"/>
      <c r="I1643" s="1428"/>
      <c r="J1643" s="1407"/>
      <c r="K1643" s="1431"/>
      <c r="L1643" s="1407"/>
      <c r="M1643" s="1407"/>
      <c r="N1643" s="1407"/>
      <c r="O1643" s="1407"/>
      <c r="P1643" s="1407"/>
      <c r="Q1643" s="1407"/>
      <c r="R1643" s="1407"/>
      <c r="S1643" s="1407"/>
      <c r="T1643" s="1407"/>
      <c r="U1643" s="1407"/>
    </row>
    <row r="1644" spans="1:21" ht="12">
      <c r="A1644" s="639"/>
      <c r="B1644" s="1483"/>
      <c r="C1644" s="639"/>
      <c r="D1644" s="1831"/>
      <c r="E1644" s="2264"/>
      <c r="F1644" s="2262"/>
      <c r="G1644" s="2262"/>
      <c r="H1644" s="2262"/>
      <c r="I1644" s="1428"/>
      <c r="J1644" s="1407"/>
      <c r="K1644" s="1431"/>
      <c r="L1644" s="1407"/>
      <c r="M1644" s="1407"/>
      <c r="N1644" s="1407"/>
      <c r="O1644" s="1407"/>
      <c r="P1644" s="1407"/>
      <c r="Q1644" s="1407"/>
      <c r="R1644" s="1407"/>
      <c r="S1644" s="1407"/>
      <c r="T1644" s="1407"/>
      <c r="U1644" s="1407"/>
    </row>
    <row r="1645" spans="1:21" ht="12">
      <c r="A1645" s="639"/>
      <c r="B1645" s="1483"/>
      <c r="C1645" s="639"/>
      <c r="D1645" s="1831"/>
      <c r="E1645" s="2264"/>
      <c r="F1645" s="2262"/>
      <c r="G1645" s="2262"/>
      <c r="H1645" s="2262"/>
      <c r="I1645" s="1428"/>
      <c r="J1645" s="1407"/>
      <c r="K1645" s="1431"/>
      <c r="L1645" s="1407"/>
      <c r="M1645" s="1407"/>
      <c r="N1645" s="1407"/>
      <c r="O1645" s="1407"/>
      <c r="P1645" s="1407"/>
      <c r="Q1645" s="1407"/>
      <c r="R1645" s="1407"/>
      <c r="S1645" s="1407"/>
      <c r="T1645" s="1407"/>
      <c r="U1645" s="1407"/>
    </row>
    <row r="1646" spans="1:21" ht="12">
      <c r="A1646" s="639"/>
      <c r="B1646" s="1483"/>
      <c r="C1646" s="639"/>
      <c r="D1646" s="1831"/>
      <c r="E1646" s="2264"/>
      <c r="F1646" s="2262"/>
      <c r="G1646" s="2262"/>
      <c r="H1646" s="2262"/>
      <c r="I1646" s="1428"/>
      <c r="J1646" s="1407"/>
      <c r="K1646" s="1431"/>
      <c r="L1646" s="1407"/>
      <c r="M1646" s="1407"/>
      <c r="N1646" s="1407"/>
      <c r="O1646" s="1407"/>
      <c r="P1646" s="1407"/>
      <c r="Q1646" s="1407"/>
      <c r="R1646" s="1407"/>
      <c r="S1646" s="1407"/>
      <c r="T1646" s="1407"/>
      <c r="U1646" s="1407"/>
    </row>
    <row r="1647" spans="1:21" ht="12">
      <c r="A1647" s="639"/>
      <c r="B1647" s="1483"/>
      <c r="C1647" s="639"/>
      <c r="D1647" s="1831"/>
      <c r="E1647" s="2264"/>
      <c r="F1647" s="2262"/>
      <c r="G1647" s="2262"/>
      <c r="H1647" s="2262"/>
      <c r="I1647" s="1428"/>
      <c r="J1647" s="1407"/>
      <c r="K1647" s="1431"/>
      <c r="L1647" s="1407"/>
      <c r="M1647" s="1407"/>
      <c r="N1647" s="1407"/>
      <c r="O1647" s="1407"/>
      <c r="P1647" s="1407"/>
      <c r="Q1647" s="1407"/>
      <c r="R1647" s="1407"/>
      <c r="S1647" s="1407"/>
      <c r="T1647" s="1407"/>
      <c r="U1647" s="1407"/>
    </row>
    <row r="1648" spans="1:21" ht="12">
      <c r="A1648" s="639"/>
      <c r="B1648" s="1483"/>
      <c r="C1648" s="639"/>
      <c r="D1648" s="1831"/>
      <c r="E1648" s="2264"/>
      <c r="F1648" s="2262"/>
      <c r="G1648" s="2262"/>
      <c r="H1648" s="2262"/>
      <c r="I1648" s="1428"/>
      <c r="J1648" s="1407"/>
      <c r="K1648" s="1431"/>
      <c r="L1648" s="1407"/>
      <c r="M1648" s="1407"/>
      <c r="N1648" s="1407"/>
      <c r="O1648" s="1407"/>
      <c r="P1648" s="1407"/>
      <c r="Q1648" s="1407"/>
      <c r="R1648" s="1407"/>
      <c r="S1648" s="1407"/>
      <c r="T1648" s="1407"/>
      <c r="U1648" s="1407"/>
    </row>
    <row r="1649" spans="1:21" ht="12">
      <c r="A1649" s="639"/>
      <c r="B1649" s="1483"/>
      <c r="C1649" s="639"/>
      <c r="D1649" s="1831"/>
      <c r="E1649" s="2264"/>
      <c r="F1649" s="2262"/>
      <c r="G1649" s="2262"/>
      <c r="H1649" s="2262"/>
      <c r="I1649" s="1428"/>
      <c r="J1649" s="1407"/>
      <c r="K1649" s="1431"/>
      <c r="L1649" s="1407"/>
      <c r="M1649" s="1407"/>
      <c r="N1649" s="1407"/>
      <c r="O1649" s="1407"/>
      <c r="P1649" s="1407"/>
      <c r="Q1649" s="1407"/>
      <c r="R1649" s="1407"/>
      <c r="S1649" s="1407"/>
      <c r="T1649" s="1407"/>
      <c r="U1649" s="1407"/>
    </row>
    <row r="1650" spans="1:21" ht="12">
      <c r="A1650" s="639"/>
      <c r="B1650" s="1483"/>
      <c r="C1650" s="639"/>
      <c r="D1650" s="1831"/>
      <c r="E1650" s="2264"/>
      <c r="F1650" s="2262"/>
      <c r="G1650" s="2262"/>
      <c r="H1650" s="2262"/>
      <c r="I1650" s="1428"/>
      <c r="J1650" s="1407"/>
      <c r="K1650" s="1431"/>
      <c r="L1650" s="1407"/>
      <c r="M1650" s="1407"/>
      <c r="N1650" s="1407"/>
      <c r="O1650" s="1407"/>
      <c r="P1650" s="1407"/>
      <c r="Q1650" s="1407"/>
      <c r="R1650" s="1407"/>
      <c r="S1650" s="1407"/>
      <c r="T1650" s="1407"/>
      <c r="U1650" s="1407"/>
    </row>
    <row r="1651" spans="1:21" ht="12">
      <c r="A1651" s="639"/>
      <c r="B1651" s="1483"/>
      <c r="C1651" s="639"/>
      <c r="D1651" s="1831"/>
      <c r="E1651" s="2264"/>
      <c r="F1651" s="2262"/>
      <c r="G1651" s="2262"/>
      <c r="H1651" s="2262"/>
      <c r="I1651" s="1428"/>
      <c r="J1651" s="1407"/>
      <c r="K1651" s="1431"/>
      <c r="L1651" s="1407"/>
      <c r="M1651" s="1407"/>
      <c r="N1651" s="1407"/>
      <c r="O1651" s="1407"/>
      <c r="P1651" s="1407"/>
      <c r="Q1651" s="1407"/>
      <c r="R1651" s="1407"/>
      <c r="S1651" s="1407"/>
      <c r="T1651" s="1407"/>
      <c r="U1651" s="1407"/>
    </row>
    <row r="1652" spans="1:21" ht="12">
      <c r="A1652" s="639"/>
      <c r="B1652" s="1483"/>
      <c r="C1652" s="639"/>
      <c r="D1652" s="1831"/>
      <c r="E1652" s="2264"/>
      <c r="F1652" s="2262"/>
      <c r="G1652" s="2262"/>
      <c r="H1652" s="2262"/>
      <c r="I1652" s="1428"/>
      <c r="J1652" s="1407"/>
      <c r="K1652" s="1431"/>
      <c r="L1652" s="1407"/>
      <c r="M1652" s="1407"/>
      <c r="N1652" s="1407"/>
      <c r="O1652" s="1407"/>
      <c r="P1652" s="1407"/>
      <c r="Q1652" s="1407"/>
      <c r="R1652" s="1407"/>
      <c r="S1652" s="1407"/>
      <c r="T1652" s="1407"/>
      <c r="U1652" s="1407"/>
    </row>
    <row r="1653" spans="1:21" ht="12">
      <c r="A1653" s="639"/>
      <c r="B1653" s="1483"/>
      <c r="C1653" s="639"/>
      <c r="D1653" s="1831"/>
      <c r="E1653" s="2264"/>
      <c r="F1653" s="2262"/>
      <c r="G1653" s="2262"/>
      <c r="H1653" s="2262"/>
      <c r="I1653" s="1428"/>
      <c r="J1653" s="1407"/>
      <c r="K1653" s="1431"/>
      <c r="L1653" s="1407"/>
      <c r="M1653" s="1407"/>
      <c r="N1653" s="1407"/>
      <c r="O1653" s="1407"/>
      <c r="P1653" s="1407"/>
      <c r="Q1653" s="1407"/>
      <c r="R1653" s="1407"/>
      <c r="S1653" s="1407"/>
      <c r="T1653" s="1407"/>
      <c r="U1653" s="1407"/>
    </row>
    <row r="1654" spans="1:21" ht="12">
      <c r="A1654" s="639"/>
      <c r="B1654" s="1483"/>
      <c r="C1654" s="639"/>
      <c r="D1654" s="1831"/>
      <c r="E1654" s="2264"/>
      <c r="F1654" s="2262"/>
      <c r="G1654" s="2262"/>
      <c r="H1654" s="2262"/>
      <c r="I1654" s="1428"/>
      <c r="J1654" s="1407"/>
      <c r="K1654" s="1431"/>
      <c r="L1654" s="1407"/>
      <c r="M1654" s="1407"/>
      <c r="N1654" s="1407"/>
      <c r="O1654" s="1407"/>
      <c r="P1654" s="1407"/>
      <c r="Q1654" s="1407"/>
      <c r="R1654" s="1407"/>
      <c r="S1654" s="1407"/>
      <c r="T1654" s="1407"/>
      <c r="U1654" s="1407"/>
    </row>
    <row r="1655" spans="1:21" ht="12">
      <c r="A1655" s="639"/>
      <c r="B1655" s="1483"/>
      <c r="C1655" s="639"/>
      <c r="D1655" s="1831"/>
      <c r="E1655" s="2264"/>
      <c r="F1655" s="2262"/>
      <c r="G1655" s="2262"/>
      <c r="H1655" s="2262"/>
      <c r="I1655" s="1428"/>
      <c r="J1655" s="1407"/>
      <c r="K1655" s="1431"/>
      <c r="L1655" s="1407"/>
      <c r="M1655" s="1407"/>
      <c r="N1655" s="1407"/>
      <c r="O1655" s="1407"/>
      <c r="P1655" s="1407"/>
      <c r="Q1655" s="1407"/>
      <c r="R1655" s="1407"/>
      <c r="S1655" s="1407"/>
      <c r="T1655" s="1407"/>
      <c r="U1655" s="1407"/>
    </row>
    <row r="1656" spans="1:21" ht="12">
      <c r="A1656" s="639"/>
      <c r="B1656" s="1483"/>
      <c r="C1656" s="639"/>
      <c r="D1656" s="1831"/>
      <c r="E1656" s="2264"/>
      <c r="F1656" s="2262"/>
      <c r="G1656" s="2262"/>
      <c r="H1656" s="2262"/>
      <c r="I1656" s="1428"/>
      <c r="J1656" s="1407"/>
      <c r="K1656" s="1431"/>
      <c r="L1656" s="1407"/>
      <c r="M1656" s="1407"/>
      <c r="N1656" s="1407"/>
      <c r="O1656" s="1407"/>
      <c r="P1656" s="1407"/>
      <c r="Q1656" s="1407"/>
      <c r="R1656" s="1407"/>
      <c r="S1656" s="1407"/>
      <c r="T1656" s="1407"/>
      <c r="U1656" s="1407"/>
    </row>
    <row r="1657" spans="1:21" ht="12">
      <c r="A1657" s="639"/>
      <c r="B1657" s="1483"/>
      <c r="C1657" s="639"/>
      <c r="D1657" s="1831"/>
      <c r="E1657" s="2264"/>
      <c r="F1657" s="2262"/>
      <c r="G1657" s="2262"/>
      <c r="H1657" s="2262"/>
      <c r="I1657" s="1428"/>
      <c r="J1657" s="1407"/>
      <c r="K1657" s="1431"/>
      <c r="L1657" s="1407"/>
      <c r="M1657" s="1407"/>
      <c r="N1657" s="1407"/>
      <c r="O1657" s="1407"/>
      <c r="P1657" s="1407"/>
      <c r="Q1657" s="1407"/>
      <c r="R1657" s="1407"/>
      <c r="S1657" s="1407"/>
      <c r="T1657" s="1407"/>
      <c r="U1657" s="1407"/>
    </row>
    <row r="1658" spans="1:21" ht="12">
      <c r="A1658" s="639"/>
      <c r="B1658" s="1483"/>
      <c r="C1658" s="639"/>
      <c r="D1658" s="1831"/>
      <c r="E1658" s="2264"/>
      <c r="F1658" s="2262"/>
      <c r="G1658" s="2262"/>
      <c r="H1658" s="2262"/>
      <c r="I1658" s="1428"/>
      <c r="J1658" s="1407"/>
      <c r="K1658" s="1431"/>
      <c r="L1658" s="1407"/>
      <c r="M1658" s="1407"/>
      <c r="N1658" s="1407"/>
      <c r="O1658" s="1407"/>
      <c r="P1658" s="1407"/>
      <c r="Q1658" s="1407"/>
      <c r="R1658" s="1407"/>
      <c r="S1658" s="1407"/>
      <c r="T1658" s="1407"/>
      <c r="U1658" s="1407"/>
    </row>
    <row r="1659" spans="1:21" ht="12">
      <c r="A1659" s="639"/>
      <c r="B1659" s="1483"/>
      <c r="C1659" s="639"/>
      <c r="D1659" s="1831"/>
      <c r="E1659" s="2264"/>
      <c r="F1659" s="2262"/>
      <c r="G1659" s="2262"/>
      <c r="H1659" s="2262"/>
      <c r="I1659" s="1428"/>
      <c r="J1659" s="1407"/>
      <c r="K1659" s="1431"/>
      <c r="L1659" s="1407"/>
      <c r="M1659" s="1407"/>
      <c r="N1659" s="1407"/>
      <c r="O1659" s="1407"/>
      <c r="P1659" s="1407"/>
      <c r="Q1659" s="1407"/>
      <c r="R1659" s="1407"/>
      <c r="S1659" s="1407"/>
      <c r="T1659" s="1407"/>
      <c r="U1659" s="1407"/>
    </row>
    <row r="1660" spans="1:21" ht="12">
      <c r="A1660" s="639"/>
      <c r="B1660" s="1483"/>
      <c r="C1660" s="639"/>
      <c r="D1660" s="1831"/>
      <c r="E1660" s="2264"/>
      <c r="F1660" s="2262"/>
      <c r="G1660" s="2262"/>
      <c r="H1660" s="2262"/>
      <c r="I1660" s="1428"/>
      <c r="J1660" s="1407"/>
      <c r="K1660" s="1431"/>
      <c r="L1660" s="1407"/>
      <c r="M1660" s="1407"/>
      <c r="N1660" s="1407"/>
      <c r="O1660" s="1407"/>
      <c r="P1660" s="1407"/>
      <c r="Q1660" s="1407"/>
      <c r="R1660" s="1407"/>
      <c r="S1660" s="1407"/>
      <c r="T1660" s="1407"/>
      <c r="U1660" s="1407"/>
    </row>
    <row r="1661" spans="1:21" ht="12">
      <c r="A1661" s="639"/>
      <c r="B1661" s="1483"/>
      <c r="C1661" s="639"/>
      <c r="D1661" s="1831"/>
      <c r="E1661" s="2264"/>
      <c r="F1661" s="2262"/>
      <c r="G1661" s="2262"/>
      <c r="H1661" s="2262"/>
      <c r="I1661" s="1428"/>
      <c r="J1661" s="1407"/>
      <c r="K1661" s="1431"/>
      <c r="L1661" s="1407"/>
      <c r="M1661" s="1407"/>
      <c r="N1661" s="1407"/>
      <c r="O1661" s="1407"/>
      <c r="P1661" s="1407"/>
      <c r="Q1661" s="1407"/>
      <c r="R1661" s="1407"/>
      <c r="S1661" s="1407"/>
      <c r="T1661" s="1407"/>
      <c r="U1661" s="1407"/>
    </row>
    <row r="1662" spans="1:21" ht="12">
      <c r="A1662" s="639"/>
      <c r="B1662" s="1483"/>
      <c r="C1662" s="639"/>
      <c r="D1662" s="1831"/>
      <c r="E1662" s="2264"/>
      <c r="F1662" s="2262"/>
      <c r="G1662" s="2262"/>
      <c r="H1662" s="2262"/>
      <c r="I1662" s="1428"/>
      <c r="J1662" s="1407"/>
      <c r="K1662" s="1431"/>
      <c r="L1662" s="1407"/>
      <c r="M1662" s="1407"/>
      <c r="N1662" s="1407"/>
      <c r="O1662" s="1407"/>
      <c r="P1662" s="1407"/>
      <c r="Q1662" s="1407"/>
      <c r="R1662" s="1407"/>
      <c r="S1662" s="1407"/>
      <c r="T1662" s="1407"/>
      <c r="U1662" s="1407"/>
    </row>
    <row r="1663" spans="1:21" ht="12">
      <c r="A1663" s="639"/>
      <c r="B1663" s="1483"/>
      <c r="C1663" s="639"/>
      <c r="D1663" s="1831"/>
      <c r="E1663" s="2264"/>
      <c r="F1663" s="2262"/>
      <c r="G1663" s="2262"/>
      <c r="H1663" s="2262"/>
      <c r="I1663" s="1428"/>
      <c r="J1663" s="1407"/>
      <c r="K1663" s="1431"/>
      <c r="L1663" s="1407"/>
      <c r="M1663" s="1407"/>
      <c r="N1663" s="1407"/>
      <c r="O1663" s="1407"/>
      <c r="P1663" s="1407"/>
      <c r="Q1663" s="1407"/>
      <c r="R1663" s="1407"/>
      <c r="S1663" s="1407"/>
      <c r="T1663" s="1407"/>
      <c r="U1663" s="1407"/>
    </row>
    <row r="1664" spans="1:21" ht="12">
      <c r="A1664" s="639"/>
      <c r="B1664" s="1483"/>
      <c r="C1664" s="639"/>
      <c r="D1664" s="1831"/>
      <c r="E1664" s="2264"/>
      <c r="F1664" s="2262"/>
      <c r="G1664" s="2262"/>
      <c r="H1664" s="2262"/>
      <c r="I1664" s="1428"/>
      <c r="J1664" s="1407"/>
      <c r="K1664" s="1431"/>
      <c r="L1664" s="1407"/>
      <c r="M1664" s="1407"/>
      <c r="N1664" s="1407"/>
      <c r="O1664" s="1407"/>
      <c r="P1664" s="1407"/>
      <c r="Q1664" s="1407"/>
      <c r="R1664" s="1407"/>
      <c r="S1664" s="1407"/>
      <c r="T1664" s="1407"/>
      <c r="U1664" s="1407"/>
    </row>
    <row r="1665" spans="1:21" ht="12">
      <c r="A1665" s="639"/>
      <c r="B1665" s="1483"/>
      <c r="C1665" s="639"/>
      <c r="D1665" s="1831"/>
      <c r="E1665" s="2264"/>
      <c r="F1665" s="2262"/>
      <c r="G1665" s="2262"/>
      <c r="H1665" s="2262"/>
      <c r="I1665" s="1428"/>
      <c r="J1665" s="1407"/>
      <c r="K1665" s="1431"/>
      <c r="L1665" s="1407"/>
      <c r="M1665" s="1407"/>
      <c r="N1665" s="1407"/>
      <c r="O1665" s="1407"/>
      <c r="P1665" s="1407"/>
      <c r="Q1665" s="1407"/>
      <c r="R1665" s="1407"/>
      <c r="S1665" s="1407"/>
      <c r="T1665" s="1407"/>
      <c r="U1665" s="1407"/>
    </row>
    <row r="1666" spans="1:21" ht="12">
      <c r="A1666" s="639"/>
      <c r="B1666" s="1483"/>
      <c r="C1666" s="639"/>
      <c r="D1666" s="1831"/>
      <c r="E1666" s="2264"/>
      <c r="F1666" s="2262"/>
      <c r="G1666" s="2262"/>
      <c r="H1666" s="2262"/>
      <c r="I1666" s="1428"/>
      <c r="J1666" s="1407"/>
      <c r="K1666" s="1431"/>
      <c r="L1666" s="1407"/>
      <c r="M1666" s="1407"/>
      <c r="N1666" s="1407"/>
      <c r="O1666" s="1407"/>
      <c r="P1666" s="1407"/>
      <c r="Q1666" s="1407"/>
      <c r="R1666" s="1407"/>
      <c r="S1666" s="1407"/>
      <c r="T1666" s="1407"/>
      <c r="U1666" s="1407"/>
    </row>
    <row r="1667" spans="1:21" ht="12">
      <c r="A1667" s="639"/>
      <c r="B1667" s="1483"/>
      <c r="C1667" s="639"/>
      <c r="D1667" s="1831"/>
      <c r="E1667" s="2264"/>
      <c r="F1667" s="2262"/>
      <c r="G1667" s="2262"/>
      <c r="H1667" s="2262"/>
      <c r="I1667" s="1428"/>
      <c r="J1667" s="1407"/>
      <c r="K1667" s="1431"/>
      <c r="L1667" s="1407"/>
      <c r="M1667" s="1407"/>
      <c r="N1667" s="1407"/>
      <c r="O1667" s="1407"/>
      <c r="P1667" s="1407"/>
      <c r="Q1667" s="1407"/>
      <c r="R1667" s="1407"/>
      <c r="S1667" s="1407"/>
      <c r="T1667" s="1407"/>
      <c r="U1667" s="1407"/>
    </row>
    <row r="1668" spans="1:21" ht="12">
      <c r="A1668" s="639"/>
      <c r="B1668" s="1483"/>
      <c r="C1668" s="639"/>
      <c r="D1668" s="1831"/>
      <c r="E1668" s="2264"/>
      <c r="F1668" s="2262"/>
      <c r="G1668" s="2262"/>
      <c r="H1668" s="2262"/>
      <c r="I1668" s="1428"/>
      <c r="J1668" s="1407"/>
      <c r="K1668" s="1431"/>
      <c r="L1668" s="1407"/>
      <c r="M1668" s="1407"/>
      <c r="N1668" s="1407"/>
      <c r="O1668" s="1407"/>
      <c r="P1668" s="1407"/>
      <c r="Q1668" s="1407"/>
      <c r="R1668" s="1407"/>
      <c r="S1668" s="1407"/>
      <c r="T1668" s="1407"/>
      <c r="U1668" s="1407"/>
    </row>
    <row r="1669" spans="1:21" ht="12">
      <c r="A1669" s="639"/>
      <c r="B1669" s="1483"/>
      <c r="C1669" s="639"/>
      <c r="D1669" s="1831"/>
      <c r="E1669" s="2264"/>
      <c r="F1669" s="2262"/>
      <c r="G1669" s="2262"/>
      <c r="H1669" s="2262"/>
      <c r="I1669" s="1428"/>
      <c r="J1669" s="1407"/>
      <c r="K1669" s="1431"/>
      <c r="L1669" s="1407"/>
      <c r="M1669" s="1407"/>
      <c r="N1669" s="1407"/>
      <c r="O1669" s="1407"/>
      <c r="P1669" s="1407"/>
      <c r="Q1669" s="1407"/>
      <c r="R1669" s="1407"/>
      <c r="S1669" s="1407"/>
      <c r="T1669" s="1407"/>
      <c r="U1669" s="1407"/>
    </row>
    <row r="1670" spans="1:21" ht="12">
      <c r="A1670" s="639"/>
      <c r="B1670" s="1483"/>
      <c r="C1670" s="639"/>
      <c r="D1670" s="1831"/>
      <c r="E1670" s="2264"/>
      <c r="F1670" s="2262"/>
      <c r="G1670" s="2262"/>
      <c r="H1670" s="2262"/>
      <c r="I1670" s="1428"/>
      <c r="J1670" s="1407"/>
      <c r="K1670" s="1431"/>
      <c r="L1670" s="1407"/>
      <c r="M1670" s="1407"/>
      <c r="N1670" s="1407"/>
      <c r="O1670" s="1407"/>
      <c r="P1670" s="1407"/>
      <c r="Q1670" s="1407"/>
      <c r="R1670" s="1407"/>
      <c r="S1670" s="1407"/>
      <c r="T1670" s="1407"/>
      <c r="U1670" s="1407"/>
    </row>
    <row r="1671" spans="1:21" ht="12">
      <c r="A1671" s="639"/>
      <c r="B1671" s="1483"/>
      <c r="C1671" s="639"/>
      <c r="D1671" s="1831"/>
      <c r="E1671" s="2264"/>
      <c r="F1671" s="2262"/>
      <c r="G1671" s="2262"/>
      <c r="H1671" s="2262"/>
      <c r="I1671" s="1428"/>
      <c r="J1671" s="1407"/>
      <c r="K1671" s="1431"/>
      <c r="L1671" s="1407"/>
      <c r="M1671" s="1407"/>
      <c r="N1671" s="1407"/>
      <c r="O1671" s="1407"/>
      <c r="P1671" s="1407"/>
      <c r="Q1671" s="1407"/>
      <c r="R1671" s="1407"/>
      <c r="S1671" s="1407"/>
      <c r="T1671" s="1407"/>
      <c r="U1671" s="1407"/>
    </row>
    <row r="1672" spans="1:21" ht="12">
      <c r="A1672" s="639"/>
      <c r="B1672" s="1483"/>
      <c r="C1672" s="639"/>
      <c r="D1672" s="1831"/>
      <c r="E1672" s="2264"/>
      <c r="F1672" s="2262"/>
      <c r="G1672" s="2262"/>
      <c r="H1672" s="2262"/>
      <c r="I1672" s="1428"/>
      <c r="J1672" s="1407"/>
      <c r="K1672" s="1431"/>
      <c r="L1672" s="1407"/>
      <c r="M1672" s="1407"/>
      <c r="N1672" s="1407"/>
      <c r="O1672" s="1407"/>
      <c r="P1672" s="1407"/>
      <c r="Q1672" s="1407"/>
      <c r="R1672" s="1407"/>
      <c r="S1672" s="1407"/>
      <c r="T1672" s="1407"/>
      <c r="U1672" s="1407"/>
    </row>
    <row r="1673" spans="1:21" ht="12">
      <c r="A1673" s="639"/>
      <c r="B1673" s="1483"/>
      <c r="C1673" s="639"/>
      <c r="D1673" s="1831"/>
      <c r="E1673" s="2264"/>
      <c r="F1673" s="2262"/>
      <c r="G1673" s="2262"/>
      <c r="H1673" s="2262"/>
      <c r="I1673" s="1428"/>
      <c r="J1673" s="1407"/>
      <c r="K1673" s="1431"/>
      <c r="L1673" s="1407"/>
      <c r="M1673" s="1407"/>
      <c r="N1673" s="1407"/>
      <c r="O1673" s="1407"/>
      <c r="P1673" s="1407"/>
      <c r="Q1673" s="1407"/>
      <c r="R1673" s="1407"/>
      <c r="S1673" s="1407"/>
      <c r="T1673" s="1407"/>
      <c r="U1673" s="1407"/>
    </row>
    <row r="1674" spans="1:21" ht="12">
      <c r="A1674" s="639"/>
      <c r="B1674" s="1483"/>
      <c r="C1674" s="639"/>
      <c r="D1674" s="1831"/>
      <c r="E1674" s="2264"/>
      <c r="F1674" s="2262"/>
      <c r="G1674" s="2262"/>
      <c r="H1674" s="2262"/>
      <c r="I1674" s="1428"/>
      <c r="J1674" s="1407"/>
      <c r="K1674" s="1431"/>
      <c r="L1674" s="1407"/>
      <c r="M1674" s="1407"/>
      <c r="N1674" s="1407"/>
      <c r="O1674" s="1407"/>
      <c r="P1674" s="1407"/>
      <c r="Q1674" s="1407"/>
      <c r="R1674" s="1407"/>
      <c r="S1674" s="1407"/>
      <c r="T1674" s="1407"/>
      <c r="U1674" s="1407"/>
    </row>
    <row r="1675" spans="1:21" ht="12">
      <c r="A1675" s="639"/>
      <c r="B1675" s="1483"/>
      <c r="C1675" s="639"/>
      <c r="D1675" s="1831"/>
      <c r="E1675" s="2264"/>
      <c r="F1675" s="2262"/>
      <c r="G1675" s="2262"/>
      <c r="H1675" s="2262"/>
      <c r="I1675" s="1428"/>
      <c r="J1675" s="1407"/>
      <c r="K1675" s="1431"/>
      <c r="L1675" s="1407"/>
      <c r="M1675" s="1407"/>
      <c r="N1675" s="1407"/>
      <c r="O1675" s="1407"/>
      <c r="P1675" s="1407"/>
      <c r="Q1675" s="1407"/>
      <c r="R1675" s="1407"/>
      <c r="S1675" s="1407"/>
      <c r="T1675" s="1407"/>
      <c r="U1675" s="1407"/>
    </row>
    <row r="1676" spans="1:21" ht="12">
      <c r="A1676" s="639"/>
      <c r="B1676" s="1483"/>
      <c r="C1676" s="639"/>
      <c r="D1676" s="1831"/>
      <c r="E1676" s="2264"/>
      <c r="F1676" s="2262"/>
      <c r="G1676" s="2262"/>
      <c r="H1676" s="2262"/>
      <c r="I1676" s="1428"/>
      <c r="J1676" s="1407"/>
      <c r="K1676" s="1431"/>
      <c r="L1676" s="1407"/>
      <c r="M1676" s="1407"/>
      <c r="N1676" s="1407"/>
      <c r="O1676" s="1407"/>
      <c r="P1676" s="1407"/>
      <c r="Q1676" s="1407"/>
      <c r="R1676" s="1407"/>
      <c r="S1676" s="1407"/>
      <c r="T1676" s="1407"/>
      <c r="U1676" s="1407"/>
    </row>
    <row r="1677" spans="1:21" ht="12">
      <c r="A1677" s="639"/>
      <c r="B1677" s="1483"/>
      <c r="C1677" s="639"/>
      <c r="D1677" s="1831"/>
      <c r="E1677" s="2264"/>
      <c r="F1677" s="2262"/>
      <c r="G1677" s="2262"/>
      <c r="H1677" s="2262"/>
      <c r="I1677" s="1428"/>
      <c r="J1677" s="1407"/>
      <c r="K1677" s="1431"/>
      <c r="L1677" s="1407"/>
      <c r="M1677" s="1407"/>
      <c r="N1677" s="1407"/>
      <c r="O1677" s="1407"/>
      <c r="P1677" s="1407"/>
      <c r="Q1677" s="1407"/>
      <c r="R1677" s="1407"/>
      <c r="S1677" s="1407"/>
      <c r="T1677" s="1407"/>
      <c r="U1677" s="1407"/>
    </row>
    <row r="1678" spans="1:21" ht="12">
      <c r="A1678" s="639"/>
      <c r="B1678" s="1483"/>
      <c r="C1678" s="639"/>
      <c r="D1678" s="1831"/>
      <c r="E1678" s="2264"/>
      <c r="F1678" s="2262"/>
      <c r="G1678" s="2262"/>
      <c r="H1678" s="2262"/>
      <c r="I1678" s="1428"/>
      <c r="J1678" s="1407"/>
      <c r="K1678" s="1431"/>
      <c r="L1678" s="1407"/>
      <c r="M1678" s="1407"/>
      <c r="N1678" s="1407"/>
      <c r="O1678" s="1407"/>
      <c r="P1678" s="1407"/>
      <c r="Q1678" s="1407"/>
      <c r="R1678" s="1407"/>
      <c r="S1678" s="1407"/>
      <c r="T1678" s="1407"/>
      <c r="U1678" s="1407"/>
    </row>
    <row r="1679" spans="1:21" ht="12">
      <c r="A1679" s="639"/>
      <c r="B1679" s="1483"/>
      <c r="C1679" s="639"/>
      <c r="D1679" s="1831"/>
      <c r="E1679" s="2264"/>
      <c r="F1679" s="2262"/>
      <c r="G1679" s="2262"/>
      <c r="H1679" s="2262"/>
      <c r="I1679" s="1428"/>
      <c r="J1679" s="1407"/>
      <c r="K1679" s="1431"/>
      <c r="L1679" s="1407"/>
      <c r="M1679" s="1407"/>
      <c r="N1679" s="1407"/>
      <c r="O1679" s="1407"/>
      <c r="P1679" s="1407"/>
      <c r="Q1679" s="1407"/>
      <c r="R1679" s="1407"/>
      <c r="S1679" s="1407"/>
      <c r="T1679" s="1407"/>
      <c r="U1679" s="1407"/>
    </row>
    <row r="1680" spans="1:21" ht="12">
      <c r="A1680" s="639"/>
      <c r="B1680" s="1483"/>
      <c r="C1680" s="639"/>
      <c r="D1680" s="1831"/>
      <c r="E1680" s="2264"/>
      <c r="F1680" s="2262"/>
      <c r="G1680" s="2262"/>
      <c r="H1680" s="2262"/>
      <c r="I1680" s="1428"/>
      <c r="J1680" s="1407"/>
      <c r="K1680" s="1431"/>
      <c r="L1680" s="1407"/>
      <c r="M1680" s="1407"/>
      <c r="N1680" s="1407"/>
      <c r="O1680" s="1407"/>
      <c r="P1680" s="1407"/>
      <c r="Q1680" s="1407"/>
      <c r="R1680" s="1407"/>
      <c r="S1680" s="1407"/>
      <c r="T1680" s="1407"/>
      <c r="U1680" s="1407"/>
    </row>
    <row r="1681" spans="1:21" ht="12">
      <c r="A1681" s="639"/>
      <c r="B1681" s="1483"/>
      <c r="C1681" s="639"/>
      <c r="D1681" s="1831"/>
      <c r="E1681" s="2264"/>
      <c r="F1681" s="2262"/>
      <c r="G1681" s="2262"/>
      <c r="H1681" s="2262"/>
      <c r="I1681" s="1428"/>
      <c r="J1681" s="1407"/>
      <c r="K1681" s="1431"/>
      <c r="L1681" s="1407"/>
      <c r="M1681" s="1407"/>
      <c r="N1681" s="1407"/>
      <c r="O1681" s="1407"/>
      <c r="P1681" s="1407"/>
      <c r="Q1681" s="1407"/>
      <c r="R1681" s="1407"/>
      <c r="S1681" s="1407"/>
      <c r="T1681" s="1407"/>
      <c r="U1681" s="1407"/>
    </row>
    <row r="1682" spans="1:21" ht="12">
      <c r="A1682" s="639"/>
      <c r="B1682" s="1483"/>
      <c r="C1682" s="639"/>
      <c r="D1682" s="1831"/>
      <c r="E1682" s="2264"/>
      <c r="F1682" s="2262"/>
      <c r="G1682" s="2262"/>
      <c r="H1682" s="2262"/>
      <c r="I1682" s="1428"/>
      <c r="J1682" s="1407"/>
      <c r="K1682" s="1431"/>
      <c r="L1682" s="1407"/>
      <c r="M1682" s="1407"/>
      <c r="N1682" s="1407"/>
      <c r="O1682" s="1407"/>
      <c r="P1682" s="1407"/>
      <c r="Q1682" s="1407"/>
      <c r="R1682" s="1407"/>
      <c r="S1682" s="1407"/>
      <c r="T1682" s="1407"/>
      <c r="U1682" s="1407"/>
    </row>
    <row r="1683" spans="1:21" ht="12">
      <c r="A1683" s="639"/>
      <c r="B1683" s="1483"/>
      <c r="C1683" s="639"/>
      <c r="D1683" s="1831"/>
      <c r="E1683" s="2264"/>
      <c r="F1683" s="2262"/>
      <c r="G1683" s="2262"/>
      <c r="H1683" s="2262"/>
      <c r="I1683" s="1428"/>
      <c r="J1683" s="1407"/>
      <c r="K1683" s="1431"/>
      <c r="L1683" s="1407"/>
      <c r="M1683" s="1407"/>
      <c r="N1683" s="1407"/>
      <c r="O1683" s="1407"/>
      <c r="P1683" s="1407"/>
      <c r="Q1683" s="1407"/>
      <c r="R1683" s="1407"/>
      <c r="S1683" s="1407"/>
      <c r="T1683" s="1407"/>
      <c r="U1683" s="1407"/>
    </row>
    <row r="1684" spans="1:21" ht="12">
      <c r="A1684" s="639"/>
      <c r="B1684" s="1483"/>
      <c r="C1684" s="639"/>
      <c r="D1684" s="1831"/>
      <c r="E1684" s="2264"/>
      <c r="F1684" s="2262"/>
      <c r="G1684" s="2262"/>
      <c r="H1684" s="2262"/>
      <c r="I1684" s="1428"/>
      <c r="J1684" s="1407"/>
      <c r="K1684" s="1431"/>
      <c r="L1684" s="1407"/>
      <c r="M1684" s="1407"/>
      <c r="N1684" s="1407"/>
      <c r="O1684" s="1407"/>
      <c r="P1684" s="1407"/>
      <c r="Q1684" s="1407"/>
      <c r="R1684" s="1407"/>
      <c r="S1684" s="1407"/>
      <c r="T1684" s="1407"/>
      <c r="U1684" s="1407"/>
    </row>
    <row r="1685" spans="1:21" ht="12">
      <c r="A1685" s="639"/>
      <c r="B1685" s="1483"/>
      <c r="C1685" s="639"/>
      <c r="D1685" s="1831"/>
      <c r="E1685" s="2264"/>
      <c r="F1685" s="2262"/>
      <c r="G1685" s="2262"/>
      <c r="H1685" s="2262"/>
      <c r="I1685" s="1428"/>
      <c r="J1685" s="1407"/>
      <c r="K1685" s="1431"/>
      <c r="L1685" s="1407"/>
      <c r="M1685" s="1407"/>
      <c r="N1685" s="1407"/>
      <c r="O1685" s="1407"/>
      <c r="P1685" s="1407"/>
      <c r="Q1685" s="1407"/>
      <c r="R1685" s="1407"/>
      <c r="S1685" s="1407"/>
      <c r="T1685" s="1407"/>
      <c r="U1685" s="1407"/>
    </row>
    <row r="1686" spans="1:21" ht="12">
      <c r="A1686" s="639"/>
      <c r="B1686" s="1483"/>
      <c r="C1686" s="639"/>
      <c r="D1686" s="1831"/>
      <c r="E1686" s="2264"/>
      <c r="F1686" s="2262"/>
      <c r="G1686" s="2262"/>
      <c r="H1686" s="2262"/>
      <c r="I1686" s="1428"/>
      <c r="J1686" s="1407"/>
      <c r="K1686" s="1431"/>
      <c r="L1686" s="1407"/>
      <c r="M1686" s="1407"/>
      <c r="N1686" s="1407"/>
      <c r="O1686" s="1407"/>
      <c r="P1686" s="1407"/>
      <c r="Q1686" s="1407"/>
      <c r="R1686" s="1407"/>
      <c r="S1686" s="1407"/>
      <c r="T1686" s="1407"/>
      <c r="U1686" s="1407"/>
    </row>
    <row r="1687" spans="1:21" ht="12">
      <c r="A1687" s="639"/>
      <c r="B1687" s="1483"/>
      <c r="C1687" s="639"/>
      <c r="D1687" s="1831"/>
      <c r="E1687" s="2264"/>
      <c r="F1687" s="2262"/>
      <c r="G1687" s="2262"/>
      <c r="H1687" s="2262"/>
      <c r="I1687" s="1428"/>
      <c r="J1687" s="1407"/>
      <c r="K1687" s="1431"/>
      <c r="L1687" s="1407"/>
      <c r="M1687" s="1407"/>
      <c r="N1687" s="1407"/>
      <c r="O1687" s="1407"/>
      <c r="P1687" s="1407"/>
      <c r="Q1687" s="1407"/>
      <c r="R1687" s="1407"/>
      <c r="S1687" s="1407"/>
      <c r="T1687" s="1407"/>
      <c r="U1687" s="1407"/>
    </row>
    <row r="1688" spans="1:21" ht="12">
      <c r="A1688" s="639"/>
      <c r="B1688" s="1483"/>
      <c r="C1688" s="639"/>
      <c r="D1688" s="1831"/>
      <c r="E1688" s="2264"/>
      <c r="F1688" s="2262"/>
      <c r="G1688" s="2262"/>
      <c r="H1688" s="2262"/>
      <c r="I1688" s="1428"/>
      <c r="J1688" s="1407"/>
      <c r="K1688" s="1431"/>
      <c r="L1688" s="1407"/>
      <c r="M1688" s="1407"/>
      <c r="N1688" s="1407"/>
      <c r="O1688" s="1407"/>
      <c r="P1688" s="1407"/>
      <c r="Q1688" s="1407"/>
      <c r="R1688" s="1407"/>
      <c r="S1688" s="1407"/>
      <c r="T1688" s="1407"/>
      <c r="U1688" s="1407"/>
    </row>
    <row r="1689" spans="1:21" ht="12">
      <c r="A1689" s="639"/>
      <c r="B1689" s="1483"/>
      <c r="C1689" s="639"/>
      <c r="D1689" s="1831"/>
      <c r="E1689" s="2264"/>
      <c r="F1689" s="2262"/>
      <c r="G1689" s="2262"/>
      <c r="H1689" s="2262"/>
      <c r="I1689" s="1428"/>
      <c r="J1689" s="1407"/>
      <c r="K1689" s="1431"/>
      <c r="L1689" s="1407"/>
      <c r="M1689" s="1407"/>
      <c r="N1689" s="1407"/>
      <c r="O1689" s="1407"/>
      <c r="P1689" s="1407"/>
      <c r="Q1689" s="1407"/>
      <c r="R1689" s="1407"/>
      <c r="S1689" s="1407"/>
      <c r="T1689" s="1407"/>
      <c r="U1689" s="1407"/>
    </row>
    <row r="1690" spans="1:21" ht="12">
      <c r="A1690" s="639"/>
      <c r="B1690" s="1483"/>
      <c r="C1690" s="639"/>
      <c r="D1690" s="1831"/>
      <c r="E1690" s="2264"/>
      <c r="F1690" s="2262"/>
      <c r="G1690" s="2262"/>
      <c r="H1690" s="2262"/>
      <c r="I1690" s="1428"/>
      <c r="J1690" s="1407"/>
      <c r="K1690" s="1431"/>
      <c r="L1690" s="1407"/>
      <c r="M1690" s="1407"/>
      <c r="N1690" s="1407"/>
      <c r="O1690" s="1407"/>
      <c r="P1690" s="1407"/>
      <c r="Q1690" s="1407"/>
      <c r="R1690" s="1407"/>
      <c r="S1690" s="1407"/>
      <c r="T1690" s="1407"/>
      <c r="U1690" s="1407"/>
    </row>
    <row r="1691" spans="1:21" ht="12">
      <c r="A1691" s="639"/>
      <c r="B1691" s="1483"/>
      <c r="C1691" s="639"/>
      <c r="D1691" s="1831"/>
      <c r="E1691" s="2264"/>
      <c r="F1691" s="2262"/>
      <c r="G1691" s="2262"/>
      <c r="H1691" s="2262"/>
      <c r="I1691" s="1428"/>
      <c r="J1691" s="1407"/>
      <c r="K1691" s="1431"/>
      <c r="L1691" s="1407"/>
      <c r="M1691" s="1407"/>
      <c r="N1691" s="1407"/>
      <c r="O1691" s="1407"/>
      <c r="P1691" s="1407"/>
      <c r="Q1691" s="1407"/>
      <c r="R1691" s="1407"/>
      <c r="S1691" s="1407"/>
      <c r="T1691" s="1407"/>
      <c r="U1691" s="1407"/>
    </row>
    <row r="1692" spans="1:21" ht="12">
      <c r="A1692" s="639"/>
      <c r="B1692" s="1483"/>
      <c r="C1692" s="639"/>
      <c r="D1692" s="1831"/>
      <c r="E1692" s="2264"/>
      <c r="F1692" s="2262"/>
      <c r="G1692" s="2262"/>
      <c r="H1692" s="2262"/>
      <c r="I1692" s="1428"/>
      <c r="J1692" s="1407"/>
      <c r="K1692" s="1431"/>
      <c r="L1692" s="1407"/>
      <c r="M1692" s="1407"/>
      <c r="N1692" s="1407"/>
      <c r="O1692" s="1407"/>
      <c r="P1692" s="1407"/>
      <c r="Q1692" s="1407"/>
      <c r="R1692" s="1407"/>
      <c r="S1692" s="1407"/>
      <c r="T1692" s="1407"/>
      <c r="U1692" s="1407"/>
    </row>
    <row r="1693" spans="1:21" ht="12">
      <c r="A1693" s="639"/>
      <c r="B1693" s="1483"/>
      <c r="C1693" s="639"/>
      <c r="D1693" s="1831"/>
      <c r="E1693" s="2264"/>
      <c r="F1693" s="2262"/>
      <c r="G1693" s="2262"/>
      <c r="H1693" s="2262"/>
      <c r="I1693" s="1428"/>
      <c r="J1693" s="1407"/>
      <c r="K1693" s="1431"/>
      <c r="L1693" s="1407"/>
      <c r="M1693" s="1407"/>
      <c r="N1693" s="1407"/>
      <c r="O1693" s="1407"/>
      <c r="P1693" s="1407"/>
      <c r="Q1693" s="1407"/>
      <c r="R1693" s="1407"/>
      <c r="S1693" s="1407"/>
      <c r="T1693" s="1407"/>
      <c r="U1693" s="1407"/>
    </row>
    <row r="1694" spans="1:21" ht="12">
      <c r="A1694" s="639"/>
      <c r="B1694" s="1483"/>
      <c r="C1694" s="639"/>
      <c r="D1694" s="1831"/>
      <c r="E1694" s="2264"/>
      <c r="F1694" s="2262"/>
      <c r="G1694" s="2262"/>
      <c r="H1694" s="2262"/>
      <c r="I1694" s="1428"/>
      <c r="J1694" s="1407"/>
      <c r="K1694" s="1431"/>
      <c r="L1694" s="1407"/>
      <c r="M1694" s="1407"/>
      <c r="N1694" s="1407"/>
      <c r="O1694" s="1407"/>
      <c r="P1694" s="1407"/>
      <c r="Q1694" s="1407"/>
      <c r="R1694" s="1407"/>
      <c r="S1694" s="1407"/>
      <c r="T1694" s="1407"/>
      <c r="U1694" s="1407"/>
    </row>
    <row r="1695" spans="1:21" ht="12">
      <c r="A1695" s="639"/>
      <c r="B1695" s="1483"/>
      <c r="C1695" s="639"/>
      <c r="D1695" s="1831"/>
      <c r="E1695" s="2264"/>
      <c r="F1695" s="2262"/>
      <c r="G1695" s="2262"/>
      <c r="H1695" s="2262"/>
      <c r="I1695" s="1428"/>
      <c r="J1695" s="1407"/>
      <c r="K1695" s="1431"/>
      <c r="L1695" s="1407"/>
      <c r="M1695" s="1407"/>
      <c r="N1695" s="1407"/>
      <c r="O1695" s="1407"/>
      <c r="P1695" s="1407"/>
      <c r="Q1695" s="1407"/>
      <c r="R1695" s="1407"/>
      <c r="S1695" s="1407"/>
      <c r="T1695" s="1407"/>
      <c r="U1695" s="1407"/>
    </row>
    <row r="1696" spans="1:21" ht="12">
      <c r="A1696" s="639"/>
      <c r="B1696" s="1483"/>
      <c r="C1696" s="639"/>
      <c r="D1696" s="1831"/>
      <c r="E1696" s="2264"/>
      <c r="F1696" s="2262"/>
      <c r="G1696" s="2262"/>
      <c r="H1696" s="2262"/>
      <c r="I1696" s="1428"/>
      <c r="J1696" s="1407"/>
      <c r="K1696" s="1431"/>
      <c r="L1696" s="1407"/>
      <c r="M1696" s="1407"/>
      <c r="N1696" s="1407"/>
      <c r="O1696" s="1407"/>
      <c r="P1696" s="1407"/>
      <c r="Q1696" s="1407"/>
      <c r="R1696" s="1407"/>
      <c r="S1696" s="1407"/>
      <c r="T1696" s="1407"/>
      <c r="U1696" s="1407"/>
    </row>
    <row r="1697" spans="1:21" ht="12">
      <c r="A1697" s="639"/>
      <c r="B1697" s="1483"/>
      <c r="C1697" s="639"/>
      <c r="D1697" s="1831"/>
      <c r="E1697" s="2264"/>
      <c r="F1697" s="2262"/>
      <c r="G1697" s="2262"/>
      <c r="H1697" s="2262"/>
      <c r="I1697" s="1428"/>
      <c r="J1697" s="1407"/>
      <c r="K1697" s="1431"/>
      <c r="L1697" s="1407"/>
      <c r="M1697" s="1407"/>
      <c r="N1697" s="1407"/>
      <c r="O1697" s="1407"/>
      <c r="P1697" s="1407"/>
      <c r="Q1697" s="1407"/>
      <c r="R1697" s="1407"/>
      <c r="S1697" s="1407"/>
      <c r="T1697" s="1407"/>
      <c r="U1697" s="1407"/>
    </row>
    <row r="1698" spans="1:21" ht="12">
      <c r="A1698" s="639"/>
      <c r="B1698" s="1483"/>
      <c r="C1698" s="639"/>
      <c r="D1698" s="1831"/>
      <c r="E1698" s="2264"/>
      <c r="F1698" s="2262"/>
      <c r="G1698" s="2262"/>
      <c r="H1698" s="2262"/>
      <c r="I1698" s="1428"/>
      <c r="J1698" s="1407"/>
      <c r="K1698" s="1431"/>
      <c r="L1698" s="1407"/>
      <c r="M1698" s="1407"/>
      <c r="N1698" s="1407"/>
      <c r="O1698" s="1407"/>
      <c r="P1698" s="1407"/>
      <c r="Q1698" s="1407"/>
      <c r="R1698" s="1407"/>
      <c r="S1698" s="1407"/>
      <c r="T1698" s="1407"/>
      <c r="U1698" s="1407"/>
    </row>
    <row r="1699" spans="1:21" ht="12">
      <c r="A1699" s="639"/>
      <c r="B1699" s="1483"/>
      <c r="C1699" s="639"/>
      <c r="D1699" s="1831"/>
      <c r="E1699" s="2264"/>
      <c r="F1699" s="2262"/>
      <c r="G1699" s="2262"/>
      <c r="H1699" s="2262"/>
      <c r="I1699" s="1428"/>
      <c r="J1699" s="1407"/>
      <c r="K1699" s="1431"/>
      <c r="L1699" s="1407"/>
      <c r="M1699" s="1407"/>
      <c r="N1699" s="1407"/>
      <c r="O1699" s="1407"/>
      <c r="P1699" s="1407"/>
      <c r="Q1699" s="1407"/>
      <c r="R1699" s="1407"/>
      <c r="S1699" s="1407"/>
      <c r="T1699" s="1407"/>
      <c r="U1699" s="1407"/>
    </row>
    <row r="1700" spans="1:21" ht="12">
      <c r="A1700" s="639"/>
      <c r="B1700" s="1483"/>
      <c r="C1700" s="639"/>
      <c r="D1700" s="1831"/>
      <c r="E1700" s="2264"/>
      <c r="F1700" s="2262"/>
      <c r="G1700" s="2262"/>
      <c r="H1700" s="2262"/>
      <c r="I1700" s="1428"/>
      <c r="J1700" s="1407"/>
      <c r="K1700" s="1431"/>
      <c r="L1700" s="1407"/>
      <c r="M1700" s="1407"/>
      <c r="N1700" s="1407"/>
      <c r="O1700" s="1407"/>
      <c r="P1700" s="1407"/>
      <c r="Q1700" s="1407"/>
      <c r="R1700" s="1407"/>
      <c r="S1700" s="1407"/>
      <c r="T1700" s="1407"/>
      <c r="U1700" s="1407"/>
    </row>
    <row r="1701" spans="1:21" ht="12">
      <c r="A1701" s="639"/>
      <c r="B1701" s="1483"/>
      <c r="C1701" s="639"/>
      <c r="D1701" s="1831"/>
      <c r="E1701" s="2264"/>
      <c r="F1701" s="2262"/>
      <c r="G1701" s="2262"/>
      <c r="H1701" s="2262"/>
      <c r="I1701" s="1428"/>
      <c r="J1701" s="1407"/>
      <c r="K1701" s="1431"/>
      <c r="L1701" s="1407"/>
      <c r="M1701" s="1407"/>
      <c r="N1701" s="1407"/>
      <c r="O1701" s="1407"/>
      <c r="P1701" s="1407"/>
      <c r="Q1701" s="1407"/>
      <c r="R1701" s="1407"/>
      <c r="S1701" s="1407"/>
      <c r="T1701" s="1407"/>
      <c r="U1701" s="1407"/>
    </row>
    <row r="1702" spans="1:21" ht="12">
      <c r="A1702" s="639"/>
      <c r="B1702" s="1483"/>
      <c r="C1702" s="639"/>
      <c r="D1702" s="1831"/>
      <c r="E1702" s="2264"/>
      <c r="F1702" s="2262"/>
      <c r="G1702" s="2262"/>
      <c r="H1702" s="2262"/>
      <c r="I1702" s="1428"/>
      <c r="J1702" s="1407"/>
      <c r="K1702" s="1431"/>
      <c r="L1702" s="1407"/>
      <c r="M1702" s="1407"/>
      <c r="N1702" s="1407"/>
      <c r="O1702" s="1407"/>
      <c r="P1702" s="1407"/>
      <c r="Q1702" s="1407"/>
      <c r="R1702" s="1407"/>
      <c r="S1702" s="1407"/>
      <c r="T1702" s="1407"/>
      <c r="U1702" s="1407"/>
    </row>
    <row r="1703" spans="1:21" ht="12">
      <c r="A1703" s="639"/>
      <c r="B1703" s="1483"/>
      <c r="C1703" s="639"/>
      <c r="D1703" s="1831"/>
      <c r="E1703" s="2264"/>
      <c r="F1703" s="2262"/>
      <c r="G1703" s="2262"/>
      <c r="H1703" s="2262"/>
      <c r="I1703" s="1428"/>
      <c r="J1703" s="1407"/>
      <c r="K1703" s="1431"/>
      <c r="L1703" s="1407"/>
      <c r="M1703" s="1407"/>
      <c r="N1703" s="1407"/>
      <c r="O1703" s="1407"/>
      <c r="P1703" s="1407"/>
      <c r="Q1703" s="1407"/>
      <c r="R1703" s="1407"/>
      <c r="S1703" s="1407"/>
      <c r="T1703" s="1407"/>
      <c r="U1703" s="1407"/>
    </row>
    <row r="1704" spans="1:21" ht="12">
      <c r="A1704" s="639"/>
      <c r="B1704" s="1483"/>
      <c r="C1704" s="639"/>
      <c r="D1704" s="1831"/>
      <c r="E1704" s="2264"/>
      <c r="F1704" s="2262"/>
      <c r="G1704" s="2262"/>
      <c r="H1704" s="2262"/>
      <c r="I1704" s="1428"/>
      <c r="J1704" s="1407"/>
      <c r="K1704" s="1431"/>
      <c r="L1704" s="1407"/>
      <c r="M1704" s="1407"/>
      <c r="N1704" s="1407"/>
      <c r="O1704" s="1407"/>
      <c r="P1704" s="1407"/>
      <c r="Q1704" s="1407"/>
      <c r="R1704" s="1407"/>
      <c r="S1704" s="1407"/>
      <c r="T1704" s="1407"/>
      <c r="U1704" s="1407"/>
    </row>
    <row r="1705" spans="1:21" ht="12">
      <c r="A1705" s="639"/>
      <c r="B1705" s="1483"/>
      <c r="C1705" s="639"/>
      <c r="D1705" s="1831"/>
      <c r="E1705" s="2264"/>
      <c r="F1705" s="2262"/>
      <c r="G1705" s="2262"/>
      <c r="H1705" s="2262"/>
      <c r="I1705" s="1428"/>
      <c r="J1705" s="1407"/>
      <c r="K1705" s="1431"/>
      <c r="L1705" s="1407"/>
      <c r="M1705" s="1407"/>
      <c r="N1705" s="1407"/>
      <c r="O1705" s="1407"/>
      <c r="P1705" s="1407"/>
      <c r="Q1705" s="1407"/>
      <c r="R1705" s="1407"/>
      <c r="S1705" s="1407"/>
      <c r="T1705" s="1407"/>
      <c r="U1705" s="1407"/>
    </row>
    <row r="1706" spans="1:21" ht="12">
      <c r="A1706" s="639"/>
      <c r="B1706" s="1483"/>
      <c r="C1706" s="639"/>
      <c r="D1706" s="1831"/>
      <c r="E1706" s="2264"/>
      <c r="F1706" s="2262"/>
      <c r="G1706" s="2262"/>
      <c r="H1706" s="2262"/>
      <c r="I1706" s="1428"/>
      <c r="J1706" s="1407"/>
      <c r="K1706" s="1431"/>
      <c r="L1706" s="1407"/>
      <c r="M1706" s="1407"/>
      <c r="N1706" s="1407"/>
      <c r="O1706" s="1407"/>
      <c r="P1706" s="1407"/>
      <c r="Q1706" s="1407"/>
      <c r="R1706" s="1407"/>
      <c r="S1706" s="1407"/>
      <c r="T1706" s="1407"/>
      <c r="U1706" s="1407"/>
    </row>
    <row r="1707" spans="1:21" ht="12">
      <c r="A1707" s="639"/>
      <c r="B1707" s="1483"/>
      <c r="C1707" s="639"/>
      <c r="D1707" s="1831"/>
      <c r="E1707" s="2264"/>
      <c r="F1707" s="2262"/>
      <c r="G1707" s="2262"/>
      <c r="H1707" s="2262"/>
      <c r="I1707" s="1428"/>
      <c r="J1707" s="1407"/>
      <c r="K1707" s="1431"/>
      <c r="L1707" s="1407"/>
      <c r="M1707" s="1407"/>
      <c r="N1707" s="1407"/>
      <c r="O1707" s="1407"/>
      <c r="P1707" s="1407"/>
      <c r="Q1707" s="1407"/>
      <c r="R1707" s="1407"/>
      <c r="S1707" s="1407"/>
      <c r="T1707" s="1407"/>
      <c r="U1707" s="1407"/>
    </row>
    <row r="1708" spans="1:21" ht="12">
      <c r="A1708" s="639"/>
      <c r="B1708" s="1483"/>
      <c r="C1708" s="639"/>
      <c r="D1708" s="1831"/>
      <c r="E1708" s="2264"/>
      <c r="F1708" s="2262"/>
      <c r="G1708" s="2262"/>
      <c r="H1708" s="2262"/>
      <c r="I1708" s="1428"/>
      <c r="J1708" s="1407"/>
      <c r="K1708" s="1431"/>
      <c r="L1708" s="1407"/>
      <c r="M1708" s="1407"/>
      <c r="N1708" s="1407"/>
      <c r="O1708" s="1407"/>
      <c r="P1708" s="1407"/>
      <c r="Q1708" s="1407"/>
      <c r="R1708" s="1407"/>
      <c r="S1708" s="1407"/>
      <c r="T1708" s="1407"/>
      <c r="U1708" s="1407"/>
    </row>
    <row r="1709" spans="1:21" ht="12">
      <c r="A1709" s="639"/>
      <c r="B1709" s="1483"/>
      <c r="C1709" s="639"/>
      <c r="D1709" s="1831"/>
      <c r="E1709" s="2264"/>
      <c r="F1709" s="2262"/>
      <c r="G1709" s="2262"/>
      <c r="H1709" s="2262"/>
      <c r="I1709" s="1428"/>
      <c r="J1709" s="1407"/>
      <c r="K1709" s="1431"/>
      <c r="L1709" s="1407"/>
      <c r="M1709" s="1407"/>
      <c r="N1709" s="1407"/>
      <c r="O1709" s="1407"/>
      <c r="P1709" s="1407"/>
      <c r="Q1709" s="1407"/>
      <c r="R1709" s="1407"/>
      <c r="S1709" s="1407"/>
      <c r="T1709" s="1407"/>
      <c r="U1709" s="1407"/>
    </row>
    <row r="1710" spans="1:21" ht="12">
      <c r="A1710" s="639"/>
      <c r="B1710" s="1483"/>
      <c r="C1710" s="639"/>
      <c r="D1710" s="1831"/>
      <c r="E1710" s="2264"/>
      <c r="F1710" s="2262"/>
      <c r="G1710" s="2262"/>
      <c r="H1710" s="2262"/>
      <c r="I1710" s="1428"/>
      <c r="J1710" s="1407"/>
      <c r="K1710" s="1431"/>
      <c r="L1710" s="1407"/>
      <c r="M1710" s="1407"/>
      <c r="N1710" s="1407"/>
      <c r="O1710" s="1407"/>
      <c r="P1710" s="1407"/>
      <c r="Q1710" s="1407"/>
      <c r="R1710" s="1407"/>
      <c r="S1710" s="1407"/>
      <c r="T1710" s="1407"/>
      <c r="U1710" s="1407"/>
    </row>
    <row r="1711" spans="1:21" ht="12">
      <c r="A1711" s="639"/>
      <c r="B1711" s="1483"/>
      <c r="C1711" s="639"/>
      <c r="D1711" s="1831"/>
      <c r="E1711" s="2264"/>
      <c r="F1711" s="2262"/>
      <c r="G1711" s="2262"/>
      <c r="H1711" s="2262"/>
      <c r="I1711" s="1428"/>
      <c r="J1711" s="1407"/>
      <c r="K1711" s="1431"/>
      <c r="L1711" s="1407"/>
      <c r="M1711" s="1407"/>
      <c r="N1711" s="1407"/>
      <c r="O1711" s="1407"/>
      <c r="P1711" s="1407"/>
      <c r="Q1711" s="1407"/>
      <c r="R1711" s="1407"/>
      <c r="S1711" s="1407"/>
      <c r="T1711" s="1407"/>
      <c r="U1711" s="1407"/>
    </row>
    <row r="1712" spans="1:21" ht="12">
      <c r="A1712" s="639"/>
      <c r="B1712" s="1483"/>
      <c r="C1712" s="639"/>
      <c r="D1712" s="1831"/>
      <c r="E1712" s="2264"/>
      <c r="F1712" s="2262"/>
      <c r="G1712" s="2262"/>
      <c r="H1712" s="2262"/>
      <c r="I1712" s="1428"/>
      <c r="J1712" s="1407"/>
      <c r="K1712" s="1431"/>
      <c r="L1712" s="1407"/>
      <c r="M1712" s="1407"/>
      <c r="N1712" s="1407"/>
      <c r="O1712" s="1407"/>
      <c r="P1712" s="1407"/>
      <c r="Q1712" s="1407"/>
      <c r="R1712" s="1407"/>
      <c r="S1712" s="1407"/>
      <c r="T1712" s="1407"/>
      <c r="U1712" s="1407"/>
    </row>
    <row r="1713" spans="1:21" ht="12">
      <c r="A1713" s="639"/>
      <c r="B1713" s="1483"/>
      <c r="C1713" s="639"/>
      <c r="D1713" s="1831"/>
      <c r="E1713" s="2264"/>
      <c r="F1713" s="2262"/>
      <c r="G1713" s="2262"/>
      <c r="H1713" s="2262"/>
      <c r="I1713" s="1428"/>
      <c r="J1713" s="1407"/>
      <c r="K1713" s="1431"/>
      <c r="L1713" s="1407"/>
      <c r="M1713" s="1407"/>
      <c r="N1713" s="1407"/>
      <c r="O1713" s="1407"/>
      <c r="P1713" s="1407"/>
      <c r="Q1713" s="1407"/>
      <c r="R1713" s="1407"/>
      <c r="S1713" s="1407"/>
      <c r="T1713" s="1407"/>
      <c r="U1713" s="1407"/>
    </row>
    <row r="1714" spans="1:21" ht="12">
      <c r="A1714" s="639"/>
      <c r="B1714" s="1483"/>
      <c r="C1714" s="639"/>
      <c r="D1714" s="1831"/>
      <c r="E1714" s="2264"/>
      <c r="F1714" s="2262"/>
      <c r="G1714" s="2262"/>
      <c r="H1714" s="2262"/>
      <c r="I1714" s="1428"/>
      <c r="J1714" s="1407"/>
      <c r="K1714" s="1431"/>
      <c r="L1714" s="1407"/>
      <c r="M1714" s="1407"/>
      <c r="N1714" s="1407"/>
      <c r="O1714" s="1407"/>
      <c r="P1714" s="1407"/>
      <c r="Q1714" s="1407"/>
      <c r="R1714" s="1407"/>
      <c r="S1714" s="1407"/>
      <c r="T1714" s="1407"/>
      <c r="U1714" s="1407"/>
    </row>
    <row r="1715" spans="1:21" ht="12">
      <c r="A1715" s="639"/>
      <c r="B1715" s="1483"/>
      <c r="C1715" s="639"/>
      <c r="D1715" s="1831"/>
      <c r="E1715" s="2264"/>
      <c r="F1715" s="2262"/>
      <c r="G1715" s="2262"/>
      <c r="H1715" s="2262"/>
      <c r="I1715" s="1428"/>
      <c r="J1715" s="1407"/>
      <c r="K1715" s="1431"/>
      <c r="L1715" s="1407"/>
      <c r="M1715" s="1407"/>
      <c r="N1715" s="1407"/>
      <c r="O1715" s="1407"/>
      <c r="P1715" s="1407"/>
      <c r="Q1715" s="1407"/>
      <c r="R1715" s="1407"/>
      <c r="S1715" s="1407"/>
      <c r="T1715" s="1407"/>
      <c r="U1715" s="1407"/>
    </row>
    <row r="1716" spans="1:21" ht="12">
      <c r="A1716" s="639"/>
      <c r="B1716" s="1483"/>
      <c r="C1716" s="639"/>
      <c r="D1716" s="1831"/>
      <c r="E1716" s="2264"/>
      <c r="F1716" s="2262"/>
      <c r="G1716" s="2262"/>
      <c r="H1716" s="2262"/>
      <c r="I1716" s="1428"/>
      <c r="J1716" s="1407"/>
      <c r="K1716" s="1431"/>
      <c r="L1716" s="1407"/>
      <c r="M1716" s="1407"/>
      <c r="N1716" s="1407"/>
      <c r="O1716" s="1407"/>
      <c r="P1716" s="1407"/>
      <c r="Q1716" s="1407"/>
      <c r="R1716" s="1407"/>
      <c r="S1716" s="1407"/>
      <c r="T1716" s="1407"/>
      <c r="U1716" s="1407"/>
    </row>
    <row r="1717" spans="1:21" ht="12">
      <c r="A1717" s="639"/>
      <c r="B1717" s="1483"/>
      <c r="C1717" s="639"/>
      <c r="D1717" s="1831"/>
      <c r="E1717" s="2264"/>
      <c r="F1717" s="2262"/>
      <c r="G1717" s="2262"/>
      <c r="H1717" s="2262"/>
      <c r="I1717" s="1428"/>
      <c r="J1717" s="1407"/>
      <c r="K1717" s="1431"/>
      <c r="L1717" s="1407"/>
      <c r="M1717" s="1407"/>
      <c r="N1717" s="1407"/>
      <c r="O1717" s="1407"/>
      <c r="P1717" s="1407"/>
      <c r="Q1717" s="1407"/>
      <c r="R1717" s="1407"/>
      <c r="S1717" s="1407"/>
      <c r="T1717" s="1407"/>
      <c r="U1717" s="1407"/>
    </row>
    <row r="1718" spans="1:21" ht="12">
      <c r="A1718" s="639"/>
      <c r="B1718" s="1483"/>
      <c r="C1718" s="639"/>
      <c r="D1718" s="1831"/>
      <c r="E1718" s="2264"/>
      <c r="F1718" s="2262"/>
      <c r="G1718" s="2262"/>
      <c r="H1718" s="2262"/>
      <c r="I1718" s="1428"/>
      <c r="J1718" s="1407"/>
      <c r="K1718" s="1431"/>
      <c r="L1718" s="1407"/>
      <c r="M1718" s="1407"/>
      <c r="N1718" s="1407"/>
      <c r="O1718" s="1407"/>
      <c r="P1718" s="1407"/>
      <c r="Q1718" s="1407"/>
      <c r="R1718" s="1407"/>
      <c r="S1718" s="1407"/>
      <c r="T1718" s="1407"/>
      <c r="U1718" s="1407"/>
    </row>
    <row r="1719" spans="1:21" ht="12">
      <c r="A1719" s="639"/>
      <c r="B1719" s="1483"/>
      <c r="C1719" s="639"/>
      <c r="D1719" s="1831"/>
      <c r="E1719" s="2264"/>
      <c r="F1719" s="2262"/>
      <c r="G1719" s="2262"/>
      <c r="H1719" s="2262"/>
      <c r="I1719" s="1428"/>
      <c r="J1719" s="1407"/>
      <c r="K1719" s="1431"/>
      <c r="L1719" s="1407"/>
      <c r="M1719" s="1407"/>
      <c r="N1719" s="1407"/>
      <c r="O1719" s="1407"/>
      <c r="P1719" s="1407"/>
      <c r="Q1719" s="1407"/>
      <c r="R1719" s="1407"/>
      <c r="S1719" s="1407"/>
      <c r="T1719" s="1407"/>
      <c r="U1719" s="1407"/>
    </row>
    <row r="1720" spans="1:21" ht="12">
      <c r="A1720" s="639"/>
      <c r="B1720" s="1483"/>
      <c r="C1720" s="639"/>
      <c r="D1720" s="1831"/>
      <c r="E1720" s="2264"/>
      <c r="F1720" s="2262"/>
      <c r="G1720" s="2262"/>
      <c r="H1720" s="2262"/>
      <c r="I1720" s="1428"/>
      <c r="J1720" s="1407"/>
      <c r="K1720" s="1431"/>
      <c r="L1720" s="1407"/>
      <c r="M1720" s="1407"/>
      <c r="N1720" s="1407"/>
      <c r="O1720" s="1407"/>
      <c r="P1720" s="1407"/>
      <c r="Q1720" s="1407"/>
      <c r="R1720" s="1407"/>
      <c r="S1720" s="1407"/>
      <c r="T1720" s="1407"/>
      <c r="U1720" s="1407"/>
    </row>
    <row r="1721" spans="1:21" ht="12">
      <c r="A1721" s="639"/>
      <c r="B1721" s="1483"/>
      <c r="C1721" s="639"/>
      <c r="D1721" s="1831"/>
      <c r="E1721" s="2264"/>
      <c r="F1721" s="2262"/>
      <c r="G1721" s="2262"/>
      <c r="H1721" s="2262"/>
      <c r="I1721" s="1428"/>
      <c r="J1721" s="1407"/>
      <c r="K1721" s="1431"/>
      <c r="L1721" s="1407"/>
      <c r="M1721" s="1407"/>
      <c r="N1721" s="1407"/>
      <c r="O1721" s="1407"/>
      <c r="P1721" s="1407"/>
      <c r="Q1721" s="1407"/>
      <c r="R1721" s="1407"/>
      <c r="S1721" s="1407"/>
      <c r="T1721" s="1407"/>
      <c r="U1721" s="1407"/>
    </row>
    <row r="1722" spans="1:21" ht="12">
      <c r="A1722" s="639"/>
      <c r="B1722" s="1483"/>
      <c r="C1722" s="639"/>
      <c r="D1722" s="1831"/>
      <c r="E1722" s="2264"/>
      <c r="F1722" s="2262"/>
      <c r="G1722" s="2262"/>
      <c r="H1722" s="2262"/>
      <c r="I1722" s="1428"/>
      <c r="J1722" s="1407"/>
      <c r="K1722" s="1431"/>
      <c r="L1722" s="1407"/>
      <c r="M1722" s="1407"/>
      <c r="N1722" s="1407"/>
      <c r="O1722" s="1407"/>
      <c r="P1722" s="1407"/>
      <c r="Q1722" s="1407"/>
      <c r="R1722" s="1407"/>
      <c r="S1722" s="1407"/>
      <c r="T1722" s="1407"/>
      <c r="U1722" s="1407"/>
    </row>
    <row r="1723" spans="1:21" ht="12">
      <c r="A1723" s="639"/>
      <c r="B1723" s="1483"/>
      <c r="C1723" s="639"/>
      <c r="D1723" s="1831"/>
      <c r="E1723" s="2264"/>
      <c r="F1723" s="2262"/>
      <c r="G1723" s="2262"/>
      <c r="H1723" s="2262"/>
      <c r="I1723" s="1428"/>
      <c r="J1723" s="1407"/>
      <c r="K1723" s="1431"/>
      <c r="L1723" s="1407"/>
      <c r="M1723" s="1407"/>
      <c r="N1723" s="1407"/>
      <c r="O1723" s="1407"/>
      <c r="P1723" s="1407"/>
      <c r="Q1723" s="1407"/>
      <c r="R1723" s="1407"/>
      <c r="S1723" s="1407"/>
      <c r="T1723" s="1407"/>
      <c r="U1723" s="1407"/>
    </row>
    <row r="1724" spans="1:21" ht="12">
      <c r="A1724" s="639"/>
      <c r="B1724" s="1483"/>
      <c r="C1724" s="639"/>
      <c r="D1724" s="1831"/>
      <c r="E1724" s="2264"/>
      <c r="F1724" s="2262"/>
      <c r="G1724" s="2262"/>
      <c r="H1724" s="2262"/>
      <c r="I1724" s="1428"/>
      <c r="J1724" s="1407"/>
      <c r="K1724" s="1431"/>
      <c r="L1724" s="1407"/>
      <c r="M1724" s="1407"/>
      <c r="N1724" s="1407"/>
      <c r="O1724" s="1407"/>
      <c r="P1724" s="1407"/>
      <c r="Q1724" s="1407"/>
      <c r="R1724" s="1407"/>
      <c r="S1724" s="1407"/>
      <c r="T1724" s="1407"/>
      <c r="U1724" s="1407"/>
    </row>
    <row r="1725" spans="1:21" ht="12">
      <c r="A1725" s="639"/>
      <c r="B1725" s="1483"/>
      <c r="C1725" s="639"/>
      <c r="D1725" s="1831"/>
      <c r="E1725" s="2264"/>
      <c r="F1725" s="2262"/>
      <c r="G1725" s="2262"/>
      <c r="H1725" s="2262"/>
      <c r="I1725" s="1428"/>
      <c r="J1725" s="1407"/>
      <c r="K1725" s="1431"/>
      <c r="L1725" s="1407"/>
      <c r="M1725" s="1407"/>
      <c r="N1725" s="1407"/>
      <c r="O1725" s="1407"/>
      <c r="P1725" s="1407"/>
      <c r="Q1725" s="1407"/>
      <c r="R1725" s="1407"/>
      <c r="S1725" s="1407"/>
      <c r="T1725" s="1407"/>
      <c r="U1725" s="1407"/>
    </row>
    <row r="1726" spans="1:21" ht="12">
      <c r="A1726" s="639"/>
      <c r="B1726" s="1483"/>
      <c r="C1726" s="639"/>
      <c r="D1726" s="1831"/>
      <c r="E1726" s="2264"/>
      <c r="F1726" s="2262"/>
      <c r="G1726" s="2262"/>
      <c r="H1726" s="2262"/>
      <c r="I1726" s="1428"/>
      <c r="J1726" s="1407"/>
      <c r="K1726" s="1431"/>
      <c r="L1726" s="1407"/>
      <c r="M1726" s="1407"/>
      <c r="N1726" s="1407"/>
      <c r="O1726" s="1407"/>
      <c r="P1726" s="1407"/>
      <c r="Q1726" s="1407"/>
      <c r="R1726" s="1407"/>
      <c r="S1726" s="1407"/>
      <c r="T1726" s="1407"/>
      <c r="U1726" s="1407"/>
    </row>
    <row r="1727" spans="1:21" ht="12">
      <c r="A1727" s="639"/>
      <c r="B1727" s="1483"/>
      <c r="C1727" s="639"/>
      <c r="D1727" s="1831"/>
      <c r="E1727" s="2264"/>
      <c r="F1727" s="2262"/>
      <c r="G1727" s="2262"/>
      <c r="H1727" s="2262"/>
      <c r="I1727" s="1428"/>
      <c r="J1727" s="1407"/>
      <c r="K1727" s="1431"/>
      <c r="L1727" s="1407"/>
      <c r="M1727" s="1407"/>
      <c r="N1727" s="1407"/>
      <c r="O1727" s="1407"/>
      <c r="P1727" s="1407"/>
      <c r="Q1727" s="1407"/>
      <c r="R1727" s="1407"/>
      <c r="S1727" s="1407"/>
      <c r="T1727" s="1407"/>
      <c r="U1727" s="1407"/>
    </row>
    <row r="1728" spans="1:21" ht="12">
      <c r="A1728" s="639"/>
      <c r="B1728" s="1483"/>
      <c r="C1728" s="639"/>
      <c r="D1728" s="1831"/>
      <c r="E1728" s="2264"/>
      <c r="F1728" s="2262"/>
      <c r="G1728" s="2262"/>
      <c r="H1728" s="2262"/>
      <c r="I1728" s="1428"/>
      <c r="J1728" s="1407"/>
      <c r="K1728" s="1431"/>
      <c r="L1728" s="1407"/>
      <c r="M1728" s="1407"/>
      <c r="N1728" s="1407"/>
      <c r="O1728" s="1407"/>
      <c r="P1728" s="1407"/>
      <c r="Q1728" s="1407"/>
      <c r="R1728" s="1407"/>
      <c r="S1728" s="1407"/>
      <c r="T1728" s="1407"/>
      <c r="U1728" s="1407"/>
    </row>
    <row r="1729" spans="1:21" ht="12">
      <c r="A1729" s="639"/>
      <c r="B1729" s="1483"/>
      <c r="C1729" s="639"/>
      <c r="D1729" s="1831"/>
      <c r="E1729" s="2264"/>
      <c r="F1729" s="2262"/>
      <c r="G1729" s="2262"/>
      <c r="H1729" s="2262"/>
      <c r="I1729" s="1428"/>
      <c r="J1729" s="1407"/>
      <c r="K1729" s="1431"/>
      <c r="L1729" s="1407"/>
      <c r="M1729" s="1407"/>
      <c r="N1729" s="1407"/>
      <c r="O1729" s="1407"/>
      <c r="P1729" s="1407"/>
      <c r="Q1729" s="1407"/>
      <c r="R1729" s="1407"/>
      <c r="S1729" s="1407"/>
      <c r="T1729" s="1407"/>
      <c r="U1729" s="1407"/>
    </row>
    <row r="1730" spans="1:21" ht="12">
      <c r="A1730" s="639"/>
      <c r="B1730" s="1483"/>
      <c r="C1730" s="639"/>
      <c r="D1730" s="1831"/>
      <c r="E1730" s="2264"/>
      <c r="F1730" s="2262"/>
      <c r="G1730" s="2262"/>
      <c r="H1730" s="2262"/>
      <c r="I1730" s="1428"/>
      <c r="J1730" s="1407"/>
      <c r="K1730" s="1431"/>
      <c r="L1730" s="1407"/>
      <c r="M1730" s="1407"/>
      <c r="N1730" s="1407"/>
      <c r="O1730" s="1407"/>
      <c r="P1730" s="1407"/>
      <c r="Q1730" s="1407"/>
      <c r="R1730" s="1407"/>
      <c r="S1730" s="1407"/>
      <c r="T1730" s="1407"/>
      <c r="U1730" s="1407"/>
    </row>
    <row r="1731" spans="1:21" ht="12">
      <c r="A1731" s="639"/>
      <c r="B1731" s="1483"/>
      <c r="C1731" s="639"/>
      <c r="D1731" s="1831"/>
      <c r="E1731" s="2264"/>
      <c r="F1731" s="2262"/>
      <c r="G1731" s="2262"/>
      <c r="H1731" s="2262"/>
      <c r="I1731" s="1428"/>
      <c r="J1731" s="1407"/>
      <c r="K1731" s="1431"/>
      <c r="L1731" s="1407"/>
      <c r="M1731" s="1407"/>
      <c r="N1731" s="1407"/>
      <c r="O1731" s="1407"/>
      <c r="P1731" s="1407"/>
      <c r="Q1731" s="1407"/>
      <c r="R1731" s="1407"/>
      <c r="S1731" s="1407"/>
      <c r="T1731" s="1407"/>
      <c r="U1731" s="1407"/>
    </row>
    <row r="1732" spans="1:21" ht="12">
      <c r="A1732" s="639"/>
      <c r="B1732" s="1483"/>
      <c r="C1732" s="639"/>
      <c r="D1732" s="1831"/>
      <c r="E1732" s="2264"/>
      <c r="F1732" s="2262"/>
      <c r="G1732" s="2262"/>
      <c r="H1732" s="2262"/>
      <c r="I1732" s="1428"/>
      <c r="J1732" s="1407"/>
      <c r="K1732" s="1431"/>
      <c r="L1732" s="1407"/>
      <c r="M1732" s="1407"/>
      <c r="N1732" s="1407"/>
      <c r="O1732" s="1407"/>
      <c r="P1732" s="1407"/>
      <c r="Q1732" s="1407"/>
      <c r="R1732" s="1407"/>
      <c r="S1732" s="1407"/>
      <c r="T1732" s="1407"/>
      <c r="U1732" s="1407"/>
    </row>
    <row r="1733" spans="1:21" ht="12">
      <c r="A1733" s="639"/>
      <c r="B1733" s="1483"/>
      <c r="C1733" s="639"/>
      <c r="D1733" s="1831"/>
      <c r="E1733" s="2264"/>
      <c r="F1733" s="2262"/>
      <c r="G1733" s="2262"/>
      <c r="H1733" s="2262"/>
      <c r="I1733" s="1428"/>
      <c r="J1733" s="1407"/>
      <c r="K1733" s="1431"/>
      <c r="L1733" s="1407"/>
      <c r="M1733" s="1407"/>
      <c r="N1733" s="1407"/>
      <c r="O1733" s="1407"/>
      <c r="P1733" s="1407"/>
      <c r="Q1733" s="1407"/>
      <c r="R1733" s="1407"/>
      <c r="S1733" s="1407"/>
      <c r="T1733" s="1407"/>
      <c r="U1733" s="1407"/>
    </row>
    <row r="1734" spans="1:21" ht="12">
      <c r="A1734" s="639"/>
      <c r="B1734" s="1483"/>
      <c r="C1734" s="639"/>
      <c r="D1734" s="1831"/>
      <c r="E1734" s="2264"/>
      <c r="F1734" s="2262"/>
      <c r="G1734" s="2262"/>
      <c r="H1734" s="2262"/>
      <c r="I1734" s="1428"/>
      <c r="J1734" s="1407"/>
      <c r="K1734" s="1431"/>
      <c r="L1734" s="1407"/>
      <c r="M1734" s="1407"/>
      <c r="N1734" s="1407"/>
      <c r="O1734" s="1407"/>
      <c r="P1734" s="1407"/>
      <c r="Q1734" s="1407"/>
      <c r="R1734" s="1407"/>
      <c r="S1734" s="1407"/>
      <c r="T1734" s="1407"/>
      <c r="U1734" s="1407"/>
    </row>
    <row r="1735" spans="1:21" ht="12">
      <c r="A1735" s="639"/>
      <c r="B1735" s="1483"/>
      <c r="C1735" s="639"/>
      <c r="D1735" s="1831"/>
      <c r="E1735" s="2264"/>
      <c r="F1735" s="2262"/>
      <c r="G1735" s="2262"/>
      <c r="H1735" s="2262"/>
      <c r="I1735" s="1428"/>
      <c r="J1735" s="1407"/>
      <c r="K1735" s="1431"/>
      <c r="L1735" s="1407"/>
      <c r="M1735" s="1407"/>
      <c r="N1735" s="1407"/>
      <c r="O1735" s="1407"/>
      <c r="P1735" s="1407"/>
      <c r="Q1735" s="1407"/>
      <c r="R1735" s="1407"/>
      <c r="S1735" s="1407"/>
      <c r="T1735" s="1407"/>
      <c r="U1735" s="1407"/>
    </row>
    <row r="1736" spans="1:21" ht="12">
      <c r="A1736" s="639"/>
      <c r="B1736" s="1483"/>
      <c r="C1736" s="639"/>
      <c r="D1736" s="1831"/>
      <c r="E1736" s="2264"/>
      <c r="F1736" s="2262"/>
      <c r="G1736" s="2262"/>
      <c r="H1736" s="2262"/>
      <c r="I1736" s="1428"/>
      <c r="J1736" s="1407"/>
      <c r="K1736" s="1431"/>
      <c r="L1736" s="1407"/>
      <c r="M1736" s="1407"/>
      <c r="N1736" s="1407"/>
      <c r="O1736" s="1407"/>
      <c r="P1736" s="1407"/>
      <c r="Q1736" s="1407"/>
      <c r="R1736" s="1407"/>
      <c r="S1736" s="1407"/>
      <c r="T1736" s="1407"/>
      <c r="U1736" s="1407"/>
    </row>
    <row r="1737" spans="1:21" ht="12">
      <c r="A1737" s="639"/>
      <c r="B1737" s="1483"/>
      <c r="C1737" s="639"/>
      <c r="D1737" s="1831"/>
      <c r="E1737" s="2264"/>
      <c r="F1737" s="2262"/>
      <c r="G1737" s="2262"/>
      <c r="H1737" s="2262"/>
      <c r="I1737" s="1428"/>
      <c r="J1737" s="1407"/>
      <c r="K1737" s="1431"/>
      <c r="L1737" s="1407"/>
      <c r="M1737" s="1407"/>
      <c r="N1737" s="1407"/>
      <c r="O1737" s="1407"/>
      <c r="P1737" s="1407"/>
      <c r="Q1737" s="1407"/>
      <c r="R1737" s="1407"/>
      <c r="S1737" s="1407"/>
      <c r="T1737" s="1407"/>
      <c r="U1737" s="1407"/>
    </row>
    <row r="1738" spans="1:21" ht="12">
      <c r="A1738" s="639"/>
      <c r="B1738" s="1483"/>
      <c r="C1738" s="639"/>
      <c r="D1738" s="1831"/>
      <c r="E1738" s="2264"/>
      <c r="F1738" s="2262"/>
      <c r="G1738" s="2262"/>
      <c r="H1738" s="2262"/>
      <c r="I1738" s="1428"/>
      <c r="J1738" s="1407"/>
      <c r="K1738" s="1431"/>
      <c r="L1738" s="1407"/>
      <c r="M1738" s="1407"/>
      <c r="N1738" s="1407"/>
      <c r="O1738" s="1407"/>
      <c r="P1738" s="1407"/>
      <c r="Q1738" s="1407"/>
      <c r="R1738" s="1407"/>
      <c r="S1738" s="1407"/>
      <c r="T1738" s="1407"/>
      <c r="U1738" s="1407"/>
    </row>
    <row r="1739" spans="1:21" ht="12">
      <c r="A1739" s="639"/>
      <c r="B1739" s="1483"/>
      <c r="C1739" s="639"/>
      <c r="D1739" s="1831"/>
      <c r="E1739" s="2264"/>
      <c r="F1739" s="2262"/>
      <c r="G1739" s="2262"/>
      <c r="H1739" s="2262"/>
      <c r="I1739" s="1428"/>
      <c r="J1739" s="1407"/>
      <c r="K1739" s="1431"/>
      <c r="L1739" s="1407"/>
      <c r="M1739" s="1407"/>
      <c r="N1739" s="1407"/>
      <c r="O1739" s="1407"/>
      <c r="P1739" s="1407"/>
      <c r="Q1739" s="1407"/>
      <c r="R1739" s="1407"/>
      <c r="S1739" s="1407"/>
      <c r="T1739" s="1407"/>
      <c r="U1739" s="1407"/>
    </row>
    <row r="1740" spans="1:21" ht="12">
      <c r="A1740" s="639"/>
      <c r="B1740" s="1483"/>
      <c r="C1740" s="639"/>
      <c r="D1740" s="1831"/>
      <c r="E1740" s="2264"/>
      <c r="F1740" s="2262"/>
      <c r="G1740" s="2262"/>
      <c r="H1740" s="2262"/>
      <c r="I1740" s="1428"/>
      <c r="J1740" s="1407"/>
      <c r="K1740" s="1431"/>
      <c r="L1740" s="1407"/>
      <c r="M1740" s="1407"/>
      <c r="N1740" s="1407"/>
      <c r="O1740" s="1407"/>
      <c r="P1740" s="1407"/>
      <c r="Q1740" s="1407"/>
      <c r="R1740" s="1407"/>
      <c r="S1740" s="1407"/>
      <c r="T1740" s="1407"/>
      <c r="U1740" s="1407"/>
    </row>
    <row r="1741" spans="1:21" ht="12">
      <c r="A1741" s="639"/>
      <c r="B1741" s="1483"/>
      <c r="C1741" s="639"/>
      <c r="D1741" s="1831"/>
      <c r="E1741" s="2264"/>
      <c r="F1741" s="2262"/>
      <c r="G1741" s="2262"/>
      <c r="H1741" s="2262"/>
      <c r="I1741" s="1428"/>
      <c r="J1741" s="1407"/>
      <c r="K1741" s="1431"/>
      <c r="L1741" s="1407"/>
      <c r="M1741" s="1407"/>
      <c r="N1741" s="1407"/>
      <c r="O1741" s="1407"/>
      <c r="P1741" s="1407"/>
      <c r="Q1741" s="1407"/>
      <c r="R1741" s="1407"/>
      <c r="S1741" s="1407"/>
      <c r="T1741" s="1407"/>
      <c r="U1741" s="1407"/>
    </row>
    <row r="1742" spans="1:21" ht="12">
      <c r="A1742" s="639"/>
      <c r="B1742" s="1483"/>
      <c r="C1742" s="639"/>
      <c r="D1742" s="1831"/>
      <c r="E1742" s="2264"/>
      <c r="F1742" s="2262"/>
      <c r="G1742" s="2262"/>
      <c r="H1742" s="2262"/>
      <c r="I1742" s="1428"/>
      <c r="J1742" s="1407"/>
      <c r="K1742" s="1431"/>
      <c r="L1742" s="1407"/>
      <c r="M1742" s="1407"/>
      <c r="N1742" s="1407"/>
      <c r="O1742" s="1407"/>
      <c r="P1742" s="1407"/>
      <c r="Q1742" s="1407"/>
      <c r="R1742" s="1407"/>
      <c r="S1742" s="1407"/>
      <c r="T1742" s="1407"/>
      <c r="U1742" s="1407"/>
    </row>
    <row r="1743" spans="1:21" ht="12">
      <c r="A1743" s="639"/>
      <c r="B1743" s="1483"/>
      <c r="C1743" s="639"/>
      <c r="D1743" s="1831"/>
      <c r="E1743" s="2264"/>
      <c r="F1743" s="2262"/>
      <c r="G1743" s="2262"/>
      <c r="H1743" s="2262"/>
      <c r="I1743" s="1428"/>
      <c r="J1743" s="1407"/>
      <c r="K1743" s="1431"/>
      <c r="L1743" s="1407"/>
      <c r="M1743" s="1407"/>
      <c r="N1743" s="1407"/>
      <c r="O1743" s="1407"/>
      <c r="P1743" s="1407"/>
      <c r="Q1743" s="1407"/>
      <c r="R1743" s="1407"/>
      <c r="S1743" s="1407"/>
      <c r="T1743" s="1407"/>
      <c r="U1743" s="1407"/>
    </row>
    <row r="1744" spans="1:21" ht="12">
      <c r="A1744" s="639"/>
      <c r="B1744" s="1483"/>
      <c r="C1744" s="639"/>
      <c r="D1744" s="1831"/>
      <c r="E1744" s="2264"/>
      <c r="F1744" s="2262"/>
      <c r="G1744" s="2262"/>
      <c r="H1744" s="2262"/>
      <c r="I1744" s="1428"/>
      <c r="J1744" s="1407"/>
      <c r="K1744" s="1431"/>
      <c r="L1744" s="1407"/>
      <c r="M1744" s="1407"/>
      <c r="N1744" s="1407"/>
      <c r="O1744" s="1407"/>
      <c r="P1744" s="1407"/>
      <c r="Q1744" s="1407"/>
      <c r="R1744" s="1407"/>
      <c r="S1744" s="1407"/>
      <c r="T1744" s="1407"/>
      <c r="U1744" s="1407"/>
    </row>
    <row r="1745" spans="1:21" ht="12">
      <c r="A1745" s="639"/>
      <c r="B1745" s="1483"/>
      <c r="C1745" s="639"/>
      <c r="D1745" s="1831"/>
      <c r="E1745" s="2264"/>
      <c r="F1745" s="2262"/>
      <c r="G1745" s="2262"/>
      <c r="H1745" s="2262"/>
      <c r="I1745" s="1428"/>
      <c r="J1745" s="1407"/>
      <c r="K1745" s="1431"/>
      <c r="L1745" s="1407"/>
      <c r="M1745" s="1407"/>
      <c r="N1745" s="1407"/>
      <c r="O1745" s="1407"/>
      <c r="P1745" s="1407"/>
      <c r="Q1745" s="1407"/>
      <c r="R1745" s="1407"/>
      <c r="S1745" s="1407"/>
      <c r="T1745" s="1407"/>
      <c r="U1745" s="1407"/>
    </row>
    <row r="1746" spans="1:21" ht="12">
      <c r="A1746" s="639"/>
      <c r="B1746" s="1483"/>
      <c r="C1746" s="639"/>
      <c r="D1746" s="1831"/>
      <c r="E1746" s="2264"/>
      <c r="F1746" s="2262"/>
      <c r="G1746" s="2262"/>
      <c r="H1746" s="2262"/>
      <c r="I1746" s="1428"/>
      <c r="J1746" s="1407"/>
      <c r="K1746" s="1431"/>
      <c r="L1746" s="1407"/>
      <c r="M1746" s="1407"/>
      <c r="N1746" s="1407"/>
      <c r="O1746" s="1407"/>
      <c r="P1746" s="1407"/>
      <c r="Q1746" s="1407"/>
      <c r="R1746" s="1407"/>
      <c r="S1746" s="1407"/>
      <c r="T1746" s="1407"/>
      <c r="U1746" s="1407"/>
    </row>
    <row r="1747" spans="1:21" ht="12">
      <c r="A1747" s="639"/>
      <c r="B1747" s="1483"/>
      <c r="C1747" s="639"/>
      <c r="D1747" s="1831"/>
      <c r="E1747" s="2264"/>
      <c r="F1747" s="2262"/>
      <c r="G1747" s="2262"/>
      <c r="H1747" s="2262"/>
      <c r="I1747" s="1428"/>
      <c r="J1747" s="1407"/>
      <c r="K1747" s="1431"/>
      <c r="L1747" s="1407"/>
      <c r="M1747" s="1407"/>
      <c r="N1747" s="1407"/>
      <c r="O1747" s="1407"/>
      <c r="P1747" s="1407"/>
      <c r="Q1747" s="1407"/>
      <c r="R1747" s="1407"/>
      <c r="S1747" s="1407"/>
      <c r="T1747" s="1407"/>
      <c r="U1747" s="1407"/>
    </row>
    <row r="1748" spans="1:21" ht="12">
      <c r="A1748" s="639"/>
      <c r="B1748" s="1483"/>
      <c r="C1748" s="639"/>
      <c r="D1748" s="1831"/>
      <c r="E1748" s="2264"/>
      <c r="F1748" s="2262"/>
      <c r="G1748" s="2262"/>
      <c r="H1748" s="2262"/>
      <c r="I1748" s="1428"/>
      <c r="J1748" s="1407"/>
      <c r="K1748" s="1431"/>
      <c r="L1748" s="1407"/>
      <c r="M1748" s="1407"/>
      <c r="N1748" s="1407"/>
      <c r="O1748" s="1407"/>
      <c r="P1748" s="1407"/>
      <c r="Q1748" s="1407"/>
      <c r="R1748" s="1407"/>
      <c r="S1748" s="1407"/>
      <c r="T1748" s="1407"/>
      <c r="U1748" s="1407"/>
    </row>
    <row r="1749" spans="1:21" ht="12">
      <c r="A1749" s="639"/>
      <c r="B1749" s="1483"/>
      <c r="C1749" s="639"/>
      <c r="D1749" s="1831"/>
      <c r="E1749" s="2264"/>
      <c r="F1749" s="2262"/>
      <c r="G1749" s="2262"/>
      <c r="H1749" s="2262"/>
      <c r="I1749" s="1428"/>
      <c r="J1749" s="1407"/>
      <c r="K1749" s="1431"/>
      <c r="L1749" s="1407"/>
      <c r="M1749" s="1407"/>
      <c r="N1749" s="1407"/>
      <c r="O1749" s="1407"/>
      <c r="P1749" s="1407"/>
      <c r="Q1749" s="1407"/>
      <c r="R1749" s="1407"/>
      <c r="S1749" s="1407"/>
      <c r="T1749" s="1407"/>
      <c r="U1749" s="1407"/>
    </row>
    <row r="1750" spans="1:21" ht="12">
      <c r="A1750" s="639"/>
      <c r="B1750" s="1483"/>
      <c r="C1750" s="639"/>
      <c r="D1750" s="1831"/>
      <c r="E1750" s="2264"/>
      <c r="F1750" s="2262"/>
      <c r="G1750" s="2262"/>
      <c r="H1750" s="2262"/>
      <c r="I1750" s="1428"/>
      <c r="J1750" s="1407"/>
      <c r="K1750" s="1431"/>
      <c r="L1750" s="1407"/>
      <c r="M1750" s="1407"/>
      <c r="N1750" s="1407"/>
      <c r="O1750" s="1407"/>
      <c r="P1750" s="1407"/>
      <c r="Q1750" s="1407"/>
      <c r="R1750" s="1407"/>
      <c r="S1750" s="1407"/>
      <c r="T1750" s="1407"/>
      <c r="U1750" s="1407"/>
    </row>
    <row r="1751" spans="1:21" ht="12">
      <c r="A1751" s="639"/>
      <c r="B1751" s="1483"/>
      <c r="C1751" s="639"/>
      <c r="D1751" s="1831"/>
      <c r="E1751" s="2264"/>
      <c r="F1751" s="2262"/>
      <c r="G1751" s="2262"/>
      <c r="H1751" s="2262"/>
      <c r="I1751" s="1428"/>
      <c r="J1751" s="1407"/>
      <c r="K1751" s="1431"/>
      <c r="L1751" s="1407"/>
      <c r="M1751" s="1407"/>
      <c r="N1751" s="1407"/>
      <c r="O1751" s="1407"/>
      <c r="P1751" s="1407"/>
      <c r="Q1751" s="1407"/>
      <c r="R1751" s="1407"/>
      <c r="S1751" s="1407"/>
      <c r="T1751" s="1407"/>
      <c r="U1751" s="1407"/>
    </row>
    <row r="1752" spans="1:21" ht="12">
      <c r="A1752" s="639"/>
      <c r="B1752" s="1483"/>
      <c r="C1752" s="639"/>
      <c r="D1752" s="1831"/>
      <c r="E1752" s="2264"/>
      <c r="F1752" s="2262"/>
      <c r="G1752" s="2262"/>
      <c r="H1752" s="2262"/>
      <c r="I1752" s="1428"/>
      <c r="J1752" s="1407"/>
      <c r="K1752" s="1431"/>
      <c r="L1752" s="1407"/>
      <c r="M1752" s="1407"/>
      <c r="N1752" s="1407"/>
      <c r="O1752" s="1407"/>
      <c r="P1752" s="1407"/>
      <c r="Q1752" s="1407"/>
      <c r="R1752" s="1407"/>
      <c r="S1752" s="1407"/>
      <c r="T1752" s="1407"/>
      <c r="U1752" s="1407"/>
    </row>
    <row r="1753" spans="1:21" ht="12">
      <c r="A1753" s="639"/>
      <c r="B1753" s="1483"/>
      <c r="C1753" s="639"/>
      <c r="D1753" s="1831"/>
      <c r="E1753" s="2264"/>
      <c r="F1753" s="2262"/>
      <c r="G1753" s="2262"/>
      <c r="H1753" s="2262"/>
      <c r="I1753" s="1428"/>
      <c r="J1753" s="1407"/>
      <c r="K1753" s="1431"/>
      <c r="L1753" s="1407"/>
      <c r="M1753" s="1407"/>
      <c r="N1753" s="1407"/>
      <c r="O1753" s="1407"/>
      <c r="P1753" s="1407"/>
      <c r="Q1753" s="1407"/>
      <c r="R1753" s="1407"/>
      <c r="S1753" s="1407"/>
      <c r="T1753" s="1407"/>
      <c r="U1753" s="1407"/>
    </row>
    <row r="1754" spans="1:21" ht="12">
      <c r="A1754" s="639"/>
      <c r="B1754" s="1483"/>
      <c r="C1754" s="639"/>
      <c r="D1754" s="1831"/>
      <c r="E1754" s="2264"/>
      <c r="F1754" s="2262"/>
      <c r="G1754" s="2262"/>
      <c r="H1754" s="2262"/>
      <c r="I1754" s="1428"/>
      <c r="J1754" s="1407"/>
      <c r="K1754" s="1431"/>
      <c r="L1754" s="1407"/>
      <c r="M1754" s="1407"/>
      <c r="N1754" s="1407"/>
      <c r="O1754" s="1407"/>
      <c r="P1754" s="1407"/>
      <c r="Q1754" s="1407"/>
      <c r="R1754" s="1407"/>
      <c r="S1754" s="1407"/>
      <c r="T1754" s="1407"/>
      <c r="U1754" s="1407"/>
    </row>
    <row r="1755" spans="1:21" ht="12">
      <c r="A1755" s="639"/>
      <c r="B1755" s="1483"/>
      <c r="C1755" s="639"/>
      <c r="D1755" s="1831"/>
      <c r="E1755" s="2264"/>
      <c r="F1755" s="2262"/>
      <c r="G1755" s="2262"/>
      <c r="H1755" s="2262"/>
      <c r="I1755" s="1428"/>
      <c r="J1755" s="1407"/>
      <c r="K1755" s="1431"/>
      <c r="L1755" s="1407"/>
      <c r="M1755" s="1407"/>
      <c r="N1755" s="1407"/>
      <c r="O1755" s="1407"/>
      <c r="P1755" s="1407"/>
      <c r="Q1755" s="1407"/>
      <c r="R1755" s="1407"/>
      <c r="S1755" s="1407"/>
      <c r="T1755" s="1407"/>
      <c r="U1755" s="1407"/>
    </row>
    <row r="1756" spans="1:21" ht="12">
      <c r="A1756" s="639"/>
      <c r="B1756" s="1483"/>
      <c r="C1756" s="639"/>
      <c r="D1756" s="1831"/>
      <c r="E1756" s="2264"/>
      <c r="F1756" s="2262"/>
      <c r="G1756" s="2262"/>
      <c r="H1756" s="2262"/>
      <c r="I1756" s="1428"/>
      <c r="J1756" s="1407"/>
      <c r="K1756" s="1431"/>
      <c r="L1756" s="1407"/>
      <c r="M1756" s="1407"/>
      <c r="N1756" s="1407"/>
      <c r="O1756" s="1407"/>
      <c r="P1756" s="1407"/>
      <c r="Q1756" s="1407"/>
      <c r="R1756" s="1407"/>
      <c r="S1756" s="1407"/>
      <c r="T1756" s="1407"/>
      <c r="U1756" s="1407"/>
    </row>
    <row r="1757" spans="1:21" ht="12">
      <c r="A1757" s="639"/>
      <c r="B1757" s="1483"/>
      <c r="C1757" s="639"/>
      <c r="D1757" s="1831"/>
      <c r="E1757" s="2264"/>
      <c r="F1757" s="2262"/>
      <c r="G1757" s="2262"/>
      <c r="H1757" s="2262"/>
      <c r="I1757" s="1428"/>
      <c r="J1757" s="1407"/>
      <c r="K1757" s="1431"/>
      <c r="L1757" s="1407"/>
      <c r="M1757" s="1407"/>
      <c r="N1757" s="1407"/>
      <c r="O1757" s="1407"/>
      <c r="P1757" s="1407"/>
      <c r="Q1757" s="1407"/>
      <c r="R1757" s="1407"/>
      <c r="S1757" s="1407"/>
      <c r="T1757" s="1407"/>
      <c r="U1757" s="1407"/>
    </row>
    <row r="1758" spans="1:21" ht="12">
      <c r="A1758" s="639"/>
      <c r="B1758" s="1483"/>
      <c r="C1758" s="639"/>
      <c r="D1758" s="1831"/>
      <c r="E1758" s="2264"/>
      <c r="F1758" s="2262"/>
      <c r="G1758" s="2262"/>
      <c r="H1758" s="2262"/>
      <c r="I1758" s="1428"/>
      <c r="J1758" s="1407"/>
      <c r="K1758" s="1431"/>
      <c r="L1758" s="1407"/>
      <c r="M1758" s="1407"/>
      <c r="N1758" s="1407"/>
      <c r="O1758" s="1407"/>
      <c r="P1758" s="1407"/>
      <c r="Q1758" s="1407"/>
      <c r="R1758" s="1407"/>
      <c r="S1758" s="1407"/>
      <c r="T1758" s="1407"/>
      <c r="U1758" s="1407"/>
    </row>
    <row r="1759" spans="1:21" ht="12">
      <c r="A1759" s="639"/>
      <c r="B1759" s="1483"/>
      <c r="C1759" s="639"/>
      <c r="D1759" s="1831"/>
      <c r="E1759" s="2264"/>
      <c r="F1759" s="2262"/>
      <c r="G1759" s="2262"/>
      <c r="H1759" s="2262"/>
      <c r="I1759" s="1428"/>
      <c r="J1759" s="1407"/>
      <c r="K1759" s="1431"/>
      <c r="L1759" s="1407"/>
      <c r="M1759" s="1407"/>
      <c r="N1759" s="1407"/>
      <c r="O1759" s="1407"/>
      <c r="P1759" s="1407"/>
      <c r="Q1759" s="1407"/>
      <c r="R1759" s="1407"/>
      <c r="S1759" s="1407"/>
      <c r="T1759" s="1407"/>
      <c r="U1759" s="1407"/>
    </row>
    <row r="1760" spans="1:21" ht="12">
      <c r="A1760" s="639"/>
      <c r="B1760" s="1483"/>
      <c r="C1760" s="639"/>
      <c r="D1760" s="1831"/>
      <c r="E1760" s="2264"/>
      <c r="F1760" s="2262"/>
      <c r="G1760" s="2262"/>
      <c r="H1760" s="2262"/>
      <c r="I1760" s="1428"/>
      <c r="J1760" s="1407"/>
      <c r="K1760" s="1431"/>
      <c r="L1760" s="1407"/>
      <c r="M1760" s="1407"/>
      <c r="N1760" s="1407"/>
      <c r="O1760" s="1407"/>
      <c r="P1760" s="1407"/>
      <c r="Q1760" s="1407"/>
      <c r="R1760" s="1407"/>
      <c r="S1760" s="1407"/>
      <c r="T1760" s="1407"/>
      <c r="U1760" s="1407"/>
    </row>
    <row r="1761" spans="1:21" ht="12">
      <c r="A1761" s="639"/>
      <c r="B1761" s="1483"/>
      <c r="C1761" s="639"/>
      <c r="D1761" s="1831"/>
      <c r="E1761" s="2264"/>
      <c r="F1761" s="2262"/>
      <c r="G1761" s="2262"/>
      <c r="H1761" s="2262"/>
      <c r="I1761" s="1428"/>
      <c r="J1761" s="1407"/>
      <c r="K1761" s="1431"/>
      <c r="L1761" s="1407"/>
      <c r="M1761" s="1407"/>
      <c r="N1761" s="1407"/>
      <c r="O1761" s="1407"/>
      <c r="P1761" s="1407"/>
      <c r="Q1761" s="1407"/>
      <c r="R1761" s="1407"/>
      <c r="S1761" s="1407"/>
      <c r="T1761" s="1407"/>
      <c r="U1761" s="1407"/>
    </row>
    <row r="1762" spans="1:21" ht="12">
      <c r="A1762" s="639"/>
      <c r="B1762" s="1483"/>
      <c r="C1762" s="639"/>
      <c r="D1762" s="1831"/>
      <c r="E1762" s="2264"/>
      <c r="F1762" s="2262"/>
      <c r="G1762" s="2262"/>
      <c r="H1762" s="2262"/>
      <c r="I1762" s="1428"/>
      <c r="J1762" s="1407"/>
      <c r="K1762" s="1431"/>
      <c r="L1762" s="1407"/>
      <c r="M1762" s="1407"/>
      <c r="N1762" s="1407"/>
      <c r="O1762" s="1407"/>
      <c r="P1762" s="1407"/>
      <c r="Q1762" s="1407"/>
      <c r="R1762" s="1407"/>
      <c r="S1762" s="1407"/>
      <c r="T1762" s="1407"/>
      <c r="U1762" s="1407"/>
    </row>
    <row r="1763" spans="1:21" ht="12">
      <c r="A1763" s="639"/>
      <c r="B1763" s="1483"/>
      <c r="C1763" s="639"/>
      <c r="D1763" s="1831"/>
      <c r="E1763" s="2264"/>
      <c r="F1763" s="2262"/>
      <c r="G1763" s="2262"/>
      <c r="H1763" s="2262"/>
      <c r="I1763" s="1428"/>
      <c r="J1763" s="1407"/>
      <c r="K1763" s="1431"/>
      <c r="L1763" s="1407"/>
      <c r="M1763" s="1407"/>
      <c r="N1763" s="1407"/>
      <c r="O1763" s="1407"/>
      <c r="P1763" s="1407"/>
      <c r="Q1763" s="1407"/>
      <c r="R1763" s="1407"/>
      <c r="S1763" s="1407"/>
      <c r="T1763" s="1407"/>
      <c r="U1763" s="1407"/>
    </row>
    <row r="1764" spans="1:21" ht="12">
      <c r="A1764" s="639"/>
      <c r="B1764" s="1483"/>
      <c r="C1764" s="639"/>
      <c r="D1764" s="1831"/>
      <c r="E1764" s="2264"/>
      <c r="F1764" s="2262"/>
      <c r="G1764" s="2262"/>
      <c r="H1764" s="2262"/>
      <c r="I1764" s="1428"/>
      <c r="J1764" s="1407"/>
      <c r="K1764" s="1431"/>
      <c r="L1764" s="1407"/>
      <c r="M1764" s="1407"/>
      <c r="N1764" s="1407"/>
      <c r="O1764" s="1407"/>
      <c r="P1764" s="1407"/>
      <c r="Q1764" s="1407"/>
      <c r="R1764" s="1407"/>
      <c r="S1764" s="1407"/>
      <c r="T1764" s="1407"/>
      <c r="U1764" s="1407"/>
    </row>
    <row r="1765" spans="1:21" ht="12">
      <c r="A1765" s="639"/>
      <c r="B1765" s="1483"/>
      <c r="C1765" s="639"/>
      <c r="D1765" s="1831"/>
      <c r="E1765" s="2264"/>
      <c r="F1765" s="2262"/>
      <c r="G1765" s="2262"/>
      <c r="H1765" s="2262"/>
      <c r="I1765" s="1428"/>
      <c r="J1765" s="1407"/>
      <c r="K1765" s="1431"/>
      <c r="L1765" s="1407"/>
      <c r="M1765" s="1407"/>
      <c r="N1765" s="1407"/>
      <c r="O1765" s="1407"/>
      <c r="P1765" s="1407"/>
      <c r="Q1765" s="1407"/>
      <c r="R1765" s="1407"/>
      <c r="S1765" s="1407"/>
      <c r="T1765" s="1407"/>
      <c r="U1765" s="1407"/>
    </row>
    <row r="1766" spans="1:21" ht="12">
      <c r="A1766" s="639"/>
      <c r="B1766" s="1483"/>
      <c r="C1766" s="639"/>
      <c r="D1766" s="1831"/>
      <c r="E1766" s="2264"/>
      <c r="F1766" s="2262"/>
      <c r="G1766" s="2262"/>
      <c r="H1766" s="2262"/>
      <c r="I1766" s="1428"/>
      <c r="J1766" s="1407"/>
      <c r="K1766" s="1431"/>
      <c r="L1766" s="1407"/>
      <c r="M1766" s="1407"/>
      <c r="N1766" s="1407"/>
      <c r="O1766" s="1407"/>
      <c r="P1766" s="1407"/>
      <c r="Q1766" s="1407"/>
      <c r="R1766" s="1407"/>
      <c r="S1766" s="1407"/>
      <c r="T1766" s="1407"/>
      <c r="U1766" s="1407"/>
    </row>
    <row r="1767" spans="1:21" ht="12">
      <c r="A1767" s="639"/>
      <c r="B1767" s="1483"/>
      <c r="C1767" s="639"/>
      <c r="D1767" s="1831"/>
      <c r="E1767" s="2264"/>
      <c r="F1767" s="2262"/>
      <c r="G1767" s="2262"/>
      <c r="H1767" s="2262"/>
      <c r="I1767" s="1428"/>
      <c r="J1767" s="1407"/>
      <c r="K1767" s="1431"/>
      <c r="L1767" s="1407"/>
      <c r="M1767" s="1407"/>
      <c r="N1767" s="1407"/>
      <c r="O1767" s="1407"/>
      <c r="P1767" s="1407"/>
      <c r="Q1767" s="1407"/>
      <c r="R1767" s="1407"/>
      <c r="S1767" s="1407"/>
      <c r="T1767" s="1407"/>
      <c r="U1767" s="1407"/>
    </row>
    <row r="1768" spans="1:21" ht="12">
      <c r="A1768" s="639"/>
      <c r="B1768" s="1483"/>
      <c r="C1768" s="639"/>
      <c r="D1768" s="1831"/>
      <c r="E1768" s="2264"/>
      <c r="F1768" s="2262"/>
      <c r="G1768" s="2262"/>
      <c r="H1768" s="2262"/>
      <c r="I1768" s="1428"/>
      <c r="J1768" s="1407"/>
      <c r="K1768" s="1431"/>
      <c r="L1768" s="1407"/>
      <c r="M1768" s="1407"/>
      <c r="N1768" s="1407"/>
      <c r="O1768" s="1407"/>
      <c r="P1768" s="1407"/>
      <c r="Q1768" s="1407"/>
      <c r="R1768" s="1407"/>
      <c r="S1768" s="1407"/>
      <c r="T1768" s="1407"/>
      <c r="U1768" s="1407"/>
    </row>
    <row r="1769" spans="1:21" ht="12">
      <c r="A1769" s="639"/>
      <c r="B1769" s="1483"/>
      <c r="C1769" s="639"/>
      <c r="D1769" s="1831"/>
      <c r="E1769" s="2264"/>
      <c r="F1769" s="2262"/>
      <c r="G1769" s="2262"/>
      <c r="H1769" s="2262"/>
      <c r="I1769" s="1428"/>
      <c r="J1769" s="1407"/>
      <c r="K1769" s="1431"/>
      <c r="L1769" s="1407"/>
      <c r="M1769" s="1407"/>
      <c r="N1769" s="1407"/>
      <c r="O1769" s="1407"/>
      <c r="P1769" s="1407"/>
      <c r="Q1769" s="1407"/>
      <c r="R1769" s="1407"/>
      <c r="S1769" s="1407"/>
      <c r="T1769" s="1407"/>
      <c r="U1769" s="1407"/>
    </row>
    <row r="1770" spans="1:21" ht="12">
      <c r="A1770" s="639"/>
      <c r="B1770" s="1483"/>
      <c r="C1770" s="639"/>
      <c r="D1770" s="1831"/>
      <c r="E1770" s="2264"/>
      <c r="F1770" s="2262"/>
      <c r="G1770" s="2262"/>
      <c r="H1770" s="2262"/>
      <c r="I1770" s="1428"/>
      <c r="J1770" s="1407"/>
      <c r="K1770" s="1431"/>
      <c r="L1770" s="1407"/>
      <c r="M1770" s="1407"/>
      <c r="N1770" s="1407"/>
      <c r="O1770" s="1407"/>
      <c r="P1770" s="1407"/>
      <c r="Q1770" s="1407"/>
      <c r="R1770" s="1407"/>
      <c r="S1770" s="1407"/>
      <c r="T1770" s="1407"/>
      <c r="U1770" s="1407"/>
    </row>
    <row r="1771" spans="1:21" ht="12">
      <c r="A1771" s="639"/>
      <c r="B1771" s="1483"/>
      <c r="C1771" s="639"/>
      <c r="D1771" s="1831"/>
      <c r="E1771" s="2264"/>
      <c r="F1771" s="2262"/>
      <c r="G1771" s="2262"/>
      <c r="H1771" s="2262"/>
      <c r="I1771" s="1428"/>
      <c r="J1771" s="1407"/>
      <c r="K1771" s="1431"/>
      <c r="L1771" s="1407"/>
      <c r="M1771" s="1407"/>
      <c r="N1771" s="1407"/>
      <c r="O1771" s="1407"/>
      <c r="P1771" s="1407"/>
      <c r="Q1771" s="1407"/>
      <c r="R1771" s="1407"/>
      <c r="S1771" s="1407"/>
      <c r="T1771" s="1407"/>
      <c r="U1771" s="1407"/>
    </row>
    <row r="1772" spans="1:21" ht="12">
      <c r="A1772" s="639"/>
      <c r="B1772" s="1483"/>
      <c r="C1772" s="639"/>
      <c r="D1772" s="1831"/>
      <c r="E1772" s="2264"/>
      <c r="F1772" s="2262"/>
      <c r="G1772" s="2262"/>
      <c r="H1772" s="2262"/>
      <c r="I1772" s="1428"/>
      <c r="J1772" s="1407"/>
      <c r="K1772" s="1431"/>
      <c r="L1772" s="1407"/>
      <c r="M1772" s="1407"/>
      <c r="N1772" s="1407"/>
      <c r="O1772" s="1407"/>
      <c r="P1772" s="1407"/>
      <c r="Q1772" s="1407"/>
      <c r="R1772" s="1407"/>
      <c r="S1772" s="1407"/>
      <c r="T1772" s="1407"/>
      <c r="U1772" s="1407"/>
    </row>
    <row r="1773" spans="1:21" ht="12">
      <c r="A1773" s="639"/>
      <c r="B1773" s="1483"/>
      <c r="C1773" s="639"/>
      <c r="D1773" s="1831"/>
      <c r="E1773" s="2264"/>
      <c r="F1773" s="2262"/>
      <c r="G1773" s="2262"/>
      <c r="H1773" s="2262"/>
      <c r="I1773" s="1428"/>
      <c r="J1773" s="1407"/>
      <c r="K1773" s="1431"/>
      <c r="L1773" s="1407"/>
      <c r="M1773" s="1407"/>
      <c r="N1773" s="1407"/>
      <c r="O1773" s="1407"/>
      <c r="P1773" s="1407"/>
      <c r="Q1773" s="1407"/>
      <c r="R1773" s="1407"/>
      <c r="S1773" s="1407"/>
      <c r="T1773" s="1407"/>
      <c r="U1773" s="1407"/>
    </row>
    <row r="1774" spans="1:21" ht="12">
      <c r="A1774" s="639"/>
      <c r="B1774" s="1483"/>
      <c r="C1774" s="639"/>
      <c r="D1774" s="1831"/>
      <c r="E1774" s="2264"/>
      <c r="F1774" s="2262"/>
      <c r="G1774" s="2262"/>
      <c r="H1774" s="2262"/>
      <c r="I1774" s="1428"/>
      <c r="J1774" s="1407"/>
      <c r="K1774" s="1431"/>
      <c r="L1774" s="1407"/>
      <c r="M1774" s="1407"/>
      <c r="N1774" s="1407"/>
      <c r="O1774" s="1407"/>
      <c r="P1774" s="1407"/>
      <c r="Q1774" s="1407"/>
      <c r="R1774" s="1407"/>
      <c r="S1774" s="1407"/>
      <c r="T1774" s="1407"/>
      <c r="U1774" s="1407"/>
    </row>
    <row r="1775" spans="1:21" ht="12">
      <c r="A1775" s="639"/>
      <c r="B1775" s="1483"/>
      <c r="C1775" s="639"/>
      <c r="D1775" s="1831"/>
      <c r="E1775" s="2264"/>
      <c r="F1775" s="2262"/>
      <c r="G1775" s="2262"/>
      <c r="H1775" s="2262"/>
      <c r="I1775" s="1428"/>
      <c r="J1775" s="1407"/>
      <c r="K1775" s="1431"/>
      <c r="L1775" s="1407"/>
      <c r="M1775" s="1407"/>
      <c r="N1775" s="1407"/>
      <c r="O1775" s="1407"/>
      <c r="P1775" s="1407"/>
      <c r="Q1775" s="1407"/>
      <c r="R1775" s="1407"/>
      <c r="S1775" s="1407"/>
      <c r="T1775" s="1407"/>
      <c r="U1775" s="1407"/>
    </row>
    <row r="1776" spans="1:21" ht="12">
      <c r="A1776" s="639"/>
      <c r="B1776" s="1483"/>
      <c r="C1776" s="639"/>
      <c r="D1776" s="1831"/>
      <c r="E1776" s="2264"/>
      <c r="F1776" s="2262"/>
      <c r="G1776" s="2262"/>
      <c r="H1776" s="2262"/>
      <c r="I1776" s="1428"/>
      <c r="J1776" s="1407"/>
      <c r="K1776" s="1431"/>
      <c r="L1776" s="1407"/>
      <c r="M1776" s="1407"/>
      <c r="N1776" s="1407"/>
      <c r="O1776" s="1407"/>
      <c r="P1776" s="1407"/>
      <c r="Q1776" s="1407"/>
      <c r="R1776" s="1407"/>
      <c r="S1776" s="1407"/>
      <c r="T1776" s="1407"/>
      <c r="U1776" s="1407"/>
    </row>
    <row r="1777" spans="1:21" ht="12">
      <c r="A1777" s="639"/>
      <c r="B1777" s="1483"/>
      <c r="C1777" s="639"/>
      <c r="D1777" s="1831"/>
      <c r="E1777" s="2264"/>
      <c r="F1777" s="2262"/>
      <c r="G1777" s="2262"/>
      <c r="H1777" s="2262"/>
      <c r="I1777" s="1428"/>
      <c r="J1777" s="1407"/>
      <c r="K1777" s="1431"/>
      <c r="L1777" s="1407"/>
      <c r="M1777" s="1407"/>
      <c r="N1777" s="1407"/>
      <c r="O1777" s="1407"/>
      <c r="P1777" s="1407"/>
      <c r="Q1777" s="1407"/>
      <c r="R1777" s="1407"/>
      <c r="S1777" s="1407"/>
      <c r="T1777" s="1407"/>
      <c r="U1777" s="1407"/>
    </row>
    <row r="1778" spans="1:21" ht="12">
      <c r="A1778" s="639"/>
      <c r="B1778" s="1483"/>
      <c r="C1778" s="639"/>
      <c r="D1778" s="1831"/>
      <c r="E1778" s="2264"/>
      <c r="F1778" s="2262"/>
      <c r="G1778" s="2262"/>
      <c r="H1778" s="2262"/>
      <c r="I1778" s="1428"/>
      <c r="J1778" s="1407"/>
      <c r="K1778" s="1431"/>
      <c r="L1778" s="1407"/>
      <c r="M1778" s="1407"/>
      <c r="N1778" s="1407"/>
      <c r="O1778" s="1407"/>
      <c r="P1778" s="1407"/>
      <c r="Q1778" s="1407"/>
      <c r="R1778" s="1407"/>
      <c r="S1778" s="1407"/>
      <c r="T1778" s="1407"/>
      <c r="U1778" s="1407"/>
    </row>
    <row r="1779" spans="1:21" ht="12">
      <c r="A1779" s="639"/>
      <c r="B1779" s="1483"/>
      <c r="C1779" s="639"/>
      <c r="D1779" s="1831"/>
      <c r="E1779" s="2264"/>
      <c r="F1779" s="2262"/>
      <c r="G1779" s="2262"/>
      <c r="H1779" s="2262"/>
      <c r="I1779" s="1428"/>
      <c r="J1779" s="1407"/>
      <c r="K1779" s="1431"/>
      <c r="L1779" s="1407"/>
      <c r="M1779" s="1407"/>
      <c r="N1779" s="1407"/>
      <c r="O1779" s="1407"/>
      <c r="P1779" s="1407"/>
      <c r="Q1779" s="1407"/>
      <c r="R1779" s="1407"/>
      <c r="S1779" s="1407"/>
      <c r="T1779" s="1407"/>
      <c r="U1779" s="1407"/>
    </row>
    <row r="1780" spans="1:21" ht="12">
      <c r="A1780" s="639"/>
      <c r="B1780" s="1483"/>
      <c r="C1780" s="639"/>
      <c r="D1780" s="1831"/>
      <c r="E1780" s="2264"/>
      <c r="F1780" s="2262"/>
      <c r="G1780" s="2262"/>
      <c r="H1780" s="2262"/>
      <c r="I1780" s="1428"/>
      <c r="J1780" s="1407"/>
      <c r="K1780" s="1431"/>
      <c r="L1780" s="1407"/>
      <c r="M1780" s="1407"/>
      <c r="N1780" s="1407"/>
      <c r="O1780" s="1407"/>
      <c r="P1780" s="1407"/>
      <c r="Q1780" s="1407"/>
      <c r="R1780" s="1407"/>
      <c r="S1780" s="1407"/>
      <c r="T1780" s="1407"/>
      <c r="U1780" s="1407"/>
    </row>
    <row r="1781" spans="1:21" ht="12">
      <c r="A1781" s="639"/>
      <c r="B1781" s="1483"/>
      <c r="C1781" s="639"/>
      <c r="D1781" s="1831"/>
      <c r="E1781" s="2264"/>
      <c r="F1781" s="2262"/>
      <c r="G1781" s="2262"/>
      <c r="H1781" s="2262"/>
      <c r="I1781" s="1428"/>
      <c r="J1781" s="1407"/>
      <c r="K1781" s="1431"/>
      <c r="L1781" s="1407"/>
      <c r="M1781" s="1407"/>
      <c r="N1781" s="1407"/>
      <c r="O1781" s="1407"/>
      <c r="P1781" s="1407"/>
      <c r="Q1781" s="1407"/>
      <c r="R1781" s="1407"/>
      <c r="S1781" s="1407"/>
      <c r="T1781" s="1407"/>
      <c r="U1781" s="1407"/>
    </row>
    <row r="1782" spans="1:21" ht="12">
      <c r="A1782" s="639"/>
      <c r="B1782" s="1483"/>
      <c r="C1782" s="639"/>
      <c r="D1782" s="1831"/>
      <c r="E1782" s="2264"/>
      <c r="F1782" s="2262"/>
      <c r="G1782" s="2262"/>
      <c r="H1782" s="2262"/>
      <c r="I1782" s="1428"/>
      <c r="J1782" s="1407"/>
      <c r="K1782" s="1431"/>
      <c r="L1782" s="1407"/>
      <c r="M1782" s="1407"/>
      <c r="N1782" s="1407"/>
      <c r="O1782" s="1407"/>
      <c r="P1782" s="1407"/>
      <c r="Q1782" s="1407"/>
      <c r="R1782" s="1407"/>
      <c r="S1782" s="1407"/>
      <c r="T1782" s="1407"/>
      <c r="U1782" s="1407"/>
    </row>
    <row r="1783" spans="1:21" ht="12">
      <c r="A1783" s="639"/>
      <c r="B1783" s="1483"/>
      <c r="C1783" s="639"/>
      <c r="D1783" s="1831"/>
      <c r="E1783" s="2264"/>
      <c r="F1783" s="2262"/>
      <c r="G1783" s="2262"/>
      <c r="H1783" s="2262"/>
      <c r="I1783" s="1428"/>
      <c r="J1783" s="1407"/>
      <c r="K1783" s="1431"/>
      <c r="L1783" s="1407"/>
      <c r="M1783" s="1407"/>
      <c r="N1783" s="1407"/>
      <c r="O1783" s="1407"/>
      <c r="P1783" s="1407"/>
      <c r="Q1783" s="1407"/>
      <c r="R1783" s="1407"/>
      <c r="S1783" s="1407"/>
      <c r="T1783" s="1407"/>
      <c r="U1783" s="1407"/>
    </row>
    <row r="1784" spans="1:21" ht="12">
      <c r="A1784" s="639"/>
      <c r="B1784" s="1483"/>
      <c r="C1784" s="639"/>
      <c r="D1784" s="1831"/>
      <c r="E1784" s="2264"/>
      <c r="F1784" s="2262"/>
      <c r="G1784" s="2262"/>
      <c r="H1784" s="2262"/>
      <c r="I1784" s="1428"/>
      <c r="J1784" s="1407"/>
      <c r="K1784" s="1431"/>
      <c r="L1784" s="1407"/>
      <c r="M1784" s="1407"/>
      <c r="N1784" s="1407"/>
      <c r="O1784" s="1407"/>
      <c r="P1784" s="1407"/>
      <c r="Q1784" s="1407"/>
      <c r="R1784" s="1407"/>
      <c r="S1784" s="1407"/>
      <c r="T1784" s="1407"/>
      <c r="U1784" s="1407"/>
    </row>
    <row r="1785" spans="1:21" ht="12">
      <c r="A1785" s="639"/>
      <c r="B1785" s="1483"/>
      <c r="C1785" s="639"/>
      <c r="D1785" s="1831"/>
      <c r="E1785" s="2264"/>
      <c r="F1785" s="2262"/>
      <c r="G1785" s="2262"/>
      <c r="H1785" s="2262"/>
      <c r="I1785" s="1428"/>
      <c r="J1785" s="1407"/>
      <c r="K1785" s="1431"/>
      <c r="L1785" s="1407"/>
      <c r="M1785" s="1407"/>
      <c r="N1785" s="1407"/>
      <c r="O1785" s="1407"/>
      <c r="P1785" s="1407"/>
      <c r="Q1785" s="1407"/>
      <c r="R1785" s="1407"/>
      <c r="S1785" s="1407"/>
      <c r="T1785" s="1407"/>
      <c r="U1785" s="1407"/>
    </row>
    <row r="1786" spans="1:21" ht="12">
      <c r="A1786" s="639"/>
      <c r="B1786" s="1483"/>
      <c r="C1786" s="639"/>
      <c r="D1786" s="1831"/>
      <c r="E1786" s="2264"/>
      <c r="F1786" s="2262"/>
      <c r="G1786" s="2262"/>
      <c r="H1786" s="2262"/>
      <c r="I1786" s="1428"/>
      <c r="J1786" s="1407"/>
      <c r="K1786" s="1431"/>
      <c r="L1786" s="1407"/>
      <c r="M1786" s="1407"/>
      <c r="N1786" s="1407"/>
      <c r="O1786" s="1407"/>
      <c r="P1786" s="1407"/>
      <c r="Q1786" s="1407"/>
      <c r="R1786" s="1407"/>
      <c r="S1786" s="1407"/>
      <c r="T1786" s="1407"/>
      <c r="U1786" s="1407"/>
    </row>
    <row r="1787" spans="1:21" ht="12">
      <c r="A1787" s="639"/>
      <c r="B1787" s="1483"/>
      <c r="C1787" s="639"/>
      <c r="D1787" s="1831"/>
      <c r="E1787" s="2264"/>
      <c r="F1787" s="2262"/>
      <c r="G1787" s="2262"/>
      <c r="H1787" s="2262"/>
      <c r="I1787" s="1428"/>
      <c r="J1787" s="1407"/>
      <c r="K1787" s="1431"/>
      <c r="L1787" s="1407"/>
      <c r="M1787" s="1407"/>
      <c r="N1787" s="1407"/>
      <c r="O1787" s="1407"/>
      <c r="P1787" s="1407"/>
      <c r="Q1787" s="1407"/>
      <c r="R1787" s="1407"/>
      <c r="S1787" s="1407"/>
      <c r="T1787" s="1407"/>
      <c r="U1787" s="1407"/>
    </row>
    <row r="1788" spans="1:21" ht="12">
      <c r="A1788" s="639"/>
      <c r="B1788" s="1483"/>
      <c r="C1788" s="639"/>
      <c r="D1788" s="1831"/>
      <c r="E1788" s="2264"/>
      <c r="F1788" s="2262"/>
      <c r="G1788" s="2262"/>
      <c r="H1788" s="2262"/>
      <c r="I1788" s="1428"/>
      <c r="J1788" s="1407"/>
      <c r="K1788" s="1431"/>
      <c r="L1788" s="1407"/>
      <c r="M1788" s="1407"/>
      <c r="N1788" s="1407"/>
      <c r="O1788" s="1407"/>
      <c r="P1788" s="1407"/>
      <c r="Q1788" s="1407"/>
      <c r="R1788" s="1407"/>
      <c r="S1788" s="1407"/>
      <c r="T1788" s="1407"/>
      <c r="U1788" s="1407"/>
    </row>
    <row r="1789" spans="1:21" ht="12">
      <c r="A1789" s="639"/>
      <c r="B1789" s="1483"/>
      <c r="C1789" s="639"/>
      <c r="D1789" s="1831"/>
      <c r="E1789" s="2264"/>
      <c r="F1789" s="2262"/>
      <c r="G1789" s="2262"/>
      <c r="H1789" s="2262"/>
      <c r="I1789" s="1428"/>
      <c r="J1789" s="1407"/>
      <c r="K1789" s="1431"/>
      <c r="L1789" s="1407"/>
      <c r="M1789" s="1407"/>
      <c r="N1789" s="1407"/>
      <c r="O1789" s="1407"/>
      <c r="P1789" s="1407"/>
      <c r="Q1789" s="1407"/>
      <c r="R1789" s="1407"/>
      <c r="S1789" s="1407"/>
      <c r="T1789" s="1407"/>
      <c r="U1789" s="1407"/>
    </row>
    <row r="1790" spans="1:21" ht="12">
      <c r="A1790" s="639"/>
      <c r="B1790" s="1483"/>
      <c r="C1790" s="639"/>
      <c r="D1790" s="1831"/>
      <c r="E1790" s="2264"/>
      <c r="F1790" s="2262"/>
      <c r="G1790" s="2262"/>
      <c r="H1790" s="2262"/>
      <c r="I1790" s="1428"/>
      <c r="J1790" s="1407"/>
      <c r="K1790" s="1431"/>
      <c r="L1790" s="1407"/>
      <c r="M1790" s="1407"/>
      <c r="N1790" s="1407"/>
      <c r="O1790" s="1407"/>
      <c r="P1790" s="1407"/>
      <c r="Q1790" s="1407"/>
      <c r="R1790" s="1407"/>
      <c r="S1790" s="1407"/>
      <c r="T1790" s="1407"/>
      <c r="U1790" s="1407"/>
    </row>
    <row r="1791" spans="1:21" ht="12">
      <c r="A1791" s="639"/>
      <c r="B1791" s="1483"/>
      <c r="C1791" s="639"/>
      <c r="D1791" s="1831"/>
      <c r="E1791" s="2264"/>
      <c r="F1791" s="2262"/>
      <c r="G1791" s="2262"/>
      <c r="H1791" s="2262"/>
      <c r="I1791" s="1428"/>
      <c r="J1791" s="1407"/>
      <c r="K1791" s="1431"/>
      <c r="L1791" s="1407"/>
      <c r="M1791" s="1407"/>
      <c r="N1791" s="1407"/>
      <c r="O1791" s="1407"/>
      <c r="P1791" s="1407"/>
      <c r="Q1791" s="1407"/>
      <c r="R1791" s="1407"/>
      <c r="S1791" s="1407"/>
      <c r="T1791" s="1407"/>
      <c r="U1791" s="1407"/>
    </row>
    <row r="1792" spans="1:21" ht="12">
      <c r="A1792" s="639"/>
      <c r="B1792" s="1483"/>
      <c r="C1792" s="639"/>
      <c r="D1792" s="1831"/>
      <c r="E1792" s="2264"/>
      <c r="F1792" s="2262"/>
      <c r="G1792" s="2262"/>
      <c r="H1792" s="2262"/>
      <c r="I1792" s="1428"/>
      <c r="J1792" s="1407"/>
      <c r="K1792" s="1431"/>
      <c r="L1792" s="1407"/>
      <c r="M1792" s="1407"/>
      <c r="N1792" s="1407"/>
      <c r="O1792" s="1407"/>
      <c r="P1792" s="1407"/>
      <c r="Q1792" s="1407"/>
      <c r="R1792" s="1407"/>
      <c r="S1792" s="1407"/>
      <c r="T1792" s="1407"/>
      <c r="U1792" s="1407"/>
    </row>
    <row r="1793" spans="1:21" ht="12">
      <c r="A1793" s="639"/>
      <c r="B1793" s="1483"/>
      <c r="C1793" s="639"/>
      <c r="D1793" s="1831"/>
      <c r="E1793" s="2264"/>
      <c r="F1793" s="2262"/>
      <c r="G1793" s="2262"/>
      <c r="H1793" s="2262"/>
      <c r="I1793" s="1428"/>
      <c r="J1793" s="1407"/>
      <c r="K1793" s="1431"/>
      <c r="L1793" s="1407"/>
      <c r="M1793" s="1407"/>
      <c r="N1793" s="1407"/>
      <c r="O1793" s="1407"/>
      <c r="P1793" s="1407"/>
      <c r="Q1793" s="1407"/>
      <c r="R1793" s="1407"/>
      <c r="S1793" s="1407"/>
      <c r="T1793" s="1407"/>
      <c r="U1793" s="1407"/>
    </row>
    <row r="1794" spans="1:21" ht="12">
      <c r="A1794" s="639"/>
      <c r="B1794" s="1483"/>
      <c r="C1794" s="639"/>
      <c r="D1794" s="1831"/>
      <c r="E1794" s="2264"/>
      <c r="F1794" s="2262"/>
      <c r="G1794" s="2262"/>
      <c r="H1794" s="2262"/>
      <c r="I1794" s="1428"/>
      <c r="J1794" s="1407"/>
      <c r="K1794" s="1431"/>
      <c r="L1794" s="1407"/>
      <c r="M1794" s="1407"/>
      <c r="N1794" s="1407"/>
      <c r="O1794" s="1407"/>
      <c r="P1794" s="1407"/>
      <c r="Q1794" s="1407"/>
      <c r="R1794" s="1407"/>
      <c r="S1794" s="1407"/>
      <c r="T1794" s="1407"/>
      <c r="U1794" s="1407"/>
    </row>
    <row r="1795" spans="1:21" ht="12">
      <c r="A1795" s="639"/>
      <c r="B1795" s="1483"/>
      <c r="C1795" s="639"/>
      <c r="D1795" s="1831"/>
      <c r="E1795" s="2264"/>
      <c r="F1795" s="2262"/>
      <c r="G1795" s="2262"/>
      <c r="H1795" s="2262"/>
      <c r="I1795" s="1428"/>
      <c r="J1795" s="1407"/>
      <c r="K1795" s="1431"/>
      <c r="L1795" s="1407"/>
      <c r="M1795" s="1407"/>
      <c r="N1795" s="1407"/>
      <c r="O1795" s="1407"/>
      <c r="P1795" s="1407"/>
      <c r="Q1795" s="1407"/>
      <c r="R1795" s="1407"/>
      <c r="S1795" s="1407"/>
      <c r="T1795" s="1407"/>
      <c r="U1795" s="1407"/>
    </row>
    <row r="1796" spans="1:21" ht="12">
      <c r="A1796" s="639"/>
      <c r="B1796" s="1483"/>
      <c r="C1796" s="639"/>
      <c r="D1796" s="1831"/>
      <c r="E1796" s="2264"/>
      <c r="F1796" s="2262"/>
      <c r="G1796" s="2262"/>
      <c r="H1796" s="2262"/>
      <c r="I1796" s="1428"/>
      <c r="J1796" s="1407"/>
      <c r="K1796" s="1431"/>
      <c r="L1796" s="1407"/>
      <c r="M1796" s="1407"/>
      <c r="N1796" s="1407"/>
      <c r="O1796" s="1407"/>
      <c r="P1796" s="1407"/>
      <c r="Q1796" s="1407"/>
      <c r="R1796" s="1407"/>
      <c r="S1796" s="1407"/>
      <c r="T1796" s="1407"/>
      <c r="U1796" s="1407"/>
    </row>
    <row r="1797" spans="1:21" ht="12">
      <c r="A1797" s="639"/>
      <c r="B1797" s="1483"/>
      <c r="C1797" s="639"/>
      <c r="D1797" s="1831"/>
      <c r="E1797" s="2264"/>
      <c r="F1797" s="2262"/>
      <c r="G1797" s="2262"/>
      <c r="H1797" s="2262"/>
      <c r="I1797" s="1428"/>
      <c r="J1797" s="1407"/>
      <c r="K1797" s="1431"/>
      <c r="L1797" s="1407"/>
      <c r="M1797" s="1407"/>
      <c r="N1797" s="1407"/>
      <c r="O1797" s="1407"/>
      <c r="P1797" s="1407"/>
      <c r="Q1797" s="1407"/>
      <c r="R1797" s="1407"/>
      <c r="S1797" s="1407"/>
      <c r="T1797" s="1407"/>
      <c r="U1797" s="1407"/>
    </row>
    <row r="1798" spans="1:21" ht="12">
      <c r="A1798" s="639"/>
      <c r="B1798" s="1483"/>
      <c r="C1798" s="639"/>
      <c r="D1798" s="1831"/>
      <c r="E1798" s="2264"/>
      <c r="F1798" s="2262"/>
      <c r="G1798" s="2262"/>
      <c r="H1798" s="2262"/>
      <c r="I1798" s="1428"/>
      <c r="J1798" s="1407"/>
      <c r="K1798" s="1431"/>
      <c r="L1798" s="1407"/>
      <c r="M1798" s="1407"/>
      <c r="N1798" s="1407"/>
      <c r="O1798" s="1407"/>
      <c r="P1798" s="1407"/>
      <c r="Q1798" s="1407"/>
      <c r="R1798" s="1407"/>
      <c r="S1798" s="1407"/>
      <c r="T1798" s="1407"/>
      <c r="U1798" s="1407"/>
    </row>
    <row r="1799" spans="1:21" ht="12">
      <c r="A1799" s="639"/>
      <c r="B1799" s="1483"/>
      <c r="C1799" s="639"/>
      <c r="D1799" s="1831"/>
      <c r="E1799" s="2264"/>
      <c r="F1799" s="2262"/>
      <c r="G1799" s="2262"/>
      <c r="H1799" s="2262"/>
      <c r="I1799" s="1428"/>
      <c r="J1799" s="1407"/>
      <c r="K1799" s="1431"/>
      <c r="L1799" s="1407"/>
      <c r="M1799" s="1407"/>
      <c r="N1799" s="1407"/>
      <c r="O1799" s="1407"/>
      <c r="P1799" s="1407"/>
      <c r="Q1799" s="1407"/>
      <c r="R1799" s="1407"/>
      <c r="S1799" s="1407"/>
      <c r="T1799" s="1407"/>
      <c r="U1799" s="1407"/>
    </row>
    <row r="1800" spans="1:21" ht="12">
      <c r="A1800" s="639"/>
      <c r="B1800" s="1483"/>
      <c r="C1800" s="639"/>
      <c r="D1800" s="1831"/>
      <c r="E1800" s="2264"/>
      <c r="F1800" s="2262"/>
      <c r="G1800" s="2262"/>
      <c r="H1800" s="2262"/>
      <c r="I1800" s="1428"/>
      <c r="J1800" s="1407"/>
      <c r="K1800" s="1431"/>
      <c r="L1800" s="1407"/>
      <c r="M1800" s="1407"/>
      <c r="N1800" s="1407"/>
      <c r="O1800" s="1407"/>
      <c r="P1800" s="1407"/>
      <c r="Q1800" s="1407"/>
      <c r="R1800" s="1407"/>
      <c r="S1800" s="1407"/>
      <c r="T1800" s="1407"/>
      <c r="U1800" s="1407"/>
    </row>
    <row r="1801" spans="1:21" ht="12">
      <c r="A1801" s="639"/>
      <c r="B1801" s="1483"/>
      <c r="C1801" s="639"/>
      <c r="D1801" s="1831"/>
      <c r="E1801" s="2264"/>
      <c r="F1801" s="2262"/>
      <c r="G1801" s="2262"/>
      <c r="H1801" s="2262"/>
      <c r="I1801" s="1428"/>
      <c r="J1801" s="1407"/>
      <c r="K1801" s="1431"/>
      <c r="L1801" s="1407"/>
      <c r="M1801" s="1407"/>
      <c r="N1801" s="1407"/>
      <c r="O1801" s="1407"/>
      <c r="P1801" s="1407"/>
      <c r="Q1801" s="1407"/>
      <c r="R1801" s="1407"/>
      <c r="S1801" s="1407"/>
      <c r="T1801" s="1407"/>
      <c r="U1801" s="1407"/>
    </row>
    <row r="1802" spans="1:21" ht="12">
      <c r="A1802" s="639"/>
      <c r="B1802" s="1483"/>
      <c r="C1802" s="639"/>
      <c r="D1802" s="1831"/>
      <c r="E1802" s="2264"/>
      <c r="F1802" s="2262"/>
      <c r="G1802" s="2262"/>
      <c r="H1802" s="2262"/>
      <c r="I1802" s="1428"/>
      <c r="J1802" s="1407"/>
      <c r="K1802" s="1431"/>
      <c r="L1802" s="1407"/>
      <c r="M1802" s="1407"/>
      <c r="N1802" s="1407"/>
      <c r="O1802" s="1407"/>
      <c r="P1802" s="1407"/>
      <c r="Q1802" s="1407"/>
      <c r="R1802" s="1407"/>
      <c r="S1802" s="1407"/>
      <c r="T1802" s="1407"/>
      <c r="U1802" s="1407"/>
    </row>
    <row r="1803" spans="1:21" ht="12">
      <c r="A1803" s="639"/>
      <c r="B1803" s="1483"/>
      <c r="C1803" s="639"/>
      <c r="D1803" s="1831"/>
      <c r="E1803" s="2264"/>
      <c r="F1803" s="2262"/>
      <c r="G1803" s="2262"/>
      <c r="H1803" s="2262"/>
      <c r="I1803" s="1428"/>
      <c r="J1803" s="1407"/>
      <c r="K1803" s="1431"/>
      <c r="L1803" s="1407"/>
      <c r="M1803" s="1407"/>
      <c r="N1803" s="1407"/>
      <c r="O1803" s="1407"/>
      <c r="P1803" s="1407"/>
      <c r="Q1803" s="1407"/>
      <c r="R1803" s="1407"/>
      <c r="S1803" s="1407"/>
      <c r="T1803" s="1407"/>
      <c r="U1803" s="1407"/>
    </row>
    <row r="1804" spans="1:21" ht="12">
      <c r="A1804" s="639"/>
      <c r="B1804" s="1483"/>
      <c r="C1804" s="639"/>
      <c r="D1804" s="1831"/>
      <c r="E1804" s="2264"/>
      <c r="F1804" s="2262"/>
      <c r="G1804" s="2262"/>
      <c r="H1804" s="2262"/>
      <c r="I1804" s="1428"/>
      <c r="J1804" s="1407"/>
      <c r="K1804" s="1431"/>
      <c r="L1804" s="1407"/>
      <c r="M1804" s="1407"/>
      <c r="N1804" s="1407"/>
      <c r="O1804" s="1407"/>
      <c r="P1804" s="1407"/>
      <c r="Q1804" s="1407"/>
      <c r="R1804" s="1407"/>
      <c r="S1804" s="1407"/>
      <c r="T1804" s="1407"/>
      <c r="U1804" s="1407"/>
    </row>
    <row r="1805" spans="1:21" ht="12">
      <c r="A1805" s="639"/>
      <c r="B1805" s="1483"/>
      <c r="C1805" s="639"/>
      <c r="D1805" s="1831"/>
      <c r="E1805" s="2264"/>
      <c r="F1805" s="2262"/>
      <c r="G1805" s="2262"/>
      <c r="H1805" s="2262"/>
      <c r="I1805" s="1428"/>
      <c r="J1805" s="1407"/>
      <c r="K1805" s="1431"/>
      <c r="L1805" s="1407"/>
      <c r="M1805" s="1407"/>
      <c r="N1805" s="1407"/>
      <c r="O1805" s="1407"/>
      <c r="P1805" s="1407"/>
      <c r="Q1805" s="1407"/>
      <c r="R1805" s="1407"/>
      <c r="S1805" s="1407"/>
      <c r="T1805" s="1407"/>
      <c r="U1805" s="1407"/>
    </row>
    <row r="1806" spans="1:21" ht="12">
      <c r="A1806" s="639"/>
      <c r="B1806" s="1483"/>
      <c r="C1806" s="639"/>
      <c r="D1806" s="1831"/>
      <c r="E1806" s="2264"/>
      <c r="F1806" s="2262"/>
      <c r="G1806" s="2262"/>
      <c r="H1806" s="2262"/>
      <c r="I1806" s="1428"/>
      <c r="J1806" s="1407"/>
      <c r="K1806" s="1431"/>
      <c r="L1806" s="1407"/>
      <c r="M1806" s="1407"/>
      <c r="N1806" s="1407"/>
      <c r="O1806" s="1407"/>
      <c r="P1806" s="1407"/>
      <c r="Q1806" s="1407"/>
      <c r="R1806" s="1407"/>
      <c r="S1806" s="1407"/>
      <c r="T1806" s="1407"/>
      <c r="U1806" s="1407"/>
    </row>
    <row r="1807" spans="1:21" ht="12">
      <c r="A1807" s="639"/>
      <c r="B1807" s="1483"/>
      <c r="C1807" s="639"/>
      <c r="D1807" s="1831"/>
      <c r="E1807" s="2264"/>
      <c r="F1807" s="2262"/>
      <c r="G1807" s="2262"/>
      <c r="H1807" s="2262"/>
      <c r="I1807" s="1428"/>
      <c r="J1807" s="1407"/>
      <c r="K1807" s="1431"/>
      <c r="L1807" s="1407"/>
      <c r="M1807" s="1407"/>
      <c r="N1807" s="1407"/>
      <c r="O1807" s="1407"/>
      <c r="P1807" s="1407"/>
      <c r="Q1807" s="1407"/>
      <c r="R1807" s="1407"/>
      <c r="S1807" s="1407"/>
      <c r="T1807" s="1407"/>
      <c r="U1807" s="1407"/>
    </row>
    <row r="1808" spans="1:21" ht="12">
      <c r="A1808" s="639"/>
      <c r="B1808" s="1483"/>
      <c r="C1808" s="639"/>
      <c r="D1808" s="1831"/>
      <c r="E1808" s="2264"/>
      <c r="F1808" s="2262"/>
      <c r="G1808" s="2262"/>
      <c r="H1808" s="2262"/>
      <c r="I1808" s="1428"/>
      <c r="J1808" s="1407"/>
      <c r="K1808" s="1431"/>
      <c r="L1808" s="1407"/>
      <c r="M1808" s="1407"/>
      <c r="N1808" s="1407"/>
      <c r="O1808" s="1407"/>
      <c r="P1808" s="1407"/>
      <c r="Q1808" s="1407"/>
      <c r="R1808" s="1407"/>
      <c r="S1808" s="1407"/>
      <c r="T1808" s="1407"/>
      <c r="U1808" s="1407"/>
    </row>
    <row r="1809" spans="1:21" ht="12">
      <c r="A1809" s="639"/>
      <c r="B1809" s="1483"/>
      <c r="C1809" s="639"/>
      <c r="D1809" s="1831"/>
      <c r="E1809" s="2264"/>
      <c r="F1809" s="2262"/>
      <c r="G1809" s="2262"/>
      <c r="H1809" s="2262"/>
      <c r="I1809" s="1428"/>
      <c r="J1809" s="1407"/>
      <c r="K1809" s="1431"/>
      <c r="L1809" s="1407"/>
      <c r="M1809" s="1407"/>
      <c r="N1809" s="1407"/>
      <c r="O1809" s="1407"/>
      <c r="P1809" s="1407"/>
      <c r="Q1809" s="1407"/>
      <c r="R1809" s="1407"/>
      <c r="S1809" s="1407"/>
      <c r="T1809" s="1407"/>
      <c r="U1809" s="1407"/>
    </row>
    <row r="1810" spans="1:21" ht="12">
      <c r="A1810" s="639"/>
      <c r="B1810" s="1483"/>
      <c r="C1810" s="639"/>
      <c r="D1810" s="1831"/>
      <c r="E1810" s="2264"/>
      <c r="F1810" s="2262"/>
      <c r="G1810" s="2262"/>
      <c r="H1810" s="2262"/>
      <c r="I1810" s="1428"/>
      <c r="J1810" s="1407"/>
      <c r="K1810" s="1431"/>
      <c r="L1810" s="1407"/>
      <c r="M1810" s="1407"/>
      <c r="N1810" s="1407"/>
      <c r="O1810" s="1407"/>
      <c r="P1810" s="1407"/>
      <c r="Q1810" s="1407"/>
      <c r="R1810" s="1407"/>
      <c r="S1810" s="1407"/>
      <c r="T1810" s="1407"/>
      <c r="U1810" s="1407"/>
    </row>
    <row r="1811" spans="1:21" ht="12">
      <c r="A1811" s="639"/>
      <c r="B1811" s="1483"/>
      <c r="C1811" s="639"/>
      <c r="D1811" s="1831"/>
      <c r="E1811" s="2264"/>
      <c r="F1811" s="2262"/>
      <c r="G1811" s="2262"/>
      <c r="H1811" s="2262"/>
      <c r="I1811" s="1428"/>
      <c r="J1811" s="1407"/>
      <c r="K1811" s="1431"/>
      <c r="L1811" s="1407"/>
      <c r="M1811" s="1407"/>
      <c r="N1811" s="1407"/>
      <c r="O1811" s="1407"/>
      <c r="P1811" s="1407"/>
      <c r="Q1811" s="1407"/>
      <c r="R1811" s="1407"/>
      <c r="S1811" s="1407"/>
      <c r="T1811" s="1407"/>
      <c r="U1811" s="1407"/>
    </row>
    <row r="1812" spans="1:21" ht="12">
      <c r="A1812" s="639"/>
      <c r="B1812" s="1483"/>
      <c r="C1812" s="639"/>
      <c r="D1812" s="1831"/>
      <c r="E1812" s="2264"/>
      <c r="F1812" s="2262"/>
      <c r="G1812" s="2262"/>
      <c r="H1812" s="2262"/>
      <c r="I1812" s="1428"/>
      <c r="J1812" s="1407"/>
      <c r="K1812" s="1431"/>
      <c r="L1812" s="1407"/>
      <c r="M1812" s="1407"/>
      <c r="N1812" s="1407"/>
      <c r="O1812" s="1407"/>
      <c r="P1812" s="1407"/>
      <c r="Q1812" s="1407"/>
      <c r="R1812" s="1407"/>
      <c r="S1812" s="1407"/>
      <c r="T1812" s="1407"/>
      <c r="U1812" s="1407"/>
    </row>
    <row r="1813" spans="1:21" ht="12">
      <c r="A1813" s="639"/>
      <c r="B1813" s="1483"/>
      <c r="C1813" s="639"/>
      <c r="D1813" s="1831"/>
      <c r="E1813" s="2264"/>
      <c r="F1813" s="2262"/>
      <c r="G1813" s="2262"/>
      <c r="H1813" s="2262"/>
      <c r="I1813" s="1428"/>
      <c r="J1813" s="1407"/>
      <c r="K1813" s="1431"/>
      <c r="L1813" s="1407"/>
      <c r="M1813" s="1407"/>
      <c r="N1813" s="1407"/>
      <c r="O1813" s="1407"/>
      <c r="P1813" s="1407"/>
      <c r="Q1813" s="1407"/>
      <c r="R1813" s="1407"/>
      <c r="S1813" s="1407"/>
      <c r="T1813" s="1407"/>
      <c r="U1813" s="1407"/>
    </row>
    <row r="1814" spans="1:21" ht="12">
      <c r="A1814" s="639"/>
      <c r="B1814" s="1483"/>
      <c r="C1814" s="639"/>
      <c r="D1814" s="1831"/>
      <c r="E1814" s="2264"/>
      <c r="F1814" s="2262"/>
      <c r="G1814" s="2262"/>
      <c r="H1814" s="2262"/>
      <c r="I1814" s="1428"/>
      <c r="J1814" s="1407"/>
      <c r="K1814" s="1431"/>
      <c r="L1814" s="1407"/>
      <c r="M1814" s="1407"/>
      <c r="N1814" s="1407"/>
      <c r="O1814" s="1407"/>
      <c r="P1814" s="1407"/>
      <c r="Q1814" s="1407"/>
      <c r="R1814" s="1407"/>
      <c r="S1814" s="1407"/>
      <c r="T1814" s="1407"/>
      <c r="U1814" s="1407"/>
    </row>
    <row r="1815" spans="1:21" ht="12">
      <c r="A1815" s="639"/>
      <c r="B1815" s="1483"/>
      <c r="C1815" s="639"/>
      <c r="D1815" s="1831"/>
      <c r="E1815" s="2264"/>
      <c r="F1815" s="2262"/>
      <c r="G1815" s="2262"/>
      <c r="H1815" s="2262"/>
      <c r="I1815" s="1428"/>
      <c r="J1815" s="1407"/>
      <c r="K1815" s="1431"/>
      <c r="L1815" s="1407"/>
      <c r="M1815" s="1407"/>
      <c r="N1815" s="1407"/>
      <c r="O1815" s="1407"/>
      <c r="P1815" s="1407"/>
      <c r="Q1815" s="1407"/>
      <c r="R1815" s="1407"/>
      <c r="S1815" s="1407"/>
      <c r="T1815" s="1407"/>
      <c r="U1815" s="1407"/>
    </row>
    <row r="1816" spans="1:21" ht="12">
      <c r="A1816" s="639"/>
      <c r="B1816" s="1483"/>
      <c r="C1816" s="639"/>
      <c r="D1816" s="1831"/>
      <c r="E1816" s="2264"/>
      <c r="F1816" s="2262"/>
      <c r="G1816" s="2262"/>
      <c r="H1816" s="2262"/>
      <c r="I1816" s="1428"/>
      <c r="J1816" s="1407"/>
      <c r="K1816" s="1431"/>
      <c r="L1816" s="1407"/>
      <c r="M1816" s="1407"/>
      <c r="N1816" s="1407"/>
      <c r="O1816" s="1407"/>
      <c r="P1816" s="1407"/>
      <c r="Q1816" s="1407"/>
      <c r="R1816" s="1407"/>
      <c r="S1816" s="1407"/>
      <c r="T1816" s="1407"/>
      <c r="U1816" s="1407"/>
    </row>
    <row r="1817" spans="1:21" ht="12">
      <c r="A1817" s="639"/>
      <c r="B1817" s="1483"/>
      <c r="C1817" s="639"/>
      <c r="D1817" s="1831"/>
      <c r="E1817" s="2264"/>
      <c r="F1817" s="2262"/>
      <c r="G1817" s="2262"/>
      <c r="H1817" s="2262"/>
      <c r="I1817" s="1428"/>
      <c r="J1817" s="1407"/>
      <c r="K1817" s="1431"/>
      <c r="L1817" s="1407"/>
      <c r="M1817" s="1407"/>
      <c r="N1817" s="1407"/>
      <c r="O1817" s="1407"/>
      <c r="P1817" s="1407"/>
      <c r="Q1817" s="1407"/>
      <c r="R1817" s="1407"/>
      <c r="S1817" s="1407"/>
      <c r="T1817" s="1407"/>
      <c r="U1817" s="1407"/>
    </row>
    <row r="1818" spans="1:21" ht="12">
      <c r="A1818" s="639"/>
      <c r="B1818" s="1483"/>
      <c r="C1818" s="639"/>
      <c r="D1818" s="1831"/>
      <c r="E1818" s="2264"/>
      <c r="F1818" s="2262"/>
      <c r="G1818" s="2262"/>
      <c r="H1818" s="2262"/>
      <c r="I1818" s="1428"/>
      <c r="J1818" s="1407"/>
      <c r="K1818" s="1431"/>
      <c r="L1818" s="1407"/>
      <c r="M1818" s="1407"/>
      <c r="N1818" s="1407"/>
      <c r="O1818" s="1407"/>
      <c r="P1818" s="1407"/>
      <c r="Q1818" s="1407"/>
      <c r="R1818" s="1407"/>
      <c r="S1818" s="1407"/>
      <c r="T1818" s="1407"/>
      <c r="U1818" s="1407"/>
    </row>
    <row r="1819" spans="1:21" ht="12">
      <c r="A1819" s="639"/>
      <c r="B1819" s="1483"/>
      <c r="C1819" s="639"/>
      <c r="D1819" s="1831"/>
      <c r="E1819" s="2264"/>
      <c r="F1819" s="2262"/>
      <c r="G1819" s="2262"/>
      <c r="H1819" s="2262"/>
      <c r="I1819" s="1428"/>
      <c r="J1819" s="1407"/>
      <c r="K1819" s="1431"/>
      <c r="L1819" s="1407"/>
      <c r="M1819" s="1407"/>
      <c r="N1819" s="1407"/>
      <c r="O1819" s="1407"/>
      <c r="P1819" s="1407"/>
      <c r="Q1819" s="1407"/>
      <c r="R1819" s="1407"/>
      <c r="S1819" s="1407"/>
      <c r="T1819" s="1407"/>
      <c r="U1819" s="1407"/>
    </row>
    <row r="1820" spans="1:21" ht="12">
      <c r="A1820" s="639"/>
      <c r="B1820" s="1483"/>
      <c r="C1820" s="639"/>
      <c r="D1820" s="1831"/>
      <c r="E1820" s="2264"/>
      <c r="F1820" s="2262"/>
      <c r="G1820" s="2262"/>
      <c r="H1820" s="2262"/>
      <c r="I1820" s="1428"/>
      <c r="J1820" s="1407"/>
      <c r="K1820" s="1431"/>
      <c r="L1820" s="1407"/>
      <c r="M1820" s="1407"/>
      <c r="N1820" s="1407"/>
      <c r="O1820" s="1407"/>
      <c r="P1820" s="1407"/>
      <c r="Q1820" s="1407"/>
      <c r="R1820" s="1407"/>
      <c r="S1820" s="1407"/>
      <c r="T1820" s="1407"/>
      <c r="U1820" s="1407"/>
    </row>
    <row r="1821" spans="1:21" ht="12">
      <c r="A1821" s="639"/>
      <c r="B1821" s="1483"/>
      <c r="C1821" s="639"/>
      <c r="D1821" s="1831"/>
      <c r="E1821" s="2264"/>
      <c r="F1821" s="2262"/>
      <c r="G1821" s="2262"/>
      <c r="H1821" s="2262"/>
      <c r="I1821" s="1428"/>
      <c r="J1821" s="1407"/>
      <c r="K1821" s="1431"/>
      <c r="L1821" s="1407"/>
      <c r="M1821" s="1407"/>
      <c r="N1821" s="1407"/>
      <c r="O1821" s="1407"/>
      <c r="P1821" s="1407"/>
      <c r="Q1821" s="1407"/>
      <c r="R1821" s="1407"/>
      <c r="S1821" s="1407"/>
      <c r="T1821" s="1407"/>
      <c r="U1821" s="1407"/>
    </row>
    <row r="1822" spans="1:21" ht="12">
      <c r="A1822" s="639"/>
      <c r="B1822" s="1483"/>
      <c r="C1822" s="639"/>
      <c r="D1822" s="1831"/>
      <c r="E1822" s="2264"/>
      <c r="F1822" s="2262"/>
      <c r="G1822" s="2262"/>
      <c r="H1822" s="2262"/>
      <c r="I1822" s="1428"/>
      <c r="J1822" s="1407"/>
      <c r="K1822" s="1431"/>
      <c r="L1822" s="1407"/>
      <c r="M1822" s="1407"/>
      <c r="N1822" s="1407"/>
      <c r="O1822" s="1407"/>
      <c r="P1822" s="1407"/>
      <c r="Q1822" s="1407"/>
      <c r="R1822" s="1407"/>
      <c r="S1822" s="1407"/>
      <c r="T1822" s="1407"/>
      <c r="U1822" s="1407"/>
    </row>
    <row r="1823" spans="1:21" ht="12">
      <c r="A1823" s="639"/>
      <c r="B1823" s="1483"/>
      <c r="C1823" s="639"/>
      <c r="D1823" s="1831"/>
      <c r="E1823" s="2264"/>
      <c r="F1823" s="2262"/>
      <c r="G1823" s="2262"/>
      <c r="H1823" s="2262"/>
      <c r="I1823" s="1428"/>
      <c r="J1823" s="1407"/>
      <c r="K1823" s="1431"/>
      <c r="L1823" s="1407"/>
      <c r="M1823" s="1407"/>
      <c r="N1823" s="1407"/>
      <c r="O1823" s="1407"/>
      <c r="P1823" s="1407"/>
      <c r="Q1823" s="1407"/>
      <c r="R1823" s="1407"/>
      <c r="S1823" s="1407"/>
      <c r="T1823" s="1407"/>
      <c r="U1823" s="1407"/>
    </row>
    <row r="1824" spans="1:21" ht="12">
      <c r="A1824" s="639"/>
      <c r="B1824" s="1483"/>
      <c r="C1824" s="639"/>
      <c r="D1824" s="1831"/>
      <c r="E1824" s="2264"/>
      <c r="F1824" s="2262"/>
      <c r="G1824" s="2262"/>
      <c r="H1824" s="2262"/>
      <c r="I1824" s="1428"/>
      <c r="J1824" s="1407"/>
      <c r="K1824" s="1431"/>
      <c r="L1824" s="1407"/>
      <c r="M1824" s="1407"/>
      <c r="N1824" s="1407"/>
      <c r="O1824" s="1407"/>
      <c r="P1824" s="1407"/>
      <c r="Q1824" s="1407"/>
      <c r="R1824" s="1407"/>
      <c r="S1824" s="1407"/>
      <c r="T1824" s="1407"/>
      <c r="U1824" s="1407"/>
    </row>
    <row r="1825" spans="1:21" ht="12">
      <c r="A1825" s="639"/>
      <c r="B1825" s="1483"/>
      <c r="C1825" s="639"/>
      <c r="D1825" s="1831"/>
      <c r="E1825" s="2264"/>
      <c r="F1825" s="2262"/>
      <c r="G1825" s="2262"/>
      <c r="H1825" s="2262"/>
      <c r="I1825" s="1428"/>
      <c r="J1825" s="1407"/>
      <c r="K1825" s="1431"/>
      <c r="L1825" s="1407"/>
      <c r="M1825" s="1407"/>
      <c r="N1825" s="1407"/>
      <c r="O1825" s="1407"/>
      <c r="P1825" s="1407"/>
      <c r="Q1825" s="1407"/>
      <c r="R1825" s="1407"/>
      <c r="S1825" s="1407"/>
      <c r="T1825" s="1407"/>
      <c r="U1825" s="1407"/>
    </row>
    <row r="1826" spans="1:21" ht="12">
      <c r="A1826" s="639"/>
      <c r="B1826" s="1483"/>
      <c r="C1826" s="639"/>
      <c r="D1826" s="1831"/>
      <c r="E1826" s="2264"/>
      <c r="F1826" s="2262"/>
      <c r="G1826" s="2262"/>
      <c r="H1826" s="2262"/>
      <c r="I1826" s="1428"/>
      <c r="J1826" s="1407"/>
      <c r="K1826" s="1431"/>
      <c r="L1826" s="1407"/>
      <c r="M1826" s="1407"/>
      <c r="N1826" s="1407"/>
      <c r="O1826" s="1407"/>
      <c r="P1826" s="1407"/>
      <c r="Q1826" s="1407"/>
      <c r="R1826" s="1407"/>
      <c r="S1826" s="1407"/>
      <c r="T1826" s="1407"/>
      <c r="U1826" s="1407"/>
    </row>
    <row r="1827" spans="1:21" ht="12">
      <c r="A1827" s="639"/>
      <c r="B1827" s="1483"/>
      <c r="C1827" s="639"/>
      <c r="D1827" s="1831"/>
      <c r="E1827" s="2264"/>
      <c r="F1827" s="2262"/>
      <c r="G1827" s="2262"/>
      <c r="H1827" s="2262"/>
      <c r="I1827" s="1428"/>
      <c r="J1827" s="1407"/>
      <c r="K1827" s="1431"/>
      <c r="L1827" s="1407"/>
      <c r="M1827" s="1407"/>
      <c r="N1827" s="1407"/>
      <c r="O1827" s="1407"/>
      <c r="P1827" s="1407"/>
      <c r="Q1827" s="1407"/>
      <c r="R1827" s="1407"/>
      <c r="S1827" s="1407"/>
      <c r="T1827" s="1407"/>
      <c r="U1827" s="1407"/>
    </row>
    <row r="1828" spans="1:21" ht="12">
      <c r="A1828" s="639"/>
      <c r="B1828" s="1483"/>
      <c r="C1828" s="639"/>
      <c r="D1828" s="1831"/>
      <c r="E1828" s="2264"/>
      <c r="F1828" s="2262"/>
      <c r="G1828" s="2262"/>
      <c r="H1828" s="2262"/>
      <c r="I1828" s="1428"/>
      <c r="J1828" s="1407"/>
      <c r="K1828" s="1431"/>
      <c r="L1828" s="1407"/>
      <c r="M1828" s="1407"/>
      <c r="N1828" s="1407"/>
      <c r="O1828" s="1407"/>
      <c r="P1828" s="1407"/>
      <c r="Q1828" s="1407"/>
      <c r="R1828" s="1407"/>
      <c r="S1828" s="1407"/>
      <c r="T1828" s="1407"/>
      <c r="U1828" s="1407"/>
    </row>
    <row r="1829" spans="1:21" ht="12">
      <c r="A1829" s="639"/>
      <c r="B1829" s="1483"/>
      <c r="C1829" s="639"/>
      <c r="D1829" s="1831"/>
      <c r="E1829" s="2264"/>
      <c r="F1829" s="2262"/>
      <c r="G1829" s="2262"/>
      <c r="H1829" s="2262"/>
      <c r="I1829" s="1428"/>
      <c r="J1829" s="1407"/>
      <c r="K1829" s="1431"/>
      <c r="L1829" s="1407"/>
      <c r="M1829" s="1407"/>
      <c r="N1829" s="1407"/>
      <c r="O1829" s="1407"/>
      <c r="P1829" s="1407"/>
      <c r="Q1829" s="1407"/>
      <c r="R1829" s="1407"/>
      <c r="S1829" s="1407"/>
      <c r="T1829" s="1407"/>
      <c r="U1829" s="1407"/>
    </row>
    <row r="1830" spans="1:21" ht="12">
      <c r="A1830" s="639"/>
      <c r="B1830" s="1483"/>
      <c r="C1830" s="639"/>
      <c r="D1830" s="1831"/>
      <c r="E1830" s="2264"/>
      <c r="F1830" s="2262"/>
      <c r="G1830" s="2262"/>
      <c r="H1830" s="2262"/>
      <c r="I1830" s="1428"/>
      <c r="J1830" s="1407"/>
      <c r="K1830" s="1431"/>
      <c r="L1830" s="1407"/>
      <c r="M1830" s="1407"/>
      <c r="N1830" s="1407"/>
      <c r="O1830" s="1407"/>
      <c r="P1830" s="1407"/>
      <c r="Q1830" s="1407"/>
      <c r="R1830" s="1407"/>
      <c r="S1830" s="1407"/>
      <c r="T1830" s="1407"/>
      <c r="U1830" s="1407"/>
    </row>
    <row r="1831" spans="1:21" ht="12">
      <c r="A1831" s="639"/>
      <c r="B1831" s="1483"/>
      <c r="C1831" s="639"/>
      <c r="D1831" s="1831"/>
      <c r="E1831" s="2264"/>
      <c r="F1831" s="2262"/>
      <c r="G1831" s="2262"/>
      <c r="H1831" s="2262"/>
      <c r="I1831" s="1428"/>
      <c r="J1831" s="1407"/>
      <c r="K1831" s="1431"/>
      <c r="L1831" s="1407"/>
      <c r="M1831" s="1407"/>
      <c r="N1831" s="1407"/>
      <c r="O1831" s="1407"/>
      <c r="P1831" s="1407"/>
      <c r="Q1831" s="1407"/>
      <c r="R1831" s="1407"/>
      <c r="S1831" s="1407"/>
      <c r="T1831" s="1407"/>
      <c r="U1831" s="1407"/>
    </row>
    <row r="1832" spans="1:21" ht="12">
      <c r="A1832" s="639"/>
      <c r="B1832" s="1483"/>
      <c r="C1832" s="639"/>
      <c r="D1832" s="1831"/>
      <c r="E1832" s="2264"/>
      <c r="F1832" s="2262"/>
      <c r="G1832" s="2262"/>
      <c r="H1832" s="2262"/>
      <c r="I1832" s="1428"/>
      <c r="J1832" s="1407"/>
      <c r="K1832" s="1431"/>
      <c r="L1832" s="1407"/>
      <c r="M1832" s="1407"/>
      <c r="N1832" s="1407"/>
      <c r="O1832" s="1407"/>
      <c r="P1832" s="1407"/>
      <c r="Q1832" s="1407"/>
      <c r="R1832" s="1407"/>
      <c r="S1832" s="1407"/>
      <c r="T1832" s="1407"/>
      <c r="U1832" s="1407"/>
    </row>
    <row r="1833" spans="1:21" ht="12">
      <c r="A1833" s="639"/>
      <c r="B1833" s="1483"/>
      <c r="C1833" s="639"/>
      <c r="D1833" s="1831"/>
      <c r="E1833" s="2264"/>
      <c r="F1833" s="2262"/>
      <c r="G1833" s="2262"/>
      <c r="H1833" s="2262"/>
      <c r="I1833" s="1428"/>
      <c r="J1833" s="1407"/>
      <c r="K1833" s="1431"/>
      <c r="L1833" s="1407"/>
      <c r="M1833" s="1407"/>
      <c r="N1833" s="1407"/>
      <c r="O1833" s="1407"/>
      <c r="P1833" s="1407"/>
      <c r="Q1833" s="1407"/>
      <c r="R1833" s="1407"/>
      <c r="S1833" s="1407"/>
      <c r="T1833" s="1407"/>
      <c r="U1833" s="1407"/>
    </row>
    <row r="1834" spans="1:21" ht="12">
      <c r="A1834" s="639"/>
      <c r="B1834" s="1483"/>
      <c r="C1834" s="639"/>
      <c r="D1834" s="1831"/>
      <c r="E1834" s="2264"/>
      <c r="F1834" s="2262"/>
      <c r="G1834" s="2262"/>
      <c r="H1834" s="2262"/>
      <c r="I1834" s="1428"/>
      <c r="J1834" s="1407"/>
      <c r="K1834" s="1431"/>
      <c r="L1834" s="1407"/>
      <c r="M1834" s="1407"/>
      <c r="N1834" s="1407"/>
      <c r="O1834" s="1407"/>
      <c r="P1834" s="1407"/>
      <c r="Q1834" s="1407"/>
      <c r="R1834" s="1407"/>
      <c r="S1834" s="1407"/>
      <c r="T1834" s="1407"/>
      <c r="U1834" s="1407"/>
    </row>
    <row r="1835" spans="1:21" ht="12">
      <c r="A1835" s="639"/>
      <c r="B1835" s="1483"/>
      <c r="C1835" s="639"/>
      <c r="D1835" s="1831"/>
      <c r="E1835" s="2264"/>
      <c r="F1835" s="2262"/>
      <c r="G1835" s="2262"/>
      <c r="H1835" s="2262"/>
      <c r="I1835" s="1428"/>
      <c r="J1835" s="1407"/>
      <c r="K1835" s="1431"/>
      <c r="L1835" s="1407"/>
      <c r="M1835" s="1407"/>
      <c r="N1835" s="1407"/>
      <c r="O1835" s="1407"/>
      <c r="P1835" s="1407"/>
      <c r="Q1835" s="1407"/>
      <c r="R1835" s="1407"/>
      <c r="S1835" s="1407"/>
      <c r="T1835" s="1407"/>
      <c r="U1835" s="1407"/>
    </row>
    <row r="1836" spans="1:21" ht="12">
      <c r="A1836" s="639"/>
      <c r="B1836" s="1483"/>
      <c r="C1836" s="639"/>
      <c r="D1836" s="1831"/>
      <c r="E1836" s="2264"/>
      <c r="F1836" s="2262"/>
      <c r="G1836" s="2262"/>
      <c r="H1836" s="2262"/>
      <c r="I1836" s="1428"/>
      <c r="J1836" s="1407"/>
      <c r="K1836" s="1431"/>
      <c r="L1836" s="1407"/>
      <c r="M1836" s="1407"/>
      <c r="N1836" s="1407"/>
      <c r="O1836" s="1407"/>
      <c r="P1836" s="1407"/>
      <c r="Q1836" s="1407"/>
      <c r="R1836" s="1407"/>
      <c r="S1836" s="1407"/>
      <c r="T1836" s="1407"/>
      <c r="U1836" s="1407"/>
    </row>
    <row r="1837" spans="1:21" ht="12">
      <c r="A1837" s="639"/>
      <c r="B1837" s="1483"/>
      <c r="C1837" s="639"/>
      <c r="D1837" s="1831"/>
      <c r="E1837" s="2264"/>
      <c r="F1837" s="2262"/>
      <c r="G1837" s="2262"/>
      <c r="H1837" s="2262"/>
      <c r="I1837" s="1428"/>
      <c r="J1837" s="1407"/>
      <c r="K1837" s="1431"/>
      <c r="L1837" s="1407"/>
      <c r="M1837" s="1407"/>
      <c r="N1837" s="1407"/>
      <c r="O1837" s="1407"/>
      <c r="P1837" s="1407"/>
      <c r="Q1837" s="1407"/>
      <c r="R1837" s="1407"/>
      <c r="S1837" s="1407"/>
      <c r="T1837" s="1407"/>
      <c r="U1837" s="1407"/>
    </row>
    <row r="1838" spans="1:21" ht="12">
      <c r="A1838" s="639"/>
      <c r="B1838" s="1483"/>
      <c r="C1838" s="639"/>
      <c r="D1838" s="1831"/>
      <c r="E1838" s="2264"/>
      <c r="F1838" s="2262"/>
      <c r="G1838" s="2262"/>
      <c r="H1838" s="2262"/>
      <c r="I1838" s="1428"/>
      <c r="J1838" s="1407"/>
      <c r="K1838" s="1431"/>
      <c r="L1838" s="1407"/>
      <c r="M1838" s="1407"/>
      <c r="N1838" s="1407"/>
      <c r="O1838" s="1407"/>
      <c r="P1838" s="1407"/>
      <c r="Q1838" s="1407"/>
      <c r="R1838" s="1407"/>
      <c r="S1838" s="1407"/>
      <c r="T1838" s="1407"/>
      <c r="U1838" s="1407"/>
    </row>
    <row r="1839" spans="1:21" ht="12">
      <c r="A1839" s="639"/>
      <c r="B1839" s="1483"/>
      <c r="C1839" s="639"/>
      <c r="D1839" s="1831"/>
      <c r="E1839" s="2264"/>
      <c r="F1839" s="2262"/>
      <c r="G1839" s="2262"/>
      <c r="H1839" s="2262"/>
      <c r="I1839" s="1428"/>
      <c r="J1839" s="1407"/>
      <c r="K1839" s="1431"/>
      <c r="L1839" s="1407"/>
      <c r="M1839" s="1407"/>
      <c r="N1839" s="1407"/>
      <c r="O1839" s="1407"/>
      <c r="P1839" s="1407"/>
      <c r="Q1839" s="1407"/>
      <c r="R1839" s="1407"/>
      <c r="S1839" s="1407"/>
      <c r="T1839" s="1407"/>
      <c r="U1839" s="1407"/>
    </row>
    <row r="1840" spans="1:21" ht="12">
      <c r="A1840" s="639"/>
      <c r="B1840" s="1483"/>
      <c r="C1840" s="639"/>
      <c r="D1840" s="1831"/>
      <c r="E1840" s="2264"/>
      <c r="F1840" s="2262"/>
      <c r="G1840" s="2262"/>
      <c r="H1840" s="2262"/>
      <c r="I1840" s="1428"/>
      <c r="J1840" s="1407"/>
      <c r="K1840" s="1431"/>
      <c r="L1840" s="1407"/>
      <c r="M1840" s="1407"/>
      <c r="N1840" s="1407"/>
      <c r="O1840" s="1407"/>
      <c r="P1840" s="1407"/>
      <c r="Q1840" s="1407"/>
      <c r="R1840" s="1407"/>
      <c r="S1840" s="1407"/>
      <c r="T1840" s="1407"/>
      <c r="U1840" s="1407"/>
    </row>
    <row r="1841" spans="1:21" ht="12">
      <c r="A1841" s="639"/>
      <c r="B1841" s="1483"/>
      <c r="C1841" s="639"/>
      <c r="D1841" s="1831"/>
      <c r="E1841" s="2264"/>
      <c r="F1841" s="2262"/>
      <c r="G1841" s="2262"/>
      <c r="H1841" s="2262"/>
      <c r="I1841" s="1428"/>
      <c r="J1841" s="1407"/>
      <c r="K1841" s="1431"/>
      <c r="L1841" s="1407"/>
      <c r="M1841" s="1407"/>
      <c r="N1841" s="1407"/>
      <c r="O1841" s="1407"/>
      <c r="P1841" s="1407"/>
      <c r="Q1841" s="1407"/>
      <c r="R1841" s="1407"/>
      <c r="S1841" s="1407"/>
      <c r="T1841" s="1407"/>
      <c r="U1841" s="1407"/>
    </row>
    <row r="1842" spans="1:21" ht="12">
      <c r="A1842" s="639"/>
      <c r="B1842" s="1483"/>
      <c r="C1842" s="639"/>
      <c r="D1842" s="1831"/>
      <c r="E1842" s="2264"/>
      <c r="F1842" s="2262"/>
      <c r="G1842" s="2262"/>
      <c r="H1842" s="2262"/>
      <c r="I1842" s="1428"/>
      <c r="J1842" s="1407"/>
      <c r="K1842" s="1431"/>
      <c r="L1842" s="1407"/>
      <c r="M1842" s="1407"/>
      <c r="N1842" s="1407"/>
      <c r="O1842" s="1407"/>
      <c r="P1842" s="1407"/>
      <c r="Q1842" s="1407"/>
      <c r="R1842" s="1407"/>
      <c r="S1842" s="1407"/>
      <c r="T1842" s="1407"/>
      <c r="U1842" s="1407"/>
    </row>
    <row r="1843" spans="1:21" ht="12">
      <c r="A1843" s="639"/>
      <c r="B1843" s="1483"/>
      <c r="C1843" s="639"/>
      <c r="D1843" s="1831"/>
      <c r="E1843" s="2264"/>
      <c r="F1843" s="2262"/>
      <c r="G1843" s="2262"/>
      <c r="H1843" s="2262"/>
      <c r="I1843" s="1428"/>
      <c r="J1843" s="1407"/>
      <c r="K1843" s="1431"/>
      <c r="L1843" s="1407"/>
      <c r="M1843" s="1407"/>
      <c r="N1843" s="1407"/>
      <c r="O1843" s="1407"/>
      <c r="P1843" s="1407"/>
      <c r="Q1843" s="1407"/>
      <c r="R1843" s="1407"/>
      <c r="S1843" s="1407"/>
      <c r="T1843" s="1407"/>
      <c r="U1843" s="1407"/>
    </row>
    <row r="1844" spans="1:21" ht="12">
      <c r="A1844" s="639"/>
      <c r="B1844" s="1483"/>
      <c r="C1844" s="639"/>
      <c r="D1844" s="1831"/>
      <c r="E1844" s="2264"/>
      <c r="F1844" s="2262"/>
      <c r="G1844" s="2262"/>
      <c r="H1844" s="2262"/>
      <c r="I1844" s="1428"/>
      <c r="J1844" s="1407"/>
      <c r="K1844" s="1431"/>
      <c r="L1844" s="1407"/>
      <c r="M1844" s="1407"/>
      <c r="N1844" s="1407"/>
      <c r="O1844" s="1407"/>
      <c r="P1844" s="1407"/>
      <c r="Q1844" s="1407"/>
      <c r="R1844" s="1407"/>
      <c r="S1844" s="1407"/>
      <c r="T1844" s="1407"/>
      <c r="U1844" s="1407"/>
    </row>
    <row r="1845" spans="1:21" ht="12">
      <c r="A1845" s="639"/>
      <c r="B1845" s="1483"/>
      <c r="C1845" s="639"/>
      <c r="D1845" s="1831"/>
      <c r="E1845" s="2264"/>
      <c r="F1845" s="2262"/>
      <c r="G1845" s="2262"/>
      <c r="H1845" s="2262"/>
      <c r="I1845" s="1428"/>
      <c r="J1845" s="1407"/>
      <c r="K1845" s="1431"/>
      <c r="L1845" s="1407"/>
      <c r="M1845" s="1407"/>
      <c r="N1845" s="1407"/>
      <c r="O1845" s="1407"/>
      <c r="P1845" s="1407"/>
      <c r="Q1845" s="1407"/>
      <c r="R1845" s="1407"/>
      <c r="S1845" s="1407"/>
      <c r="T1845" s="1407"/>
      <c r="U1845" s="1407"/>
    </row>
    <row r="1846" spans="1:21" ht="12">
      <c r="A1846" s="639"/>
      <c r="B1846" s="1483"/>
      <c r="C1846" s="639"/>
      <c r="D1846" s="1831"/>
      <c r="E1846" s="2264"/>
      <c r="F1846" s="2262"/>
      <c r="G1846" s="2262"/>
      <c r="H1846" s="2262"/>
      <c r="I1846" s="1428"/>
      <c r="J1846" s="1407"/>
      <c r="K1846" s="1431"/>
      <c r="L1846" s="1407"/>
      <c r="M1846" s="1407"/>
      <c r="N1846" s="1407"/>
      <c r="O1846" s="1407"/>
      <c r="P1846" s="1407"/>
      <c r="Q1846" s="1407"/>
      <c r="R1846" s="1407"/>
      <c r="S1846" s="1407"/>
      <c r="T1846" s="1407"/>
      <c r="U1846" s="1407"/>
    </row>
    <row r="1847" spans="1:21" ht="12">
      <c r="A1847" s="639"/>
      <c r="B1847" s="1483"/>
      <c r="C1847" s="639"/>
      <c r="D1847" s="1831"/>
      <c r="E1847" s="2264"/>
      <c r="F1847" s="2262"/>
      <c r="G1847" s="2262"/>
      <c r="H1847" s="2262"/>
      <c r="I1847" s="1428"/>
      <c r="J1847" s="1407"/>
      <c r="K1847" s="1431"/>
      <c r="L1847" s="1407"/>
      <c r="M1847" s="1407"/>
      <c r="N1847" s="1407"/>
      <c r="O1847" s="1407"/>
      <c r="P1847" s="1407"/>
      <c r="Q1847" s="1407"/>
      <c r="R1847" s="1407"/>
      <c r="S1847" s="1407"/>
      <c r="T1847" s="1407"/>
      <c r="U1847" s="1407"/>
    </row>
    <row r="1848" spans="1:21" ht="12">
      <c r="A1848" s="639"/>
      <c r="B1848" s="1483"/>
      <c r="C1848" s="639"/>
      <c r="D1848" s="1831"/>
      <c r="E1848" s="2264"/>
      <c r="F1848" s="2262"/>
      <c r="G1848" s="2262"/>
      <c r="H1848" s="2262"/>
      <c r="I1848" s="1428"/>
      <c r="J1848" s="1407"/>
      <c r="K1848" s="1431"/>
      <c r="L1848" s="1407"/>
      <c r="M1848" s="1407"/>
      <c r="N1848" s="1407"/>
      <c r="O1848" s="1407"/>
      <c r="P1848" s="1407"/>
      <c r="Q1848" s="1407"/>
      <c r="R1848" s="1407"/>
      <c r="S1848" s="1407"/>
      <c r="T1848" s="1407"/>
      <c r="U1848" s="1407"/>
    </row>
    <row r="1849" spans="1:21" ht="12">
      <c r="A1849" s="639"/>
      <c r="B1849" s="1483"/>
      <c r="C1849" s="639"/>
      <c r="D1849" s="1831"/>
      <c r="E1849" s="2264"/>
      <c r="F1849" s="2262"/>
      <c r="G1849" s="2262"/>
      <c r="H1849" s="2262"/>
      <c r="I1849" s="1428"/>
      <c r="J1849" s="1407"/>
      <c r="K1849" s="1431"/>
      <c r="L1849" s="1407"/>
      <c r="M1849" s="1407"/>
      <c r="N1849" s="1407"/>
      <c r="O1849" s="1407"/>
      <c r="P1849" s="1407"/>
      <c r="Q1849" s="1407"/>
      <c r="R1849" s="1407"/>
      <c r="S1849" s="1407"/>
      <c r="T1849" s="1407"/>
      <c r="U1849" s="1407"/>
    </row>
    <row r="1850" spans="1:21" ht="12">
      <c r="A1850" s="639"/>
      <c r="B1850" s="1483"/>
      <c r="C1850" s="639"/>
      <c r="D1850" s="1831"/>
      <c r="E1850" s="2264"/>
      <c r="F1850" s="2262"/>
      <c r="G1850" s="2262"/>
      <c r="H1850" s="2262"/>
      <c r="I1850" s="1428"/>
      <c r="J1850" s="1407"/>
      <c r="K1850" s="1431"/>
      <c r="L1850" s="1407"/>
      <c r="M1850" s="1407"/>
      <c r="N1850" s="1407"/>
      <c r="O1850" s="1407"/>
      <c r="P1850" s="1407"/>
      <c r="Q1850" s="1407"/>
      <c r="R1850" s="1407"/>
      <c r="S1850" s="1407"/>
      <c r="T1850" s="1407"/>
      <c r="U1850" s="1407"/>
    </row>
    <row r="1851" spans="1:21" ht="12">
      <c r="A1851" s="639"/>
      <c r="B1851" s="1483"/>
      <c r="C1851" s="639"/>
      <c r="D1851" s="1831"/>
      <c r="E1851" s="2264"/>
      <c r="F1851" s="2262"/>
      <c r="G1851" s="2262"/>
      <c r="H1851" s="2262"/>
      <c r="I1851" s="1428"/>
      <c r="J1851" s="1407"/>
      <c r="K1851" s="1431"/>
      <c r="L1851" s="1407"/>
      <c r="M1851" s="1407"/>
      <c r="N1851" s="1407"/>
      <c r="O1851" s="1407"/>
      <c r="P1851" s="1407"/>
      <c r="Q1851" s="1407"/>
      <c r="R1851" s="1407"/>
      <c r="S1851" s="1407"/>
      <c r="T1851" s="1407"/>
      <c r="U1851" s="1407"/>
    </row>
    <row r="1852" spans="1:21" ht="12">
      <c r="A1852" s="639"/>
      <c r="B1852" s="1483"/>
      <c r="C1852" s="639"/>
      <c r="D1852" s="1831"/>
      <c r="E1852" s="2264"/>
      <c r="F1852" s="2262"/>
      <c r="G1852" s="2262"/>
      <c r="H1852" s="2262"/>
      <c r="I1852" s="1428"/>
      <c r="J1852" s="1407"/>
      <c r="K1852" s="1431"/>
      <c r="L1852" s="1407"/>
      <c r="M1852" s="1407"/>
      <c r="N1852" s="1407"/>
      <c r="O1852" s="1407"/>
      <c r="P1852" s="1407"/>
      <c r="Q1852" s="1407"/>
      <c r="R1852" s="1407"/>
      <c r="S1852" s="1407"/>
      <c r="T1852" s="1407"/>
      <c r="U1852" s="1407"/>
    </row>
    <row r="1853" spans="1:21" ht="12">
      <c r="A1853" s="639"/>
      <c r="B1853" s="1483"/>
      <c r="C1853" s="639"/>
      <c r="D1853" s="1831"/>
      <c r="E1853" s="2264"/>
      <c r="F1853" s="2262"/>
      <c r="G1853" s="2262"/>
      <c r="H1853" s="2262"/>
      <c r="I1853" s="1428"/>
      <c r="J1853" s="1407"/>
      <c r="K1853" s="1431"/>
      <c r="L1853" s="1407"/>
      <c r="M1853" s="1407"/>
      <c r="N1853" s="1407"/>
      <c r="O1853" s="1407"/>
      <c r="P1853" s="1407"/>
      <c r="Q1853" s="1407"/>
      <c r="R1853" s="1407"/>
      <c r="S1853" s="1407"/>
      <c r="T1853" s="1407"/>
      <c r="U1853" s="1407"/>
    </row>
    <row r="1854" spans="1:21" ht="12">
      <c r="A1854" s="639"/>
      <c r="B1854" s="1483"/>
      <c r="C1854" s="639"/>
      <c r="D1854" s="1831"/>
      <c r="E1854" s="2264"/>
      <c r="F1854" s="2262"/>
      <c r="G1854" s="2262"/>
      <c r="H1854" s="2262"/>
      <c r="I1854" s="1428"/>
      <c r="J1854" s="1407"/>
      <c r="K1854" s="1431"/>
      <c r="L1854" s="1407"/>
      <c r="M1854" s="1407"/>
      <c r="N1854" s="1407"/>
      <c r="O1854" s="1407"/>
      <c r="P1854" s="1407"/>
      <c r="Q1854" s="1407"/>
      <c r="R1854" s="1407"/>
      <c r="S1854" s="1407"/>
      <c r="T1854" s="1407"/>
      <c r="U1854" s="1407"/>
    </row>
    <row r="1855" spans="1:21" ht="12">
      <c r="A1855" s="639"/>
      <c r="B1855" s="1483"/>
      <c r="C1855" s="639"/>
      <c r="D1855" s="1831"/>
      <c r="E1855" s="2264"/>
      <c r="F1855" s="2262"/>
      <c r="G1855" s="2262"/>
      <c r="H1855" s="2262"/>
      <c r="I1855" s="1428"/>
      <c r="J1855" s="1407"/>
      <c r="K1855" s="1431"/>
      <c r="L1855" s="1407"/>
      <c r="M1855" s="1407"/>
      <c r="N1855" s="1407"/>
      <c r="O1855" s="1407"/>
      <c r="P1855" s="1407"/>
      <c r="Q1855" s="1407"/>
      <c r="R1855" s="1407"/>
      <c r="S1855" s="1407"/>
      <c r="T1855" s="1407"/>
      <c r="U1855" s="1407"/>
    </row>
    <row r="1856" spans="1:21" ht="12">
      <c r="A1856" s="639"/>
      <c r="B1856" s="1483"/>
      <c r="C1856" s="639"/>
      <c r="D1856" s="1831"/>
      <c r="E1856" s="2264"/>
      <c r="F1856" s="2262"/>
      <c r="G1856" s="2262"/>
      <c r="H1856" s="2262"/>
      <c r="I1856" s="1428"/>
      <c r="J1856" s="1407"/>
      <c r="K1856" s="1431"/>
      <c r="L1856" s="1407"/>
      <c r="M1856" s="1407"/>
      <c r="N1856" s="1407"/>
      <c r="O1856" s="1407"/>
      <c r="P1856" s="1407"/>
      <c r="Q1856" s="1407"/>
      <c r="R1856" s="1407"/>
      <c r="S1856" s="1407"/>
      <c r="T1856" s="1407"/>
      <c r="U1856" s="1407"/>
    </row>
    <row r="1857" spans="1:21" ht="12">
      <c r="A1857" s="639"/>
      <c r="B1857" s="1483"/>
      <c r="C1857" s="639"/>
      <c r="D1857" s="1831"/>
      <c r="E1857" s="2264"/>
      <c r="F1857" s="2262"/>
      <c r="G1857" s="2262"/>
      <c r="H1857" s="2262"/>
      <c r="I1857" s="1428"/>
      <c r="J1857" s="1407"/>
      <c r="K1857" s="1431"/>
      <c r="L1857" s="1407"/>
      <c r="M1857" s="1407"/>
      <c r="N1857" s="1407"/>
      <c r="O1857" s="1407"/>
      <c r="P1857" s="1407"/>
      <c r="Q1857" s="1407"/>
      <c r="R1857" s="1407"/>
      <c r="S1857" s="1407"/>
      <c r="T1857" s="1407"/>
      <c r="U1857" s="1407"/>
    </row>
    <row r="1858" spans="1:21" ht="12">
      <c r="A1858" s="639"/>
      <c r="B1858" s="1483"/>
      <c r="C1858" s="639"/>
      <c r="D1858" s="1831"/>
      <c r="E1858" s="2264"/>
      <c r="F1858" s="2262"/>
      <c r="G1858" s="2262"/>
      <c r="H1858" s="2262"/>
      <c r="I1858" s="1428"/>
      <c r="J1858" s="1407"/>
      <c r="K1858" s="1431"/>
      <c r="L1858" s="1407"/>
      <c r="M1858" s="1407"/>
      <c r="N1858" s="1407"/>
      <c r="O1858" s="1407"/>
      <c r="P1858" s="1407"/>
      <c r="Q1858" s="1407"/>
      <c r="R1858" s="1407"/>
      <c r="S1858" s="1407"/>
      <c r="T1858" s="1407"/>
      <c r="U1858" s="1407"/>
    </row>
    <row r="1859" spans="1:21" ht="12">
      <c r="A1859" s="639"/>
      <c r="B1859" s="1483"/>
      <c r="C1859" s="639"/>
      <c r="D1859" s="1831"/>
      <c r="E1859" s="2264"/>
      <c r="F1859" s="2262"/>
      <c r="G1859" s="2262"/>
      <c r="H1859" s="2262"/>
      <c r="I1859" s="1428"/>
      <c r="J1859" s="1407"/>
      <c r="K1859" s="1431"/>
      <c r="L1859" s="1407"/>
      <c r="M1859" s="1407"/>
      <c r="N1859" s="1407"/>
      <c r="O1859" s="1407"/>
      <c r="P1859" s="1407"/>
      <c r="Q1859" s="1407"/>
      <c r="R1859" s="1407"/>
      <c r="S1859" s="1407"/>
      <c r="T1859" s="1407"/>
      <c r="U1859" s="1407"/>
    </row>
    <row r="1860" spans="1:21" ht="12">
      <c r="A1860" s="639"/>
      <c r="B1860" s="1483"/>
      <c r="C1860" s="639"/>
      <c r="D1860" s="1831"/>
      <c r="E1860" s="2264"/>
      <c r="F1860" s="2262"/>
      <c r="G1860" s="2262"/>
      <c r="H1860" s="2262"/>
      <c r="I1860" s="1428"/>
      <c r="J1860" s="1407"/>
      <c r="K1860" s="1431"/>
      <c r="L1860" s="1407"/>
      <c r="M1860" s="1407"/>
      <c r="N1860" s="1407"/>
      <c r="O1860" s="1407"/>
      <c r="P1860" s="1407"/>
      <c r="Q1860" s="1407"/>
      <c r="R1860" s="1407"/>
      <c r="S1860" s="1407"/>
      <c r="T1860" s="1407"/>
      <c r="U1860" s="1407"/>
    </row>
    <row r="1861" spans="1:21" ht="12">
      <c r="A1861" s="639"/>
      <c r="B1861" s="1483"/>
      <c r="C1861" s="639"/>
      <c r="D1861" s="1831"/>
      <c r="E1861" s="2264"/>
      <c r="F1861" s="2262"/>
      <c r="G1861" s="2262"/>
      <c r="H1861" s="2262"/>
      <c r="I1861" s="1428"/>
      <c r="J1861" s="1407"/>
      <c r="K1861" s="1431"/>
      <c r="L1861" s="1407"/>
      <c r="M1861" s="1407"/>
      <c r="N1861" s="1407"/>
      <c r="O1861" s="1407"/>
      <c r="P1861" s="1407"/>
      <c r="Q1861" s="1407"/>
      <c r="R1861" s="1407"/>
      <c r="S1861" s="1407"/>
      <c r="T1861" s="1407"/>
      <c r="U1861" s="1407"/>
    </row>
    <row r="1862" spans="1:21" ht="12">
      <c r="A1862" s="639"/>
      <c r="B1862" s="1483"/>
      <c r="C1862" s="639"/>
      <c r="D1862" s="1831"/>
      <c r="E1862" s="2264"/>
      <c r="F1862" s="2262"/>
      <c r="G1862" s="2262"/>
      <c r="H1862" s="2262"/>
      <c r="I1862" s="1428"/>
      <c r="J1862" s="1407"/>
      <c r="K1862" s="1431"/>
      <c r="L1862" s="1407"/>
      <c r="M1862" s="1407"/>
      <c r="N1862" s="1407"/>
      <c r="O1862" s="1407"/>
      <c r="P1862" s="1407"/>
      <c r="Q1862" s="1407"/>
      <c r="R1862" s="1407"/>
      <c r="S1862" s="1407"/>
      <c r="T1862" s="1407"/>
      <c r="U1862" s="1407"/>
    </row>
    <row r="1863" spans="1:21" ht="12">
      <c r="A1863" s="639"/>
      <c r="B1863" s="1483"/>
      <c r="C1863" s="639"/>
      <c r="D1863" s="1831"/>
      <c r="E1863" s="2264"/>
      <c r="F1863" s="2262"/>
      <c r="G1863" s="2262"/>
      <c r="H1863" s="2262"/>
      <c r="I1863" s="1428"/>
      <c r="J1863" s="1407"/>
      <c r="K1863" s="1431"/>
      <c r="L1863" s="1407"/>
      <c r="M1863" s="1407"/>
      <c r="N1863" s="1407"/>
      <c r="O1863" s="1407"/>
      <c r="P1863" s="1407"/>
      <c r="Q1863" s="1407"/>
      <c r="R1863" s="1407"/>
      <c r="S1863" s="1407"/>
      <c r="T1863" s="1407"/>
      <c r="U1863" s="1407"/>
    </row>
    <row r="1864" spans="1:21" ht="12">
      <c r="A1864" s="639"/>
      <c r="B1864" s="1483"/>
      <c r="C1864" s="639"/>
      <c r="D1864" s="1831"/>
      <c r="E1864" s="2264"/>
      <c r="F1864" s="2262"/>
      <c r="G1864" s="2262"/>
      <c r="H1864" s="2262"/>
      <c r="I1864" s="1428"/>
      <c r="J1864" s="1407"/>
      <c r="K1864" s="1431"/>
      <c r="L1864" s="1407"/>
      <c r="M1864" s="1407"/>
      <c r="N1864" s="1407"/>
      <c r="O1864" s="1407"/>
      <c r="P1864" s="1407"/>
      <c r="Q1864" s="1407"/>
      <c r="R1864" s="1407"/>
      <c r="S1864" s="1407"/>
      <c r="T1864" s="1407"/>
      <c r="U1864" s="1407"/>
    </row>
    <row r="1865" spans="1:21" ht="12">
      <c r="A1865" s="639"/>
      <c r="B1865" s="1483"/>
      <c r="C1865" s="639"/>
      <c r="D1865" s="1831"/>
      <c r="E1865" s="2264"/>
      <c r="F1865" s="2262"/>
      <c r="G1865" s="2262"/>
      <c r="H1865" s="2262"/>
      <c r="I1865" s="1428"/>
      <c r="J1865" s="1407"/>
      <c r="K1865" s="1431"/>
      <c r="L1865" s="1407"/>
      <c r="M1865" s="1407"/>
      <c r="N1865" s="1407"/>
      <c r="O1865" s="1407"/>
      <c r="P1865" s="1407"/>
      <c r="Q1865" s="1407"/>
      <c r="R1865" s="1407"/>
      <c r="S1865" s="1407"/>
      <c r="T1865" s="1407"/>
      <c r="U1865" s="1407"/>
    </row>
    <row r="1866" spans="1:21" ht="12">
      <c r="A1866" s="639"/>
      <c r="B1866" s="1483"/>
      <c r="C1866" s="639"/>
      <c r="D1866" s="1831"/>
      <c r="E1866" s="2264"/>
      <c r="F1866" s="2262"/>
      <c r="G1866" s="2262"/>
      <c r="H1866" s="2262"/>
      <c r="I1866" s="1428"/>
      <c r="J1866" s="1407"/>
      <c r="K1866" s="1431"/>
      <c r="L1866" s="1407"/>
      <c r="M1866" s="1407"/>
      <c r="N1866" s="1407"/>
      <c r="O1866" s="1407"/>
      <c r="P1866" s="1407"/>
      <c r="Q1866" s="1407"/>
      <c r="R1866" s="1407"/>
      <c r="S1866" s="1407"/>
      <c r="T1866" s="1407"/>
      <c r="U1866" s="1407"/>
    </row>
    <row r="1867" spans="1:21" ht="12">
      <c r="A1867" s="639"/>
      <c r="B1867" s="1483"/>
      <c r="C1867" s="639"/>
      <c r="D1867" s="1831"/>
      <c r="E1867" s="2264"/>
      <c r="F1867" s="2262"/>
      <c r="G1867" s="2262"/>
      <c r="H1867" s="2262"/>
      <c r="I1867" s="1428"/>
      <c r="J1867" s="1407"/>
      <c r="K1867" s="1431"/>
      <c r="L1867" s="1407"/>
      <c r="M1867" s="1407"/>
      <c r="N1867" s="1407"/>
      <c r="O1867" s="1407"/>
      <c r="P1867" s="1407"/>
      <c r="Q1867" s="1407"/>
      <c r="R1867" s="1407"/>
      <c r="S1867" s="1407"/>
      <c r="T1867" s="1407"/>
      <c r="U1867" s="1407"/>
    </row>
    <row r="1868" spans="1:21" ht="12">
      <c r="A1868" s="639"/>
      <c r="B1868" s="1483"/>
      <c r="C1868" s="639"/>
      <c r="D1868" s="1831"/>
      <c r="E1868" s="2264"/>
      <c r="F1868" s="2262"/>
      <c r="G1868" s="2262"/>
      <c r="H1868" s="2262"/>
      <c r="I1868" s="1428"/>
      <c r="J1868" s="1407"/>
      <c r="K1868" s="1431"/>
      <c r="L1868" s="1407"/>
      <c r="M1868" s="1407"/>
      <c r="N1868" s="1407"/>
      <c r="O1868" s="1407"/>
      <c r="P1868" s="1407"/>
      <c r="Q1868" s="1407"/>
      <c r="R1868" s="1407"/>
      <c r="S1868" s="1407"/>
      <c r="T1868" s="1407"/>
      <c r="U1868" s="1407"/>
    </row>
    <row r="1869" spans="1:21" ht="12">
      <c r="A1869" s="639"/>
      <c r="B1869" s="1483"/>
      <c r="C1869" s="639"/>
      <c r="D1869" s="1831"/>
      <c r="E1869" s="2264"/>
      <c r="F1869" s="2262"/>
      <c r="G1869" s="2262"/>
      <c r="H1869" s="2262"/>
      <c r="I1869" s="1428"/>
      <c r="J1869" s="1407"/>
      <c r="K1869" s="1431"/>
      <c r="L1869" s="1407"/>
      <c r="M1869" s="1407"/>
      <c r="N1869" s="1407"/>
      <c r="O1869" s="1407"/>
      <c r="P1869" s="1407"/>
      <c r="Q1869" s="1407"/>
      <c r="R1869" s="1407"/>
      <c r="S1869" s="1407"/>
      <c r="T1869" s="1407"/>
      <c r="U1869" s="1407"/>
    </row>
    <row r="1870" spans="1:21" ht="12">
      <c r="A1870" s="639"/>
      <c r="B1870" s="1483"/>
      <c r="C1870" s="639"/>
      <c r="D1870" s="1831"/>
      <c r="E1870" s="2264"/>
      <c r="F1870" s="2262"/>
      <c r="G1870" s="2262"/>
      <c r="H1870" s="2262"/>
      <c r="I1870" s="1428"/>
      <c r="J1870" s="1407"/>
      <c r="K1870" s="1431"/>
      <c r="L1870" s="1407"/>
      <c r="M1870" s="1407"/>
      <c r="N1870" s="1407"/>
      <c r="O1870" s="1407"/>
      <c r="P1870" s="1407"/>
      <c r="Q1870" s="1407"/>
      <c r="R1870" s="1407"/>
      <c r="S1870" s="1407"/>
      <c r="T1870" s="1407"/>
      <c r="U1870" s="1407"/>
    </row>
    <row r="1871" spans="1:21" ht="12">
      <c r="A1871" s="639"/>
      <c r="B1871" s="1483"/>
      <c r="C1871" s="639"/>
      <c r="D1871" s="1831"/>
      <c r="E1871" s="2264"/>
      <c r="F1871" s="2262"/>
      <c r="G1871" s="2262"/>
      <c r="H1871" s="2262"/>
      <c r="I1871" s="1428"/>
      <c r="J1871" s="1407"/>
      <c r="K1871" s="1431"/>
      <c r="L1871" s="1407"/>
      <c r="M1871" s="1407"/>
      <c r="N1871" s="1407"/>
      <c r="O1871" s="1407"/>
      <c r="P1871" s="1407"/>
      <c r="Q1871" s="1407"/>
      <c r="R1871" s="1407"/>
      <c r="S1871" s="1407"/>
      <c r="T1871" s="1407"/>
      <c r="U1871" s="1407"/>
    </row>
    <row r="1872" spans="1:21" ht="12">
      <c r="A1872" s="639"/>
      <c r="B1872" s="1483"/>
      <c r="C1872" s="639"/>
      <c r="D1872" s="1831"/>
      <c r="E1872" s="2264"/>
      <c r="F1872" s="2262"/>
      <c r="G1872" s="2262"/>
      <c r="H1872" s="2262"/>
      <c r="I1872" s="1428"/>
      <c r="J1872" s="1407"/>
      <c r="K1872" s="1431"/>
      <c r="L1872" s="1407"/>
      <c r="M1872" s="1407"/>
      <c r="N1872" s="1407"/>
      <c r="O1872" s="1407"/>
      <c r="P1872" s="1407"/>
      <c r="Q1872" s="1407"/>
      <c r="R1872" s="1407"/>
      <c r="S1872" s="1407"/>
      <c r="T1872" s="1407"/>
      <c r="U1872" s="1407"/>
    </row>
    <row r="1873" spans="1:21" ht="12">
      <c r="A1873" s="639"/>
      <c r="B1873" s="1483"/>
      <c r="C1873" s="639"/>
      <c r="D1873" s="1831"/>
      <c r="E1873" s="2264"/>
      <c r="F1873" s="2262"/>
      <c r="G1873" s="2262"/>
      <c r="H1873" s="2262"/>
      <c r="I1873" s="1428"/>
      <c r="J1873" s="1407"/>
      <c r="K1873" s="1431"/>
      <c r="L1873" s="1407"/>
      <c r="M1873" s="1407"/>
      <c r="N1873" s="1407"/>
      <c r="O1873" s="1407"/>
      <c r="P1873" s="1407"/>
      <c r="Q1873" s="1407"/>
      <c r="R1873" s="1407"/>
      <c r="S1873" s="1407"/>
      <c r="T1873" s="1407"/>
      <c r="U1873" s="1407"/>
    </row>
    <row r="1874" spans="1:21" ht="12">
      <c r="A1874" s="639"/>
      <c r="B1874" s="1483"/>
      <c r="C1874" s="639"/>
      <c r="D1874" s="1831"/>
      <c r="E1874" s="2264"/>
      <c r="F1874" s="2262"/>
      <c r="G1874" s="2262"/>
      <c r="H1874" s="2262"/>
      <c r="I1874" s="1428"/>
      <c r="J1874" s="1407"/>
      <c r="K1874" s="1431"/>
      <c r="L1874" s="1407"/>
      <c r="M1874" s="1407"/>
      <c r="N1874" s="1407"/>
      <c r="O1874" s="1407"/>
      <c r="P1874" s="1407"/>
      <c r="Q1874" s="1407"/>
      <c r="R1874" s="1407"/>
      <c r="S1874" s="1407"/>
      <c r="T1874" s="1407"/>
      <c r="U1874" s="1407"/>
    </row>
    <row r="1875" spans="1:21" ht="12">
      <c r="A1875" s="639"/>
      <c r="B1875" s="1483"/>
      <c r="C1875" s="639"/>
      <c r="D1875" s="1831"/>
      <c r="E1875" s="2264"/>
      <c r="F1875" s="2262"/>
      <c r="G1875" s="2262"/>
      <c r="H1875" s="2262"/>
      <c r="I1875" s="1428"/>
      <c r="J1875" s="1407"/>
      <c r="K1875" s="1431"/>
      <c r="L1875" s="1407"/>
      <c r="M1875" s="1407"/>
      <c r="N1875" s="1407"/>
      <c r="O1875" s="1407"/>
      <c r="P1875" s="1407"/>
      <c r="Q1875" s="1407"/>
      <c r="R1875" s="1407"/>
      <c r="S1875" s="1407"/>
      <c r="T1875" s="1407"/>
      <c r="U1875" s="1407"/>
    </row>
    <row r="1876" spans="1:21" ht="12">
      <c r="A1876" s="639"/>
      <c r="B1876" s="1483"/>
      <c r="C1876" s="639"/>
      <c r="D1876" s="1831"/>
      <c r="E1876" s="2264"/>
      <c r="F1876" s="2262"/>
      <c r="G1876" s="2262"/>
      <c r="H1876" s="2262"/>
      <c r="I1876" s="1428"/>
      <c r="J1876" s="1407"/>
      <c r="K1876" s="1431"/>
      <c r="L1876" s="1407"/>
      <c r="M1876" s="1407"/>
      <c r="N1876" s="1407"/>
      <c r="O1876" s="1407"/>
      <c r="P1876" s="1407"/>
      <c r="Q1876" s="1407"/>
      <c r="R1876" s="1407"/>
      <c r="S1876" s="1407"/>
      <c r="T1876" s="1407"/>
      <c r="U1876" s="1407"/>
    </row>
    <row r="1877" spans="1:21" ht="12">
      <c r="A1877" s="639"/>
      <c r="B1877" s="1483"/>
      <c r="C1877" s="639"/>
      <c r="D1877" s="1831"/>
      <c r="E1877" s="2264"/>
      <c r="F1877" s="2262"/>
      <c r="G1877" s="2262"/>
      <c r="H1877" s="2262"/>
      <c r="I1877" s="1428"/>
      <c r="J1877" s="1407"/>
      <c r="K1877" s="1431"/>
      <c r="L1877" s="1407"/>
      <c r="M1877" s="1407"/>
      <c r="N1877" s="1407"/>
      <c r="O1877" s="1407"/>
      <c r="P1877" s="1407"/>
      <c r="Q1877" s="1407"/>
      <c r="R1877" s="1407"/>
      <c r="S1877" s="1407"/>
      <c r="T1877" s="1407"/>
      <c r="U1877" s="1407"/>
    </row>
    <row r="1878" spans="1:21" ht="12">
      <c r="A1878" s="639"/>
      <c r="B1878" s="1483"/>
      <c r="C1878" s="639"/>
      <c r="D1878" s="1831"/>
      <c r="E1878" s="2264"/>
      <c r="F1878" s="2262"/>
      <c r="G1878" s="2262"/>
      <c r="H1878" s="2262"/>
      <c r="I1878" s="1428"/>
      <c r="J1878" s="1407"/>
      <c r="K1878" s="1431"/>
      <c r="L1878" s="1407"/>
      <c r="M1878" s="1407"/>
      <c r="N1878" s="1407"/>
      <c r="O1878" s="1407"/>
      <c r="P1878" s="1407"/>
      <c r="Q1878" s="1407"/>
      <c r="R1878" s="1407"/>
      <c r="S1878" s="1407"/>
      <c r="T1878" s="1407"/>
      <c r="U1878" s="1407"/>
    </row>
    <row r="1879" spans="1:21" ht="12">
      <c r="A1879" s="639"/>
      <c r="B1879" s="1483"/>
      <c r="C1879" s="639"/>
      <c r="D1879" s="1831"/>
      <c r="E1879" s="2264"/>
      <c r="F1879" s="2262"/>
      <c r="G1879" s="2262"/>
      <c r="H1879" s="2262"/>
      <c r="I1879" s="1428"/>
      <c r="J1879" s="1407"/>
      <c r="K1879" s="1431"/>
      <c r="L1879" s="1407"/>
      <c r="M1879" s="1407"/>
      <c r="N1879" s="1407"/>
      <c r="O1879" s="1407"/>
      <c r="P1879" s="1407"/>
      <c r="Q1879" s="1407"/>
      <c r="R1879" s="1407"/>
      <c r="S1879" s="1407"/>
      <c r="T1879" s="1407"/>
      <c r="U1879" s="1407"/>
    </row>
    <row r="1880" spans="1:21" ht="12">
      <c r="A1880" s="639"/>
      <c r="B1880" s="1483"/>
      <c r="C1880" s="639"/>
      <c r="D1880" s="1831"/>
      <c r="E1880" s="2264"/>
      <c r="F1880" s="2262"/>
      <c r="G1880" s="2262"/>
      <c r="H1880" s="2262"/>
      <c r="I1880" s="1428"/>
      <c r="J1880" s="1407"/>
      <c r="K1880" s="1431"/>
      <c r="L1880" s="1407"/>
      <c r="M1880" s="1407"/>
      <c r="N1880" s="1407"/>
      <c r="O1880" s="1407"/>
      <c r="P1880" s="1407"/>
      <c r="Q1880" s="1407"/>
      <c r="R1880" s="1407"/>
      <c r="S1880" s="1407"/>
      <c r="T1880" s="1407"/>
      <c r="U1880" s="1407"/>
    </row>
    <row r="1881" spans="1:21" ht="12">
      <c r="A1881" s="639"/>
      <c r="B1881" s="1483"/>
      <c r="C1881" s="639"/>
      <c r="D1881" s="1831"/>
      <c r="E1881" s="2264"/>
      <c r="F1881" s="2262"/>
      <c r="G1881" s="2262"/>
      <c r="H1881" s="2262"/>
      <c r="I1881" s="1428"/>
      <c r="J1881" s="1407"/>
      <c r="K1881" s="1431"/>
      <c r="L1881" s="1407"/>
      <c r="M1881" s="1407"/>
      <c r="N1881" s="1407"/>
      <c r="O1881" s="1407"/>
      <c r="P1881" s="1407"/>
      <c r="Q1881" s="1407"/>
      <c r="R1881" s="1407"/>
      <c r="S1881" s="1407"/>
      <c r="T1881" s="1407"/>
      <c r="U1881" s="1407"/>
    </row>
    <row r="1882" spans="1:21" ht="12">
      <c r="A1882" s="639"/>
      <c r="B1882" s="1483"/>
      <c r="C1882" s="639"/>
      <c r="D1882" s="1831"/>
      <c r="E1882" s="2264"/>
      <c r="F1882" s="2262"/>
      <c r="G1882" s="2262"/>
      <c r="H1882" s="2262"/>
      <c r="I1882" s="1428"/>
      <c r="J1882" s="1407"/>
      <c r="K1882" s="1431"/>
      <c r="L1882" s="1407"/>
      <c r="M1882" s="1407"/>
      <c r="N1882" s="1407"/>
      <c r="O1882" s="1407"/>
      <c r="P1882" s="1407"/>
      <c r="Q1882" s="1407"/>
      <c r="R1882" s="1407"/>
      <c r="S1882" s="1407"/>
      <c r="T1882" s="1407"/>
      <c r="U1882" s="1407"/>
    </row>
    <row r="1883" spans="1:21" ht="12">
      <c r="A1883" s="639"/>
      <c r="B1883" s="1483"/>
      <c r="C1883" s="639"/>
      <c r="D1883" s="1831"/>
      <c r="E1883" s="2264"/>
      <c r="F1883" s="2262"/>
      <c r="G1883" s="2262"/>
      <c r="H1883" s="2262"/>
      <c r="I1883" s="1428"/>
      <c r="J1883" s="1407"/>
      <c r="K1883" s="1431"/>
      <c r="L1883" s="1407"/>
      <c r="M1883" s="1407"/>
      <c r="N1883" s="1407"/>
      <c r="O1883" s="1407"/>
      <c r="P1883" s="1407"/>
      <c r="Q1883" s="1407"/>
      <c r="R1883" s="1407"/>
      <c r="S1883" s="1407"/>
      <c r="T1883" s="1407"/>
      <c r="U1883" s="1407"/>
    </row>
    <row r="1884" spans="1:21" ht="12">
      <c r="A1884" s="639"/>
      <c r="B1884" s="1483"/>
      <c r="C1884" s="639"/>
      <c r="D1884" s="1831"/>
      <c r="E1884" s="2264"/>
      <c r="F1884" s="2262"/>
      <c r="G1884" s="2262"/>
      <c r="H1884" s="2262"/>
      <c r="I1884" s="1428"/>
      <c r="J1884" s="1407"/>
      <c r="K1884" s="1431"/>
      <c r="L1884" s="1407"/>
      <c r="M1884" s="1407"/>
      <c r="N1884" s="1407"/>
      <c r="O1884" s="1407"/>
      <c r="P1884" s="1407"/>
      <c r="Q1884" s="1407"/>
      <c r="R1884" s="1407"/>
      <c r="S1884" s="1407"/>
      <c r="T1884" s="1407"/>
      <c r="U1884" s="1407"/>
    </row>
    <row r="1885" spans="1:21" ht="12">
      <c r="A1885" s="639"/>
      <c r="B1885" s="1483"/>
      <c r="C1885" s="639"/>
      <c r="D1885" s="1831"/>
      <c r="E1885" s="2264"/>
      <c r="F1885" s="2262"/>
      <c r="G1885" s="2262"/>
      <c r="H1885" s="2262"/>
      <c r="I1885" s="1428"/>
      <c r="J1885" s="1407"/>
      <c r="K1885" s="1431"/>
      <c r="L1885" s="1407"/>
      <c r="M1885" s="1407"/>
      <c r="N1885" s="1407"/>
      <c r="O1885" s="1407"/>
      <c r="P1885" s="1407"/>
      <c r="Q1885" s="1407"/>
      <c r="R1885" s="1407"/>
      <c r="S1885" s="1407"/>
      <c r="T1885" s="1407"/>
      <c r="U1885" s="1407"/>
    </row>
    <row r="1886" spans="1:21" ht="12">
      <c r="A1886" s="639"/>
      <c r="B1886" s="1483"/>
      <c r="C1886" s="639"/>
      <c r="D1886" s="1831"/>
      <c r="E1886" s="2264"/>
      <c r="F1886" s="2262"/>
      <c r="G1886" s="2262"/>
      <c r="H1886" s="2262"/>
      <c r="I1886" s="1428"/>
      <c r="J1886" s="1407"/>
      <c r="K1886" s="1431"/>
      <c r="L1886" s="1407"/>
      <c r="M1886" s="1407"/>
      <c r="N1886" s="1407"/>
      <c r="O1886" s="1407"/>
      <c r="P1886" s="1407"/>
      <c r="Q1886" s="1407"/>
      <c r="R1886" s="1407"/>
      <c r="S1886" s="1407"/>
      <c r="T1886" s="1407"/>
      <c r="U1886" s="1407"/>
    </row>
    <row r="1887" spans="1:21" ht="12">
      <c r="A1887" s="639"/>
      <c r="B1887" s="1483"/>
      <c r="C1887" s="639"/>
      <c r="D1887" s="1831"/>
      <c r="E1887" s="2264"/>
      <c r="F1887" s="2262"/>
      <c r="G1887" s="2262"/>
      <c r="H1887" s="2262"/>
      <c r="I1887" s="1428"/>
      <c r="J1887" s="1407"/>
      <c r="K1887" s="1431"/>
      <c r="L1887" s="1407"/>
      <c r="M1887" s="1407"/>
      <c r="N1887" s="1407"/>
      <c r="O1887" s="1407"/>
      <c r="P1887" s="1407"/>
      <c r="Q1887" s="1407"/>
      <c r="R1887" s="1407"/>
      <c r="S1887" s="1407"/>
      <c r="T1887" s="1407"/>
      <c r="U1887" s="1407"/>
    </row>
    <row r="1888" spans="1:21" ht="12">
      <c r="A1888" s="639"/>
      <c r="B1888" s="1483"/>
      <c r="C1888" s="639"/>
      <c r="D1888" s="1831"/>
      <c r="E1888" s="2264"/>
      <c r="F1888" s="2262"/>
      <c r="G1888" s="2262"/>
      <c r="H1888" s="2262"/>
      <c r="I1888" s="1428"/>
      <c r="J1888" s="1407"/>
      <c r="K1888" s="1431"/>
      <c r="L1888" s="1407"/>
      <c r="M1888" s="1407"/>
      <c r="N1888" s="1407"/>
      <c r="O1888" s="1407"/>
      <c r="P1888" s="1407"/>
      <c r="Q1888" s="1407"/>
      <c r="R1888" s="1407"/>
      <c r="S1888" s="1407"/>
      <c r="T1888" s="1407"/>
      <c r="U1888" s="1407"/>
    </row>
    <row r="1889" spans="1:21" ht="12">
      <c r="A1889" s="639"/>
      <c r="B1889" s="1483"/>
      <c r="C1889" s="639"/>
      <c r="D1889" s="1831"/>
      <c r="E1889" s="2264"/>
      <c r="F1889" s="2262"/>
      <c r="G1889" s="2262"/>
      <c r="H1889" s="2262"/>
      <c r="I1889" s="1428"/>
      <c r="J1889" s="1407"/>
      <c r="K1889" s="1431"/>
      <c r="L1889" s="1407"/>
      <c r="M1889" s="1407"/>
      <c r="N1889" s="1407"/>
      <c r="O1889" s="1407"/>
      <c r="P1889" s="1407"/>
      <c r="Q1889" s="1407"/>
      <c r="R1889" s="1407"/>
      <c r="S1889" s="1407"/>
      <c r="T1889" s="1407"/>
      <c r="U1889" s="1407"/>
    </row>
    <row r="1890" spans="1:21" ht="12">
      <c r="A1890" s="639"/>
      <c r="B1890" s="1483"/>
      <c r="C1890" s="639"/>
      <c r="D1890" s="1831"/>
      <c r="E1890" s="2264"/>
      <c r="F1890" s="2262"/>
      <c r="G1890" s="2262"/>
      <c r="H1890" s="2262"/>
      <c r="I1890" s="1428"/>
      <c r="J1890" s="1407"/>
      <c r="K1890" s="1431"/>
      <c r="L1890" s="1407"/>
      <c r="M1890" s="1407"/>
      <c r="N1890" s="1407"/>
      <c r="O1890" s="1407"/>
      <c r="P1890" s="1407"/>
      <c r="Q1890" s="1407"/>
      <c r="R1890" s="1407"/>
      <c r="S1890" s="1407"/>
      <c r="T1890" s="1407"/>
      <c r="U1890" s="1407"/>
    </row>
    <row r="1891" spans="1:21" ht="12">
      <c r="A1891" s="639"/>
      <c r="B1891" s="1483"/>
      <c r="C1891" s="639"/>
      <c r="D1891" s="1831"/>
      <c r="E1891" s="2264"/>
      <c r="F1891" s="2262"/>
      <c r="G1891" s="2262"/>
      <c r="H1891" s="2262"/>
      <c r="I1891" s="1428"/>
      <c r="J1891" s="1407"/>
      <c r="K1891" s="1431"/>
      <c r="L1891" s="1407"/>
      <c r="M1891" s="1407"/>
      <c r="N1891" s="1407"/>
      <c r="O1891" s="1407"/>
      <c r="P1891" s="1407"/>
      <c r="Q1891" s="1407"/>
      <c r="R1891" s="1407"/>
      <c r="S1891" s="1407"/>
      <c r="T1891" s="1407"/>
      <c r="U1891" s="1407"/>
    </row>
    <row r="1892" spans="1:21" ht="12">
      <c r="A1892" s="639"/>
      <c r="B1892" s="1483"/>
      <c r="C1892" s="639"/>
      <c r="D1892" s="1831"/>
      <c r="E1892" s="2264"/>
      <c r="F1892" s="2262"/>
      <c r="G1892" s="2262"/>
      <c r="H1892" s="2262"/>
      <c r="I1892" s="1428"/>
      <c r="J1892" s="1407"/>
      <c r="K1892" s="1431"/>
      <c r="L1892" s="1407"/>
      <c r="M1892" s="1407"/>
      <c r="N1892" s="1407"/>
      <c r="O1892" s="1407"/>
      <c r="P1892" s="1407"/>
      <c r="Q1892" s="1407"/>
      <c r="R1892" s="1407"/>
      <c r="S1892" s="1407"/>
      <c r="T1892" s="1407"/>
      <c r="U1892" s="1407"/>
    </row>
    <row r="1893" spans="1:21" ht="12">
      <c r="A1893" s="639"/>
      <c r="B1893" s="1483"/>
      <c r="C1893" s="639"/>
      <c r="D1893" s="1831"/>
      <c r="E1893" s="2264"/>
      <c r="F1893" s="2262"/>
      <c r="G1893" s="2262"/>
      <c r="H1893" s="2262"/>
      <c r="I1893" s="1428"/>
      <c r="J1893" s="1407"/>
      <c r="K1893" s="1431"/>
      <c r="L1893" s="1407"/>
      <c r="M1893" s="1407"/>
      <c r="N1893" s="1407"/>
      <c r="O1893" s="1407"/>
      <c r="P1893" s="1407"/>
      <c r="Q1893" s="1407"/>
      <c r="R1893" s="1407"/>
      <c r="S1893" s="1407"/>
      <c r="T1893" s="1407"/>
      <c r="U1893" s="1407"/>
    </row>
    <row r="1894" spans="1:21" ht="12">
      <c r="A1894" s="639"/>
      <c r="B1894" s="1483"/>
      <c r="C1894" s="639"/>
      <c r="D1894" s="1831"/>
      <c r="E1894" s="2264"/>
      <c r="F1894" s="2262"/>
      <c r="G1894" s="2262"/>
      <c r="H1894" s="2262"/>
      <c r="I1894" s="1428"/>
      <c r="J1894" s="1407"/>
      <c r="K1894" s="1431"/>
      <c r="L1894" s="1407"/>
      <c r="M1894" s="1407"/>
      <c r="N1894" s="1407"/>
      <c r="O1894" s="1407"/>
      <c r="P1894" s="1407"/>
      <c r="Q1894" s="1407"/>
      <c r="R1894" s="1407"/>
      <c r="S1894" s="1407"/>
      <c r="T1894" s="1407"/>
      <c r="U1894" s="1407"/>
    </row>
    <row r="1895" spans="1:21" ht="12">
      <c r="A1895" s="639"/>
      <c r="B1895" s="1483"/>
      <c r="C1895" s="639"/>
      <c r="D1895" s="1831"/>
      <c r="E1895" s="2264"/>
      <c r="F1895" s="2262"/>
      <c r="G1895" s="2262"/>
      <c r="H1895" s="2262"/>
      <c r="I1895" s="1428"/>
      <c r="J1895" s="1407"/>
      <c r="K1895" s="1431"/>
      <c r="L1895" s="1407"/>
      <c r="M1895" s="1407"/>
      <c r="N1895" s="1407"/>
      <c r="O1895" s="1407"/>
      <c r="P1895" s="1407"/>
      <c r="Q1895" s="1407"/>
      <c r="R1895" s="1407"/>
      <c r="S1895" s="1407"/>
      <c r="T1895" s="1407"/>
      <c r="U1895" s="1407"/>
    </row>
    <row r="1896" spans="1:21" ht="12">
      <c r="A1896" s="639"/>
      <c r="B1896" s="1483"/>
      <c r="C1896" s="639"/>
      <c r="D1896" s="1831"/>
      <c r="E1896" s="2264"/>
      <c r="F1896" s="2262"/>
      <c r="G1896" s="2262"/>
      <c r="H1896" s="2262"/>
      <c r="I1896" s="1428"/>
      <c r="J1896" s="1407"/>
      <c r="K1896" s="1431"/>
      <c r="L1896" s="1407"/>
      <c r="M1896" s="1407"/>
      <c r="N1896" s="1407"/>
      <c r="O1896" s="1407"/>
      <c r="P1896" s="1407"/>
      <c r="Q1896" s="1407"/>
      <c r="R1896" s="1407"/>
      <c r="S1896" s="1407"/>
      <c r="T1896" s="1407"/>
      <c r="U1896" s="1407"/>
    </row>
    <row r="1897" spans="1:21" ht="12">
      <c r="A1897" s="639"/>
      <c r="B1897" s="1483"/>
      <c r="C1897" s="639"/>
      <c r="D1897" s="1831"/>
      <c r="E1897" s="2264"/>
      <c r="F1897" s="2262"/>
      <c r="G1897" s="2262"/>
      <c r="H1897" s="2262"/>
      <c r="I1897" s="1428"/>
      <c r="J1897" s="1407"/>
      <c r="K1897" s="1431"/>
      <c r="L1897" s="1407"/>
      <c r="M1897" s="1407"/>
      <c r="N1897" s="1407"/>
      <c r="O1897" s="1407"/>
      <c r="P1897" s="1407"/>
      <c r="Q1897" s="1407"/>
      <c r="R1897" s="1407"/>
      <c r="S1897" s="1407"/>
      <c r="T1897" s="1407"/>
      <c r="U1897" s="1407"/>
    </row>
    <row r="1898" spans="1:21" ht="12">
      <c r="A1898" s="639"/>
      <c r="B1898" s="1483"/>
      <c r="C1898" s="639"/>
      <c r="D1898" s="1831"/>
      <c r="E1898" s="2264"/>
      <c r="F1898" s="2262"/>
      <c r="G1898" s="2262"/>
      <c r="H1898" s="2262"/>
      <c r="I1898" s="1428"/>
      <c r="J1898" s="1407"/>
      <c r="K1898" s="1431"/>
      <c r="L1898" s="1407"/>
      <c r="M1898" s="1407"/>
      <c r="N1898" s="1407"/>
      <c r="O1898" s="1407"/>
      <c r="P1898" s="1407"/>
      <c r="Q1898" s="1407"/>
      <c r="R1898" s="1407"/>
      <c r="S1898" s="1407"/>
      <c r="T1898" s="1407"/>
      <c r="U1898" s="1407"/>
    </row>
    <row r="1899" spans="1:21" ht="12">
      <c r="A1899" s="639"/>
      <c r="B1899" s="1483"/>
      <c r="C1899" s="639"/>
      <c r="D1899" s="1831"/>
      <c r="E1899" s="2264"/>
      <c r="F1899" s="2262"/>
      <c r="G1899" s="2262"/>
      <c r="H1899" s="2262"/>
      <c r="I1899" s="1428"/>
      <c r="J1899" s="1407"/>
      <c r="K1899" s="1431"/>
      <c r="L1899" s="1407"/>
      <c r="M1899" s="1407"/>
      <c r="N1899" s="1407"/>
      <c r="O1899" s="1407"/>
      <c r="P1899" s="1407"/>
      <c r="Q1899" s="1407"/>
      <c r="R1899" s="1407"/>
      <c r="S1899" s="1407"/>
      <c r="T1899" s="1407"/>
      <c r="U1899" s="1407"/>
    </row>
    <row r="1900" spans="1:21" ht="12">
      <c r="A1900" s="639"/>
      <c r="B1900" s="1483"/>
      <c r="C1900" s="639"/>
      <c r="D1900" s="1831"/>
      <c r="E1900" s="2264"/>
      <c r="F1900" s="2262"/>
      <c r="G1900" s="2262"/>
      <c r="H1900" s="2262"/>
      <c r="I1900" s="1428"/>
      <c r="J1900" s="1407"/>
      <c r="K1900" s="1431"/>
      <c r="L1900" s="1407"/>
      <c r="M1900" s="1407"/>
      <c r="N1900" s="1407"/>
      <c r="O1900" s="1407"/>
      <c r="P1900" s="1407"/>
      <c r="Q1900" s="1407"/>
      <c r="R1900" s="1407"/>
      <c r="S1900" s="1407"/>
      <c r="T1900" s="1407"/>
      <c r="U1900" s="1407"/>
    </row>
    <row r="1901" spans="1:21" ht="12">
      <c r="A1901" s="639"/>
      <c r="B1901" s="1483"/>
      <c r="C1901" s="639"/>
      <c r="D1901" s="1831"/>
      <c r="E1901" s="2264"/>
      <c r="F1901" s="2262"/>
      <c r="G1901" s="2262"/>
      <c r="H1901" s="2262"/>
      <c r="I1901" s="1428"/>
      <c r="J1901" s="1407"/>
      <c r="K1901" s="1431"/>
      <c r="L1901" s="1407"/>
      <c r="M1901" s="1407"/>
      <c r="N1901" s="1407"/>
      <c r="O1901" s="1407"/>
      <c r="P1901" s="1407"/>
      <c r="Q1901" s="1407"/>
      <c r="R1901" s="1407"/>
      <c r="S1901" s="1407"/>
      <c r="T1901" s="1407"/>
      <c r="U1901" s="1407"/>
    </row>
    <row r="1902" spans="1:21" ht="12">
      <c r="A1902" s="639"/>
      <c r="B1902" s="1483"/>
      <c r="C1902" s="639"/>
      <c r="D1902" s="1831"/>
      <c r="E1902" s="2264"/>
      <c r="F1902" s="2262"/>
      <c r="G1902" s="2262"/>
      <c r="H1902" s="2262"/>
      <c r="I1902" s="1428"/>
      <c r="J1902" s="1407"/>
      <c r="K1902" s="1431"/>
      <c r="L1902" s="1407"/>
      <c r="M1902" s="1407"/>
      <c r="N1902" s="1407"/>
      <c r="O1902" s="1407"/>
      <c r="P1902" s="1407"/>
      <c r="Q1902" s="1407"/>
      <c r="R1902" s="1407"/>
      <c r="S1902" s="1407"/>
      <c r="T1902" s="1407"/>
      <c r="U1902" s="1407"/>
    </row>
    <row r="1903" spans="1:21" ht="12">
      <c r="A1903" s="639"/>
      <c r="B1903" s="1483"/>
      <c r="C1903" s="639"/>
      <c r="D1903" s="1831"/>
      <c r="E1903" s="2264"/>
      <c r="F1903" s="2262"/>
      <c r="G1903" s="2262"/>
      <c r="H1903" s="2262"/>
      <c r="I1903" s="1428"/>
      <c r="J1903" s="1407"/>
      <c r="K1903" s="1431"/>
      <c r="L1903" s="1407"/>
      <c r="M1903" s="1407"/>
      <c r="N1903" s="1407"/>
      <c r="O1903" s="1407"/>
      <c r="P1903" s="1407"/>
      <c r="Q1903" s="1407"/>
      <c r="R1903" s="1407"/>
      <c r="S1903" s="1407"/>
      <c r="T1903" s="1407"/>
      <c r="U1903" s="1407"/>
    </row>
    <row r="1904" spans="1:21" ht="12">
      <c r="A1904" s="639"/>
      <c r="B1904" s="1483"/>
      <c r="C1904" s="639"/>
      <c r="D1904" s="1831"/>
      <c r="E1904" s="2264"/>
      <c r="F1904" s="2262"/>
      <c r="G1904" s="2262"/>
      <c r="H1904" s="2262"/>
      <c r="I1904" s="1428"/>
      <c r="J1904" s="1407"/>
      <c r="K1904" s="1431"/>
      <c r="L1904" s="1407"/>
      <c r="M1904" s="1407"/>
      <c r="N1904" s="1407"/>
      <c r="O1904" s="1407"/>
      <c r="P1904" s="1407"/>
      <c r="Q1904" s="1407"/>
      <c r="R1904" s="1407"/>
      <c r="S1904" s="1407"/>
      <c r="T1904" s="1407"/>
      <c r="U1904" s="1407"/>
    </row>
    <row r="1905" spans="1:21" ht="12">
      <c r="A1905" s="639"/>
      <c r="B1905" s="1483"/>
      <c r="C1905" s="639"/>
      <c r="D1905" s="1831"/>
      <c r="E1905" s="2264"/>
      <c r="F1905" s="2262"/>
      <c r="G1905" s="2262"/>
      <c r="H1905" s="2262"/>
      <c r="I1905" s="1428"/>
      <c r="J1905" s="1407"/>
      <c r="K1905" s="1431"/>
      <c r="L1905" s="1407"/>
      <c r="M1905" s="1407"/>
      <c r="N1905" s="1407"/>
      <c r="O1905" s="1407"/>
      <c r="P1905" s="1407"/>
      <c r="Q1905" s="1407"/>
      <c r="R1905" s="1407"/>
      <c r="S1905" s="1407"/>
      <c r="T1905" s="1407"/>
      <c r="U1905" s="1407"/>
    </row>
    <row r="1906" spans="1:21" ht="12">
      <c r="A1906" s="639"/>
      <c r="B1906" s="1483"/>
      <c r="C1906" s="639"/>
      <c r="D1906" s="1831"/>
      <c r="E1906" s="2264"/>
      <c r="F1906" s="2262"/>
      <c r="G1906" s="2262"/>
      <c r="H1906" s="2262"/>
      <c r="I1906" s="1428"/>
      <c r="J1906" s="1407"/>
      <c r="K1906" s="1431"/>
      <c r="L1906" s="1407"/>
      <c r="M1906" s="1407"/>
      <c r="N1906" s="1407"/>
      <c r="O1906" s="1407"/>
      <c r="P1906" s="1407"/>
      <c r="Q1906" s="1407"/>
      <c r="R1906" s="1407"/>
      <c r="S1906" s="1407"/>
      <c r="T1906" s="1407"/>
      <c r="U1906" s="1407"/>
    </row>
    <row r="1907" spans="1:21" ht="12">
      <c r="A1907" s="639"/>
      <c r="B1907" s="1483"/>
      <c r="C1907" s="639"/>
      <c r="D1907" s="1831"/>
      <c r="E1907" s="2264"/>
      <c r="F1907" s="2262"/>
      <c r="G1907" s="2262"/>
      <c r="H1907" s="2262"/>
      <c r="I1907" s="1428"/>
      <c r="J1907" s="1407"/>
      <c r="K1907" s="1431"/>
      <c r="L1907" s="1407"/>
      <c r="M1907" s="1407"/>
      <c r="N1907" s="1407"/>
      <c r="O1907" s="1407"/>
      <c r="P1907" s="1407"/>
      <c r="Q1907" s="1407"/>
      <c r="R1907" s="1407"/>
      <c r="S1907" s="1407"/>
      <c r="T1907" s="1407"/>
      <c r="U1907" s="1407"/>
    </row>
    <row r="1908" spans="1:21" ht="12">
      <c r="A1908" s="639"/>
      <c r="B1908" s="1483"/>
      <c r="C1908" s="639"/>
      <c r="D1908" s="1831"/>
      <c r="E1908" s="2264"/>
      <c r="F1908" s="2262"/>
      <c r="G1908" s="2262"/>
      <c r="H1908" s="2262"/>
      <c r="I1908" s="1428"/>
      <c r="J1908" s="1407"/>
      <c r="K1908" s="1431"/>
      <c r="L1908" s="1407"/>
      <c r="M1908" s="1407"/>
      <c r="N1908" s="1407"/>
      <c r="O1908" s="1407"/>
      <c r="P1908" s="1407"/>
      <c r="Q1908" s="1407"/>
      <c r="R1908" s="1407"/>
      <c r="S1908" s="1407"/>
      <c r="T1908" s="1407"/>
      <c r="U1908" s="1407"/>
    </row>
    <row r="1909" spans="1:21" ht="12">
      <c r="A1909" s="639"/>
      <c r="B1909" s="1483"/>
      <c r="C1909" s="639"/>
      <c r="D1909" s="1831"/>
      <c r="E1909" s="2264"/>
      <c r="F1909" s="2262"/>
      <c r="G1909" s="2262"/>
      <c r="H1909" s="2262"/>
      <c r="I1909" s="1428"/>
      <c r="J1909" s="1407"/>
      <c r="K1909" s="1431"/>
      <c r="L1909" s="1407"/>
      <c r="M1909" s="1407"/>
      <c r="N1909" s="1407"/>
      <c r="O1909" s="1407"/>
      <c r="P1909" s="1407"/>
      <c r="Q1909" s="1407"/>
      <c r="R1909" s="1407"/>
      <c r="S1909" s="1407"/>
      <c r="T1909" s="1407"/>
      <c r="U1909" s="1407"/>
    </row>
    <row r="1910" spans="1:21" ht="12">
      <c r="A1910" s="639"/>
      <c r="B1910" s="1483"/>
      <c r="C1910" s="639"/>
      <c r="D1910" s="1831"/>
      <c r="E1910" s="2264"/>
      <c r="F1910" s="2262"/>
      <c r="G1910" s="2262"/>
      <c r="H1910" s="2262"/>
      <c r="I1910" s="1428"/>
      <c r="J1910" s="1407"/>
      <c r="K1910" s="1431"/>
      <c r="L1910" s="1407"/>
      <c r="M1910" s="1407"/>
      <c r="N1910" s="1407"/>
      <c r="O1910" s="1407"/>
      <c r="P1910" s="1407"/>
      <c r="Q1910" s="1407"/>
      <c r="R1910" s="1407"/>
      <c r="S1910" s="1407"/>
      <c r="T1910" s="1407"/>
      <c r="U1910" s="1407"/>
    </row>
    <row r="1911" spans="1:21" ht="12">
      <c r="A1911" s="639"/>
      <c r="B1911" s="1483"/>
      <c r="C1911" s="639"/>
      <c r="D1911" s="1831"/>
      <c r="E1911" s="2264"/>
      <c r="F1911" s="2262"/>
      <c r="G1911" s="2262"/>
      <c r="H1911" s="2262"/>
      <c r="I1911" s="1428"/>
      <c r="J1911" s="1407"/>
      <c r="K1911" s="1431"/>
      <c r="L1911" s="1407"/>
      <c r="M1911" s="1407"/>
      <c r="N1911" s="1407"/>
      <c r="O1911" s="1407"/>
      <c r="P1911" s="1407"/>
      <c r="Q1911" s="1407"/>
      <c r="R1911" s="1407"/>
      <c r="S1911" s="1407"/>
      <c r="T1911" s="1407"/>
      <c r="U1911" s="1407"/>
    </row>
    <row r="1912" spans="1:21" ht="12">
      <c r="A1912" s="639"/>
      <c r="B1912" s="1483"/>
      <c r="C1912" s="639"/>
      <c r="D1912" s="1831"/>
      <c r="E1912" s="2264"/>
      <c r="F1912" s="2262"/>
      <c r="G1912" s="2262"/>
      <c r="H1912" s="2262"/>
      <c r="I1912" s="1428"/>
      <c r="J1912" s="1407"/>
      <c r="K1912" s="1431"/>
      <c r="L1912" s="1407"/>
      <c r="M1912" s="1407"/>
      <c r="N1912" s="1407"/>
      <c r="O1912" s="1407"/>
      <c r="P1912" s="1407"/>
      <c r="Q1912" s="1407"/>
      <c r="R1912" s="1407"/>
      <c r="S1912" s="1407"/>
      <c r="T1912" s="1407"/>
      <c r="U1912" s="1407"/>
    </row>
    <row r="1913" spans="1:21" ht="12">
      <c r="A1913" s="639"/>
      <c r="B1913" s="1483"/>
      <c r="C1913" s="639"/>
      <c r="D1913" s="1831"/>
      <c r="E1913" s="2264"/>
      <c r="F1913" s="2262"/>
      <c r="G1913" s="2262"/>
      <c r="H1913" s="2262"/>
      <c r="I1913" s="1428"/>
      <c r="J1913" s="1407"/>
      <c r="K1913" s="1431"/>
      <c r="L1913" s="1407"/>
      <c r="M1913" s="1407"/>
      <c r="N1913" s="1407"/>
      <c r="O1913" s="1407"/>
      <c r="P1913" s="1407"/>
      <c r="Q1913" s="1407"/>
      <c r="R1913" s="1407"/>
      <c r="S1913" s="1407"/>
      <c r="T1913" s="1407"/>
      <c r="U1913" s="1407"/>
    </row>
    <row r="1914" spans="1:21" ht="12">
      <c r="A1914" s="639"/>
      <c r="B1914" s="1483"/>
      <c r="C1914" s="639"/>
      <c r="D1914" s="1831"/>
      <c r="E1914" s="2264"/>
      <c r="F1914" s="2262"/>
      <c r="G1914" s="2262"/>
      <c r="H1914" s="2262"/>
      <c r="I1914" s="1428"/>
      <c r="J1914" s="1407"/>
      <c r="K1914" s="1431"/>
      <c r="L1914" s="1407"/>
      <c r="M1914" s="1407"/>
      <c r="N1914" s="1407"/>
      <c r="O1914" s="1407"/>
      <c r="P1914" s="1407"/>
      <c r="Q1914" s="1407"/>
      <c r="R1914" s="1407"/>
      <c r="S1914" s="1407"/>
      <c r="T1914" s="1407"/>
      <c r="U1914" s="1407"/>
    </row>
    <row r="1915" spans="1:21" ht="12">
      <c r="A1915" s="639"/>
      <c r="B1915" s="1483"/>
      <c r="C1915" s="639"/>
      <c r="D1915" s="1831"/>
      <c r="E1915" s="2264"/>
      <c r="F1915" s="2262"/>
      <c r="G1915" s="2262"/>
      <c r="H1915" s="2262"/>
      <c r="I1915" s="1428"/>
      <c r="J1915" s="1407"/>
      <c r="K1915" s="1431"/>
      <c r="L1915" s="1407"/>
      <c r="M1915" s="1407"/>
      <c r="N1915" s="1407"/>
      <c r="O1915" s="1407"/>
      <c r="P1915" s="1407"/>
      <c r="Q1915" s="1407"/>
      <c r="R1915" s="1407"/>
      <c r="S1915" s="1407"/>
      <c r="T1915" s="1407"/>
      <c r="U1915" s="1407"/>
    </row>
    <row r="1916" spans="1:21" ht="12">
      <c r="A1916" s="639"/>
      <c r="B1916" s="1483"/>
      <c r="C1916" s="639"/>
      <c r="D1916" s="1831"/>
      <c r="E1916" s="2264"/>
      <c r="F1916" s="2262"/>
      <c r="G1916" s="2262"/>
      <c r="H1916" s="2262"/>
      <c r="I1916" s="1428"/>
      <c r="J1916" s="1407"/>
      <c r="K1916" s="1431"/>
      <c r="L1916" s="1407"/>
      <c r="M1916" s="1407"/>
      <c r="N1916" s="1407"/>
      <c r="O1916" s="1407"/>
      <c r="P1916" s="1407"/>
      <c r="Q1916" s="1407"/>
      <c r="R1916" s="1407"/>
      <c r="S1916" s="1407"/>
      <c r="T1916" s="1407"/>
      <c r="U1916" s="1407"/>
    </row>
    <row r="1917" spans="1:21" ht="12">
      <c r="A1917" s="639"/>
      <c r="B1917" s="1483"/>
      <c r="C1917" s="639"/>
      <c r="D1917" s="1831"/>
      <c r="E1917" s="2264"/>
      <c r="F1917" s="2262"/>
      <c r="G1917" s="2262"/>
      <c r="H1917" s="2262"/>
      <c r="I1917" s="1428"/>
      <c r="J1917" s="1407"/>
      <c r="K1917" s="1431"/>
      <c r="L1917" s="1407"/>
      <c r="M1917" s="1407"/>
      <c r="N1917" s="1407"/>
      <c r="O1917" s="1407"/>
      <c r="P1917" s="1407"/>
      <c r="Q1917" s="1407"/>
      <c r="R1917" s="1407"/>
      <c r="S1917" s="1407"/>
      <c r="T1917" s="1407"/>
      <c r="U1917" s="1407"/>
    </row>
    <row r="1918" spans="1:21" ht="12">
      <c r="A1918" s="639"/>
      <c r="B1918" s="1483"/>
      <c r="C1918" s="639"/>
      <c r="D1918" s="1831"/>
      <c r="E1918" s="2264"/>
      <c r="F1918" s="2262"/>
      <c r="G1918" s="2262"/>
      <c r="H1918" s="2262"/>
      <c r="I1918" s="1428"/>
      <c r="J1918" s="1407"/>
      <c r="K1918" s="1431"/>
      <c r="L1918" s="1407"/>
      <c r="M1918" s="1407"/>
      <c r="N1918" s="1407"/>
      <c r="O1918" s="1407"/>
      <c r="P1918" s="1407"/>
      <c r="Q1918" s="1407"/>
      <c r="R1918" s="1407"/>
      <c r="S1918" s="1407"/>
      <c r="T1918" s="1407"/>
      <c r="U1918" s="1407"/>
    </row>
    <row r="1919" spans="1:21" ht="12">
      <c r="A1919" s="639"/>
      <c r="B1919" s="1483"/>
      <c r="C1919" s="639"/>
      <c r="D1919" s="1831"/>
      <c r="E1919" s="2264"/>
      <c r="F1919" s="2262"/>
      <c r="G1919" s="2262"/>
      <c r="H1919" s="2262"/>
      <c r="I1919" s="1428"/>
      <c r="J1919" s="1407"/>
      <c r="K1919" s="1431"/>
      <c r="L1919" s="1407"/>
      <c r="M1919" s="1407"/>
      <c r="N1919" s="1407"/>
      <c r="O1919" s="1407"/>
      <c r="P1919" s="1407"/>
      <c r="Q1919" s="1407"/>
      <c r="R1919" s="1407"/>
      <c r="S1919" s="1407"/>
      <c r="T1919" s="1407"/>
      <c r="U1919" s="1407"/>
    </row>
    <row r="1920" spans="1:21" ht="12">
      <c r="A1920" s="639"/>
      <c r="B1920" s="1483"/>
      <c r="C1920" s="639"/>
      <c r="D1920" s="1831"/>
      <c r="E1920" s="2264"/>
      <c r="F1920" s="2262"/>
      <c r="G1920" s="2262"/>
      <c r="H1920" s="2262"/>
      <c r="I1920" s="1428"/>
      <c r="J1920" s="1407"/>
      <c r="K1920" s="1431"/>
      <c r="L1920" s="1407"/>
      <c r="M1920" s="1407"/>
      <c r="N1920" s="1407"/>
      <c r="O1920" s="1407"/>
      <c r="P1920" s="1407"/>
      <c r="Q1920" s="1407"/>
      <c r="R1920" s="1407"/>
      <c r="S1920" s="1407"/>
      <c r="T1920" s="1407"/>
      <c r="U1920" s="1407"/>
    </row>
    <row r="1921" spans="1:21" ht="12">
      <c r="A1921" s="639"/>
      <c r="B1921" s="1483"/>
      <c r="C1921" s="639"/>
      <c r="D1921" s="1831"/>
      <c r="E1921" s="2264"/>
      <c r="F1921" s="2262"/>
      <c r="G1921" s="2262"/>
      <c r="H1921" s="2262"/>
      <c r="I1921" s="1428"/>
      <c r="J1921" s="1407"/>
      <c r="K1921" s="1431"/>
      <c r="L1921" s="1407"/>
      <c r="M1921" s="1407"/>
      <c r="N1921" s="1407"/>
      <c r="O1921" s="1407"/>
      <c r="P1921" s="1407"/>
      <c r="Q1921" s="1407"/>
      <c r="R1921" s="1407"/>
      <c r="S1921" s="1407"/>
      <c r="T1921" s="1407"/>
      <c r="U1921" s="1407"/>
    </row>
    <row r="1922" spans="1:21" ht="12">
      <c r="A1922" s="639"/>
      <c r="B1922" s="1483"/>
      <c r="C1922" s="639"/>
      <c r="D1922" s="1831"/>
      <c r="E1922" s="2264"/>
      <c r="F1922" s="2262"/>
      <c r="G1922" s="2262"/>
      <c r="H1922" s="2262"/>
      <c r="I1922" s="1428"/>
      <c r="J1922" s="1407"/>
      <c r="K1922" s="1431"/>
      <c r="L1922" s="1407"/>
      <c r="M1922" s="1407"/>
      <c r="N1922" s="1407"/>
      <c r="O1922" s="1407"/>
      <c r="P1922" s="1407"/>
      <c r="Q1922" s="1407"/>
      <c r="R1922" s="1407"/>
      <c r="S1922" s="1407"/>
      <c r="T1922" s="1407"/>
      <c r="U1922" s="1407"/>
    </row>
    <row r="1923" spans="1:21" ht="12">
      <c r="A1923" s="639"/>
      <c r="B1923" s="1483"/>
      <c r="C1923" s="639"/>
      <c r="D1923" s="1831"/>
      <c r="E1923" s="2264"/>
      <c r="F1923" s="2262"/>
      <c r="G1923" s="2262"/>
      <c r="H1923" s="2262"/>
      <c r="I1923" s="1428"/>
      <c r="J1923" s="1407"/>
      <c r="K1923" s="1431"/>
      <c r="L1923" s="1407"/>
      <c r="M1923" s="1407"/>
      <c r="N1923" s="1407"/>
      <c r="O1923" s="1407"/>
      <c r="P1923" s="1407"/>
      <c r="Q1923" s="1407"/>
      <c r="R1923" s="1407"/>
      <c r="S1923" s="1407"/>
      <c r="T1923" s="1407"/>
      <c r="U1923" s="1407"/>
    </row>
    <row r="1924" spans="1:21" ht="12">
      <c r="A1924" s="639"/>
      <c r="B1924" s="1483"/>
      <c r="C1924" s="639"/>
      <c r="D1924" s="1831"/>
      <c r="E1924" s="2264"/>
      <c r="F1924" s="2262"/>
      <c r="G1924" s="2262"/>
      <c r="H1924" s="2262"/>
      <c r="I1924" s="1428"/>
      <c r="J1924" s="1407"/>
      <c r="K1924" s="1431"/>
      <c r="L1924" s="1407"/>
      <c r="M1924" s="1407"/>
      <c r="N1924" s="1407"/>
      <c r="O1924" s="1407"/>
      <c r="P1924" s="1407"/>
      <c r="Q1924" s="1407"/>
      <c r="R1924" s="1407"/>
      <c r="S1924" s="1407"/>
      <c r="T1924" s="1407"/>
      <c r="U1924" s="1407"/>
    </row>
    <row r="1925" spans="1:21" ht="12">
      <c r="A1925" s="639"/>
      <c r="B1925" s="1483"/>
      <c r="C1925" s="639"/>
      <c r="D1925" s="1831"/>
      <c r="E1925" s="2264"/>
      <c r="F1925" s="2262"/>
      <c r="G1925" s="2262"/>
      <c r="H1925" s="2262"/>
      <c r="I1925" s="1428"/>
      <c r="J1925" s="1407"/>
      <c r="K1925" s="1431"/>
      <c r="L1925" s="1407"/>
      <c r="M1925" s="1407"/>
      <c r="N1925" s="1407"/>
      <c r="O1925" s="1407"/>
      <c r="P1925" s="1407"/>
      <c r="Q1925" s="1407"/>
      <c r="R1925" s="1407"/>
      <c r="S1925" s="1407"/>
      <c r="T1925" s="1407"/>
      <c r="U1925" s="1407"/>
    </row>
    <row r="1926" spans="1:21" ht="12">
      <c r="A1926" s="639"/>
      <c r="B1926" s="1483"/>
      <c r="C1926" s="639"/>
      <c r="D1926" s="1831"/>
      <c r="E1926" s="2264"/>
      <c r="F1926" s="2262"/>
      <c r="G1926" s="2262"/>
      <c r="H1926" s="2262"/>
      <c r="I1926" s="1428"/>
      <c r="J1926" s="1407"/>
      <c r="K1926" s="1431"/>
      <c r="L1926" s="1407"/>
      <c r="M1926" s="1407"/>
      <c r="N1926" s="1407"/>
      <c r="O1926" s="1407"/>
      <c r="P1926" s="1407"/>
      <c r="Q1926" s="1407"/>
      <c r="R1926" s="1407"/>
      <c r="S1926" s="1407"/>
      <c r="T1926" s="1407"/>
      <c r="U1926" s="1407"/>
    </row>
    <row r="1927" spans="1:21" ht="12">
      <c r="A1927" s="639"/>
      <c r="B1927" s="1483"/>
      <c r="C1927" s="639"/>
      <c r="D1927" s="1831"/>
      <c r="E1927" s="2264"/>
      <c r="F1927" s="2262"/>
      <c r="G1927" s="2262"/>
      <c r="H1927" s="2262"/>
      <c r="I1927" s="1428"/>
      <c r="J1927" s="1407"/>
      <c r="K1927" s="1431"/>
      <c r="L1927" s="1407"/>
      <c r="M1927" s="1407"/>
      <c r="N1927" s="1407"/>
      <c r="O1927" s="1407"/>
      <c r="P1927" s="1407"/>
      <c r="Q1927" s="1407"/>
      <c r="R1927" s="1407"/>
      <c r="S1927" s="1407"/>
      <c r="T1927" s="1407"/>
      <c r="U1927" s="1407"/>
    </row>
    <row r="1928" spans="1:21" ht="12">
      <c r="A1928" s="639"/>
      <c r="B1928" s="1483"/>
      <c r="C1928" s="639"/>
      <c r="D1928" s="1831"/>
      <c r="E1928" s="2264"/>
      <c r="F1928" s="2262"/>
      <c r="G1928" s="2262"/>
      <c r="H1928" s="2262"/>
      <c r="I1928" s="1428"/>
      <c r="J1928" s="1407"/>
      <c r="K1928" s="1431"/>
      <c r="L1928" s="1407"/>
      <c r="M1928" s="1407"/>
      <c r="N1928" s="1407"/>
      <c r="O1928" s="1407"/>
      <c r="P1928" s="1407"/>
      <c r="Q1928" s="1407"/>
      <c r="R1928" s="1407"/>
      <c r="S1928" s="1407"/>
      <c r="T1928" s="1407"/>
      <c r="U1928" s="1407"/>
    </row>
    <row r="1929" spans="1:21" ht="12">
      <c r="A1929" s="639"/>
      <c r="B1929" s="1483"/>
      <c r="C1929" s="639"/>
      <c r="D1929" s="1831"/>
      <c r="E1929" s="2264"/>
      <c r="F1929" s="2262"/>
      <c r="G1929" s="2262"/>
      <c r="H1929" s="2262"/>
      <c r="I1929" s="1428"/>
      <c r="J1929" s="1407"/>
      <c r="K1929" s="1431"/>
      <c r="L1929" s="1407"/>
      <c r="M1929" s="1407"/>
      <c r="N1929" s="1407"/>
      <c r="O1929" s="1407"/>
      <c r="P1929" s="1407"/>
      <c r="Q1929" s="1407"/>
      <c r="R1929" s="1407"/>
      <c r="S1929" s="1407"/>
      <c r="T1929" s="1407"/>
      <c r="U1929" s="1407"/>
    </row>
    <row r="1930" spans="1:21" ht="12">
      <c r="A1930" s="639"/>
      <c r="B1930" s="1483"/>
      <c r="C1930" s="639"/>
      <c r="D1930" s="1831"/>
      <c r="E1930" s="2264"/>
      <c r="F1930" s="2262"/>
      <c r="G1930" s="2262"/>
      <c r="H1930" s="2262"/>
      <c r="I1930" s="1428"/>
      <c r="J1930" s="1407"/>
      <c r="K1930" s="1431"/>
      <c r="L1930" s="1407"/>
      <c r="M1930" s="1407"/>
      <c r="N1930" s="1407"/>
      <c r="O1930" s="1407"/>
      <c r="P1930" s="1407"/>
      <c r="Q1930" s="1407"/>
      <c r="R1930" s="1407"/>
      <c r="S1930" s="1407"/>
      <c r="T1930" s="1407"/>
      <c r="U1930" s="1407"/>
    </row>
    <row r="1931" spans="1:21" ht="12">
      <c r="A1931" s="639"/>
      <c r="B1931" s="1483"/>
      <c r="C1931" s="639"/>
      <c r="D1931" s="1831"/>
      <c r="E1931" s="2264"/>
      <c r="F1931" s="2262"/>
      <c r="G1931" s="2262"/>
      <c r="H1931" s="2262"/>
      <c r="I1931" s="1428"/>
      <c r="J1931" s="1407"/>
      <c r="K1931" s="1431"/>
      <c r="L1931" s="1407"/>
      <c r="M1931" s="1407"/>
      <c r="N1931" s="1407"/>
      <c r="O1931" s="1407"/>
      <c r="P1931" s="1407"/>
      <c r="Q1931" s="1407"/>
      <c r="R1931" s="1407"/>
      <c r="S1931" s="1407"/>
      <c r="T1931" s="1407"/>
      <c r="U1931" s="1407"/>
    </row>
    <row r="1932" spans="1:21" ht="12">
      <c r="A1932" s="639"/>
      <c r="B1932" s="1483"/>
      <c r="C1932" s="639"/>
      <c r="D1932" s="1831"/>
      <c r="E1932" s="2264"/>
      <c r="F1932" s="2262"/>
      <c r="G1932" s="2262"/>
      <c r="H1932" s="2262"/>
      <c r="I1932" s="1428"/>
      <c r="J1932" s="1407"/>
      <c r="K1932" s="1431"/>
      <c r="L1932" s="1407"/>
      <c r="M1932" s="1407"/>
      <c r="N1932" s="1407"/>
      <c r="O1932" s="1407"/>
      <c r="P1932" s="1407"/>
      <c r="Q1932" s="1407"/>
      <c r="R1932" s="1407"/>
      <c r="S1932" s="1407"/>
      <c r="T1932" s="1407"/>
      <c r="U1932" s="1407"/>
    </row>
    <row r="1933" spans="1:21" ht="12">
      <c r="A1933" s="639"/>
      <c r="B1933" s="1483"/>
      <c r="C1933" s="639"/>
      <c r="D1933" s="1831"/>
      <c r="E1933" s="2264"/>
      <c r="F1933" s="2262"/>
      <c r="G1933" s="2262"/>
      <c r="H1933" s="2262"/>
      <c r="I1933" s="1428"/>
      <c r="J1933" s="1407"/>
      <c r="K1933" s="1431"/>
      <c r="L1933" s="1407"/>
      <c r="M1933" s="1407"/>
      <c r="N1933" s="1407"/>
      <c r="O1933" s="1407"/>
      <c r="P1933" s="1407"/>
      <c r="Q1933" s="1407"/>
      <c r="R1933" s="1407"/>
      <c r="S1933" s="1407"/>
      <c r="T1933" s="1407"/>
      <c r="U1933" s="1407"/>
    </row>
    <row r="1934" spans="1:21" ht="12">
      <c r="A1934" s="639"/>
      <c r="B1934" s="1483"/>
      <c r="C1934" s="639"/>
      <c r="D1934" s="1831"/>
      <c r="E1934" s="2264"/>
      <c r="F1934" s="2262"/>
      <c r="G1934" s="2262"/>
      <c r="H1934" s="2262"/>
      <c r="I1934" s="1428"/>
      <c r="J1934" s="1407"/>
      <c r="K1934" s="1431"/>
      <c r="L1934" s="1407"/>
      <c r="M1934" s="1407"/>
      <c r="N1934" s="1407"/>
      <c r="O1934" s="1407"/>
      <c r="P1934" s="1407"/>
      <c r="Q1934" s="1407"/>
      <c r="R1934" s="1407"/>
      <c r="S1934" s="1407"/>
      <c r="T1934" s="1407"/>
      <c r="U1934" s="1407"/>
    </row>
    <row r="1935" spans="1:21" ht="12">
      <c r="A1935" s="639"/>
      <c r="B1935" s="1483"/>
      <c r="C1935" s="639"/>
      <c r="D1935" s="1831"/>
      <c r="E1935" s="2264"/>
      <c r="F1935" s="2262"/>
      <c r="G1935" s="2262"/>
      <c r="H1935" s="2262"/>
      <c r="I1935" s="1428"/>
      <c r="J1935" s="1407"/>
      <c r="K1935" s="1431"/>
      <c r="L1935" s="1407"/>
      <c r="M1935" s="1407"/>
      <c r="N1935" s="1407"/>
      <c r="O1935" s="1407"/>
      <c r="P1935" s="1407"/>
      <c r="Q1935" s="1407"/>
      <c r="R1935" s="1407"/>
      <c r="S1935" s="1407"/>
      <c r="T1935" s="1407"/>
      <c r="U1935" s="1407"/>
    </row>
    <row r="1936" spans="1:21" ht="12">
      <c r="A1936" s="639"/>
      <c r="B1936" s="1483"/>
      <c r="C1936" s="639"/>
      <c r="D1936" s="1831"/>
      <c r="E1936" s="2264"/>
      <c r="F1936" s="2262"/>
      <c r="G1936" s="2262"/>
      <c r="H1936" s="2262"/>
      <c r="I1936" s="1428"/>
      <c r="J1936" s="1407"/>
      <c r="K1936" s="1431"/>
      <c r="L1936" s="1407"/>
      <c r="M1936" s="1407"/>
      <c r="N1936" s="1407"/>
      <c r="O1936" s="1407"/>
      <c r="P1936" s="1407"/>
      <c r="Q1936" s="1407"/>
      <c r="R1936" s="1407"/>
      <c r="S1936" s="1407"/>
      <c r="T1936" s="1407"/>
      <c r="U1936" s="1407"/>
    </row>
    <row r="1937" spans="1:21" ht="12">
      <c r="A1937" s="639"/>
      <c r="B1937" s="1483"/>
      <c r="C1937" s="639"/>
      <c r="D1937" s="1831"/>
      <c r="E1937" s="2264"/>
      <c r="F1937" s="2262"/>
      <c r="G1937" s="2262"/>
      <c r="H1937" s="2262"/>
      <c r="I1937" s="1428"/>
      <c r="J1937" s="1407"/>
      <c r="K1937" s="1431"/>
      <c r="L1937" s="1407"/>
      <c r="M1937" s="1407"/>
      <c r="N1937" s="1407"/>
      <c r="O1937" s="1407"/>
      <c r="P1937" s="1407"/>
      <c r="Q1937" s="1407"/>
      <c r="R1937" s="1407"/>
      <c r="S1937" s="1407"/>
      <c r="T1937" s="1407"/>
      <c r="U1937" s="1407"/>
    </row>
    <row r="1938" spans="1:21" ht="12">
      <c r="A1938" s="639"/>
      <c r="B1938" s="1483"/>
      <c r="C1938" s="639"/>
      <c r="D1938" s="1831"/>
      <c r="E1938" s="2264"/>
      <c r="F1938" s="2262"/>
      <c r="G1938" s="2262"/>
      <c r="H1938" s="2262"/>
      <c r="I1938" s="1428"/>
      <c r="J1938" s="1407"/>
      <c r="K1938" s="1431"/>
      <c r="L1938" s="1407"/>
      <c r="M1938" s="1407"/>
      <c r="N1938" s="1407"/>
      <c r="O1938" s="1407"/>
      <c r="P1938" s="1407"/>
      <c r="Q1938" s="1407"/>
      <c r="R1938" s="1407"/>
      <c r="S1938" s="1407"/>
      <c r="T1938" s="1407"/>
      <c r="U1938" s="1407"/>
    </row>
    <row r="1939" spans="1:21" ht="12">
      <c r="A1939" s="639"/>
      <c r="B1939" s="1483"/>
      <c r="C1939" s="639"/>
      <c r="D1939" s="1831"/>
      <c r="E1939" s="2264"/>
      <c r="F1939" s="2262"/>
      <c r="G1939" s="2262"/>
      <c r="H1939" s="2262"/>
      <c r="I1939" s="1428"/>
      <c r="J1939" s="1407"/>
      <c r="K1939" s="1431"/>
      <c r="L1939" s="1407"/>
      <c r="M1939" s="1407"/>
      <c r="N1939" s="1407"/>
      <c r="O1939" s="1407"/>
      <c r="P1939" s="1407"/>
      <c r="Q1939" s="1407"/>
      <c r="R1939" s="1407"/>
      <c r="S1939" s="1407"/>
      <c r="T1939" s="1407"/>
      <c r="U1939" s="1407"/>
    </row>
    <row r="1940" spans="1:21" ht="12">
      <c r="A1940" s="639"/>
      <c r="B1940" s="1483"/>
      <c r="C1940" s="639"/>
      <c r="D1940" s="1831"/>
      <c r="E1940" s="2264"/>
      <c r="F1940" s="2262"/>
      <c r="G1940" s="2262"/>
      <c r="H1940" s="2262"/>
      <c r="I1940" s="1428"/>
      <c r="J1940" s="1407"/>
      <c r="K1940" s="1431"/>
      <c r="L1940" s="1407"/>
      <c r="M1940" s="1407"/>
      <c r="N1940" s="1407"/>
      <c r="O1940" s="1407"/>
      <c r="P1940" s="1407"/>
      <c r="Q1940" s="1407"/>
      <c r="R1940" s="1407"/>
      <c r="S1940" s="1407"/>
      <c r="T1940" s="1407"/>
      <c r="U1940" s="1407"/>
    </row>
    <row r="1941" spans="1:21" ht="12">
      <c r="A1941" s="639"/>
      <c r="B1941" s="1483"/>
      <c r="C1941" s="639"/>
      <c r="D1941" s="1831"/>
      <c r="E1941" s="2264"/>
      <c r="F1941" s="2262"/>
      <c r="G1941" s="2262"/>
      <c r="H1941" s="2262"/>
      <c r="I1941" s="1428"/>
      <c r="J1941" s="1407"/>
      <c r="K1941" s="1431"/>
      <c r="L1941" s="1407"/>
      <c r="M1941" s="1407"/>
      <c r="N1941" s="1407"/>
      <c r="O1941" s="1407"/>
      <c r="P1941" s="1407"/>
      <c r="Q1941" s="1407"/>
      <c r="R1941" s="1407"/>
      <c r="S1941" s="1407"/>
      <c r="T1941" s="1407"/>
      <c r="U1941" s="1407"/>
    </row>
    <row r="1942" spans="1:21" ht="12">
      <c r="A1942" s="639"/>
      <c r="B1942" s="1483"/>
      <c r="C1942" s="639"/>
      <c r="D1942" s="1831"/>
      <c r="E1942" s="2264"/>
      <c r="F1942" s="2262"/>
      <c r="G1942" s="2262"/>
      <c r="H1942" s="2262"/>
      <c r="I1942" s="1428"/>
      <c r="J1942" s="1407"/>
      <c r="K1942" s="1431"/>
      <c r="L1942" s="1407"/>
      <c r="M1942" s="1407"/>
      <c r="N1942" s="1407"/>
      <c r="O1942" s="1407"/>
      <c r="P1942" s="1407"/>
      <c r="Q1942" s="1407"/>
      <c r="R1942" s="1407"/>
      <c r="S1942" s="1407"/>
      <c r="T1942" s="1407"/>
      <c r="U1942" s="1407"/>
    </row>
    <row r="1943" spans="1:21" ht="12">
      <c r="A1943" s="639"/>
      <c r="B1943" s="1483"/>
      <c r="C1943" s="639"/>
      <c r="D1943" s="1831"/>
      <c r="E1943" s="2264"/>
      <c r="F1943" s="2262"/>
      <c r="G1943" s="2262"/>
      <c r="H1943" s="2262"/>
      <c r="I1943" s="1428"/>
      <c r="J1943" s="1407"/>
      <c r="K1943" s="1431"/>
      <c r="L1943" s="1407"/>
      <c r="M1943" s="1407"/>
      <c r="N1943" s="1407"/>
      <c r="O1943" s="1407"/>
      <c r="P1943" s="1407"/>
      <c r="Q1943" s="1407"/>
      <c r="R1943" s="1407"/>
      <c r="S1943" s="1407"/>
      <c r="T1943" s="1407"/>
      <c r="U1943" s="1407"/>
    </row>
    <row r="1944" spans="1:21" ht="12">
      <c r="A1944" s="639"/>
      <c r="B1944" s="1483"/>
      <c r="C1944" s="639"/>
      <c r="D1944" s="1831"/>
      <c r="E1944" s="2264"/>
      <c r="F1944" s="2262"/>
      <c r="G1944" s="2262"/>
      <c r="H1944" s="2262"/>
      <c r="I1944" s="1428"/>
      <c r="J1944" s="1407"/>
      <c r="K1944" s="1431"/>
      <c r="L1944" s="1407"/>
      <c r="M1944" s="1407"/>
      <c r="N1944" s="1407"/>
      <c r="O1944" s="1407"/>
      <c r="P1944" s="1407"/>
      <c r="Q1944" s="1407"/>
      <c r="R1944" s="1407"/>
      <c r="S1944" s="1407"/>
      <c r="T1944" s="1407"/>
      <c r="U1944" s="1407"/>
    </row>
    <row r="1945" spans="1:21" ht="12">
      <c r="A1945" s="639"/>
      <c r="B1945" s="1483"/>
      <c r="C1945" s="639"/>
      <c r="D1945" s="1831"/>
      <c r="E1945" s="2264"/>
      <c r="F1945" s="2262"/>
      <c r="G1945" s="2262"/>
      <c r="H1945" s="2262"/>
      <c r="I1945" s="1428"/>
      <c r="J1945" s="1407"/>
      <c r="K1945" s="1431"/>
      <c r="L1945" s="1407"/>
      <c r="M1945" s="1407"/>
      <c r="N1945" s="1407"/>
      <c r="O1945" s="1407"/>
      <c r="P1945" s="1407"/>
      <c r="Q1945" s="1407"/>
      <c r="R1945" s="1407"/>
      <c r="S1945" s="1407"/>
      <c r="T1945" s="1407"/>
      <c r="U1945" s="1407"/>
    </row>
    <row r="1946" spans="1:21" ht="12">
      <c r="A1946" s="639"/>
      <c r="B1946" s="1483"/>
      <c r="C1946" s="639"/>
      <c r="D1946" s="1831"/>
      <c r="E1946" s="2264"/>
      <c r="F1946" s="2262"/>
      <c r="G1946" s="2262"/>
      <c r="H1946" s="2262"/>
      <c r="I1946" s="1428"/>
      <c r="J1946" s="1407"/>
      <c r="K1946" s="1431"/>
      <c r="L1946" s="1407"/>
      <c r="M1946" s="1407"/>
      <c r="N1946" s="1407"/>
      <c r="O1946" s="1407"/>
      <c r="P1946" s="1407"/>
      <c r="Q1946" s="1407"/>
      <c r="R1946" s="1407"/>
      <c r="S1946" s="1407"/>
      <c r="T1946" s="1407"/>
      <c r="U1946" s="1407"/>
    </row>
    <row r="1947" spans="1:21" ht="12">
      <c r="A1947" s="639"/>
      <c r="B1947" s="1483"/>
      <c r="C1947" s="639"/>
      <c r="D1947" s="1831"/>
      <c r="E1947" s="2264"/>
      <c r="F1947" s="2262"/>
      <c r="G1947" s="2262"/>
      <c r="H1947" s="2262"/>
      <c r="I1947" s="1428"/>
      <c r="J1947" s="1407"/>
      <c r="K1947" s="1431"/>
      <c r="L1947" s="1407"/>
      <c r="M1947" s="1407"/>
      <c r="N1947" s="1407"/>
      <c r="O1947" s="1407"/>
      <c r="P1947" s="1407"/>
      <c r="Q1947" s="1407"/>
      <c r="R1947" s="1407"/>
      <c r="S1947" s="1407"/>
      <c r="T1947" s="1407"/>
      <c r="U1947" s="1407"/>
    </row>
    <row r="1948" spans="1:21" ht="12">
      <c r="A1948" s="639"/>
      <c r="B1948" s="1483"/>
      <c r="C1948" s="639"/>
      <c r="D1948" s="1831"/>
      <c r="E1948" s="2264"/>
      <c r="F1948" s="2262"/>
      <c r="G1948" s="2262"/>
      <c r="H1948" s="2262"/>
      <c r="I1948" s="1428"/>
      <c r="J1948" s="1407"/>
      <c r="K1948" s="1431"/>
      <c r="L1948" s="1407"/>
      <c r="M1948" s="1407"/>
      <c r="N1948" s="1407"/>
      <c r="O1948" s="1407"/>
      <c r="P1948" s="1407"/>
      <c r="Q1948" s="1407"/>
      <c r="R1948" s="1407"/>
      <c r="S1948" s="1407"/>
      <c r="T1948" s="1407"/>
      <c r="U1948" s="1407"/>
    </row>
    <row r="1949" spans="1:21" ht="12">
      <c r="A1949" s="639"/>
      <c r="B1949" s="1483"/>
      <c r="C1949" s="639"/>
      <c r="D1949" s="1831"/>
      <c r="E1949" s="2264"/>
      <c r="F1949" s="2262"/>
      <c r="G1949" s="2262"/>
      <c r="H1949" s="2262"/>
      <c r="I1949" s="1428"/>
      <c r="J1949" s="1407"/>
      <c r="K1949" s="1431"/>
      <c r="L1949" s="1407"/>
      <c r="M1949" s="1407"/>
      <c r="N1949" s="1407"/>
      <c r="O1949" s="1407"/>
      <c r="P1949" s="1407"/>
      <c r="Q1949" s="1407"/>
      <c r="R1949" s="1407"/>
      <c r="S1949" s="1407"/>
      <c r="T1949" s="1407"/>
      <c r="U1949" s="1407"/>
    </row>
    <row r="1950" spans="1:21" ht="12">
      <c r="A1950" s="639"/>
      <c r="B1950" s="1483"/>
      <c r="C1950" s="639"/>
      <c r="D1950" s="1831"/>
      <c r="E1950" s="2264"/>
      <c r="F1950" s="2262"/>
      <c r="G1950" s="2262"/>
      <c r="H1950" s="2262"/>
      <c r="I1950" s="1428"/>
      <c r="J1950" s="1407"/>
      <c r="K1950" s="1431"/>
      <c r="L1950" s="1407"/>
      <c r="M1950" s="1407"/>
      <c r="N1950" s="1407"/>
      <c r="O1950" s="1407"/>
      <c r="P1950" s="1407"/>
      <c r="Q1950" s="1407"/>
      <c r="R1950" s="1407"/>
      <c r="S1950" s="1407"/>
      <c r="T1950" s="1407"/>
      <c r="U1950" s="1407"/>
    </row>
    <row r="1951" spans="1:21" ht="12">
      <c r="A1951" s="639"/>
      <c r="B1951" s="1483"/>
      <c r="C1951" s="639"/>
      <c r="D1951" s="1831"/>
      <c r="E1951" s="2264"/>
      <c r="F1951" s="2262"/>
      <c r="G1951" s="2262"/>
      <c r="H1951" s="2262"/>
      <c r="I1951" s="1428"/>
      <c r="J1951" s="1407"/>
      <c r="K1951" s="1431"/>
      <c r="L1951" s="1407"/>
      <c r="M1951" s="1407"/>
      <c r="N1951" s="1407"/>
      <c r="O1951" s="1407"/>
      <c r="P1951" s="1407"/>
      <c r="Q1951" s="1407"/>
      <c r="R1951" s="1407"/>
      <c r="S1951" s="1407"/>
      <c r="T1951" s="1407"/>
      <c r="U1951" s="1407"/>
    </row>
    <row r="1952" spans="1:21" ht="12">
      <c r="A1952" s="639"/>
      <c r="B1952" s="1483"/>
      <c r="C1952" s="639"/>
      <c r="D1952" s="1831"/>
      <c r="E1952" s="2264"/>
      <c r="F1952" s="2262"/>
      <c r="G1952" s="2262"/>
      <c r="H1952" s="2262"/>
      <c r="I1952" s="1428"/>
      <c r="J1952" s="1407"/>
      <c r="K1952" s="1431"/>
      <c r="L1952" s="1407"/>
      <c r="M1952" s="1407"/>
      <c r="N1952" s="1407"/>
      <c r="O1952" s="1407"/>
      <c r="P1952" s="1407"/>
      <c r="Q1952" s="1407"/>
      <c r="R1952" s="1407"/>
      <c r="S1952" s="1407"/>
      <c r="T1952" s="1407"/>
      <c r="U1952" s="1407"/>
    </row>
    <row r="1953" spans="1:21" ht="12">
      <c r="A1953" s="639"/>
      <c r="B1953" s="1483"/>
      <c r="C1953" s="639"/>
      <c r="D1953" s="1831"/>
      <c r="E1953" s="2264"/>
      <c r="F1953" s="2262"/>
      <c r="G1953" s="2262"/>
      <c r="H1953" s="2262"/>
      <c r="I1953" s="1428"/>
      <c r="J1953" s="1407"/>
      <c r="K1953" s="1431"/>
      <c r="L1953" s="1407"/>
      <c r="M1953" s="1407"/>
      <c r="N1953" s="1407"/>
      <c r="O1953" s="1407"/>
      <c r="P1953" s="1407"/>
      <c r="Q1953" s="1407"/>
      <c r="R1953" s="1407"/>
      <c r="S1953" s="1407"/>
      <c r="T1953" s="1407"/>
      <c r="U1953" s="1407"/>
    </row>
    <row r="1954" spans="1:21" ht="12">
      <c r="A1954" s="639"/>
      <c r="B1954" s="1483"/>
      <c r="C1954" s="639"/>
      <c r="D1954" s="1831"/>
      <c r="E1954" s="2264"/>
      <c r="F1954" s="2262"/>
      <c r="G1954" s="2262"/>
      <c r="H1954" s="2262"/>
      <c r="I1954" s="1428"/>
      <c r="J1954" s="1407"/>
      <c r="K1954" s="1431"/>
      <c r="L1954" s="1407"/>
      <c r="M1954" s="1407"/>
      <c r="N1954" s="1407"/>
      <c r="O1954" s="1407"/>
      <c r="P1954" s="1407"/>
      <c r="Q1954" s="1407"/>
      <c r="R1954" s="1407"/>
      <c r="S1954" s="1407"/>
      <c r="T1954" s="1407"/>
      <c r="U1954" s="1407"/>
    </row>
    <row r="1955" spans="1:21" ht="12">
      <c r="A1955" s="639"/>
      <c r="B1955" s="1483"/>
      <c r="C1955" s="639"/>
      <c r="D1955" s="1831"/>
      <c r="E1955" s="2264"/>
      <c r="F1955" s="2262"/>
      <c r="G1955" s="2262"/>
      <c r="H1955" s="2262"/>
      <c r="I1955" s="1428"/>
      <c r="J1955" s="1407"/>
      <c r="K1955" s="1431"/>
      <c r="L1955" s="1407"/>
      <c r="M1955" s="1407"/>
      <c r="N1955" s="1407"/>
      <c r="O1955" s="1407"/>
      <c r="P1955" s="1407"/>
      <c r="Q1955" s="1407"/>
      <c r="R1955" s="1407"/>
      <c r="S1955" s="1407"/>
      <c r="T1955" s="1407"/>
      <c r="U1955" s="1407"/>
    </row>
    <row r="1956" spans="1:21" ht="12">
      <c r="A1956" s="639"/>
      <c r="B1956" s="1483"/>
      <c r="C1956" s="639"/>
      <c r="D1956" s="1831"/>
      <c r="E1956" s="2264"/>
      <c r="F1956" s="2262"/>
      <c r="G1956" s="2262"/>
      <c r="H1956" s="2262"/>
      <c r="I1956" s="1428"/>
      <c r="J1956" s="1407"/>
      <c r="K1956" s="1431"/>
      <c r="L1956" s="1407"/>
      <c r="M1956" s="1407"/>
      <c r="N1956" s="1407"/>
      <c r="O1956" s="1407"/>
      <c r="P1956" s="1407"/>
      <c r="Q1956" s="1407"/>
      <c r="R1956" s="1407"/>
      <c r="S1956" s="1407"/>
      <c r="T1956" s="1407"/>
      <c r="U1956" s="1407"/>
    </row>
    <row r="1957" spans="1:21" ht="12">
      <c r="A1957" s="639"/>
      <c r="B1957" s="1483"/>
      <c r="C1957" s="639"/>
      <c r="D1957" s="1831"/>
      <c r="E1957" s="2264"/>
      <c r="F1957" s="2262"/>
      <c r="G1957" s="2262"/>
      <c r="H1957" s="2262"/>
      <c r="I1957" s="1428"/>
      <c r="J1957" s="1407"/>
      <c r="K1957" s="1431"/>
      <c r="L1957" s="1407"/>
      <c r="M1957" s="1407"/>
      <c r="N1957" s="1407"/>
      <c r="O1957" s="1407"/>
      <c r="P1957" s="1407"/>
      <c r="Q1957" s="1407"/>
      <c r="R1957" s="1407"/>
      <c r="S1957" s="1407"/>
      <c r="T1957" s="1407"/>
      <c r="U1957" s="1407"/>
    </row>
    <row r="1958" spans="1:21" ht="12">
      <c r="A1958" s="639"/>
      <c r="B1958" s="1483"/>
      <c r="C1958" s="639"/>
      <c r="D1958" s="1831"/>
      <c r="E1958" s="2264"/>
      <c r="F1958" s="2262"/>
      <c r="G1958" s="2262"/>
      <c r="H1958" s="2262"/>
      <c r="I1958" s="1428"/>
      <c r="J1958" s="1407"/>
      <c r="K1958" s="1431"/>
      <c r="L1958" s="1407"/>
      <c r="M1958" s="1407"/>
      <c r="N1958" s="1407"/>
      <c r="O1958" s="1407"/>
      <c r="P1958" s="1407"/>
      <c r="Q1958" s="1407"/>
      <c r="R1958" s="1407"/>
      <c r="S1958" s="1407"/>
      <c r="T1958" s="1407"/>
      <c r="U1958" s="1407"/>
    </row>
    <row r="1959" spans="1:21" ht="12">
      <c r="A1959" s="639"/>
      <c r="B1959" s="1483"/>
      <c r="C1959" s="639"/>
      <c r="D1959" s="1831"/>
      <c r="E1959" s="2264"/>
      <c r="F1959" s="2262"/>
      <c r="G1959" s="2262"/>
      <c r="H1959" s="2262"/>
      <c r="I1959" s="1428"/>
      <c r="J1959" s="1407"/>
      <c r="K1959" s="1431"/>
      <c r="L1959" s="1407"/>
      <c r="M1959" s="1407"/>
      <c r="N1959" s="1407"/>
      <c r="O1959" s="1407"/>
      <c r="P1959" s="1407"/>
      <c r="Q1959" s="1407"/>
      <c r="R1959" s="1407"/>
      <c r="S1959" s="1407"/>
      <c r="T1959" s="1407"/>
      <c r="U1959" s="1407"/>
    </row>
    <row r="1960" spans="1:21" ht="12">
      <c r="A1960" s="639"/>
      <c r="B1960" s="1483"/>
      <c r="C1960" s="639"/>
      <c r="D1960" s="1831"/>
      <c r="E1960" s="2264"/>
      <c r="F1960" s="2262"/>
      <c r="G1960" s="2262"/>
      <c r="H1960" s="2262"/>
      <c r="I1960" s="1428"/>
      <c r="J1960" s="1407"/>
      <c r="K1960" s="1431"/>
      <c r="L1960" s="1407"/>
      <c r="M1960" s="1407"/>
      <c r="N1960" s="1407"/>
      <c r="O1960" s="1407"/>
      <c r="P1960" s="1407"/>
      <c r="Q1960" s="1407"/>
      <c r="R1960" s="1407"/>
      <c r="S1960" s="1407"/>
      <c r="T1960" s="1407"/>
      <c r="U1960" s="1407"/>
    </row>
    <row r="1961" spans="1:21" ht="12">
      <c r="A1961" s="639"/>
      <c r="B1961" s="1483"/>
      <c r="C1961" s="639"/>
      <c r="D1961" s="1831"/>
      <c r="E1961" s="2264"/>
      <c r="F1961" s="2262"/>
      <c r="G1961" s="2262"/>
      <c r="H1961" s="2262"/>
      <c r="I1961" s="1428"/>
      <c r="J1961" s="1407"/>
      <c r="K1961" s="1431"/>
      <c r="L1961" s="1407"/>
      <c r="M1961" s="1407"/>
      <c r="N1961" s="1407"/>
      <c r="O1961" s="1407"/>
      <c r="P1961" s="1407"/>
      <c r="Q1961" s="1407"/>
      <c r="R1961" s="1407"/>
      <c r="S1961" s="1407"/>
      <c r="T1961" s="1407"/>
      <c r="U1961" s="1407"/>
    </row>
    <row r="1962" spans="1:21" ht="12">
      <c r="A1962" s="639"/>
      <c r="B1962" s="1483"/>
      <c r="C1962" s="639"/>
      <c r="D1962" s="1831"/>
      <c r="E1962" s="2264"/>
      <c r="F1962" s="2262"/>
      <c r="G1962" s="2262"/>
      <c r="H1962" s="2262"/>
      <c r="I1962" s="1428"/>
      <c r="J1962" s="1407"/>
      <c r="K1962" s="1431"/>
      <c r="L1962" s="1407"/>
      <c r="M1962" s="1407"/>
      <c r="N1962" s="1407"/>
      <c r="O1962" s="1407"/>
      <c r="P1962" s="1407"/>
      <c r="Q1962" s="1407"/>
      <c r="R1962" s="1407"/>
      <c r="S1962" s="1407"/>
      <c r="T1962" s="1407"/>
      <c r="U1962" s="1407"/>
    </row>
    <row r="1963" spans="1:21" ht="12">
      <c r="A1963" s="639"/>
      <c r="B1963" s="1483"/>
      <c r="C1963" s="639"/>
      <c r="D1963" s="1831"/>
      <c r="E1963" s="2264"/>
      <c r="F1963" s="2262"/>
      <c r="G1963" s="2262"/>
      <c r="H1963" s="2262"/>
      <c r="I1963" s="1428"/>
      <c r="J1963" s="1407"/>
      <c r="K1963" s="1431"/>
      <c r="L1963" s="1407"/>
      <c r="M1963" s="1407"/>
      <c r="N1963" s="1407"/>
      <c r="O1963" s="1407"/>
      <c r="P1963" s="1407"/>
      <c r="Q1963" s="1407"/>
      <c r="R1963" s="1407"/>
      <c r="S1963" s="1407"/>
      <c r="T1963" s="1407"/>
      <c r="U1963" s="1407"/>
    </row>
    <row r="1964" spans="1:21" ht="12">
      <c r="A1964" s="639"/>
      <c r="B1964" s="1483"/>
      <c r="C1964" s="639"/>
      <c r="D1964" s="1831"/>
      <c r="E1964" s="2264"/>
      <c r="F1964" s="2262"/>
      <c r="G1964" s="2262"/>
      <c r="H1964" s="2262"/>
      <c r="I1964" s="1428"/>
      <c r="J1964" s="1407"/>
      <c r="K1964" s="1431"/>
      <c r="L1964" s="1407"/>
      <c r="M1964" s="1407"/>
      <c r="N1964" s="1407"/>
      <c r="O1964" s="1407"/>
      <c r="P1964" s="1407"/>
      <c r="Q1964" s="1407"/>
      <c r="R1964" s="1407"/>
      <c r="S1964" s="1407"/>
      <c r="T1964" s="1407"/>
      <c r="U1964" s="1407"/>
    </row>
    <row r="1965" spans="1:21" ht="12">
      <c r="A1965" s="639"/>
      <c r="B1965" s="1483"/>
      <c r="C1965" s="639"/>
      <c r="D1965" s="1831"/>
      <c r="E1965" s="2264"/>
      <c r="F1965" s="2262"/>
      <c r="G1965" s="2262"/>
      <c r="H1965" s="2262"/>
      <c r="I1965" s="1428"/>
      <c r="J1965" s="1407"/>
      <c r="K1965" s="1431"/>
      <c r="L1965" s="1407"/>
      <c r="M1965" s="1407"/>
      <c r="N1965" s="1407"/>
      <c r="O1965" s="1407"/>
      <c r="P1965" s="1407"/>
      <c r="Q1965" s="1407"/>
      <c r="R1965" s="1407"/>
      <c r="S1965" s="1407"/>
      <c r="T1965" s="1407"/>
      <c r="U1965" s="1407"/>
    </row>
    <row r="1966" spans="1:21" ht="12">
      <c r="A1966" s="639"/>
      <c r="B1966" s="1483"/>
      <c r="C1966" s="639"/>
      <c r="D1966" s="1831"/>
      <c r="E1966" s="2264"/>
      <c r="F1966" s="2262"/>
      <c r="G1966" s="2262"/>
      <c r="H1966" s="2262"/>
      <c r="I1966" s="1428"/>
      <c r="J1966" s="1407"/>
      <c r="K1966" s="1431"/>
      <c r="L1966" s="1407"/>
      <c r="M1966" s="1407"/>
      <c r="N1966" s="1407"/>
      <c r="O1966" s="1407"/>
      <c r="P1966" s="1407"/>
      <c r="Q1966" s="1407"/>
      <c r="R1966" s="1407"/>
      <c r="S1966" s="1407"/>
      <c r="T1966" s="1407"/>
      <c r="U1966" s="1407"/>
    </row>
    <row r="1967" spans="1:21" ht="12">
      <c r="A1967" s="639"/>
      <c r="B1967" s="1483"/>
      <c r="C1967" s="639"/>
      <c r="D1967" s="1831"/>
      <c r="E1967" s="2264"/>
      <c r="F1967" s="2262"/>
      <c r="G1967" s="2262"/>
      <c r="H1967" s="2262"/>
      <c r="I1967" s="1428"/>
      <c r="J1967" s="1407"/>
      <c r="K1967" s="1431"/>
      <c r="L1967" s="1407"/>
      <c r="M1967" s="1407"/>
      <c r="N1967" s="1407"/>
      <c r="O1967" s="1407"/>
      <c r="P1967" s="1407"/>
      <c r="Q1967" s="1407"/>
      <c r="R1967" s="1407"/>
      <c r="S1967" s="1407"/>
      <c r="T1967" s="1407"/>
      <c r="U1967" s="1407"/>
    </row>
    <row r="1968" spans="1:21" ht="12">
      <c r="A1968" s="639"/>
      <c r="B1968" s="1483"/>
      <c r="C1968" s="639"/>
      <c r="D1968" s="1831"/>
      <c r="E1968" s="2264"/>
      <c r="F1968" s="2262"/>
      <c r="G1968" s="2262"/>
      <c r="H1968" s="2262"/>
      <c r="I1968" s="1428"/>
      <c r="J1968" s="1407"/>
      <c r="K1968" s="1431"/>
      <c r="L1968" s="1407"/>
      <c r="M1968" s="1407"/>
      <c r="N1968" s="1407"/>
      <c r="O1968" s="1407"/>
      <c r="P1968" s="1407"/>
      <c r="Q1968" s="1407"/>
      <c r="R1968" s="1407"/>
      <c r="S1968" s="1407"/>
      <c r="T1968" s="1407"/>
      <c r="U1968" s="1407"/>
    </row>
    <row r="1969" spans="1:21" ht="12">
      <c r="A1969" s="639"/>
      <c r="B1969" s="1483"/>
      <c r="C1969" s="639"/>
      <c r="D1969" s="1831"/>
      <c r="E1969" s="2264"/>
      <c r="F1969" s="2262"/>
      <c r="G1969" s="2262"/>
      <c r="H1969" s="2262"/>
      <c r="I1969" s="1428"/>
      <c r="J1969" s="1407"/>
      <c r="K1969" s="1431"/>
      <c r="L1969" s="1407"/>
      <c r="M1969" s="1407"/>
      <c r="N1969" s="1407"/>
      <c r="O1969" s="1407"/>
      <c r="P1969" s="1407"/>
      <c r="Q1969" s="1407"/>
      <c r="R1969" s="1407"/>
      <c r="S1969" s="1407"/>
      <c r="T1969" s="1407"/>
      <c r="U1969" s="1407"/>
    </row>
    <row r="1970" spans="1:21" ht="12">
      <c r="A1970" s="639"/>
      <c r="B1970" s="1483"/>
      <c r="C1970" s="639"/>
      <c r="D1970" s="1831"/>
      <c r="E1970" s="2264"/>
      <c r="F1970" s="2262"/>
      <c r="G1970" s="2262"/>
      <c r="H1970" s="2262"/>
      <c r="I1970" s="1428"/>
      <c r="J1970" s="1407"/>
      <c r="K1970" s="1431"/>
      <c r="L1970" s="1407"/>
      <c r="M1970" s="1407"/>
      <c r="N1970" s="1407"/>
      <c r="O1970" s="1407"/>
      <c r="P1970" s="1407"/>
      <c r="Q1970" s="1407"/>
      <c r="R1970" s="1407"/>
      <c r="S1970" s="1407"/>
      <c r="T1970" s="1407"/>
      <c r="U1970" s="1407"/>
    </row>
    <row r="1971" spans="1:21" ht="12">
      <c r="A1971" s="639"/>
      <c r="B1971" s="1483"/>
      <c r="C1971" s="639"/>
      <c r="D1971" s="1831"/>
      <c r="E1971" s="2264"/>
      <c r="F1971" s="2262"/>
      <c r="G1971" s="2262"/>
      <c r="H1971" s="2262"/>
      <c r="I1971" s="1428"/>
      <c r="J1971" s="1407"/>
      <c r="K1971" s="1431"/>
      <c r="L1971" s="1407"/>
      <c r="M1971" s="1407"/>
      <c r="N1971" s="1407"/>
      <c r="O1971" s="1407"/>
      <c r="P1971" s="1407"/>
      <c r="Q1971" s="1407"/>
      <c r="R1971" s="1407"/>
      <c r="S1971" s="1407"/>
      <c r="T1971" s="1407"/>
      <c r="U1971" s="1407"/>
    </row>
    <row r="1972" spans="1:21" ht="12">
      <c r="A1972" s="639"/>
      <c r="B1972" s="1483"/>
      <c r="C1972" s="639"/>
      <c r="D1972" s="1831"/>
      <c r="E1972" s="2264"/>
      <c r="F1972" s="2262"/>
      <c r="G1972" s="2262"/>
      <c r="H1972" s="2262"/>
      <c r="I1972" s="1428"/>
      <c r="J1972" s="1407"/>
      <c r="K1972" s="1431"/>
      <c r="L1972" s="1407"/>
      <c r="M1972" s="1407"/>
      <c r="N1972" s="1407"/>
      <c r="O1972" s="1407"/>
      <c r="P1972" s="1407"/>
      <c r="Q1972" s="1407"/>
      <c r="R1972" s="1407"/>
      <c r="S1972" s="1407"/>
      <c r="T1972" s="1407"/>
      <c r="U1972" s="1407"/>
    </row>
    <row r="1973" spans="1:21" ht="12">
      <c r="A1973" s="639"/>
      <c r="B1973" s="1483"/>
      <c r="C1973" s="639"/>
      <c r="D1973" s="1831"/>
      <c r="E1973" s="2264"/>
      <c r="F1973" s="2262"/>
      <c r="G1973" s="2262"/>
      <c r="H1973" s="2262"/>
      <c r="I1973" s="1428"/>
      <c r="J1973" s="1407"/>
      <c r="K1973" s="1431"/>
      <c r="L1973" s="1407"/>
      <c r="M1973" s="1407"/>
      <c r="N1973" s="1407"/>
      <c r="O1973" s="1407"/>
      <c r="P1973" s="1407"/>
      <c r="Q1973" s="1407"/>
      <c r="R1973" s="1407"/>
      <c r="S1973" s="1407"/>
      <c r="T1973" s="1407"/>
      <c r="U1973" s="1407"/>
    </row>
    <row r="1974" spans="1:21" ht="12">
      <c r="A1974" s="639"/>
      <c r="B1974" s="1483"/>
      <c r="C1974" s="639"/>
      <c r="D1974" s="1831"/>
      <c r="E1974" s="2264"/>
      <c r="F1974" s="2262"/>
      <c r="G1974" s="2262"/>
      <c r="H1974" s="2262"/>
      <c r="I1974" s="1428"/>
      <c r="J1974" s="1407"/>
      <c r="K1974" s="1431"/>
      <c r="L1974" s="1407"/>
      <c r="M1974" s="1407"/>
      <c r="N1974" s="1407"/>
      <c r="O1974" s="1407"/>
      <c r="P1974" s="1407"/>
      <c r="Q1974" s="1407"/>
      <c r="R1974" s="1407"/>
      <c r="S1974" s="1407"/>
      <c r="T1974" s="1407"/>
      <c r="U1974" s="1407"/>
    </row>
    <row r="1975" spans="1:21" ht="12">
      <c r="A1975" s="639"/>
      <c r="B1975" s="1483"/>
      <c r="C1975" s="639"/>
      <c r="D1975" s="1831"/>
      <c r="E1975" s="2264"/>
      <c r="F1975" s="2262"/>
      <c r="G1975" s="2262"/>
      <c r="H1975" s="2262"/>
      <c r="I1975" s="1428"/>
      <c r="J1975" s="1407"/>
      <c r="K1975" s="1431"/>
      <c r="L1975" s="1407"/>
      <c r="M1975" s="1407"/>
      <c r="N1975" s="1407"/>
      <c r="O1975" s="1407"/>
      <c r="P1975" s="1407"/>
      <c r="Q1975" s="1407"/>
      <c r="R1975" s="1407"/>
      <c r="S1975" s="1407"/>
      <c r="T1975" s="1407"/>
      <c r="U1975" s="1407"/>
    </row>
    <row r="1976" spans="1:21" ht="12">
      <c r="A1976" s="639"/>
      <c r="B1976" s="1483"/>
      <c r="C1976" s="639"/>
      <c r="D1976" s="1831"/>
      <c r="E1976" s="2264"/>
      <c r="F1976" s="2262"/>
      <c r="G1976" s="2262"/>
      <c r="H1976" s="2262"/>
      <c r="I1976" s="1428"/>
      <c r="J1976" s="1407"/>
      <c r="K1976" s="1431"/>
      <c r="L1976" s="1407"/>
      <c r="M1976" s="1407"/>
      <c r="N1976" s="1407"/>
      <c r="O1976" s="1407"/>
      <c r="P1976" s="1407"/>
      <c r="Q1976" s="1407"/>
      <c r="R1976" s="1407"/>
      <c r="S1976" s="1407"/>
      <c r="T1976" s="1407"/>
      <c r="U1976" s="1407"/>
    </row>
    <row r="1977" spans="1:21" ht="12">
      <c r="A1977" s="639"/>
      <c r="B1977" s="1483"/>
      <c r="C1977" s="639"/>
      <c r="D1977" s="1831"/>
      <c r="E1977" s="2264"/>
      <c r="F1977" s="2262"/>
      <c r="G1977" s="2262"/>
      <c r="H1977" s="2262"/>
      <c r="I1977" s="1428"/>
      <c r="J1977" s="1407"/>
      <c r="K1977" s="1431"/>
      <c r="L1977" s="1407"/>
      <c r="M1977" s="1407"/>
      <c r="N1977" s="1407"/>
      <c r="O1977" s="1407"/>
      <c r="P1977" s="1407"/>
      <c r="Q1977" s="1407"/>
      <c r="R1977" s="1407"/>
      <c r="S1977" s="1407"/>
      <c r="T1977" s="1407"/>
      <c r="U1977" s="1407"/>
    </row>
    <row r="1978" spans="1:21" ht="12">
      <c r="A1978" s="639"/>
      <c r="B1978" s="1483"/>
      <c r="C1978" s="639"/>
      <c r="D1978" s="1831"/>
      <c r="E1978" s="2264"/>
      <c r="F1978" s="2262"/>
      <c r="G1978" s="2262"/>
      <c r="H1978" s="2262"/>
      <c r="I1978" s="1428"/>
      <c r="J1978" s="1407"/>
      <c r="K1978" s="1431"/>
      <c r="L1978" s="1407"/>
      <c r="M1978" s="1407"/>
      <c r="N1978" s="1407"/>
      <c r="O1978" s="1407"/>
      <c r="P1978" s="1407"/>
      <c r="Q1978" s="1407"/>
      <c r="R1978" s="1407"/>
      <c r="S1978" s="1407"/>
      <c r="T1978" s="1407"/>
      <c r="U1978" s="1407"/>
    </row>
    <row r="1979" spans="1:21" ht="12">
      <c r="A1979" s="639"/>
      <c r="B1979" s="1483"/>
      <c r="C1979" s="639"/>
      <c r="D1979" s="1831"/>
      <c r="E1979" s="2264"/>
      <c r="F1979" s="2262"/>
      <c r="G1979" s="2262"/>
      <c r="H1979" s="2262"/>
      <c r="I1979" s="1428"/>
      <c r="J1979" s="1407"/>
      <c r="K1979" s="1431"/>
      <c r="L1979" s="1407"/>
      <c r="M1979" s="1407"/>
      <c r="N1979" s="1407"/>
      <c r="O1979" s="1407"/>
      <c r="P1979" s="1407"/>
      <c r="Q1979" s="1407"/>
      <c r="R1979" s="1407"/>
      <c r="S1979" s="1407"/>
      <c r="T1979" s="1407"/>
      <c r="U1979" s="1407"/>
    </row>
    <row r="1980" spans="1:21" ht="12">
      <c r="A1980" s="639"/>
      <c r="B1980" s="1483"/>
      <c r="C1980" s="639"/>
      <c r="D1980" s="1831"/>
      <c r="E1980" s="2264"/>
      <c r="F1980" s="2262"/>
      <c r="G1980" s="2262"/>
      <c r="H1980" s="2262"/>
      <c r="I1980" s="1428"/>
      <c r="J1980" s="1407"/>
      <c r="K1980" s="1431"/>
      <c r="L1980" s="1407"/>
      <c r="M1980" s="1407"/>
      <c r="N1980" s="1407"/>
      <c r="O1980" s="1407"/>
      <c r="P1980" s="1407"/>
      <c r="Q1980" s="1407"/>
      <c r="R1980" s="1407"/>
      <c r="S1980" s="1407"/>
      <c r="T1980" s="1407"/>
      <c r="U1980" s="1407"/>
    </row>
    <row r="1981" spans="1:21" ht="12">
      <c r="A1981" s="639"/>
      <c r="B1981" s="1483"/>
      <c r="C1981" s="639"/>
      <c r="D1981" s="1831"/>
      <c r="E1981" s="2264"/>
      <c r="F1981" s="2262"/>
      <c r="G1981" s="2262"/>
      <c r="H1981" s="2262"/>
      <c r="I1981" s="1428"/>
      <c r="J1981" s="1407"/>
      <c r="K1981" s="1431"/>
      <c r="L1981" s="1407"/>
      <c r="M1981" s="1407"/>
      <c r="N1981" s="1407"/>
      <c r="O1981" s="1407"/>
      <c r="P1981" s="1407"/>
      <c r="Q1981" s="1407"/>
      <c r="R1981" s="1407"/>
      <c r="S1981" s="1407"/>
      <c r="T1981" s="1407"/>
      <c r="U1981" s="1407"/>
    </row>
    <row r="1982" spans="1:21" ht="12">
      <c r="A1982" s="639"/>
      <c r="B1982" s="1483"/>
      <c r="C1982" s="639"/>
      <c r="D1982" s="1831"/>
      <c r="E1982" s="2264"/>
      <c r="F1982" s="2262"/>
      <c r="G1982" s="2262"/>
      <c r="H1982" s="2262"/>
      <c r="I1982" s="1428"/>
      <c r="J1982" s="1407"/>
      <c r="K1982" s="1431"/>
      <c r="L1982" s="1407"/>
      <c r="M1982" s="1407"/>
      <c r="N1982" s="1407"/>
      <c r="O1982" s="1407"/>
      <c r="P1982" s="1407"/>
      <c r="Q1982" s="1407"/>
      <c r="R1982" s="1407"/>
      <c r="S1982" s="1407"/>
      <c r="T1982" s="1407"/>
      <c r="U1982" s="1407"/>
    </row>
    <row r="1983" spans="1:21" ht="12">
      <c r="A1983" s="639"/>
      <c r="B1983" s="1483"/>
      <c r="C1983" s="639"/>
      <c r="D1983" s="1831"/>
      <c r="E1983" s="2264"/>
      <c r="F1983" s="2262"/>
      <c r="G1983" s="2262"/>
      <c r="H1983" s="2262"/>
      <c r="I1983" s="1428"/>
      <c r="J1983" s="1407"/>
      <c r="K1983" s="1431"/>
      <c r="L1983" s="1407"/>
      <c r="M1983" s="1407"/>
      <c r="N1983" s="1407"/>
      <c r="O1983" s="1407"/>
      <c r="P1983" s="1407"/>
      <c r="Q1983" s="1407"/>
      <c r="R1983" s="1407"/>
      <c r="S1983" s="1407"/>
      <c r="T1983" s="1407"/>
      <c r="U1983" s="1407"/>
    </row>
    <row r="1984" spans="1:21" ht="12">
      <c r="A1984" s="639"/>
      <c r="B1984" s="1483"/>
      <c r="C1984" s="639"/>
      <c r="D1984" s="1831"/>
      <c r="E1984" s="2264"/>
      <c r="F1984" s="2262"/>
      <c r="G1984" s="2262"/>
      <c r="H1984" s="2262"/>
      <c r="I1984" s="1428"/>
      <c r="J1984" s="1407"/>
      <c r="K1984" s="1431"/>
      <c r="L1984" s="1407"/>
      <c r="M1984" s="1407"/>
      <c r="N1984" s="1407"/>
      <c r="O1984" s="1407"/>
      <c r="P1984" s="1407"/>
      <c r="Q1984" s="1407"/>
      <c r="R1984" s="1407"/>
      <c r="S1984" s="1407"/>
      <c r="T1984" s="1407"/>
      <c r="U1984" s="1407"/>
    </row>
    <row r="1985" spans="1:21" ht="12">
      <c r="A1985" s="639"/>
      <c r="B1985" s="1483"/>
      <c r="C1985" s="639"/>
      <c r="D1985" s="1831"/>
      <c r="E1985" s="2264"/>
      <c r="F1985" s="2262"/>
      <c r="G1985" s="2262"/>
      <c r="H1985" s="2262"/>
      <c r="I1985" s="1428"/>
      <c r="J1985" s="1407"/>
      <c r="K1985" s="1431"/>
      <c r="L1985" s="1407"/>
      <c r="M1985" s="1407"/>
      <c r="N1985" s="1407"/>
      <c r="O1985" s="1407"/>
      <c r="P1985" s="1407"/>
      <c r="Q1985" s="1407"/>
      <c r="R1985" s="1407"/>
      <c r="S1985" s="1407"/>
      <c r="T1985" s="1407"/>
      <c r="U1985" s="1407"/>
    </row>
    <row r="1986" spans="1:21" ht="12">
      <c r="A1986" s="639"/>
      <c r="B1986" s="1483"/>
      <c r="C1986" s="639"/>
      <c r="D1986" s="1831"/>
      <c r="E1986" s="2264"/>
      <c r="F1986" s="2262"/>
      <c r="G1986" s="2262"/>
      <c r="H1986" s="2262"/>
      <c r="I1986" s="1428"/>
      <c r="J1986" s="1407"/>
      <c r="K1986" s="1431"/>
      <c r="L1986" s="1407"/>
      <c r="M1986" s="1407"/>
      <c r="N1986" s="1407"/>
      <c r="O1986" s="1407"/>
      <c r="P1986" s="1407"/>
      <c r="Q1986" s="1407"/>
      <c r="R1986" s="1407"/>
      <c r="S1986" s="1407"/>
      <c r="T1986" s="1407"/>
      <c r="U1986" s="1407"/>
    </row>
    <row r="1987" spans="1:21" ht="12">
      <c r="A1987" s="639"/>
      <c r="B1987" s="1483"/>
      <c r="C1987" s="639"/>
      <c r="D1987" s="1831"/>
      <c r="E1987" s="2264"/>
      <c r="F1987" s="2262"/>
      <c r="G1987" s="2262"/>
      <c r="H1987" s="2262"/>
      <c r="I1987" s="1428"/>
      <c r="J1987" s="1407"/>
      <c r="K1987" s="1431"/>
      <c r="L1987" s="1407"/>
      <c r="M1987" s="1407"/>
      <c r="N1987" s="1407"/>
      <c r="O1987" s="1407"/>
      <c r="P1987" s="1407"/>
      <c r="Q1987" s="1407"/>
      <c r="R1987" s="1407"/>
      <c r="S1987" s="1407"/>
      <c r="T1987" s="1407"/>
      <c r="U1987" s="1407"/>
    </row>
    <row r="1988" spans="1:21" ht="12">
      <c r="A1988" s="639"/>
      <c r="B1988" s="1483"/>
      <c r="C1988" s="639"/>
      <c r="D1988" s="1831"/>
      <c r="E1988" s="2264"/>
      <c r="F1988" s="2262"/>
      <c r="G1988" s="2262"/>
      <c r="H1988" s="2262"/>
      <c r="I1988" s="1428"/>
      <c r="J1988" s="1407"/>
      <c r="K1988" s="1431"/>
      <c r="L1988" s="1407"/>
      <c r="M1988" s="1407"/>
      <c r="N1988" s="1407"/>
      <c r="O1988" s="1407"/>
      <c r="P1988" s="1407"/>
      <c r="Q1988" s="1407"/>
      <c r="R1988" s="1407"/>
      <c r="S1988" s="1407"/>
      <c r="T1988" s="1407"/>
      <c r="U1988" s="1407"/>
    </row>
    <row r="1989" spans="1:21" ht="12">
      <c r="A1989" s="639"/>
      <c r="B1989" s="1483"/>
      <c r="C1989" s="639"/>
      <c r="D1989" s="1831"/>
      <c r="E1989" s="2264"/>
      <c r="F1989" s="2262"/>
      <c r="G1989" s="2262"/>
      <c r="H1989" s="2262"/>
      <c r="I1989" s="1428"/>
      <c r="J1989" s="1407"/>
      <c r="K1989" s="1431"/>
      <c r="L1989" s="1407"/>
      <c r="M1989" s="1407"/>
      <c r="N1989" s="1407"/>
      <c r="O1989" s="1407"/>
      <c r="P1989" s="1407"/>
      <c r="Q1989" s="1407"/>
      <c r="R1989" s="1407"/>
      <c r="S1989" s="1407"/>
      <c r="T1989" s="1407"/>
      <c r="U1989" s="1407"/>
    </row>
    <row r="1990" spans="1:21" ht="12">
      <c r="A1990" s="639"/>
      <c r="B1990" s="1483"/>
      <c r="C1990" s="639"/>
      <c r="D1990" s="1831"/>
      <c r="E1990" s="2264"/>
      <c r="F1990" s="2262"/>
      <c r="G1990" s="2262"/>
      <c r="H1990" s="2262"/>
      <c r="I1990" s="1428"/>
      <c r="J1990" s="1407"/>
      <c r="K1990" s="1431"/>
      <c r="L1990" s="1407"/>
      <c r="M1990" s="1407"/>
      <c r="N1990" s="1407"/>
      <c r="O1990" s="1407"/>
      <c r="P1990" s="1407"/>
      <c r="Q1990" s="1407"/>
      <c r="R1990" s="1407"/>
      <c r="S1990" s="1407"/>
      <c r="T1990" s="1407"/>
      <c r="U1990" s="1407"/>
    </row>
    <row r="1991" spans="1:21" ht="12">
      <c r="A1991" s="639"/>
      <c r="B1991" s="1483"/>
      <c r="C1991" s="639"/>
      <c r="D1991" s="1831"/>
      <c r="E1991" s="2264"/>
      <c r="F1991" s="2262"/>
      <c r="G1991" s="2262"/>
      <c r="H1991" s="2262"/>
      <c r="I1991" s="1428"/>
      <c r="J1991" s="1407"/>
      <c r="K1991" s="1431"/>
      <c r="L1991" s="1407"/>
      <c r="M1991" s="1407"/>
      <c r="N1991" s="1407"/>
      <c r="O1991" s="1407"/>
      <c r="P1991" s="1407"/>
      <c r="Q1991" s="1407"/>
      <c r="R1991" s="1407"/>
      <c r="S1991" s="1407"/>
      <c r="T1991" s="1407"/>
      <c r="U1991" s="1407"/>
    </row>
    <row r="1992" spans="1:21" ht="12">
      <c r="A1992" s="639"/>
      <c r="B1992" s="1483"/>
      <c r="C1992" s="639"/>
      <c r="D1992" s="1831"/>
      <c r="E1992" s="2264"/>
      <c r="F1992" s="2262"/>
      <c r="G1992" s="2262"/>
      <c r="H1992" s="2262"/>
      <c r="I1992" s="1428"/>
      <c r="J1992" s="1407"/>
      <c r="K1992" s="1431"/>
      <c r="L1992" s="1407"/>
      <c r="M1992" s="1407"/>
      <c r="N1992" s="1407"/>
      <c r="O1992" s="1407"/>
      <c r="P1992" s="1407"/>
      <c r="Q1992" s="1407"/>
      <c r="R1992" s="1407"/>
      <c r="S1992" s="1407"/>
      <c r="T1992" s="1407"/>
      <c r="U1992" s="1407"/>
    </row>
    <row r="1993" spans="1:21" ht="12">
      <c r="A1993" s="639"/>
      <c r="B1993" s="1483"/>
      <c r="C1993" s="639"/>
      <c r="D1993" s="1831"/>
      <c r="E1993" s="2264"/>
      <c r="F1993" s="2262"/>
      <c r="G1993" s="2262"/>
      <c r="H1993" s="2262"/>
      <c r="I1993" s="1428"/>
      <c r="J1993" s="1407"/>
      <c r="K1993" s="1431"/>
      <c r="L1993" s="1407"/>
      <c r="M1993" s="1407"/>
      <c r="N1993" s="1407"/>
      <c r="O1993" s="1407"/>
      <c r="P1993" s="1407"/>
      <c r="Q1993" s="1407"/>
      <c r="R1993" s="1407"/>
      <c r="S1993" s="1407"/>
      <c r="T1993" s="1407"/>
      <c r="U1993" s="1407"/>
    </row>
    <row r="1994" spans="1:21" ht="12">
      <c r="A1994" s="639"/>
      <c r="B1994" s="1483"/>
      <c r="C1994" s="639"/>
      <c r="D1994" s="1831"/>
      <c r="E1994" s="2264"/>
      <c r="F1994" s="2262"/>
      <c r="G1994" s="2262"/>
      <c r="H1994" s="2262"/>
      <c r="I1994" s="1428"/>
      <c r="J1994" s="1407"/>
      <c r="K1994" s="1431"/>
      <c r="L1994" s="1407"/>
      <c r="M1994" s="1407"/>
      <c r="N1994" s="1407"/>
      <c r="O1994" s="1407"/>
      <c r="P1994" s="1407"/>
      <c r="Q1994" s="1407"/>
      <c r="R1994" s="1407"/>
      <c r="S1994" s="1407"/>
      <c r="T1994" s="1407"/>
      <c r="U1994" s="1407"/>
    </row>
    <row r="1995" spans="1:21" ht="12">
      <c r="A1995" s="639"/>
      <c r="B1995" s="1483"/>
      <c r="C1995" s="639"/>
      <c r="D1995" s="1831"/>
      <c r="E1995" s="2264"/>
      <c r="F1995" s="2262"/>
      <c r="G1995" s="2262"/>
      <c r="H1995" s="2262"/>
      <c r="I1995" s="1428"/>
      <c r="J1995" s="1407"/>
      <c r="K1995" s="1431"/>
      <c r="L1995" s="1407"/>
      <c r="M1995" s="1407"/>
      <c r="N1995" s="1407"/>
      <c r="O1995" s="1407"/>
      <c r="P1995" s="1407"/>
      <c r="Q1995" s="1407"/>
      <c r="R1995" s="1407"/>
      <c r="S1995" s="1407"/>
      <c r="T1995" s="1407"/>
      <c r="U1995" s="1407"/>
    </row>
    <row r="1996" spans="1:21" ht="12">
      <c r="A1996" s="639"/>
      <c r="B1996" s="1483"/>
      <c r="C1996" s="639"/>
      <c r="D1996" s="1831"/>
      <c r="E1996" s="2264"/>
      <c r="F1996" s="2262"/>
      <c r="G1996" s="2262"/>
      <c r="H1996" s="2262"/>
      <c r="I1996" s="1428"/>
      <c r="J1996" s="1407"/>
      <c r="K1996" s="1431"/>
      <c r="L1996" s="1407"/>
      <c r="M1996" s="1407"/>
      <c r="N1996" s="1407"/>
      <c r="O1996" s="1407"/>
      <c r="P1996" s="1407"/>
      <c r="Q1996" s="1407"/>
      <c r="R1996" s="1407"/>
      <c r="S1996" s="1407"/>
      <c r="T1996" s="1407"/>
      <c r="U1996" s="1407"/>
    </row>
    <row r="1997" spans="1:21" ht="12">
      <c r="A1997" s="639"/>
      <c r="B1997" s="1483"/>
      <c r="C1997" s="639"/>
      <c r="D1997" s="1831"/>
      <c r="E1997" s="2264"/>
      <c r="F1997" s="2262"/>
      <c r="G1997" s="2262"/>
      <c r="H1997" s="2262"/>
      <c r="I1997" s="1428"/>
      <c r="J1997" s="1407"/>
      <c r="K1997" s="1431"/>
      <c r="L1997" s="1407"/>
      <c r="M1997" s="1407"/>
      <c r="N1997" s="1407"/>
      <c r="O1997" s="1407"/>
      <c r="P1997" s="1407"/>
      <c r="Q1997" s="1407"/>
      <c r="R1997" s="1407"/>
      <c r="S1997" s="1407"/>
      <c r="T1997" s="1407"/>
      <c r="U1997" s="1407"/>
    </row>
    <row r="1998" spans="1:21" ht="12">
      <c r="A1998" s="639"/>
      <c r="B1998" s="1483"/>
      <c r="C1998" s="639"/>
      <c r="D1998" s="1831"/>
      <c r="E1998" s="2264"/>
      <c r="F1998" s="2262"/>
      <c r="G1998" s="2262"/>
      <c r="H1998" s="2262"/>
      <c r="I1998" s="1428"/>
      <c r="J1998" s="1407"/>
      <c r="K1998" s="1431"/>
      <c r="L1998" s="1407"/>
      <c r="M1998" s="1407"/>
      <c r="N1998" s="1407"/>
      <c r="O1998" s="1407"/>
      <c r="P1998" s="1407"/>
      <c r="Q1998" s="1407"/>
      <c r="R1998" s="1407"/>
      <c r="S1998" s="1407"/>
      <c r="T1998" s="1407"/>
      <c r="U1998" s="1407"/>
    </row>
    <row r="1999" spans="1:21" ht="12">
      <c r="A1999" s="639"/>
      <c r="B1999" s="1483"/>
      <c r="C1999" s="639"/>
      <c r="D1999" s="1831"/>
      <c r="E1999" s="2264"/>
      <c r="F1999" s="2262"/>
      <c r="G1999" s="2262"/>
      <c r="H1999" s="2262"/>
      <c r="I1999" s="1428"/>
      <c r="J1999" s="1407"/>
      <c r="K1999" s="1431"/>
      <c r="L1999" s="1407"/>
      <c r="M1999" s="1407"/>
      <c r="N1999" s="1407"/>
      <c r="O1999" s="1407"/>
      <c r="P1999" s="1407"/>
      <c r="Q1999" s="1407"/>
      <c r="R1999" s="1407"/>
      <c r="S1999" s="1407"/>
      <c r="T1999" s="1407"/>
      <c r="U1999" s="1407"/>
    </row>
    <row r="2000" spans="1:21" ht="12">
      <c r="A2000" s="639"/>
      <c r="B2000" s="1483"/>
      <c r="C2000" s="639"/>
      <c r="D2000" s="1831"/>
      <c r="E2000" s="2264"/>
      <c r="F2000" s="2262"/>
      <c r="G2000" s="2262"/>
      <c r="H2000" s="2262"/>
      <c r="I2000" s="1428"/>
      <c r="J2000" s="1407"/>
      <c r="K2000" s="1431"/>
      <c r="L2000" s="1407"/>
      <c r="M2000" s="1407"/>
      <c r="N2000" s="1407"/>
      <c r="O2000" s="1407"/>
      <c r="P2000" s="1407"/>
      <c r="Q2000" s="1407"/>
      <c r="R2000" s="1407"/>
      <c r="S2000" s="1407"/>
      <c r="T2000" s="1407"/>
      <c r="U2000" s="1407"/>
    </row>
    <row r="2001" spans="1:21" ht="12">
      <c r="A2001" s="639"/>
      <c r="B2001" s="1483"/>
      <c r="C2001" s="639"/>
      <c r="D2001" s="1831"/>
      <c r="E2001" s="2264"/>
      <c r="F2001" s="2262"/>
      <c r="G2001" s="2262"/>
      <c r="H2001" s="2262"/>
      <c r="I2001" s="1428"/>
      <c r="J2001" s="1407"/>
      <c r="K2001" s="1431"/>
      <c r="L2001" s="1407"/>
      <c r="M2001" s="1407"/>
      <c r="N2001" s="1407"/>
      <c r="O2001" s="1407"/>
      <c r="P2001" s="1407"/>
      <c r="Q2001" s="1407"/>
      <c r="R2001" s="1407"/>
      <c r="S2001" s="1407"/>
      <c r="T2001" s="1407"/>
      <c r="U2001" s="1407"/>
    </row>
    <row r="2002" spans="1:21" ht="12">
      <c r="A2002" s="639"/>
      <c r="B2002" s="1483"/>
      <c r="C2002" s="639"/>
      <c r="D2002" s="1831"/>
      <c r="E2002" s="2264"/>
      <c r="F2002" s="2262"/>
      <c r="G2002" s="2262"/>
      <c r="H2002" s="2262"/>
      <c r="I2002" s="1428"/>
      <c r="J2002" s="1407"/>
      <c r="K2002" s="1431"/>
      <c r="L2002" s="1407"/>
      <c r="M2002" s="1407"/>
      <c r="N2002" s="1407"/>
      <c r="O2002" s="1407"/>
      <c r="P2002" s="1407"/>
      <c r="Q2002" s="1407"/>
      <c r="R2002" s="1407"/>
      <c r="S2002" s="1407"/>
      <c r="T2002" s="1407"/>
      <c r="U2002" s="1407"/>
    </row>
    <row r="2003" spans="1:21" ht="12">
      <c r="A2003" s="639"/>
      <c r="B2003" s="1483"/>
      <c r="C2003" s="639"/>
      <c r="D2003" s="1831"/>
      <c r="E2003" s="2264"/>
      <c r="F2003" s="2262"/>
      <c r="G2003" s="2262"/>
      <c r="H2003" s="2262"/>
      <c r="I2003" s="1428"/>
      <c r="J2003" s="1407"/>
      <c r="K2003" s="1431"/>
      <c r="L2003" s="1407"/>
      <c r="M2003" s="1407"/>
      <c r="N2003" s="1407"/>
      <c r="O2003" s="1407"/>
      <c r="P2003" s="1407"/>
      <c r="Q2003" s="1407"/>
      <c r="R2003" s="1407"/>
      <c r="S2003" s="1407"/>
      <c r="T2003" s="1407"/>
      <c r="U2003" s="1407"/>
    </row>
    <row r="2004" spans="1:21" ht="12">
      <c r="A2004" s="639"/>
      <c r="B2004" s="1483"/>
      <c r="C2004" s="639"/>
      <c r="D2004" s="1831"/>
      <c r="E2004" s="2264"/>
      <c r="F2004" s="2262"/>
      <c r="G2004" s="2262"/>
      <c r="H2004" s="2262"/>
      <c r="I2004" s="1428"/>
      <c r="J2004" s="1407"/>
      <c r="K2004" s="1431"/>
      <c r="L2004" s="1407"/>
      <c r="M2004" s="1407"/>
      <c r="N2004" s="1407"/>
      <c r="O2004" s="1407"/>
      <c r="P2004" s="1407"/>
      <c r="Q2004" s="1407"/>
      <c r="R2004" s="1407"/>
      <c r="S2004" s="1407"/>
      <c r="T2004" s="1407"/>
      <c r="U2004" s="1407"/>
    </row>
    <row r="2005" spans="1:21" ht="12">
      <c r="A2005" s="639"/>
      <c r="B2005" s="1483"/>
      <c r="C2005" s="639"/>
      <c r="D2005" s="1831"/>
      <c r="E2005" s="2264"/>
      <c r="F2005" s="2262"/>
      <c r="G2005" s="2262"/>
      <c r="H2005" s="2262"/>
      <c r="I2005" s="1428"/>
      <c r="J2005" s="1407"/>
      <c r="K2005" s="1431"/>
      <c r="L2005" s="1407"/>
      <c r="M2005" s="1407"/>
      <c r="N2005" s="1407"/>
      <c r="O2005" s="1407"/>
      <c r="P2005" s="1407"/>
      <c r="Q2005" s="1407"/>
      <c r="R2005" s="1407"/>
      <c r="S2005" s="1407"/>
      <c r="T2005" s="1407"/>
      <c r="U2005" s="1407"/>
    </row>
    <row r="2006" spans="1:21" ht="12">
      <c r="A2006" s="639"/>
      <c r="B2006" s="1483"/>
      <c r="C2006" s="639"/>
      <c r="D2006" s="1831"/>
      <c r="E2006" s="2264"/>
      <c r="F2006" s="2262"/>
      <c r="G2006" s="2262"/>
      <c r="H2006" s="2262"/>
      <c r="I2006" s="1428"/>
      <c r="J2006" s="1407"/>
      <c r="K2006" s="1431"/>
      <c r="L2006" s="1407"/>
      <c r="M2006" s="1407"/>
      <c r="N2006" s="1407"/>
      <c r="O2006" s="1407"/>
      <c r="P2006" s="1407"/>
      <c r="Q2006" s="1407"/>
      <c r="R2006" s="1407"/>
      <c r="S2006" s="1407"/>
      <c r="T2006" s="1407"/>
      <c r="U2006" s="1407"/>
    </row>
    <row r="2007" spans="1:21" ht="12">
      <c r="A2007" s="639"/>
      <c r="B2007" s="1483"/>
      <c r="C2007" s="639"/>
      <c r="D2007" s="1831"/>
      <c r="E2007" s="2264"/>
      <c r="F2007" s="2262"/>
      <c r="G2007" s="2262"/>
      <c r="H2007" s="2262"/>
      <c r="I2007" s="1428"/>
      <c r="J2007" s="1407"/>
      <c r="K2007" s="1431"/>
      <c r="L2007" s="1407"/>
      <c r="M2007" s="1407"/>
      <c r="N2007" s="1407"/>
      <c r="O2007" s="1407"/>
      <c r="P2007" s="1407"/>
      <c r="Q2007" s="1407"/>
      <c r="R2007" s="1407"/>
      <c r="S2007" s="1407"/>
      <c r="T2007" s="1407"/>
      <c r="U2007" s="1407"/>
    </row>
    <row r="2008" spans="1:21" ht="12">
      <c r="A2008" s="639"/>
      <c r="B2008" s="1483"/>
      <c r="C2008" s="639"/>
      <c r="D2008" s="1831"/>
      <c r="E2008" s="2264"/>
      <c r="F2008" s="2262"/>
      <c r="G2008" s="2262"/>
      <c r="H2008" s="2262"/>
      <c r="I2008" s="1428"/>
      <c r="J2008" s="1407"/>
      <c r="K2008" s="1431"/>
      <c r="L2008" s="1407"/>
      <c r="M2008" s="1407"/>
      <c r="N2008" s="1407"/>
      <c r="O2008" s="1407"/>
      <c r="P2008" s="1407"/>
      <c r="Q2008" s="1407"/>
      <c r="R2008" s="1407"/>
      <c r="S2008" s="1407"/>
      <c r="T2008" s="1407"/>
      <c r="U2008" s="1407"/>
    </row>
    <row r="2009" spans="1:21" ht="12">
      <c r="A2009" s="639"/>
      <c r="B2009" s="1483"/>
      <c r="C2009" s="639"/>
      <c r="D2009" s="1831"/>
      <c r="E2009" s="2264"/>
      <c r="F2009" s="2262"/>
      <c r="G2009" s="2262"/>
      <c r="H2009" s="2262"/>
      <c r="I2009" s="1428"/>
      <c r="J2009" s="1407"/>
      <c r="K2009" s="1431"/>
      <c r="L2009" s="1407"/>
      <c r="M2009" s="1407"/>
      <c r="N2009" s="1407"/>
      <c r="O2009" s="1407"/>
      <c r="P2009" s="1407"/>
      <c r="Q2009" s="1407"/>
      <c r="R2009" s="1407"/>
      <c r="S2009" s="1407"/>
      <c r="T2009" s="1407"/>
      <c r="U2009" s="1407"/>
    </row>
    <row r="2010" spans="1:21" ht="12">
      <c r="A2010" s="639"/>
      <c r="B2010" s="1483"/>
      <c r="C2010" s="639"/>
      <c r="D2010" s="1831"/>
      <c r="E2010" s="2264"/>
      <c r="F2010" s="2262"/>
      <c r="G2010" s="2262"/>
      <c r="H2010" s="2262"/>
      <c r="I2010" s="1428"/>
      <c r="J2010" s="1407"/>
      <c r="K2010" s="1431"/>
      <c r="L2010" s="1407"/>
      <c r="M2010" s="1407"/>
      <c r="N2010" s="1407"/>
      <c r="O2010" s="1407"/>
      <c r="P2010" s="1407"/>
      <c r="Q2010" s="1407"/>
      <c r="R2010" s="1407"/>
      <c r="S2010" s="1407"/>
      <c r="T2010" s="1407"/>
      <c r="U2010" s="1407"/>
    </row>
    <row r="2011" spans="1:21" ht="12">
      <c r="A2011" s="639"/>
      <c r="B2011" s="1483"/>
      <c r="C2011" s="639"/>
      <c r="D2011" s="1831"/>
      <c r="E2011" s="2264"/>
      <c r="F2011" s="2262"/>
      <c r="G2011" s="2262"/>
      <c r="H2011" s="2262"/>
      <c r="I2011" s="1428"/>
      <c r="J2011" s="1407"/>
      <c r="K2011" s="1431"/>
      <c r="L2011" s="1407"/>
      <c r="M2011" s="1407"/>
      <c r="N2011" s="1407"/>
      <c r="O2011" s="1407"/>
      <c r="P2011" s="1407"/>
      <c r="Q2011" s="1407"/>
      <c r="R2011" s="1407"/>
      <c r="S2011" s="1407"/>
      <c r="T2011" s="1407"/>
      <c r="U2011" s="1407"/>
    </row>
    <row r="2012" spans="1:21" ht="12">
      <c r="A2012" s="639"/>
      <c r="B2012" s="1483"/>
      <c r="C2012" s="639"/>
      <c r="D2012" s="1831"/>
      <c r="E2012" s="2264"/>
      <c r="F2012" s="2262"/>
      <c r="G2012" s="2262"/>
      <c r="H2012" s="2262"/>
      <c r="I2012" s="1428"/>
      <c r="J2012" s="1407"/>
      <c r="K2012" s="1431"/>
      <c r="L2012" s="1407"/>
      <c r="M2012" s="1407"/>
      <c r="N2012" s="1407"/>
      <c r="O2012" s="1407"/>
      <c r="P2012" s="1407"/>
      <c r="Q2012" s="1407"/>
      <c r="R2012" s="1407"/>
      <c r="S2012" s="1407"/>
      <c r="T2012" s="1407"/>
      <c r="U2012" s="1407"/>
    </row>
    <row r="2013" spans="1:21" ht="12">
      <c r="A2013" s="639"/>
      <c r="B2013" s="1483"/>
      <c r="C2013" s="639"/>
      <c r="D2013" s="1831"/>
      <c r="E2013" s="2264"/>
      <c r="F2013" s="2262"/>
      <c r="G2013" s="2262"/>
      <c r="H2013" s="2262"/>
      <c r="I2013" s="1428"/>
      <c r="J2013" s="1407"/>
      <c r="K2013" s="1431"/>
      <c r="L2013" s="1407"/>
      <c r="M2013" s="1407"/>
      <c r="N2013" s="1407"/>
      <c r="O2013" s="1407"/>
      <c r="P2013" s="1407"/>
      <c r="Q2013" s="1407"/>
      <c r="R2013" s="1407"/>
      <c r="S2013" s="1407"/>
      <c r="T2013" s="1407"/>
      <c r="U2013" s="1407"/>
    </row>
    <row r="2014" spans="1:21" ht="12">
      <c r="A2014" s="639"/>
      <c r="B2014" s="1483"/>
      <c r="C2014" s="639"/>
      <c r="D2014" s="1831"/>
      <c r="E2014" s="2264"/>
      <c r="F2014" s="2262"/>
      <c r="G2014" s="2262"/>
      <c r="H2014" s="2262"/>
      <c r="I2014" s="1428"/>
      <c r="J2014" s="1407"/>
      <c r="K2014" s="1431"/>
      <c r="L2014" s="1407"/>
      <c r="M2014" s="1407"/>
      <c r="N2014" s="1407"/>
      <c r="O2014" s="1407"/>
      <c r="P2014" s="1407"/>
      <c r="Q2014" s="1407"/>
      <c r="R2014" s="1407"/>
      <c r="S2014" s="1407"/>
      <c r="T2014" s="1407"/>
      <c r="U2014" s="1407"/>
    </row>
    <row r="2015" spans="1:21" ht="12">
      <c r="A2015" s="639"/>
      <c r="B2015" s="1483"/>
      <c r="C2015" s="639"/>
      <c r="D2015" s="1831"/>
      <c r="E2015" s="2264"/>
      <c r="F2015" s="2262"/>
      <c r="G2015" s="2262"/>
      <c r="H2015" s="2262"/>
      <c r="I2015" s="1428"/>
      <c r="J2015" s="1407"/>
      <c r="K2015" s="1431"/>
      <c r="L2015" s="1407"/>
      <c r="M2015" s="1407"/>
      <c r="N2015" s="1407"/>
      <c r="O2015" s="1407"/>
      <c r="P2015" s="1407"/>
      <c r="Q2015" s="1407"/>
      <c r="R2015" s="1407"/>
      <c r="S2015" s="1407"/>
      <c r="T2015" s="1407"/>
      <c r="U2015" s="1407"/>
    </row>
    <row r="2016" spans="1:21" ht="12">
      <c r="A2016" s="639"/>
      <c r="B2016" s="1483"/>
      <c r="C2016" s="639"/>
      <c r="D2016" s="1831"/>
      <c r="E2016" s="2264"/>
      <c r="F2016" s="2262"/>
      <c r="G2016" s="2262"/>
      <c r="H2016" s="2262"/>
      <c r="I2016" s="1428"/>
      <c r="J2016" s="1407"/>
      <c r="K2016" s="1431"/>
      <c r="L2016" s="1407"/>
      <c r="M2016" s="1407"/>
      <c r="N2016" s="1407"/>
      <c r="O2016" s="1407"/>
      <c r="P2016" s="1407"/>
      <c r="Q2016" s="1407"/>
      <c r="R2016" s="1407"/>
      <c r="S2016" s="1407"/>
      <c r="T2016" s="1407"/>
      <c r="U2016" s="1407"/>
    </row>
    <row r="2017" spans="1:21" ht="12">
      <c r="A2017" s="639"/>
      <c r="B2017" s="1483"/>
      <c r="C2017" s="639"/>
      <c r="D2017" s="1831"/>
      <c r="E2017" s="2264"/>
      <c r="F2017" s="2262"/>
      <c r="G2017" s="2262"/>
      <c r="H2017" s="2262"/>
      <c r="I2017" s="1428"/>
      <c r="J2017" s="1407"/>
      <c r="K2017" s="1431"/>
      <c r="L2017" s="1407"/>
      <c r="M2017" s="1407"/>
      <c r="N2017" s="1407"/>
      <c r="O2017" s="1407"/>
      <c r="P2017" s="1407"/>
      <c r="Q2017" s="1407"/>
      <c r="R2017" s="1407"/>
      <c r="S2017" s="1407"/>
      <c r="T2017" s="1407"/>
      <c r="U2017" s="1407"/>
    </row>
    <row r="2018" spans="1:21" ht="12">
      <c r="A2018" s="639"/>
      <c r="B2018" s="1483"/>
      <c r="C2018" s="639"/>
      <c r="D2018" s="1831"/>
      <c r="E2018" s="2264"/>
      <c r="F2018" s="2262"/>
      <c r="G2018" s="2262"/>
      <c r="H2018" s="2262"/>
      <c r="I2018" s="1428"/>
      <c r="J2018" s="1407"/>
      <c r="K2018" s="1431"/>
      <c r="L2018" s="1407"/>
      <c r="M2018" s="1407"/>
      <c r="N2018" s="1407"/>
      <c r="O2018" s="1407"/>
      <c r="P2018" s="1407"/>
      <c r="Q2018" s="1407"/>
      <c r="R2018" s="1407"/>
      <c r="S2018" s="1407"/>
      <c r="T2018" s="1407"/>
      <c r="U2018" s="1407"/>
    </row>
    <row r="2019" spans="1:21" ht="12">
      <c r="A2019" s="639"/>
      <c r="B2019" s="1483"/>
      <c r="C2019" s="639"/>
      <c r="D2019" s="1831"/>
      <c r="E2019" s="2264"/>
      <c r="F2019" s="2262"/>
      <c r="G2019" s="2262"/>
      <c r="H2019" s="2262"/>
      <c r="I2019" s="1428"/>
      <c r="J2019" s="1407"/>
      <c r="K2019" s="1431"/>
      <c r="L2019" s="1407"/>
      <c r="M2019" s="1407"/>
      <c r="N2019" s="1407"/>
      <c r="O2019" s="1407"/>
      <c r="P2019" s="1407"/>
      <c r="Q2019" s="1407"/>
      <c r="R2019" s="1407"/>
      <c r="S2019" s="1407"/>
      <c r="T2019" s="1407"/>
      <c r="U2019" s="1407"/>
    </row>
    <row r="2020" spans="1:21" ht="12">
      <c r="A2020" s="639"/>
      <c r="B2020" s="1483"/>
      <c r="C2020" s="639"/>
      <c r="D2020" s="1831"/>
      <c r="E2020" s="2264"/>
      <c r="F2020" s="2262"/>
      <c r="G2020" s="2262"/>
      <c r="H2020" s="2262"/>
      <c r="I2020" s="1428"/>
      <c r="J2020" s="1407"/>
      <c r="K2020" s="1431"/>
      <c r="L2020" s="1407"/>
      <c r="M2020" s="1407"/>
      <c r="N2020" s="1407"/>
      <c r="O2020" s="1407"/>
      <c r="P2020" s="1407"/>
      <c r="Q2020" s="1407"/>
      <c r="R2020" s="1407"/>
      <c r="S2020" s="1407"/>
      <c r="T2020" s="1407"/>
      <c r="U2020" s="1407"/>
    </row>
    <row r="2021" spans="1:21" ht="12">
      <c r="A2021" s="639"/>
      <c r="B2021" s="1483"/>
      <c r="C2021" s="639"/>
      <c r="D2021" s="1831"/>
      <c r="E2021" s="2264"/>
      <c r="F2021" s="2262"/>
      <c r="G2021" s="2262"/>
      <c r="H2021" s="2262"/>
      <c r="I2021" s="1428"/>
      <c r="J2021" s="1407"/>
      <c r="K2021" s="1431"/>
      <c r="L2021" s="1407"/>
      <c r="M2021" s="1407"/>
      <c r="N2021" s="1407"/>
      <c r="O2021" s="1407"/>
      <c r="P2021" s="1407"/>
      <c r="Q2021" s="1407"/>
      <c r="R2021" s="1407"/>
      <c r="S2021" s="1407"/>
      <c r="T2021" s="1407"/>
      <c r="U2021" s="1407"/>
    </row>
    <row r="2022" spans="1:21" ht="12">
      <c r="A2022" s="639"/>
      <c r="B2022" s="1483"/>
      <c r="C2022" s="639"/>
      <c r="D2022" s="1831"/>
      <c r="E2022" s="2264"/>
      <c r="F2022" s="2262"/>
      <c r="G2022" s="2262"/>
      <c r="H2022" s="2262"/>
      <c r="I2022" s="1428"/>
      <c r="J2022" s="1407"/>
      <c r="K2022" s="1431"/>
      <c r="L2022" s="1407"/>
      <c r="M2022" s="1407"/>
      <c r="N2022" s="1407"/>
      <c r="O2022" s="1407"/>
      <c r="P2022" s="1407"/>
      <c r="Q2022" s="1407"/>
      <c r="R2022" s="1407"/>
      <c r="S2022" s="1407"/>
      <c r="T2022" s="1407"/>
      <c r="U2022" s="1407"/>
    </row>
    <row r="2023" spans="1:21" ht="12">
      <c r="A2023" s="639"/>
      <c r="B2023" s="1483"/>
      <c r="C2023" s="639"/>
      <c r="D2023" s="1831"/>
      <c r="E2023" s="2264"/>
      <c r="F2023" s="2262"/>
      <c r="G2023" s="2262"/>
      <c r="H2023" s="2262"/>
      <c r="I2023" s="1428"/>
      <c r="J2023" s="1407"/>
      <c r="K2023" s="1431"/>
      <c r="L2023" s="1407"/>
      <c r="M2023" s="1407"/>
      <c r="N2023" s="1407"/>
      <c r="O2023" s="1407"/>
      <c r="P2023" s="1407"/>
      <c r="Q2023" s="1407"/>
      <c r="R2023" s="1407"/>
      <c r="S2023" s="1407"/>
      <c r="T2023" s="1407"/>
      <c r="U2023" s="1407"/>
    </row>
    <row r="2024" spans="1:21" ht="12">
      <c r="A2024" s="639"/>
      <c r="B2024" s="1483"/>
      <c r="C2024" s="639"/>
      <c r="D2024" s="1831"/>
      <c r="E2024" s="2264"/>
      <c r="F2024" s="2262"/>
      <c r="G2024" s="2262"/>
      <c r="H2024" s="2262"/>
      <c r="I2024" s="1428"/>
      <c r="J2024" s="1407"/>
      <c r="K2024" s="1431"/>
      <c r="L2024" s="1407"/>
      <c r="M2024" s="1407"/>
      <c r="N2024" s="1407"/>
      <c r="O2024" s="1407"/>
      <c r="P2024" s="1407"/>
      <c r="Q2024" s="1407"/>
      <c r="R2024" s="1407"/>
      <c r="S2024" s="1407"/>
      <c r="T2024" s="1407"/>
      <c r="U2024" s="1407"/>
    </row>
    <row r="2025" spans="1:21" ht="12">
      <c r="A2025" s="639"/>
      <c r="B2025" s="1483"/>
      <c r="C2025" s="639"/>
      <c r="D2025" s="1831"/>
      <c r="E2025" s="2264"/>
      <c r="F2025" s="2262"/>
      <c r="G2025" s="2262"/>
      <c r="H2025" s="2262"/>
      <c r="I2025" s="1428"/>
      <c r="J2025" s="1407"/>
      <c r="K2025" s="1431"/>
      <c r="L2025" s="1407"/>
      <c r="M2025" s="1407"/>
      <c r="N2025" s="1407"/>
      <c r="O2025" s="1407"/>
      <c r="P2025" s="1407"/>
      <c r="Q2025" s="1407"/>
      <c r="R2025" s="1407"/>
      <c r="S2025" s="1407"/>
      <c r="T2025" s="1407"/>
      <c r="U2025" s="1407"/>
    </row>
    <row r="2026" spans="1:21" ht="12">
      <c r="A2026" s="639"/>
      <c r="B2026" s="1483"/>
      <c r="C2026" s="639"/>
      <c r="D2026" s="1831"/>
      <c r="E2026" s="2264"/>
      <c r="F2026" s="2262"/>
      <c r="G2026" s="2262"/>
      <c r="H2026" s="2262"/>
      <c r="I2026" s="1428"/>
      <c r="J2026" s="1407"/>
      <c r="K2026" s="1431"/>
      <c r="L2026" s="1407"/>
      <c r="M2026" s="1407"/>
      <c r="N2026" s="1407"/>
      <c r="O2026" s="1407"/>
      <c r="P2026" s="1407"/>
      <c r="Q2026" s="1407"/>
      <c r="R2026" s="1407"/>
      <c r="S2026" s="1407"/>
      <c r="T2026" s="1407"/>
      <c r="U2026" s="1407"/>
    </row>
    <row r="2027" spans="1:21" ht="12">
      <c r="A2027" s="639"/>
      <c r="B2027" s="1483"/>
      <c r="C2027" s="639"/>
      <c r="D2027" s="1831"/>
      <c r="E2027" s="2264"/>
      <c r="F2027" s="2262"/>
      <c r="G2027" s="2262"/>
      <c r="H2027" s="2262"/>
      <c r="I2027" s="1428"/>
      <c r="J2027" s="1407"/>
      <c r="K2027" s="1431"/>
      <c r="L2027" s="1407"/>
      <c r="M2027" s="1407"/>
      <c r="N2027" s="1407"/>
      <c r="O2027" s="1407"/>
      <c r="P2027" s="1407"/>
      <c r="Q2027" s="1407"/>
      <c r="R2027" s="1407"/>
      <c r="S2027" s="1407"/>
      <c r="T2027" s="1407"/>
      <c r="U2027" s="1407"/>
    </row>
    <row r="2028" spans="1:21" ht="12">
      <c r="A2028" s="639"/>
      <c r="B2028" s="1483"/>
      <c r="C2028" s="639"/>
      <c r="D2028" s="1831"/>
      <c r="E2028" s="2264"/>
      <c r="F2028" s="2262"/>
      <c r="G2028" s="2262"/>
      <c r="H2028" s="2262"/>
      <c r="I2028" s="1428"/>
      <c r="J2028" s="1407"/>
      <c r="K2028" s="1431"/>
      <c r="L2028" s="1407"/>
      <c r="M2028" s="1407"/>
      <c r="N2028" s="1407"/>
      <c r="O2028" s="1407"/>
      <c r="P2028" s="1407"/>
      <c r="Q2028" s="1407"/>
      <c r="R2028" s="1407"/>
      <c r="S2028" s="1407"/>
      <c r="T2028" s="1407"/>
      <c r="U2028" s="1407"/>
    </row>
    <row r="2029" spans="1:21" ht="12">
      <c r="A2029" s="639"/>
      <c r="B2029" s="1483"/>
      <c r="C2029" s="639"/>
      <c r="D2029" s="1831"/>
      <c r="E2029" s="2264"/>
      <c r="F2029" s="2262"/>
      <c r="G2029" s="2262"/>
      <c r="H2029" s="2262"/>
      <c r="I2029" s="1428"/>
      <c r="J2029" s="1407"/>
      <c r="K2029" s="1431"/>
      <c r="L2029" s="1407"/>
      <c r="M2029" s="1407"/>
      <c r="N2029" s="1407"/>
      <c r="O2029" s="1407"/>
      <c r="P2029" s="1407"/>
      <c r="Q2029" s="1407"/>
      <c r="R2029" s="1407"/>
      <c r="S2029" s="1407"/>
      <c r="T2029" s="1407"/>
      <c r="U2029" s="1407"/>
    </row>
    <row r="2030" spans="1:21" ht="12">
      <c r="A2030" s="639"/>
      <c r="B2030" s="1483"/>
      <c r="C2030" s="639"/>
      <c r="D2030" s="1831"/>
      <c r="E2030" s="2264"/>
      <c r="F2030" s="2262"/>
      <c r="G2030" s="2262"/>
      <c r="H2030" s="2262"/>
      <c r="I2030" s="1428"/>
      <c r="J2030" s="1407"/>
      <c r="K2030" s="1431"/>
      <c r="L2030" s="1407"/>
      <c r="M2030" s="1407"/>
      <c r="N2030" s="1407"/>
      <c r="O2030" s="1407"/>
      <c r="P2030" s="1407"/>
      <c r="Q2030" s="1407"/>
      <c r="R2030" s="1407"/>
      <c r="S2030" s="1407"/>
      <c r="T2030" s="1407"/>
      <c r="U2030" s="1407"/>
    </row>
    <row r="2031" spans="1:21" ht="12">
      <c r="A2031" s="639"/>
      <c r="B2031" s="1483"/>
      <c r="C2031" s="639"/>
      <c r="D2031" s="1831"/>
      <c r="E2031" s="2264"/>
      <c r="F2031" s="2262"/>
      <c r="G2031" s="2262"/>
      <c r="H2031" s="2262"/>
      <c r="I2031" s="1428"/>
      <c r="J2031" s="1407"/>
      <c r="K2031" s="1431"/>
      <c r="L2031" s="1407"/>
      <c r="M2031" s="1407"/>
      <c r="N2031" s="1407"/>
      <c r="O2031" s="1407"/>
      <c r="P2031" s="1407"/>
      <c r="Q2031" s="1407"/>
      <c r="R2031" s="1407"/>
      <c r="S2031" s="1407"/>
      <c r="T2031" s="1407"/>
      <c r="U2031" s="1407"/>
    </row>
    <row r="2032" spans="1:21" ht="12">
      <c r="A2032" s="639"/>
      <c r="B2032" s="1483"/>
      <c r="C2032" s="639"/>
      <c r="D2032" s="1831"/>
      <c r="E2032" s="2264"/>
      <c r="F2032" s="2262"/>
      <c r="G2032" s="2262"/>
      <c r="H2032" s="2262"/>
      <c r="I2032" s="1428"/>
      <c r="J2032" s="1407"/>
      <c r="K2032" s="1431"/>
      <c r="L2032" s="1407"/>
      <c r="M2032" s="1407"/>
      <c r="N2032" s="1407"/>
      <c r="O2032" s="1407"/>
      <c r="P2032" s="1407"/>
      <c r="Q2032" s="1407"/>
      <c r="R2032" s="1407"/>
      <c r="S2032" s="1407"/>
      <c r="T2032" s="1407"/>
      <c r="U2032" s="1407"/>
    </row>
    <row r="2033" spans="1:21" ht="12">
      <c r="A2033" s="639"/>
      <c r="B2033" s="1483"/>
      <c r="C2033" s="639"/>
      <c r="D2033" s="1831"/>
      <c r="E2033" s="2264"/>
      <c r="F2033" s="2262"/>
      <c r="G2033" s="2262"/>
      <c r="H2033" s="2262"/>
      <c r="I2033" s="1428"/>
      <c r="J2033" s="1407"/>
      <c r="K2033" s="1431"/>
      <c r="L2033" s="1407"/>
      <c r="M2033" s="1407"/>
      <c r="N2033" s="1407"/>
      <c r="O2033" s="1407"/>
      <c r="P2033" s="1407"/>
      <c r="Q2033" s="1407"/>
      <c r="R2033" s="1407"/>
      <c r="S2033" s="1407"/>
      <c r="T2033" s="1407"/>
      <c r="U2033" s="1407"/>
    </row>
    <row r="2034" spans="1:21" ht="12">
      <c r="A2034" s="639"/>
      <c r="B2034" s="1483"/>
      <c r="C2034" s="639"/>
      <c r="D2034" s="1831"/>
      <c r="E2034" s="2264"/>
      <c r="F2034" s="2262"/>
      <c r="G2034" s="2262"/>
      <c r="H2034" s="2262"/>
      <c r="I2034" s="1428"/>
      <c r="J2034" s="1407"/>
      <c r="K2034" s="1431"/>
      <c r="L2034" s="1407"/>
      <c r="M2034" s="1407"/>
      <c r="N2034" s="1407"/>
      <c r="O2034" s="1407"/>
      <c r="P2034" s="1407"/>
      <c r="Q2034" s="1407"/>
      <c r="R2034" s="1407"/>
      <c r="S2034" s="1407"/>
      <c r="T2034" s="1407"/>
      <c r="U2034" s="1407"/>
    </row>
    <row r="2035" spans="1:21" ht="12">
      <c r="A2035" s="639"/>
      <c r="B2035" s="1483"/>
      <c r="C2035" s="639"/>
      <c r="D2035" s="1831"/>
      <c r="E2035" s="2264"/>
      <c r="F2035" s="2262"/>
      <c r="G2035" s="2262"/>
      <c r="H2035" s="2262"/>
      <c r="I2035" s="1428"/>
      <c r="J2035" s="1407"/>
      <c r="K2035" s="1431"/>
      <c r="L2035" s="1407"/>
      <c r="M2035" s="1407"/>
      <c r="N2035" s="1407"/>
      <c r="O2035" s="1407"/>
      <c r="P2035" s="1407"/>
      <c r="Q2035" s="1407"/>
      <c r="R2035" s="1407"/>
      <c r="S2035" s="1407"/>
      <c r="T2035" s="1407"/>
      <c r="U2035" s="1407"/>
    </row>
    <row r="2036" spans="1:21" ht="12">
      <c r="A2036" s="639"/>
      <c r="B2036" s="1483"/>
      <c r="C2036" s="639"/>
      <c r="D2036" s="1831"/>
      <c r="E2036" s="2264"/>
      <c r="F2036" s="2262"/>
      <c r="G2036" s="2262"/>
      <c r="H2036" s="2262"/>
      <c r="I2036" s="1428"/>
      <c r="J2036" s="1407"/>
      <c r="K2036" s="1431"/>
      <c r="L2036" s="1407"/>
      <c r="M2036" s="1407"/>
      <c r="N2036" s="1407"/>
      <c r="O2036" s="1407"/>
      <c r="P2036" s="1407"/>
      <c r="Q2036" s="1407"/>
      <c r="R2036" s="1407"/>
      <c r="S2036" s="1407"/>
      <c r="T2036" s="1407"/>
      <c r="U2036" s="1407"/>
    </row>
    <row r="2037" spans="1:21" ht="12">
      <c r="A2037" s="639"/>
      <c r="B2037" s="1483"/>
      <c r="C2037" s="639"/>
      <c r="D2037" s="1831"/>
      <c r="E2037" s="2264"/>
      <c r="F2037" s="2262"/>
      <c r="G2037" s="2262"/>
      <c r="H2037" s="2262"/>
      <c r="I2037" s="1428"/>
      <c r="J2037" s="1407"/>
      <c r="K2037" s="1431"/>
      <c r="L2037" s="1407"/>
      <c r="M2037" s="1407"/>
      <c r="N2037" s="1407"/>
      <c r="O2037" s="1407"/>
      <c r="P2037" s="1407"/>
      <c r="Q2037" s="1407"/>
      <c r="R2037" s="1407"/>
      <c r="S2037" s="1407"/>
      <c r="T2037" s="1407"/>
      <c r="U2037" s="1407"/>
    </row>
    <row r="2038" spans="1:21" ht="12">
      <c r="A2038" s="639"/>
      <c r="B2038" s="1483"/>
      <c r="C2038" s="639"/>
      <c r="D2038" s="1831"/>
      <c r="E2038" s="2264"/>
      <c r="F2038" s="2262"/>
      <c r="G2038" s="2262"/>
      <c r="H2038" s="2262"/>
      <c r="I2038" s="1428"/>
      <c r="J2038" s="1407"/>
      <c r="K2038" s="1431"/>
      <c r="L2038" s="1407"/>
      <c r="M2038" s="1407"/>
      <c r="N2038" s="1407"/>
      <c r="O2038" s="1407"/>
      <c r="P2038" s="1407"/>
      <c r="Q2038" s="1407"/>
      <c r="R2038" s="1407"/>
      <c r="S2038" s="1407"/>
      <c r="T2038" s="1407"/>
      <c r="U2038" s="1407"/>
    </row>
    <row r="2039" spans="1:21" ht="12">
      <c r="A2039" s="639"/>
      <c r="B2039" s="1483"/>
      <c r="C2039" s="639"/>
      <c r="D2039" s="1831"/>
      <c r="E2039" s="2264"/>
      <c r="F2039" s="2262"/>
      <c r="G2039" s="2262"/>
      <c r="H2039" s="2262"/>
      <c r="I2039" s="1428"/>
      <c r="J2039" s="1407"/>
      <c r="K2039" s="1431"/>
      <c r="L2039" s="1407"/>
      <c r="M2039" s="1407"/>
      <c r="N2039" s="1407"/>
      <c r="O2039" s="1407"/>
      <c r="P2039" s="1407"/>
      <c r="Q2039" s="1407"/>
      <c r="R2039" s="1407"/>
      <c r="S2039" s="1407"/>
      <c r="T2039" s="1407"/>
      <c r="U2039" s="1407"/>
    </row>
    <row r="2040" spans="1:21" ht="12">
      <c r="A2040" s="639"/>
      <c r="B2040" s="1483"/>
      <c r="C2040" s="639"/>
      <c r="D2040" s="1831"/>
      <c r="E2040" s="2264"/>
      <c r="F2040" s="2262"/>
      <c r="G2040" s="2262"/>
      <c r="H2040" s="2262"/>
      <c r="I2040" s="1428"/>
      <c r="J2040" s="1407"/>
      <c r="K2040" s="1431"/>
      <c r="L2040" s="1407"/>
      <c r="M2040" s="1407"/>
      <c r="N2040" s="1407"/>
      <c r="O2040" s="1407"/>
      <c r="P2040" s="1407"/>
      <c r="Q2040" s="1407"/>
      <c r="R2040" s="1407"/>
      <c r="S2040" s="1407"/>
      <c r="T2040" s="1407"/>
      <c r="U2040" s="1407"/>
    </row>
    <row r="2041" spans="1:21" ht="12">
      <c r="A2041" s="639"/>
      <c r="B2041" s="1483"/>
      <c r="C2041" s="639"/>
      <c r="D2041" s="1831"/>
      <c r="E2041" s="2264"/>
      <c r="F2041" s="2262"/>
      <c r="G2041" s="2262"/>
      <c r="H2041" s="2262"/>
      <c r="I2041" s="1428"/>
      <c r="J2041" s="1407"/>
      <c r="K2041" s="1431"/>
      <c r="L2041" s="1407"/>
      <c r="M2041" s="1407"/>
      <c r="N2041" s="1407"/>
      <c r="O2041" s="1407"/>
      <c r="P2041" s="1407"/>
      <c r="Q2041" s="1407"/>
      <c r="R2041" s="1407"/>
      <c r="S2041" s="1407"/>
      <c r="T2041" s="1407"/>
      <c r="U2041" s="1407"/>
    </row>
    <row r="2042" spans="1:21" ht="12">
      <c r="A2042" s="639"/>
      <c r="B2042" s="1483"/>
      <c r="C2042" s="639"/>
      <c r="D2042" s="1831"/>
      <c r="E2042" s="2264"/>
      <c r="F2042" s="2262"/>
      <c r="G2042" s="2262"/>
      <c r="H2042" s="2262"/>
      <c r="I2042" s="1428"/>
      <c r="J2042" s="1407"/>
      <c r="K2042" s="1431"/>
      <c r="L2042" s="1407"/>
      <c r="M2042" s="1407"/>
      <c r="N2042" s="1407"/>
      <c r="O2042" s="1407"/>
      <c r="P2042" s="1407"/>
      <c r="Q2042" s="1407"/>
      <c r="R2042" s="1407"/>
      <c r="S2042" s="1407"/>
      <c r="T2042" s="1407"/>
      <c r="U2042" s="1407"/>
    </row>
    <row r="2043" spans="1:21" ht="12">
      <c r="A2043" s="639"/>
      <c r="B2043" s="1483"/>
      <c r="C2043" s="639"/>
      <c r="D2043" s="1831"/>
      <c r="E2043" s="2264"/>
      <c r="F2043" s="2262"/>
      <c r="G2043" s="2262"/>
      <c r="H2043" s="2262"/>
      <c r="I2043" s="1428"/>
      <c r="J2043" s="1407"/>
      <c r="K2043" s="1431"/>
      <c r="L2043" s="1407"/>
      <c r="M2043" s="1407"/>
      <c r="N2043" s="1407"/>
      <c r="O2043" s="1407"/>
      <c r="P2043" s="1407"/>
      <c r="Q2043" s="1407"/>
      <c r="R2043" s="1407"/>
      <c r="S2043" s="1407"/>
      <c r="T2043" s="1407"/>
      <c r="U2043" s="1407"/>
    </row>
    <row r="2044" spans="1:21" ht="12">
      <c r="A2044" s="639"/>
      <c r="B2044" s="1483"/>
      <c r="C2044" s="639"/>
      <c r="D2044" s="1831"/>
      <c r="E2044" s="2264"/>
      <c r="F2044" s="2262"/>
      <c r="G2044" s="2262"/>
      <c r="H2044" s="2262"/>
      <c r="I2044" s="1428"/>
      <c r="J2044" s="1407"/>
      <c r="K2044" s="1431"/>
      <c r="L2044" s="1407"/>
      <c r="M2044" s="1407"/>
      <c r="N2044" s="1407"/>
      <c r="O2044" s="1407"/>
      <c r="P2044" s="1407"/>
      <c r="Q2044" s="1407"/>
      <c r="R2044" s="1407"/>
      <c r="S2044" s="1407"/>
      <c r="T2044" s="1407"/>
      <c r="U2044" s="1407"/>
    </row>
    <row r="2045" spans="1:21" ht="12">
      <c r="A2045" s="639"/>
      <c r="B2045" s="1483"/>
      <c r="C2045" s="639"/>
      <c r="D2045" s="1831"/>
      <c r="E2045" s="2264"/>
      <c r="F2045" s="2262"/>
      <c r="G2045" s="2262"/>
      <c r="H2045" s="2262"/>
      <c r="I2045" s="1428"/>
      <c r="J2045" s="1407"/>
      <c r="K2045" s="1431"/>
      <c r="L2045" s="1407"/>
      <c r="M2045" s="1407"/>
      <c r="N2045" s="1407"/>
      <c r="O2045" s="1407"/>
      <c r="P2045" s="1407"/>
      <c r="Q2045" s="1407"/>
      <c r="R2045" s="1407"/>
      <c r="S2045" s="1407"/>
      <c r="T2045" s="1407"/>
      <c r="U2045" s="1407"/>
    </row>
    <row r="2046" spans="1:21" ht="12">
      <c r="A2046" s="639"/>
      <c r="B2046" s="1483"/>
      <c r="C2046" s="639"/>
      <c r="D2046" s="1831"/>
      <c r="E2046" s="2264"/>
      <c r="F2046" s="2262"/>
      <c r="G2046" s="2262"/>
      <c r="H2046" s="2262"/>
      <c r="I2046" s="1428"/>
      <c r="J2046" s="1407"/>
      <c r="K2046" s="1431"/>
      <c r="L2046" s="1407"/>
      <c r="M2046" s="1407"/>
      <c r="N2046" s="1407"/>
      <c r="O2046" s="1407"/>
      <c r="P2046" s="1407"/>
      <c r="Q2046" s="1407"/>
      <c r="R2046" s="1407"/>
      <c r="S2046" s="1407"/>
      <c r="T2046" s="1407"/>
      <c r="U2046" s="1407"/>
    </row>
    <row r="2047" spans="1:21" ht="12">
      <c r="A2047" s="639"/>
      <c r="B2047" s="1483"/>
      <c r="C2047" s="639"/>
      <c r="D2047" s="1831"/>
      <c r="E2047" s="2264"/>
      <c r="F2047" s="2262"/>
      <c r="G2047" s="2262"/>
      <c r="H2047" s="2262"/>
      <c r="I2047" s="1428"/>
      <c r="J2047" s="1407"/>
      <c r="K2047" s="1431"/>
      <c r="L2047" s="1407"/>
      <c r="M2047" s="1407"/>
      <c r="N2047" s="1407"/>
      <c r="O2047" s="1407"/>
      <c r="P2047" s="1407"/>
      <c r="Q2047" s="1407"/>
      <c r="R2047" s="1407"/>
      <c r="S2047" s="1407"/>
      <c r="T2047" s="1407"/>
      <c r="U2047" s="1407"/>
    </row>
    <row r="2048" spans="1:21" ht="12">
      <c r="A2048" s="639"/>
      <c r="B2048" s="1483"/>
      <c r="C2048" s="639"/>
      <c r="D2048" s="1831"/>
      <c r="E2048" s="2264"/>
      <c r="F2048" s="2262"/>
      <c r="G2048" s="2262"/>
      <c r="H2048" s="2262"/>
      <c r="I2048" s="1428"/>
      <c r="J2048" s="1407"/>
      <c r="K2048" s="1431"/>
      <c r="L2048" s="1407"/>
      <c r="M2048" s="1407"/>
      <c r="N2048" s="1407"/>
      <c r="O2048" s="1407"/>
      <c r="P2048" s="1407"/>
      <c r="Q2048" s="1407"/>
      <c r="R2048" s="1407"/>
      <c r="S2048" s="1407"/>
      <c r="T2048" s="1407"/>
      <c r="U2048" s="1407"/>
    </row>
    <row r="2049" spans="1:21" ht="12">
      <c r="A2049" s="639"/>
      <c r="B2049" s="1483"/>
      <c r="C2049" s="639"/>
      <c r="D2049" s="1831"/>
      <c r="E2049" s="2264"/>
      <c r="F2049" s="2262"/>
      <c r="G2049" s="2262"/>
      <c r="H2049" s="2262"/>
      <c r="I2049" s="1428"/>
      <c r="J2049" s="1407"/>
      <c r="K2049" s="1431"/>
      <c r="L2049" s="1407"/>
      <c r="M2049" s="1407"/>
      <c r="N2049" s="1407"/>
      <c r="O2049" s="1407"/>
      <c r="P2049" s="1407"/>
      <c r="Q2049" s="1407"/>
      <c r="R2049" s="1407"/>
      <c r="S2049" s="1407"/>
      <c r="T2049" s="1407"/>
      <c r="U2049" s="1407"/>
    </row>
    <row r="2050" spans="1:21" ht="12">
      <c r="A2050" s="639"/>
      <c r="B2050" s="1483"/>
      <c r="C2050" s="639"/>
      <c r="D2050" s="1831"/>
      <c r="E2050" s="2264"/>
      <c r="F2050" s="2262"/>
      <c r="G2050" s="2262"/>
      <c r="H2050" s="2262"/>
      <c r="I2050" s="1428"/>
      <c r="J2050" s="1407"/>
      <c r="K2050" s="1431"/>
      <c r="L2050" s="1407"/>
      <c r="M2050" s="1407"/>
      <c r="N2050" s="1407"/>
      <c r="O2050" s="1407"/>
      <c r="P2050" s="1407"/>
      <c r="Q2050" s="1407"/>
      <c r="R2050" s="1407"/>
      <c r="S2050" s="1407"/>
      <c r="T2050" s="1407"/>
      <c r="U2050" s="1407"/>
    </row>
    <row r="2051" spans="1:21" ht="12">
      <c r="A2051" s="639"/>
      <c r="B2051" s="1483"/>
      <c r="C2051" s="639"/>
      <c r="D2051" s="1831"/>
      <c r="E2051" s="2264"/>
      <c r="F2051" s="2262"/>
      <c r="G2051" s="2262"/>
      <c r="H2051" s="2262"/>
      <c r="I2051" s="1428"/>
      <c r="J2051" s="1407"/>
      <c r="K2051" s="1431"/>
      <c r="L2051" s="1407"/>
      <c r="M2051" s="1407"/>
      <c r="N2051" s="1407"/>
      <c r="O2051" s="1407"/>
      <c r="P2051" s="1407"/>
      <c r="Q2051" s="1407"/>
      <c r="R2051" s="1407"/>
      <c r="S2051" s="1407"/>
      <c r="T2051" s="1407"/>
      <c r="U2051" s="1407"/>
    </row>
    <row r="2052" spans="1:21" ht="12">
      <c r="A2052" s="639"/>
      <c r="B2052" s="1483"/>
      <c r="C2052" s="639"/>
      <c r="D2052" s="1831"/>
      <c r="E2052" s="2264"/>
      <c r="F2052" s="2262"/>
      <c r="G2052" s="2262"/>
      <c r="H2052" s="2262"/>
      <c r="I2052" s="1428"/>
      <c r="J2052" s="1407"/>
      <c r="K2052" s="1431"/>
      <c r="L2052" s="1407"/>
      <c r="M2052" s="1407"/>
      <c r="N2052" s="1407"/>
      <c r="O2052" s="1407"/>
      <c r="P2052" s="1407"/>
      <c r="Q2052" s="1407"/>
      <c r="R2052" s="1407"/>
      <c r="S2052" s="1407"/>
      <c r="T2052" s="1407"/>
      <c r="U2052" s="1407"/>
    </row>
    <row r="2053" spans="1:21" ht="12">
      <c r="A2053" s="639"/>
      <c r="B2053" s="1483"/>
      <c r="C2053" s="639"/>
      <c r="D2053" s="1831"/>
      <c r="E2053" s="2264"/>
      <c r="F2053" s="2262"/>
      <c r="G2053" s="2262"/>
      <c r="H2053" s="2262"/>
      <c r="I2053" s="1428"/>
      <c r="J2053" s="1407"/>
      <c r="K2053" s="1431"/>
      <c r="L2053" s="1407"/>
      <c r="M2053" s="1407"/>
      <c r="N2053" s="1407"/>
      <c r="O2053" s="1407"/>
      <c r="P2053" s="1407"/>
      <c r="Q2053" s="1407"/>
      <c r="R2053" s="1407"/>
      <c r="S2053" s="1407"/>
      <c r="T2053" s="1407"/>
      <c r="U2053" s="1407"/>
    </row>
    <row r="2054" spans="1:21" ht="12">
      <c r="A2054" s="639"/>
      <c r="B2054" s="1483"/>
      <c r="C2054" s="639"/>
      <c r="D2054" s="1831"/>
      <c r="E2054" s="2264"/>
      <c r="F2054" s="2262"/>
      <c r="G2054" s="2262"/>
      <c r="H2054" s="2262"/>
      <c r="I2054" s="1428"/>
      <c r="J2054" s="1407"/>
      <c r="K2054" s="1431"/>
      <c r="L2054" s="1407"/>
      <c r="M2054" s="1407"/>
      <c r="N2054" s="1407"/>
      <c r="O2054" s="1407"/>
      <c r="P2054" s="1407"/>
      <c r="Q2054" s="1407"/>
      <c r="R2054" s="1407"/>
      <c r="S2054" s="1407"/>
      <c r="T2054" s="1407"/>
      <c r="U2054" s="1407"/>
    </row>
    <row r="2055" spans="1:21" ht="12">
      <c r="A2055" s="639"/>
      <c r="B2055" s="1483"/>
      <c r="C2055" s="639"/>
      <c r="D2055" s="1831"/>
      <c r="E2055" s="2264"/>
      <c r="F2055" s="2262"/>
      <c r="G2055" s="2262"/>
      <c r="H2055" s="2262"/>
      <c r="I2055" s="1428"/>
      <c r="J2055" s="1407"/>
      <c r="K2055" s="1431"/>
      <c r="L2055" s="1407"/>
      <c r="M2055" s="1407"/>
      <c r="N2055" s="1407"/>
      <c r="O2055" s="1407"/>
      <c r="P2055" s="1407"/>
      <c r="Q2055" s="1407"/>
      <c r="R2055" s="1407"/>
      <c r="S2055" s="1407"/>
      <c r="T2055" s="1407"/>
      <c r="U2055" s="1407"/>
    </row>
    <row r="2056" spans="1:21" ht="12">
      <c r="A2056" s="639"/>
      <c r="B2056" s="1483"/>
      <c r="C2056" s="639"/>
      <c r="D2056" s="1831"/>
      <c r="E2056" s="2264"/>
      <c r="F2056" s="2262"/>
      <c r="G2056" s="2262"/>
      <c r="H2056" s="2262"/>
      <c r="I2056" s="1428"/>
      <c r="J2056" s="1407"/>
      <c r="K2056" s="1431"/>
      <c r="L2056" s="1407"/>
      <c r="M2056" s="1407"/>
      <c r="N2056" s="1407"/>
      <c r="O2056" s="1407"/>
      <c r="P2056" s="1407"/>
      <c r="Q2056" s="1407"/>
      <c r="R2056" s="1407"/>
      <c r="S2056" s="1407"/>
      <c r="T2056" s="1407"/>
      <c r="U2056" s="1407"/>
    </row>
    <row r="2057" spans="1:21" ht="12">
      <c r="A2057" s="639"/>
      <c r="B2057" s="1483"/>
      <c r="C2057" s="639"/>
      <c r="D2057" s="1831"/>
      <c r="E2057" s="2264"/>
      <c r="F2057" s="2262"/>
      <c r="G2057" s="2262"/>
      <c r="H2057" s="2262"/>
      <c r="I2057" s="1428"/>
      <c r="J2057" s="1407"/>
      <c r="K2057" s="1431"/>
      <c r="L2057" s="1407"/>
      <c r="M2057" s="1407"/>
      <c r="N2057" s="1407"/>
      <c r="O2057" s="1407"/>
      <c r="P2057" s="1407"/>
      <c r="Q2057" s="1407"/>
      <c r="R2057" s="1407"/>
      <c r="S2057" s="1407"/>
      <c r="T2057" s="1407"/>
      <c r="U2057" s="1407"/>
    </row>
    <row r="2058" spans="1:21" ht="12">
      <c r="A2058" s="639"/>
      <c r="B2058" s="1483"/>
      <c r="C2058" s="639"/>
      <c r="D2058" s="1831"/>
      <c r="E2058" s="2264"/>
      <c r="F2058" s="2262"/>
      <c r="G2058" s="2262"/>
      <c r="H2058" s="2262"/>
      <c r="I2058" s="1428"/>
      <c r="J2058" s="1407"/>
      <c r="K2058" s="1431"/>
      <c r="L2058" s="1407"/>
      <c r="M2058" s="1407"/>
      <c r="N2058" s="1407"/>
      <c r="O2058" s="1407"/>
      <c r="P2058" s="1407"/>
      <c r="Q2058" s="1407"/>
      <c r="R2058" s="1407"/>
      <c r="S2058" s="1407"/>
      <c r="T2058" s="1407"/>
      <c r="U2058" s="1407"/>
    </row>
    <row r="2059" spans="1:21" ht="12">
      <c r="A2059" s="639"/>
      <c r="B2059" s="1483"/>
      <c r="C2059" s="639"/>
      <c r="D2059" s="1831"/>
      <c r="E2059" s="2264"/>
      <c r="F2059" s="2262"/>
      <c r="G2059" s="2262"/>
      <c r="H2059" s="2262"/>
      <c r="I2059" s="1428"/>
      <c r="J2059" s="1407"/>
      <c r="K2059" s="1431"/>
      <c r="L2059" s="1407"/>
      <c r="M2059" s="1407"/>
      <c r="N2059" s="1407"/>
      <c r="O2059" s="1407"/>
      <c r="P2059" s="1407"/>
      <c r="Q2059" s="1407"/>
      <c r="R2059" s="1407"/>
      <c r="S2059" s="1407"/>
      <c r="T2059" s="1407"/>
      <c r="U2059" s="1407"/>
    </row>
    <row r="2060" spans="1:21" ht="12">
      <c r="A2060" s="639"/>
      <c r="B2060" s="1483"/>
      <c r="C2060" s="639"/>
      <c r="D2060" s="1831"/>
      <c r="E2060" s="2264"/>
      <c r="F2060" s="2262"/>
      <c r="G2060" s="2262"/>
      <c r="H2060" s="2262"/>
      <c r="I2060" s="1428"/>
      <c r="J2060" s="1407"/>
      <c r="K2060" s="1431"/>
      <c r="L2060" s="1407"/>
      <c r="M2060" s="1407"/>
      <c r="N2060" s="1407"/>
      <c r="O2060" s="1407"/>
      <c r="P2060" s="1407"/>
      <c r="Q2060" s="1407"/>
      <c r="R2060" s="1407"/>
      <c r="S2060" s="1407"/>
      <c r="T2060" s="1407"/>
      <c r="U2060" s="1407"/>
    </row>
    <row r="2061" spans="1:21" ht="12">
      <c r="A2061" s="639"/>
      <c r="B2061" s="1483"/>
      <c r="C2061" s="639"/>
      <c r="D2061" s="1831"/>
      <c r="E2061" s="2264"/>
      <c r="F2061" s="2262"/>
      <c r="G2061" s="2262"/>
      <c r="H2061" s="2262"/>
      <c r="I2061" s="1428"/>
      <c r="J2061" s="1407"/>
      <c r="K2061" s="1431"/>
      <c r="L2061" s="1407"/>
      <c r="M2061" s="1407"/>
      <c r="N2061" s="1407"/>
      <c r="O2061" s="1407"/>
      <c r="P2061" s="1407"/>
      <c r="Q2061" s="1407"/>
      <c r="R2061" s="1407"/>
      <c r="S2061" s="1407"/>
      <c r="T2061" s="1407"/>
      <c r="U2061" s="1407"/>
    </row>
    <row r="2062" spans="1:21" ht="12">
      <c r="A2062" s="639"/>
      <c r="B2062" s="1483"/>
      <c r="C2062" s="639"/>
      <c r="D2062" s="1831"/>
      <c r="E2062" s="2264"/>
      <c r="F2062" s="2262"/>
      <c r="G2062" s="2262"/>
      <c r="H2062" s="2262"/>
      <c r="I2062" s="1428"/>
      <c r="J2062" s="1407"/>
      <c r="K2062" s="1431"/>
      <c r="L2062" s="1407"/>
      <c r="M2062" s="1407"/>
      <c r="N2062" s="1407"/>
      <c r="O2062" s="1407"/>
      <c r="P2062" s="1407"/>
      <c r="Q2062" s="1407"/>
      <c r="R2062" s="1407"/>
      <c r="S2062" s="1407"/>
      <c r="T2062" s="1407"/>
      <c r="U2062" s="1407"/>
    </row>
    <row r="2063" spans="1:21" ht="12">
      <c r="A2063" s="639"/>
      <c r="B2063" s="1483"/>
      <c r="C2063" s="639"/>
      <c r="D2063" s="1831"/>
      <c r="E2063" s="2264"/>
      <c r="F2063" s="2262"/>
      <c r="G2063" s="2262"/>
      <c r="H2063" s="2262"/>
      <c r="I2063" s="1428"/>
      <c r="J2063" s="1407"/>
      <c r="K2063" s="1431"/>
      <c r="L2063" s="1407"/>
      <c r="M2063" s="1407"/>
      <c r="N2063" s="1407"/>
      <c r="O2063" s="1407"/>
      <c r="P2063" s="1407"/>
      <c r="Q2063" s="1407"/>
      <c r="R2063" s="1407"/>
      <c r="S2063" s="1407"/>
      <c r="T2063" s="1407"/>
      <c r="U2063" s="1407"/>
    </row>
    <row r="2064" spans="1:21" ht="12">
      <c r="A2064" s="639"/>
      <c r="B2064" s="1483"/>
      <c r="C2064" s="639"/>
      <c r="D2064" s="1831"/>
      <c r="E2064" s="2264"/>
      <c r="F2064" s="2262"/>
      <c r="G2064" s="2262"/>
      <c r="H2064" s="2262"/>
      <c r="I2064" s="1428"/>
      <c r="J2064" s="1407"/>
      <c r="K2064" s="1431"/>
      <c r="L2064" s="1407"/>
      <c r="M2064" s="1407"/>
      <c r="N2064" s="1407"/>
      <c r="O2064" s="1407"/>
      <c r="P2064" s="1407"/>
      <c r="Q2064" s="1407"/>
      <c r="R2064" s="1407"/>
      <c r="S2064" s="1407"/>
      <c r="T2064" s="1407"/>
      <c r="U2064" s="1407"/>
    </row>
    <row r="2065" spans="1:21" ht="12">
      <c r="A2065" s="639"/>
      <c r="B2065" s="1483"/>
      <c r="C2065" s="639"/>
      <c r="D2065" s="1831"/>
      <c r="E2065" s="2264"/>
      <c r="F2065" s="2262"/>
      <c r="G2065" s="2262"/>
      <c r="H2065" s="2262"/>
      <c r="I2065" s="1428"/>
      <c r="J2065" s="1407"/>
      <c r="K2065" s="1431"/>
      <c r="L2065" s="1407"/>
      <c r="M2065" s="1407"/>
      <c r="N2065" s="1407"/>
      <c r="O2065" s="1407"/>
      <c r="P2065" s="1407"/>
      <c r="Q2065" s="1407"/>
      <c r="R2065" s="1407"/>
      <c r="S2065" s="1407"/>
      <c r="T2065" s="1407"/>
      <c r="U2065" s="1407"/>
    </row>
  </sheetData>
  <mergeCells count="9">
    <mergeCell ref="J423:J429"/>
    <mergeCell ref="J431:J436"/>
    <mergeCell ref="J817:J824"/>
    <mergeCell ref="L760:L765"/>
    <mergeCell ref="J970:J974"/>
    <mergeCell ref="J964:J968"/>
    <mergeCell ref="A1132:E1132"/>
    <mergeCell ref="J1328:J1332"/>
    <mergeCell ref="J1356:J1359"/>
  </mergeCells>
  <conditionalFormatting sqref="F609:F612">
    <cfRule type="notContainsBlanks" dxfId="3" priority="1">
      <formula>LEN(TRIM(F609))&gt;0</formula>
    </cfRule>
  </conditionalFormatting>
  <conditionalFormatting sqref="F614:I617">
    <cfRule type="notContainsBlanks" dxfId="2" priority="2">
      <formula>LEN(TRIM(F614))&gt;0</formula>
    </cfRule>
  </conditionalFormatting>
  <conditionalFormatting sqref="I629:I634">
    <cfRule type="notContainsBlanks" dxfId="1" priority="3">
      <formula>LEN(TRIM(I629))&gt;0</formula>
    </cfRule>
  </conditionalFormatting>
  <conditionalFormatting sqref="L760:L765">
    <cfRule type="notContainsBlanks" dxfId="0" priority="4">
      <formula>LEN(TRIM(L760))&gt;0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17.33203125" customWidth="1"/>
    <col min="2" max="2" width="26.5" customWidth="1"/>
    <col min="3" max="3" width="10" customWidth="1"/>
    <col min="4" max="4" width="11.83203125" customWidth="1"/>
    <col min="5" max="19" width="17.33203125" customWidth="1"/>
  </cols>
  <sheetData>
    <row r="1" spans="1:19" ht="35.25" customHeight="1">
      <c r="A1" s="747" t="s">
        <v>6</v>
      </c>
      <c r="B1" s="747" t="s">
        <v>12</v>
      </c>
      <c r="C1" s="2711" t="s">
        <v>20</v>
      </c>
      <c r="D1" s="2712" t="s">
        <v>4868</v>
      </c>
      <c r="E1" s="2713" t="s">
        <v>32</v>
      </c>
    </row>
    <row r="2" spans="1:19" ht="12">
      <c r="A2" s="891" t="s">
        <v>522</v>
      </c>
      <c r="B2" s="891" t="s">
        <v>3724</v>
      </c>
      <c r="C2" s="899" t="s">
        <v>4869</v>
      </c>
      <c r="D2" s="2714">
        <v>141000000000000</v>
      </c>
      <c r="E2" s="2715"/>
      <c r="F2" s="901"/>
      <c r="G2" s="901"/>
      <c r="H2" s="901"/>
      <c r="I2" s="901"/>
      <c r="J2" s="901"/>
      <c r="K2" s="901"/>
      <c r="L2" s="901"/>
      <c r="M2" s="901"/>
      <c r="N2" s="901"/>
      <c r="O2" s="901"/>
      <c r="P2" s="901"/>
      <c r="Q2" s="901"/>
      <c r="R2" s="901"/>
      <c r="S2" s="901"/>
    </row>
    <row r="3" spans="1:19" ht="12">
      <c r="A3" s="50" t="s">
        <v>520</v>
      </c>
      <c r="B3" s="50" t="s">
        <v>4870</v>
      </c>
      <c r="C3" s="16" t="s">
        <v>4871</v>
      </c>
      <c r="D3" s="2713">
        <v>1340000000000</v>
      </c>
      <c r="E3" s="2713">
        <v>45800000000</v>
      </c>
      <c r="F3" s="50" t="s">
        <v>4872</v>
      </c>
    </row>
    <row r="4" spans="1:19" ht="12">
      <c r="A4" s="50" t="s">
        <v>3290</v>
      </c>
      <c r="B4" s="54" t="s">
        <v>4873</v>
      </c>
      <c r="C4" s="16" t="s">
        <v>4874</v>
      </c>
      <c r="D4" s="2713">
        <v>50000000000000</v>
      </c>
      <c r="E4" s="2716"/>
    </row>
    <row r="5" spans="1:19" ht="12">
      <c r="A5" s="50" t="s">
        <v>586</v>
      </c>
      <c r="B5" s="54" t="s">
        <v>4873</v>
      </c>
      <c r="C5" s="16" t="s">
        <v>4875</v>
      </c>
      <c r="D5" s="2713">
        <v>100000000000000</v>
      </c>
      <c r="E5" s="2716"/>
    </row>
    <row r="6" spans="1:19" ht="12">
      <c r="A6" s="50" t="s">
        <v>2634</v>
      </c>
      <c r="B6" s="54" t="s">
        <v>4873</v>
      </c>
      <c r="C6" s="16" t="s">
        <v>4876</v>
      </c>
      <c r="D6" s="2713">
        <v>11000000000000</v>
      </c>
      <c r="E6" s="2716"/>
    </row>
    <row r="7" spans="1:19" ht="12">
      <c r="A7" s="50" t="s">
        <v>2590</v>
      </c>
      <c r="B7" s="50" t="s">
        <v>4870</v>
      </c>
      <c r="C7" s="16" t="s">
        <v>4877</v>
      </c>
      <c r="D7" s="2713">
        <v>165000000000000</v>
      </c>
      <c r="E7" s="2716"/>
    </row>
    <row r="8" spans="1:19" ht="12">
      <c r="A8" s="50" t="s">
        <v>4878</v>
      </c>
      <c r="B8" s="50" t="s">
        <v>197</v>
      </c>
      <c r="C8" s="16" t="s">
        <v>4879</v>
      </c>
      <c r="D8" s="2713">
        <v>21200000000000</v>
      </c>
      <c r="E8" s="2716"/>
    </row>
    <row r="9" spans="1:19" ht="12">
      <c r="A9" s="50" t="s">
        <v>2590</v>
      </c>
      <c r="B9" s="50" t="s">
        <v>4880</v>
      </c>
      <c r="C9" s="16" t="s">
        <v>4881</v>
      </c>
      <c r="D9" s="2713" t="s">
        <v>141</v>
      </c>
      <c r="E9" s="2716"/>
    </row>
    <row r="10" spans="1:19" ht="12">
      <c r="A10" s="50" t="s">
        <v>4882</v>
      </c>
      <c r="B10" s="50" t="s">
        <v>197</v>
      </c>
      <c r="C10" s="16" t="s">
        <v>4883</v>
      </c>
      <c r="D10" s="2713">
        <v>240000000000000</v>
      </c>
      <c r="E10" s="2716"/>
    </row>
    <row r="11" spans="1:19" ht="12">
      <c r="A11" s="50" t="s">
        <v>2634</v>
      </c>
      <c r="B11" s="54" t="s">
        <v>4884</v>
      </c>
      <c r="C11" s="16" t="s">
        <v>4885</v>
      </c>
      <c r="D11" s="2713">
        <v>790000000000000</v>
      </c>
      <c r="E11" s="2713" t="s">
        <v>4886</v>
      </c>
    </row>
    <row r="12" spans="1:19" ht="12">
      <c r="A12" s="50" t="s">
        <v>516</v>
      </c>
      <c r="B12" s="50" t="s">
        <v>4887</v>
      </c>
      <c r="C12" s="16" t="s">
        <v>4888</v>
      </c>
      <c r="D12" s="2713">
        <v>1300000000000</v>
      </c>
      <c r="E12" s="2716"/>
    </row>
    <row r="13" spans="1:19" ht="12">
      <c r="A13" s="50" t="s">
        <v>586</v>
      </c>
      <c r="B13" s="54" t="s">
        <v>4873</v>
      </c>
      <c r="C13" s="16" t="s">
        <v>4889</v>
      </c>
      <c r="D13" s="2713">
        <v>25000000000000</v>
      </c>
      <c r="E13" s="2716"/>
    </row>
    <row r="14" spans="1:19" ht="12">
      <c r="A14" s="50" t="s">
        <v>4890</v>
      </c>
      <c r="B14" s="50" t="s">
        <v>4880</v>
      </c>
      <c r="C14" s="16" t="s">
        <v>4891</v>
      </c>
      <c r="D14" s="2713">
        <v>6450000000000</v>
      </c>
      <c r="E14" s="2716"/>
    </row>
    <row r="15" spans="1:19" ht="12">
      <c r="A15" s="50" t="s">
        <v>4890</v>
      </c>
      <c r="B15" s="50" t="s">
        <v>197</v>
      </c>
      <c r="C15" s="16" t="s">
        <v>4892</v>
      </c>
      <c r="D15" s="2713">
        <v>832000000000</v>
      </c>
      <c r="E15" s="2713" t="s">
        <v>4886</v>
      </c>
    </row>
    <row r="16" spans="1:19" ht="12">
      <c r="A16" s="50" t="s">
        <v>3290</v>
      </c>
      <c r="B16" s="50" t="s">
        <v>3724</v>
      </c>
      <c r="C16" s="16" t="s">
        <v>4893</v>
      </c>
      <c r="D16" s="2713">
        <v>220000000000000</v>
      </c>
      <c r="E16" s="2716"/>
    </row>
    <row r="17" spans="1:5" ht="12">
      <c r="A17" s="50" t="s">
        <v>363</v>
      </c>
      <c r="B17" s="50" t="s">
        <v>197</v>
      </c>
      <c r="C17" s="16" t="s">
        <v>4894</v>
      </c>
      <c r="D17" s="2713">
        <v>820000000000</v>
      </c>
      <c r="E17" s="2716"/>
    </row>
    <row r="18" spans="1:5" ht="12">
      <c r="A18" s="50" t="s">
        <v>4895</v>
      </c>
      <c r="B18" s="50" t="s">
        <v>4880</v>
      </c>
      <c r="C18" s="16" t="s">
        <v>4896</v>
      </c>
      <c r="D18" s="2713">
        <v>250000000</v>
      </c>
      <c r="E18" s="2716"/>
    </row>
    <row r="19" spans="1:5" ht="12">
      <c r="A19" s="50" t="s">
        <v>4898</v>
      </c>
      <c r="B19" s="50" t="s">
        <v>4899</v>
      </c>
      <c r="C19" s="16" t="s">
        <v>4900</v>
      </c>
      <c r="D19" s="2713">
        <v>62000000000000</v>
      </c>
      <c r="E19" s="2713" t="s">
        <v>4886</v>
      </c>
    </row>
    <row r="20" spans="1:5" ht="12">
      <c r="A20" s="50" t="s">
        <v>3290</v>
      </c>
      <c r="B20" s="50" t="s">
        <v>197</v>
      </c>
      <c r="C20" s="16" t="s">
        <v>4901</v>
      </c>
      <c r="D20" s="2713">
        <v>390000000000</v>
      </c>
      <c r="E20" s="2716"/>
    </row>
    <row r="21" spans="1:5" ht="12">
      <c r="A21" s="50" t="s">
        <v>3290</v>
      </c>
      <c r="B21" s="50" t="s">
        <v>197</v>
      </c>
      <c r="C21" s="16" t="s">
        <v>4902</v>
      </c>
      <c r="D21" s="2713">
        <v>150000000000000</v>
      </c>
      <c r="E21" s="2716"/>
    </row>
    <row r="22" spans="1:5" ht="12">
      <c r="A22" s="50" t="s">
        <v>3290</v>
      </c>
      <c r="B22" s="50" t="s">
        <v>197</v>
      </c>
      <c r="C22" s="16" t="s">
        <v>4903</v>
      </c>
      <c r="D22" s="2713">
        <v>100000000000</v>
      </c>
      <c r="E22" s="2716"/>
    </row>
    <row r="23" spans="1:5" ht="12">
      <c r="A23" s="50" t="s">
        <v>522</v>
      </c>
      <c r="B23" s="50" t="s">
        <v>4870</v>
      </c>
      <c r="C23" s="16" t="s">
        <v>4904</v>
      </c>
      <c r="D23" s="2713">
        <v>4800000000000000</v>
      </c>
      <c r="E23" s="2716"/>
    </row>
    <row r="24" spans="1:5" ht="12">
      <c r="A24" s="50" t="s">
        <v>516</v>
      </c>
      <c r="B24" s="50" t="s">
        <v>4905</v>
      </c>
      <c r="C24" s="16" t="s">
        <v>4906</v>
      </c>
      <c r="D24" s="2713">
        <v>3900000000000</v>
      </c>
      <c r="E24" s="2716"/>
    </row>
    <row r="25" spans="1:5" ht="12">
      <c r="A25" s="50" t="s">
        <v>516</v>
      </c>
      <c r="B25" s="50" t="s">
        <v>4907</v>
      </c>
      <c r="C25" s="16" t="s">
        <v>4908</v>
      </c>
      <c r="D25" s="2713" t="s">
        <v>4909</v>
      </c>
      <c r="E25" s="2716"/>
    </row>
    <row r="26" spans="1:5" ht="12">
      <c r="A26" s="50" t="s">
        <v>4910</v>
      </c>
      <c r="B26" s="50" t="s">
        <v>197</v>
      </c>
      <c r="C26" s="16" t="s">
        <v>4911</v>
      </c>
      <c r="D26" s="2713">
        <v>24000000000000</v>
      </c>
      <c r="E26" s="2716"/>
    </row>
    <row r="27" spans="1:5" ht="12">
      <c r="A27" s="50" t="s">
        <v>2590</v>
      </c>
      <c r="B27" s="50" t="s">
        <v>4912</v>
      </c>
      <c r="C27" s="16" t="s">
        <v>4913</v>
      </c>
      <c r="D27" s="2713">
        <v>20000000000000</v>
      </c>
      <c r="E27" s="2716"/>
    </row>
    <row r="28" spans="1:5" ht="12">
      <c r="A28" s="50" t="s">
        <v>363</v>
      </c>
      <c r="B28" s="50" t="s">
        <v>4914</v>
      </c>
      <c r="C28" s="16" t="s">
        <v>4915</v>
      </c>
      <c r="D28" s="2713">
        <v>15000000000000</v>
      </c>
      <c r="E28" s="2716"/>
    </row>
    <row r="29" spans="1:5" ht="12">
      <c r="A29" s="50" t="s">
        <v>363</v>
      </c>
      <c r="B29" s="50" t="s">
        <v>4916</v>
      </c>
      <c r="C29" s="16" t="s">
        <v>4917</v>
      </c>
      <c r="D29" s="2713">
        <v>2500000000000000</v>
      </c>
      <c r="E29" s="2716"/>
    </row>
    <row r="30" spans="1:5" ht="12">
      <c r="A30" s="50" t="s">
        <v>586</v>
      </c>
      <c r="B30" s="50" t="s">
        <v>197</v>
      </c>
      <c r="C30" s="16" t="s">
        <v>4918</v>
      </c>
      <c r="D30" s="2713">
        <v>980000000000</v>
      </c>
      <c r="E30" s="2716"/>
    </row>
    <row r="31" spans="1:5" ht="12">
      <c r="A31" s="50" t="s">
        <v>4898</v>
      </c>
      <c r="B31" s="50" t="s">
        <v>4899</v>
      </c>
      <c r="C31" s="16" t="s">
        <v>4919</v>
      </c>
      <c r="D31" s="2713">
        <v>60000000000000</v>
      </c>
      <c r="E31" s="2716"/>
    </row>
    <row r="32" spans="1:5" ht="12">
      <c r="A32" s="50" t="s">
        <v>585</v>
      </c>
      <c r="B32" s="50" t="s">
        <v>4920</v>
      </c>
      <c r="C32" s="16" t="s">
        <v>4921</v>
      </c>
      <c r="D32" s="2713">
        <v>700000000000000</v>
      </c>
      <c r="E32" s="2716"/>
    </row>
    <row r="33" spans="1:5" ht="12">
      <c r="A33" s="50" t="s">
        <v>4922</v>
      </c>
      <c r="B33" s="2719" t="s">
        <v>4923</v>
      </c>
      <c r="C33" s="16" t="s">
        <v>4924</v>
      </c>
      <c r="D33" s="2713">
        <v>2200000000000</v>
      </c>
      <c r="E33" s="2716"/>
    </row>
    <row r="34" spans="1:5" ht="12">
      <c r="A34" s="50" t="s">
        <v>4925</v>
      </c>
      <c r="B34" s="50" t="s">
        <v>4926</v>
      </c>
      <c r="C34" s="16" t="s">
        <v>4927</v>
      </c>
      <c r="D34" s="2713">
        <v>100000000000000</v>
      </c>
      <c r="E34" s="2716"/>
    </row>
    <row r="35" spans="1:5" ht="12">
      <c r="A35" s="50" t="s">
        <v>363</v>
      </c>
      <c r="B35" s="50" t="s">
        <v>197</v>
      </c>
      <c r="C35" s="16" t="s">
        <v>4928</v>
      </c>
      <c r="D35" s="2713">
        <v>9000000000000</v>
      </c>
      <c r="E35" s="2716"/>
    </row>
    <row r="36" spans="1:5" ht="12">
      <c r="A36" s="50" t="s">
        <v>4925</v>
      </c>
      <c r="B36" s="2719" t="s">
        <v>4923</v>
      </c>
      <c r="C36" s="16" t="s">
        <v>4929</v>
      </c>
      <c r="D36" s="2713">
        <v>680000000000000</v>
      </c>
      <c r="E36" s="2716"/>
    </row>
    <row r="37" spans="1:5" ht="12">
      <c r="A37" s="50" t="s">
        <v>4930</v>
      </c>
      <c r="B37" s="50" t="s">
        <v>197</v>
      </c>
      <c r="C37" s="16" t="s">
        <v>4931</v>
      </c>
      <c r="D37" s="2713">
        <v>13000000000</v>
      </c>
      <c r="E37" s="2716"/>
    </row>
    <row r="38" spans="1:5" ht="12">
      <c r="A38" s="50" t="s">
        <v>586</v>
      </c>
      <c r="B38" s="50" t="s">
        <v>4914</v>
      </c>
      <c r="C38" s="16" t="s">
        <v>4932</v>
      </c>
      <c r="D38" s="2713">
        <v>1200000000000</v>
      </c>
      <c r="E38" s="2716"/>
    </row>
    <row r="39" spans="1:5" ht="12">
      <c r="A39" s="50" t="s">
        <v>561</v>
      </c>
      <c r="B39" s="50" t="s">
        <v>4933</v>
      </c>
      <c r="C39" s="16" t="s">
        <v>4934</v>
      </c>
      <c r="D39" s="2713">
        <v>2200000000000</v>
      </c>
      <c r="E39" s="2713" t="s">
        <v>4935</v>
      </c>
    </row>
    <row r="40" spans="1:5" ht="12">
      <c r="A40" s="50" t="s">
        <v>4936</v>
      </c>
      <c r="B40" s="50" t="s">
        <v>197</v>
      </c>
      <c r="C40" s="16" t="s">
        <v>4937</v>
      </c>
      <c r="D40" s="2713">
        <v>400000000000</v>
      </c>
      <c r="E40" s="2713" t="s">
        <v>4935</v>
      </c>
    </row>
    <row r="41" spans="1:5" ht="12">
      <c r="A41" s="50" t="s">
        <v>4938</v>
      </c>
      <c r="B41" s="50" t="s">
        <v>4939</v>
      </c>
      <c r="C41" s="16" t="s">
        <v>4940</v>
      </c>
      <c r="D41" s="2713">
        <v>22000000000000</v>
      </c>
      <c r="E41" s="2716"/>
    </row>
    <row r="42" spans="1:5" ht="12">
      <c r="A42" s="50" t="s">
        <v>520</v>
      </c>
      <c r="B42" s="50" t="s">
        <v>4939</v>
      </c>
      <c r="C42" s="16" t="s">
        <v>4941</v>
      </c>
      <c r="D42" s="2713">
        <v>11000000000000</v>
      </c>
      <c r="E42" s="2713" t="s">
        <v>4935</v>
      </c>
    </row>
    <row r="43" spans="1:5" ht="12">
      <c r="A43" s="50" t="s">
        <v>2816</v>
      </c>
      <c r="B43" s="50" t="s">
        <v>3874</v>
      </c>
      <c r="C43" s="16" t="s">
        <v>4942</v>
      </c>
      <c r="D43" s="2713">
        <v>40000000000</v>
      </c>
      <c r="E43" s="2716"/>
    </row>
    <row r="44" spans="1:5" ht="12">
      <c r="A44" s="50" t="s">
        <v>2816</v>
      </c>
      <c r="B44" s="50" t="s">
        <v>197</v>
      </c>
      <c r="C44" s="16" t="s">
        <v>4943</v>
      </c>
      <c r="D44" s="2713">
        <v>930000000</v>
      </c>
      <c r="E44" s="2716"/>
    </row>
    <row r="45" spans="1:5" ht="12">
      <c r="C45" s="18"/>
      <c r="D45" s="2716"/>
      <c r="E45" s="2716"/>
    </row>
    <row r="46" spans="1:5" ht="12">
      <c r="C46" s="18"/>
      <c r="D46" s="2716"/>
      <c r="E46" s="2716"/>
    </row>
    <row r="47" spans="1:5" ht="12">
      <c r="C47" s="18"/>
      <c r="D47" s="2716"/>
      <c r="E47" s="2716"/>
    </row>
    <row r="48" spans="1:5" ht="12">
      <c r="C48" s="18"/>
      <c r="D48" s="2716"/>
      <c r="E48" s="2716"/>
    </row>
    <row r="49" spans="3:5" ht="12">
      <c r="C49" s="18"/>
      <c r="D49" s="2716"/>
      <c r="E49" s="2716"/>
    </row>
    <row r="50" spans="3:5" ht="12">
      <c r="C50" s="18"/>
      <c r="D50" s="2716"/>
      <c r="E50" s="2716"/>
    </row>
    <row r="51" spans="3:5" ht="12">
      <c r="C51" s="18"/>
      <c r="D51" s="2716"/>
      <c r="E51" s="2716"/>
    </row>
    <row r="52" spans="3:5" ht="12">
      <c r="C52" s="18"/>
      <c r="D52" s="2716"/>
      <c r="E52" s="2716"/>
    </row>
    <row r="53" spans="3:5" ht="12">
      <c r="C53" s="18"/>
      <c r="D53" s="2716"/>
      <c r="E53" s="2716"/>
    </row>
    <row r="54" spans="3:5" ht="12">
      <c r="C54" s="18"/>
      <c r="D54" s="2716"/>
      <c r="E54" s="2716"/>
    </row>
    <row r="55" spans="3:5" ht="12">
      <c r="C55" s="18"/>
      <c r="D55" s="2716"/>
      <c r="E55" s="2716"/>
    </row>
    <row r="56" spans="3:5" ht="12">
      <c r="C56" s="18"/>
      <c r="D56" s="2716"/>
      <c r="E56" s="2716"/>
    </row>
    <row r="57" spans="3:5" ht="12">
      <c r="C57" s="18"/>
      <c r="D57" s="2716"/>
      <c r="E57" s="2716"/>
    </row>
    <row r="58" spans="3:5" ht="12">
      <c r="C58" s="18"/>
      <c r="D58" s="2716"/>
      <c r="E58" s="2716"/>
    </row>
    <row r="59" spans="3:5" ht="12">
      <c r="C59" s="18"/>
      <c r="D59" s="2716"/>
      <c r="E59" s="2716"/>
    </row>
    <row r="60" spans="3:5" ht="12">
      <c r="C60" s="18"/>
      <c r="D60" s="2716"/>
      <c r="E60" s="2716"/>
    </row>
    <row r="61" spans="3:5" ht="12">
      <c r="C61" s="18"/>
      <c r="D61" s="2716"/>
      <c r="E61" s="2716"/>
    </row>
    <row r="62" spans="3:5" ht="12">
      <c r="C62" s="18"/>
      <c r="D62" s="2716"/>
      <c r="E62" s="2716"/>
    </row>
    <row r="63" spans="3:5" ht="12">
      <c r="C63" s="18"/>
      <c r="D63" s="2716"/>
      <c r="E63" s="2716"/>
    </row>
    <row r="64" spans="3:5" ht="12">
      <c r="C64" s="18"/>
      <c r="D64" s="2716"/>
      <c r="E64" s="2716"/>
    </row>
    <row r="65" spans="3:5" ht="12">
      <c r="C65" s="18"/>
      <c r="D65" s="2716"/>
      <c r="E65" s="2716"/>
    </row>
    <row r="66" spans="3:5" ht="12">
      <c r="C66" s="18"/>
      <c r="D66" s="2716"/>
      <c r="E66" s="2716"/>
    </row>
    <row r="67" spans="3:5" ht="12">
      <c r="C67" s="18"/>
      <c r="D67" s="2716"/>
      <c r="E67" s="2716"/>
    </row>
    <row r="68" spans="3:5" ht="12">
      <c r="C68" s="18"/>
      <c r="D68" s="2716"/>
      <c r="E68" s="2716"/>
    </row>
    <row r="69" spans="3:5" ht="12">
      <c r="C69" s="18"/>
      <c r="D69" s="2716"/>
      <c r="E69" s="2716"/>
    </row>
    <row r="70" spans="3:5" ht="12">
      <c r="C70" s="18"/>
      <c r="D70" s="2716"/>
      <c r="E70" s="2716"/>
    </row>
    <row r="71" spans="3:5" ht="12">
      <c r="C71" s="18"/>
      <c r="D71" s="2716"/>
      <c r="E71" s="2716"/>
    </row>
    <row r="72" spans="3:5" ht="12">
      <c r="C72" s="18"/>
      <c r="D72" s="2716"/>
      <c r="E72" s="2716"/>
    </row>
    <row r="73" spans="3:5" ht="12">
      <c r="C73" s="18"/>
      <c r="D73" s="2716"/>
      <c r="E73" s="2716"/>
    </row>
    <row r="74" spans="3:5" ht="12">
      <c r="C74" s="18"/>
      <c r="D74" s="2716"/>
      <c r="E74" s="2716"/>
    </row>
    <row r="75" spans="3:5" ht="12">
      <c r="C75" s="18"/>
      <c r="D75" s="2716"/>
      <c r="E75" s="2716"/>
    </row>
    <row r="76" spans="3:5" ht="12">
      <c r="C76" s="18"/>
      <c r="D76" s="2716"/>
      <c r="E76" s="2716"/>
    </row>
    <row r="77" spans="3:5" ht="12">
      <c r="C77" s="18"/>
      <c r="D77" s="2716"/>
      <c r="E77" s="2716"/>
    </row>
    <row r="78" spans="3:5" ht="12">
      <c r="C78" s="18"/>
      <c r="D78" s="2716"/>
      <c r="E78" s="2716"/>
    </row>
    <row r="79" spans="3:5" ht="12">
      <c r="C79" s="18"/>
      <c r="D79" s="2716"/>
      <c r="E79" s="2716"/>
    </row>
    <row r="80" spans="3:5" ht="12">
      <c r="C80" s="18"/>
      <c r="D80" s="2716"/>
      <c r="E80" s="2716"/>
    </row>
    <row r="81" spans="3:5" ht="12">
      <c r="C81" s="18"/>
      <c r="D81" s="2716"/>
      <c r="E81" s="2716"/>
    </row>
    <row r="82" spans="3:5" ht="12">
      <c r="C82" s="18"/>
      <c r="D82" s="2716"/>
      <c r="E82" s="2716"/>
    </row>
    <row r="83" spans="3:5" ht="12">
      <c r="C83" s="18"/>
      <c r="D83" s="2716"/>
      <c r="E83" s="2716"/>
    </row>
    <row r="84" spans="3:5" ht="12">
      <c r="C84" s="18"/>
      <c r="D84" s="2716"/>
      <c r="E84" s="2716"/>
    </row>
    <row r="85" spans="3:5" ht="12">
      <c r="C85" s="18"/>
      <c r="D85" s="2716"/>
      <c r="E85" s="2716"/>
    </row>
    <row r="86" spans="3:5" ht="12">
      <c r="C86" s="18"/>
      <c r="D86" s="2716"/>
      <c r="E86" s="2716"/>
    </row>
    <row r="87" spans="3:5" ht="12">
      <c r="C87" s="18"/>
      <c r="D87" s="2716"/>
      <c r="E87" s="2716"/>
    </row>
    <row r="88" spans="3:5" ht="12">
      <c r="C88" s="18"/>
      <c r="D88" s="2716"/>
      <c r="E88" s="2716"/>
    </row>
    <row r="89" spans="3:5" ht="12">
      <c r="C89" s="18"/>
      <c r="D89" s="2716"/>
      <c r="E89" s="2716"/>
    </row>
    <row r="90" spans="3:5" ht="12">
      <c r="C90" s="18"/>
      <c r="D90" s="2716"/>
      <c r="E90" s="2716"/>
    </row>
    <row r="91" spans="3:5" ht="12">
      <c r="C91" s="18"/>
      <c r="D91" s="2716"/>
      <c r="E91" s="2716"/>
    </row>
    <row r="92" spans="3:5" ht="12">
      <c r="C92" s="18"/>
      <c r="D92" s="2716"/>
      <c r="E92" s="2716"/>
    </row>
    <row r="93" spans="3:5" ht="12">
      <c r="C93" s="18"/>
      <c r="D93" s="2716"/>
      <c r="E93" s="2716"/>
    </row>
    <row r="94" spans="3:5" ht="12">
      <c r="C94" s="18"/>
      <c r="D94" s="2716"/>
      <c r="E94" s="2716"/>
    </row>
    <row r="95" spans="3:5" ht="12">
      <c r="C95" s="18"/>
      <c r="D95" s="2716"/>
      <c r="E95" s="2716"/>
    </row>
    <row r="96" spans="3:5" ht="12">
      <c r="C96" s="18"/>
      <c r="D96" s="2716"/>
      <c r="E96" s="2716"/>
    </row>
    <row r="97" spans="3:5" ht="12">
      <c r="C97" s="18"/>
      <c r="D97" s="2716"/>
      <c r="E97" s="2716"/>
    </row>
    <row r="98" spans="3:5" ht="12">
      <c r="C98" s="18"/>
      <c r="D98" s="2716"/>
      <c r="E98" s="2716"/>
    </row>
    <row r="99" spans="3:5" ht="12">
      <c r="C99" s="18"/>
      <c r="D99" s="2716"/>
      <c r="E99" s="2716"/>
    </row>
    <row r="100" spans="3:5" ht="12">
      <c r="C100" s="18"/>
      <c r="D100" s="2716"/>
      <c r="E100" s="271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AAV</vt:lpstr>
      <vt:lpstr>plasmids</vt:lpstr>
      <vt:lpstr>Clonages</vt:lpstr>
      <vt:lpstr>Suivi clonages</vt:lpstr>
      <vt:lpstr>Prod plasmids</vt:lpstr>
      <vt:lpstr>Plasmides par promoteur</vt:lpstr>
      <vt:lpstr>Titrages AAV</vt:lpstr>
      <vt:lpstr>Prod Berkeley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 Lechuga</cp:lastModifiedBy>
  <dcterms:modified xsi:type="dcterms:W3CDTF">2017-09-13T15:32:38Z</dcterms:modified>
</cp:coreProperties>
</file>